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58" sheetId="5" r:id="rId1"/>
  </sheets>
  <definedNames>
    <definedName name="_xlnm._FilterDatabase" localSheetId="0" hidden="1">'258'!$A$3:$XET$3</definedName>
  </definedNames>
  <calcPr calcId="144525"/>
</workbook>
</file>

<file path=xl/sharedStrings.xml><?xml version="1.0" encoding="utf-8"?>
<sst xmlns="http://schemas.openxmlformats.org/spreadsheetml/2006/main" count="527" uniqueCount="54">
  <si>
    <t>附件1：</t>
  </si>
  <si>
    <t>利辛县2023年城区学校面向农村学校遴选教师资格复审人员名单</t>
  </si>
  <si>
    <t>序号</t>
  </si>
  <si>
    <t>岗位代码</t>
  </si>
  <si>
    <t>岗位名称</t>
  </si>
  <si>
    <t>招聘单位</t>
  </si>
  <si>
    <t>姓名</t>
  </si>
  <si>
    <t>面试成绩</t>
  </si>
  <si>
    <t>面试分数
（70%折后得分）</t>
  </si>
  <si>
    <t>积分
（30%折后得分）</t>
  </si>
  <si>
    <t>总成绩</t>
  </si>
  <si>
    <t>高中语文</t>
  </si>
  <si>
    <t>利辛县第二完全中学</t>
  </si>
  <si>
    <t>高中数学</t>
  </si>
  <si>
    <t>高中物理</t>
  </si>
  <si>
    <t>中职语文</t>
  </si>
  <si>
    <t>利辛县机电科技学校</t>
  </si>
  <si>
    <t>中职数学</t>
  </si>
  <si>
    <t>安徽亳州新能源学校</t>
  </si>
  <si>
    <t>中职英语</t>
  </si>
  <si>
    <t>初中语文</t>
  </si>
  <si>
    <t>利辛县向阳路中学</t>
  </si>
  <si>
    <t>利辛县第十一初级中学</t>
  </si>
  <si>
    <t>利辛县第四中学</t>
  </si>
  <si>
    <t>利辛县锦绣路中学</t>
  </si>
  <si>
    <t>利辛县前进路学校</t>
  </si>
  <si>
    <t>利辛一中附属学校</t>
  </si>
  <si>
    <t>初中数学</t>
  </si>
  <si>
    <t>利辛中学（淝河路校区）</t>
  </si>
  <si>
    <t>利辛县第八中学</t>
  </si>
  <si>
    <t>初中英语</t>
  </si>
  <si>
    <t>初中道德与法治</t>
  </si>
  <si>
    <t>初中历史</t>
  </si>
  <si>
    <t>初中地理</t>
  </si>
  <si>
    <t>初中物理</t>
  </si>
  <si>
    <t>初中化学</t>
  </si>
  <si>
    <t>初中生物</t>
  </si>
  <si>
    <t>初中音乐</t>
  </si>
  <si>
    <t>初中体育与健康</t>
  </si>
  <si>
    <t>小学语文</t>
  </si>
  <si>
    <t>利辛县淝河路小学</t>
  </si>
  <si>
    <t>利辛县向阳路小学</t>
  </si>
  <si>
    <t>利辛县实验小学</t>
  </si>
  <si>
    <t>利辛县师范附属小学</t>
  </si>
  <si>
    <t>利辛县永兴路小学</t>
  </si>
  <si>
    <t>利辛县第四小学</t>
  </si>
  <si>
    <t>利辛县第七小学</t>
  </si>
  <si>
    <t>利辛县第八小学</t>
  </si>
  <si>
    <t>小学数学</t>
  </si>
  <si>
    <t>小学英语</t>
  </si>
  <si>
    <t>小学体育与健康</t>
  </si>
  <si>
    <t>小学音乐</t>
  </si>
  <si>
    <t>小学美术</t>
  </si>
  <si>
    <t>小学信息技术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</si>
</sst>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176" fontId="2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3"/>
  <sheetViews>
    <sheetView tabSelected="1" topLeftCell="A118" workbookViewId="0">
      <selection activeCell="J132" sqref="J132"/>
    </sheetView>
  </sheetViews>
  <sheetFormatPr defaultColWidth="9" defaultRowHeight="15" customHeight="1"/>
  <cols>
    <col min="1" max="1" width="5.34166666666667" style="2" customWidth="1"/>
    <col min="2" max="2" width="9" style="1"/>
    <col min="3" max="3" width="14.75" style="3" customWidth="1"/>
    <col min="4" max="4" width="21.375" style="3" customWidth="1"/>
    <col min="5" max="5" width="9" style="1"/>
    <col min="6" max="7" width="11.25" style="2" customWidth="1"/>
    <col min="8" max="8" width="10" style="4" customWidth="1"/>
    <col min="9" max="16384" width="9" style="1"/>
  </cols>
  <sheetData>
    <row r="1" customHeight="1" spans="1:2">
      <c r="A1" s="2" t="s">
        <v>0</v>
      </c>
      <c r="B1" s="2"/>
    </row>
    <row r="2" s="1" customFormat="1" ht="41.1" customHeight="1" spans="1:9">
      <c r="A2" s="5" t="s">
        <v>1</v>
      </c>
      <c r="B2" s="5"/>
      <c r="C2" s="6"/>
      <c r="D2" s="5"/>
      <c r="E2" s="5"/>
      <c r="F2" s="5"/>
      <c r="G2" s="5"/>
      <c r="H2" s="7"/>
      <c r="I2" s="5"/>
    </row>
    <row r="3" s="1" customFormat="1" ht="42" customHeight="1" spans="1:9">
      <c r="A3" s="8" t="s">
        <v>2</v>
      </c>
      <c r="B3" s="9" t="s">
        <v>3</v>
      </c>
      <c r="C3" s="10" t="s">
        <v>4</v>
      </c>
      <c r="D3" s="10" t="s">
        <v>5</v>
      </c>
      <c r="E3" s="9" t="s">
        <v>6</v>
      </c>
      <c r="F3" s="8" t="s">
        <v>7</v>
      </c>
      <c r="G3" s="11" t="s">
        <v>8</v>
      </c>
      <c r="H3" s="12" t="s">
        <v>9</v>
      </c>
      <c r="I3" s="8" t="s">
        <v>10</v>
      </c>
    </row>
    <row r="4" s="1" customFormat="1" customHeight="1" spans="1:9">
      <c r="A4" s="8">
        <v>1</v>
      </c>
      <c r="B4" s="9" t="str">
        <f>"2023001"</f>
        <v>2023001</v>
      </c>
      <c r="C4" s="9" t="s">
        <v>11</v>
      </c>
      <c r="D4" s="9" t="s">
        <v>12</v>
      </c>
      <c r="E4" s="13" t="str">
        <f>"刁远远"</f>
        <v>刁远远</v>
      </c>
      <c r="F4" s="14">
        <v>81.4</v>
      </c>
      <c r="G4" s="14">
        <f>F4*0.7</f>
        <v>56.98</v>
      </c>
      <c r="H4" s="15">
        <v>13.5</v>
      </c>
      <c r="I4" s="20">
        <v>70.48</v>
      </c>
    </row>
    <row r="5" s="1" customFormat="1" customHeight="1" spans="1:9">
      <c r="A5" s="8">
        <v>2</v>
      </c>
      <c r="B5" s="9" t="str">
        <f>"2023001"</f>
        <v>2023001</v>
      </c>
      <c r="C5" s="9" t="s">
        <v>11</v>
      </c>
      <c r="D5" s="9" t="s">
        <v>12</v>
      </c>
      <c r="E5" s="9" t="str">
        <f>"邓涛"</f>
        <v>邓涛</v>
      </c>
      <c r="F5" s="14">
        <v>85.2</v>
      </c>
      <c r="G5" s="14">
        <f t="shared" ref="G5:G68" si="0">F5*0.7</f>
        <v>59.64</v>
      </c>
      <c r="H5" s="15">
        <v>10.5</v>
      </c>
      <c r="I5" s="20">
        <v>70.14</v>
      </c>
    </row>
    <row r="6" s="1" customFormat="1" customHeight="1" spans="1:9">
      <c r="A6" s="8">
        <v>3</v>
      </c>
      <c r="B6" s="9" t="str">
        <f t="shared" ref="B6:B10" si="1">"2023002"</f>
        <v>2023002</v>
      </c>
      <c r="C6" s="9" t="s">
        <v>13</v>
      </c>
      <c r="D6" s="9" t="s">
        <v>12</v>
      </c>
      <c r="E6" s="9" t="str">
        <f>"葛绘芳"</f>
        <v>葛绘芳</v>
      </c>
      <c r="F6" s="14">
        <v>81.4</v>
      </c>
      <c r="G6" s="14">
        <f t="shared" si="0"/>
        <v>56.98</v>
      </c>
      <c r="H6" s="15">
        <v>12.9</v>
      </c>
      <c r="I6" s="20">
        <v>69.88</v>
      </c>
    </row>
    <row r="7" s="1" customFormat="1" customHeight="1" spans="1:9">
      <c r="A7" s="8">
        <v>4</v>
      </c>
      <c r="B7" s="9" t="str">
        <f t="shared" si="1"/>
        <v>2023002</v>
      </c>
      <c r="C7" s="9" t="s">
        <v>13</v>
      </c>
      <c r="D7" s="9" t="s">
        <v>12</v>
      </c>
      <c r="E7" s="9" t="str">
        <f>"张家亮"</f>
        <v>张家亮</v>
      </c>
      <c r="F7" s="14">
        <v>76.3</v>
      </c>
      <c r="G7" s="14">
        <f t="shared" si="0"/>
        <v>53.41</v>
      </c>
      <c r="H7" s="15">
        <v>15.3</v>
      </c>
      <c r="I7" s="20">
        <v>68.71</v>
      </c>
    </row>
    <row r="8" s="1" customFormat="1" customHeight="1" spans="1:9">
      <c r="A8" s="8">
        <v>5</v>
      </c>
      <c r="B8" s="9" t="str">
        <f t="shared" si="1"/>
        <v>2023002</v>
      </c>
      <c r="C8" s="9" t="s">
        <v>13</v>
      </c>
      <c r="D8" s="9" t="s">
        <v>12</v>
      </c>
      <c r="E8" s="9" t="str">
        <f>"武庆飞"</f>
        <v>武庆飞</v>
      </c>
      <c r="F8" s="14">
        <v>83.9</v>
      </c>
      <c r="G8" s="14">
        <f t="shared" si="0"/>
        <v>58.73</v>
      </c>
      <c r="H8" s="16">
        <v>8.7</v>
      </c>
      <c r="I8" s="20">
        <v>67.43</v>
      </c>
    </row>
    <row r="9" s="1" customFormat="1" customHeight="1" spans="1:9">
      <c r="A9" s="8">
        <v>6</v>
      </c>
      <c r="B9" s="9" t="str">
        <f t="shared" si="1"/>
        <v>2023002</v>
      </c>
      <c r="C9" s="9" t="s">
        <v>13</v>
      </c>
      <c r="D9" s="9" t="s">
        <v>12</v>
      </c>
      <c r="E9" s="9" t="str">
        <f>"王江北"</f>
        <v>王江北</v>
      </c>
      <c r="F9" s="14">
        <v>73.82</v>
      </c>
      <c r="G9" s="14">
        <f t="shared" si="0"/>
        <v>51.674</v>
      </c>
      <c r="H9" s="17">
        <v>13.5</v>
      </c>
      <c r="I9" s="20">
        <v>65.174</v>
      </c>
    </row>
    <row r="10" s="1" customFormat="1" customHeight="1" spans="1:9">
      <c r="A10" s="8">
        <v>7</v>
      </c>
      <c r="B10" s="9" t="str">
        <f t="shared" si="1"/>
        <v>2023002</v>
      </c>
      <c r="C10" s="9" t="s">
        <v>13</v>
      </c>
      <c r="D10" s="9" t="s">
        <v>12</v>
      </c>
      <c r="E10" s="9" t="str">
        <f>"张雪梅"</f>
        <v>张雪梅</v>
      </c>
      <c r="F10" s="14">
        <v>78.26</v>
      </c>
      <c r="G10" s="14">
        <f t="shared" si="0"/>
        <v>54.782</v>
      </c>
      <c r="H10" s="15">
        <v>9.6</v>
      </c>
      <c r="I10" s="20">
        <v>64.382</v>
      </c>
    </row>
    <row r="11" s="1" customFormat="1" customHeight="1" spans="1:9">
      <c r="A11" s="8">
        <v>8</v>
      </c>
      <c r="B11" s="9" t="str">
        <f>"2023004"</f>
        <v>2023004</v>
      </c>
      <c r="C11" s="9" t="s">
        <v>14</v>
      </c>
      <c r="D11" s="9" t="s">
        <v>12</v>
      </c>
      <c r="E11" s="9" t="str">
        <f>"胡力"</f>
        <v>胡力</v>
      </c>
      <c r="F11" s="14">
        <v>80.9</v>
      </c>
      <c r="G11" s="14">
        <f t="shared" si="0"/>
        <v>56.63</v>
      </c>
      <c r="H11" s="15">
        <v>7.5</v>
      </c>
      <c r="I11" s="20">
        <v>64.13</v>
      </c>
    </row>
    <row r="12" s="1" customFormat="1" customHeight="1" spans="1:9">
      <c r="A12" s="8">
        <v>9</v>
      </c>
      <c r="B12" s="9" t="str">
        <f t="shared" ref="B12:B15" si="2">"2023008"</f>
        <v>2023008</v>
      </c>
      <c r="C12" s="9" t="s">
        <v>15</v>
      </c>
      <c r="D12" s="9" t="s">
        <v>16</v>
      </c>
      <c r="E12" s="9" t="str">
        <f>"李才"</f>
        <v>李才</v>
      </c>
      <c r="F12" s="14">
        <v>84.06</v>
      </c>
      <c r="G12" s="14">
        <f t="shared" si="0"/>
        <v>58.842</v>
      </c>
      <c r="H12" s="15">
        <v>18</v>
      </c>
      <c r="I12" s="20">
        <v>76.842</v>
      </c>
    </row>
    <row r="13" s="1" customFormat="1" customHeight="1" spans="1:9">
      <c r="A13" s="8">
        <v>10</v>
      </c>
      <c r="B13" s="9" t="str">
        <f t="shared" si="2"/>
        <v>2023008</v>
      </c>
      <c r="C13" s="9" t="s">
        <v>15</v>
      </c>
      <c r="D13" s="9" t="s">
        <v>16</v>
      </c>
      <c r="E13" s="9" t="str">
        <f>"张若玉"</f>
        <v>张若玉</v>
      </c>
      <c r="F13" s="14">
        <v>84.44</v>
      </c>
      <c r="G13" s="14">
        <f t="shared" si="0"/>
        <v>59.108</v>
      </c>
      <c r="H13" s="15">
        <v>13.5</v>
      </c>
      <c r="I13" s="20">
        <v>72.608</v>
      </c>
    </row>
    <row r="14" s="1" customFormat="1" customHeight="1" spans="1:9">
      <c r="A14" s="8">
        <v>11</v>
      </c>
      <c r="B14" s="9" t="str">
        <f t="shared" si="2"/>
        <v>2023008</v>
      </c>
      <c r="C14" s="9" t="s">
        <v>15</v>
      </c>
      <c r="D14" s="9" t="s">
        <v>16</v>
      </c>
      <c r="E14" s="9" t="str">
        <f>"周凯文"</f>
        <v>周凯文</v>
      </c>
      <c r="F14" s="14">
        <v>86.5</v>
      </c>
      <c r="G14" s="14">
        <f t="shared" si="0"/>
        <v>60.55</v>
      </c>
      <c r="H14" s="15">
        <v>12</v>
      </c>
      <c r="I14" s="20">
        <v>72.55</v>
      </c>
    </row>
    <row r="15" s="1" customFormat="1" customHeight="1" spans="1:9">
      <c r="A15" s="8">
        <v>12</v>
      </c>
      <c r="B15" s="9" t="str">
        <f t="shared" si="2"/>
        <v>2023008</v>
      </c>
      <c r="C15" s="9" t="s">
        <v>15</v>
      </c>
      <c r="D15" s="9" t="s">
        <v>16</v>
      </c>
      <c r="E15" s="9" t="str">
        <f>"张盼盼"</f>
        <v>张盼盼</v>
      </c>
      <c r="F15" s="14">
        <v>84.12</v>
      </c>
      <c r="G15" s="14">
        <f t="shared" si="0"/>
        <v>58.884</v>
      </c>
      <c r="H15" s="15">
        <v>12</v>
      </c>
      <c r="I15" s="20">
        <v>70.884</v>
      </c>
    </row>
    <row r="16" s="1" customFormat="1" customHeight="1" spans="1:9">
      <c r="A16" s="8">
        <v>13</v>
      </c>
      <c r="B16" s="9" t="str">
        <f t="shared" ref="B16:B18" si="3">"2023009"</f>
        <v>2023009</v>
      </c>
      <c r="C16" s="9" t="s">
        <v>17</v>
      </c>
      <c r="D16" s="9" t="s">
        <v>18</v>
      </c>
      <c r="E16" s="9" t="str">
        <f>"付艳"</f>
        <v>付艳</v>
      </c>
      <c r="F16" s="14">
        <v>84.82</v>
      </c>
      <c r="G16" s="14">
        <f t="shared" si="0"/>
        <v>59.374</v>
      </c>
      <c r="H16" s="15">
        <v>13.5</v>
      </c>
      <c r="I16" s="20">
        <v>72.874</v>
      </c>
    </row>
    <row r="17" s="1" customFormat="1" customHeight="1" spans="1:9">
      <c r="A17" s="8">
        <v>14</v>
      </c>
      <c r="B17" s="9" t="str">
        <f t="shared" si="3"/>
        <v>2023009</v>
      </c>
      <c r="C17" s="9" t="s">
        <v>17</v>
      </c>
      <c r="D17" s="9" t="s">
        <v>18</v>
      </c>
      <c r="E17" s="9" t="str">
        <f>"姜慧"</f>
        <v>姜慧</v>
      </c>
      <c r="F17" s="14">
        <v>84.84</v>
      </c>
      <c r="G17" s="14">
        <f t="shared" si="0"/>
        <v>59.388</v>
      </c>
      <c r="H17" s="15">
        <v>12</v>
      </c>
      <c r="I17" s="20">
        <v>71.388</v>
      </c>
    </row>
    <row r="18" s="1" customFormat="1" customHeight="1" spans="1:9">
      <c r="A18" s="8">
        <v>15</v>
      </c>
      <c r="B18" s="9" t="str">
        <f t="shared" si="3"/>
        <v>2023009</v>
      </c>
      <c r="C18" s="9" t="s">
        <v>17</v>
      </c>
      <c r="D18" s="9" t="s">
        <v>18</v>
      </c>
      <c r="E18" s="9" t="str">
        <f>"晁闯闯"</f>
        <v>晁闯闯</v>
      </c>
      <c r="F18" s="14">
        <v>78</v>
      </c>
      <c r="G18" s="14">
        <f t="shared" si="0"/>
        <v>54.6</v>
      </c>
      <c r="H18" s="15">
        <v>9</v>
      </c>
      <c r="I18" s="20">
        <v>63.6</v>
      </c>
    </row>
    <row r="19" s="1" customFormat="1" customHeight="1" spans="1:9">
      <c r="A19" s="8">
        <v>16</v>
      </c>
      <c r="B19" s="9" t="str">
        <f t="shared" ref="B19:B22" si="4">"2023010"</f>
        <v>2023010</v>
      </c>
      <c r="C19" s="9" t="s">
        <v>17</v>
      </c>
      <c r="D19" s="9" t="s">
        <v>16</v>
      </c>
      <c r="E19" s="9" t="str">
        <f>"吴雨晴"</f>
        <v>吴雨晴</v>
      </c>
      <c r="F19" s="14">
        <v>83.92</v>
      </c>
      <c r="G19" s="14">
        <f t="shared" si="0"/>
        <v>58.744</v>
      </c>
      <c r="H19" s="15">
        <v>13.05</v>
      </c>
      <c r="I19" s="20">
        <v>71.794</v>
      </c>
    </row>
    <row r="20" s="1" customFormat="1" customHeight="1" spans="1:9">
      <c r="A20" s="8">
        <v>17</v>
      </c>
      <c r="B20" s="9" t="str">
        <f t="shared" si="4"/>
        <v>2023010</v>
      </c>
      <c r="C20" s="9" t="s">
        <v>17</v>
      </c>
      <c r="D20" s="9" t="s">
        <v>16</v>
      </c>
      <c r="E20" s="9" t="str">
        <f>"邢黎明"</f>
        <v>邢黎明</v>
      </c>
      <c r="F20" s="14">
        <v>82.34</v>
      </c>
      <c r="G20" s="14">
        <f t="shared" si="0"/>
        <v>57.638</v>
      </c>
      <c r="H20" s="15">
        <v>13.5</v>
      </c>
      <c r="I20" s="20">
        <v>71.138</v>
      </c>
    </row>
    <row r="21" s="1" customFormat="1" customHeight="1" spans="1:9">
      <c r="A21" s="8">
        <v>18</v>
      </c>
      <c r="B21" s="9" t="str">
        <f t="shared" si="4"/>
        <v>2023010</v>
      </c>
      <c r="C21" s="9" t="s">
        <v>17</v>
      </c>
      <c r="D21" s="9" t="s">
        <v>16</v>
      </c>
      <c r="E21" s="9" t="str">
        <f>"孙志祥"</f>
        <v>孙志祥</v>
      </c>
      <c r="F21" s="14">
        <v>80.08</v>
      </c>
      <c r="G21" s="14">
        <f t="shared" si="0"/>
        <v>56.056</v>
      </c>
      <c r="H21" s="17">
        <v>12</v>
      </c>
      <c r="I21" s="20">
        <v>68.056</v>
      </c>
    </row>
    <row r="22" s="1" customFormat="1" customHeight="1" spans="1:9">
      <c r="A22" s="8">
        <v>19</v>
      </c>
      <c r="B22" s="9" t="str">
        <f t="shared" si="4"/>
        <v>2023010</v>
      </c>
      <c r="C22" s="9" t="s">
        <v>17</v>
      </c>
      <c r="D22" s="9" t="s">
        <v>16</v>
      </c>
      <c r="E22" s="9" t="str">
        <f>"张奎元"</f>
        <v>张奎元</v>
      </c>
      <c r="F22" s="14">
        <v>82.16</v>
      </c>
      <c r="G22" s="14">
        <f t="shared" si="0"/>
        <v>57.512</v>
      </c>
      <c r="H22" s="15">
        <v>7.5</v>
      </c>
      <c r="I22" s="20">
        <v>65.012</v>
      </c>
    </row>
    <row r="23" s="1" customFormat="1" customHeight="1" spans="1:9">
      <c r="A23" s="8">
        <v>20</v>
      </c>
      <c r="B23" s="9" t="str">
        <f t="shared" ref="B23:B26" si="5">"2023011"</f>
        <v>2023011</v>
      </c>
      <c r="C23" s="9" t="s">
        <v>19</v>
      </c>
      <c r="D23" s="9" t="s">
        <v>18</v>
      </c>
      <c r="E23" s="9" t="str">
        <f>"汪丽"</f>
        <v>汪丽</v>
      </c>
      <c r="F23" s="14">
        <v>86.04</v>
      </c>
      <c r="G23" s="14">
        <f t="shared" si="0"/>
        <v>60.228</v>
      </c>
      <c r="H23" s="15">
        <v>14.4</v>
      </c>
      <c r="I23" s="20">
        <v>74.628</v>
      </c>
    </row>
    <row r="24" s="1" customFormat="1" customHeight="1" spans="1:9">
      <c r="A24" s="8">
        <v>21</v>
      </c>
      <c r="B24" s="9" t="str">
        <f t="shared" si="5"/>
        <v>2023011</v>
      </c>
      <c r="C24" s="9" t="s">
        <v>19</v>
      </c>
      <c r="D24" s="9" t="s">
        <v>18</v>
      </c>
      <c r="E24" s="9" t="str">
        <f>"靳培艳"</f>
        <v>靳培艳</v>
      </c>
      <c r="F24" s="14">
        <v>84.64</v>
      </c>
      <c r="G24" s="14">
        <f t="shared" si="0"/>
        <v>59.248</v>
      </c>
      <c r="H24" s="15">
        <v>14.1</v>
      </c>
      <c r="I24" s="20">
        <v>73.348</v>
      </c>
    </row>
    <row r="25" s="1" customFormat="1" customHeight="1" spans="1:9">
      <c r="A25" s="8">
        <v>22</v>
      </c>
      <c r="B25" s="9" t="str">
        <f t="shared" si="5"/>
        <v>2023011</v>
      </c>
      <c r="C25" s="9" t="s">
        <v>19</v>
      </c>
      <c r="D25" s="9" t="s">
        <v>18</v>
      </c>
      <c r="E25" s="9" t="str">
        <f>"李娟"</f>
        <v>李娟</v>
      </c>
      <c r="F25" s="14">
        <v>85.3</v>
      </c>
      <c r="G25" s="14">
        <f t="shared" si="0"/>
        <v>59.71</v>
      </c>
      <c r="H25" s="18">
        <v>13.5</v>
      </c>
      <c r="I25" s="20">
        <v>73.21</v>
      </c>
    </row>
    <row r="26" s="1" customFormat="1" customHeight="1" spans="1:9">
      <c r="A26" s="8">
        <v>23</v>
      </c>
      <c r="B26" s="9" t="str">
        <f t="shared" si="5"/>
        <v>2023011</v>
      </c>
      <c r="C26" s="9" t="s">
        <v>19</v>
      </c>
      <c r="D26" s="9" t="s">
        <v>18</v>
      </c>
      <c r="E26" s="9" t="str">
        <f>"王梦雯"</f>
        <v>王梦雯</v>
      </c>
      <c r="F26" s="14">
        <v>82.22</v>
      </c>
      <c r="G26" s="14">
        <f t="shared" si="0"/>
        <v>57.554</v>
      </c>
      <c r="H26" s="15">
        <v>13.35</v>
      </c>
      <c r="I26" s="20">
        <v>70.904</v>
      </c>
    </row>
    <row r="27" s="1" customFormat="1" customHeight="1" spans="1:9">
      <c r="A27" s="8">
        <v>24</v>
      </c>
      <c r="B27" s="9" t="str">
        <f t="shared" ref="B27:B29" si="6">"2023012"</f>
        <v>2023012</v>
      </c>
      <c r="C27" s="9" t="s">
        <v>19</v>
      </c>
      <c r="D27" s="9" t="s">
        <v>16</v>
      </c>
      <c r="E27" s="9" t="str">
        <f>"朱迅"</f>
        <v>朱迅</v>
      </c>
      <c r="F27" s="14">
        <v>85.9</v>
      </c>
      <c r="G27" s="14">
        <f t="shared" si="0"/>
        <v>60.13</v>
      </c>
      <c r="H27" s="15">
        <v>13.8</v>
      </c>
      <c r="I27" s="20">
        <v>73.93</v>
      </c>
    </row>
    <row r="28" s="1" customFormat="1" customHeight="1" spans="1:9">
      <c r="A28" s="8">
        <v>25</v>
      </c>
      <c r="B28" s="9" t="str">
        <f t="shared" si="6"/>
        <v>2023012</v>
      </c>
      <c r="C28" s="9" t="s">
        <v>19</v>
      </c>
      <c r="D28" s="9" t="s">
        <v>16</v>
      </c>
      <c r="E28" s="9" t="str">
        <f>"夏影"</f>
        <v>夏影</v>
      </c>
      <c r="F28" s="14">
        <v>82.2</v>
      </c>
      <c r="G28" s="14">
        <f t="shared" si="0"/>
        <v>57.54</v>
      </c>
      <c r="H28" s="15">
        <v>14.7</v>
      </c>
      <c r="I28" s="20">
        <v>72.24</v>
      </c>
    </row>
    <row r="29" s="1" customFormat="1" customHeight="1" spans="1:9">
      <c r="A29" s="8">
        <v>26</v>
      </c>
      <c r="B29" s="9" t="str">
        <f t="shared" si="6"/>
        <v>2023012</v>
      </c>
      <c r="C29" s="9" t="s">
        <v>19</v>
      </c>
      <c r="D29" s="9" t="s">
        <v>16</v>
      </c>
      <c r="E29" s="9" t="str">
        <f>"张翠玲"</f>
        <v>张翠玲</v>
      </c>
      <c r="F29" s="14">
        <v>82.62</v>
      </c>
      <c r="G29" s="14">
        <f t="shared" si="0"/>
        <v>57.834</v>
      </c>
      <c r="H29" s="15">
        <v>10.8</v>
      </c>
      <c r="I29" s="20">
        <v>68.634</v>
      </c>
    </row>
    <row r="30" s="1" customFormat="1" customHeight="1" spans="1:9">
      <c r="A30" s="8">
        <v>27</v>
      </c>
      <c r="B30" s="9" t="str">
        <f>"2023013"</f>
        <v>2023013</v>
      </c>
      <c r="C30" s="9" t="s">
        <v>20</v>
      </c>
      <c r="D30" s="9" t="s">
        <v>21</v>
      </c>
      <c r="E30" s="9" t="str">
        <f>"刘渊"</f>
        <v>刘渊</v>
      </c>
      <c r="F30" s="14">
        <v>83.74</v>
      </c>
      <c r="G30" s="14">
        <f t="shared" si="0"/>
        <v>58.618</v>
      </c>
      <c r="H30" s="15">
        <v>8.25</v>
      </c>
      <c r="I30" s="20">
        <v>66.868</v>
      </c>
    </row>
    <row r="31" s="1" customFormat="1" customHeight="1" spans="1:9">
      <c r="A31" s="8">
        <v>28</v>
      </c>
      <c r="B31" s="9" t="str">
        <f>"2023015"</f>
        <v>2023015</v>
      </c>
      <c r="C31" s="9" t="s">
        <v>20</v>
      </c>
      <c r="D31" s="9" t="s">
        <v>22</v>
      </c>
      <c r="E31" s="9" t="str">
        <f>"李子莉"</f>
        <v>李子莉</v>
      </c>
      <c r="F31" s="14">
        <v>83.7</v>
      </c>
      <c r="G31" s="14">
        <f t="shared" si="0"/>
        <v>58.59</v>
      </c>
      <c r="H31" s="15">
        <v>15.3</v>
      </c>
      <c r="I31" s="20">
        <v>73.89</v>
      </c>
    </row>
    <row r="32" s="1" customFormat="1" customHeight="1" spans="1:9">
      <c r="A32" s="8">
        <v>29</v>
      </c>
      <c r="B32" s="9" t="str">
        <f>"2023015"</f>
        <v>2023015</v>
      </c>
      <c r="C32" s="9" t="s">
        <v>20</v>
      </c>
      <c r="D32" s="9" t="s">
        <v>22</v>
      </c>
      <c r="E32" s="9" t="str">
        <f>"周晴晴"</f>
        <v>周晴晴</v>
      </c>
      <c r="F32" s="14">
        <v>81.84</v>
      </c>
      <c r="G32" s="14">
        <f t="shared" si="0"/>
        <v>57.288</v>
      </c>
      <c r="H32" s="15">
        <v>14.85</v>
      </c>
      <c r="I32" s="20">
        <v>72.138</v>
      </c>
    </row>
    <row r="33" s="1" customFormat="1" customHeight="1" spans="1:9">
      <c r="A33" s="8">
        <v>30</v>
      </c>
      <c r="B33" s="9" t="str">
        <f>"2023017"</f>
        <v>2023017</v>
      </c>
      <c r="C33" s="9" t="s">
        <v>20</v>
      </c>
      <c r="D33" s="9" t="s">
        <v>23</v>
      </c>
      <c r="E33" s="9" t="str">
        <f>"陈淑红"</f>
        <v>陈淑红</v>
      </c>
      <c r="F33" s="14">
        <v>86.64</v>
      </c>
      <c r="G33" s="14">
        <f t="shared" si="0"/>
        <v>60.648</v>
      </c>
      <c r="H33" s="15">
        <v>18</v>
      </c>
      <c r="I33" s="20">
        <v>78.648</v>
      </c>
    </row>
    <row r="34" s="1" customFormat="1" customHeight="1" spans="1:9">
      <c r="A34" s="8">
        <v>31</v>
      </c>
      <c r="B34" s="9" t="str">
        <f>"2023017"</f>
        <v>2023017</v>
      </c>
      <c r="C34" s="9" t="s">
        <v>20</v>
      </c>
      <c r="D34" s="9" t="s">
        <v>23</v>
      </c>
      <c r="E34" s="9" t="str">
        <f>"王珊珊"</f>
        <v>王珊珊</v>
      </c>
      <c r="F34" s="14">
        <v>82.24</v>
      </c>
      <c r="G34" s="14">
        <f t="shared" si="0"/>
        <v>57.568</v>
      </c>
      <c r="H34" s="15">
        <v>11.55</v>
      </c>
      <c r="I34" s="20">
        <v>69.118</v>
      </c>
    </row>
    <row r="35" s="1" customFormat="1" customHeight="1" spans="1:9">
      <c r="A35" s="8">
        <v>32</v>
      </c>
      <c r="B35" s="9" t="str">
        <f>"2023018"</f>
        <v>2023018</v>
      </c>
      <c r="C35" s="9" t="s">
        <v>20</v>
      </c>
      <c r="D35" s="9" t="s">
        <v>24</v>
      </c>
      <c r="E35" s="9" t="str">
        <f>"黄艳艳"</f>
        <v>黄艳艳</v>
      </c>
      <c r="F35" s="14">
        <v>82.38</v>
      </c>
      <c r="G35" s="14">
        <f t="shared" si="0"/>
        <v>57.666</v>
      </c>
      <c r="H35" s="17">
        <v>13.8</v>
      </c>
      <c r="I35" s="20">
        <v>71.466</v>
      </c>
    </row>
    <row r="36" s="1" customFormat="1" customHeight="1" spans="1:9">
      <c r="A36" s="8">
        <v>33</v>
      </c>
      <c r="B36" s="9" t="str">
        <f>"2023019"</f>
        <v>2023019</v>
      </c>
      <c r="C36" s="9" t="s">
        <v>20</v>
      </c>
      <c r="D36" s="9" t="s">
        <v>25</v>
      </c>
      <c r="E36" s="9" t="str">
        <f>"张懿"</f>
        <v>张懿</v>
      </c>
      <c r="F36" s="14">
        <v>78.6</v>
      </c>
      <c r="G36" s="14">
        <f t="shared" si="0"/>
        <v>55.02</v>
      </c>
      <c r="H36" s="15">
        <v>14.7</v>
      </c>
      <c r="I36" s="20">
        <v>69.72</v>
      </c>
    </row>
    <row r="37" s="1" customFormat="1" customHeight="1" spans="1:9">
      <c r="A37" s="8">
        <v>34</v>
      </c>
      <c r="B37" s="9" t="str">
        <f>"2023019"</f>
        <v>2023019</v>
      </c>
      <c r="C37" s="9" t="s">
        <v>20</v>
      </c>
      <c r="D37" s="9" t="s">
        <v>25</v>
      </c>
      <c r="E37" s="9" t="str">
        <f>"吴楠"</f>
        <v>吴楠</v>
      </c>
      <c r="F37" s="14">
        <v>81.6</v>
      </c>
      <c r="G37" s="14">
        <f t="shared" si="0"/>
        <v>57.12</v>
      </c>
      <c r="H37" s="16">
        <v>2.85</v>
      </c>
      <c r="I37" s="20">
        <v>59.97</v>
      </c>
    </row>
    <row r="38" s="1" customFormat="1" customHeight="1" spans="1:9">
      <c r="A38" s="8">
        <v>35</v>
      </c>
      <c r="B38" s="9" t="str">
        <f>"2023020"</f>
        <v>2023020</v>
      </c>
      <c r="C38" s="9" t="s">
        <v>20</v>
      </c>
      <c r="D38" s="9" t="s">
        <v>26</v>
      </c>
      <c r="E38" s="9" t="str">
        <f>"马悦"</f>
        <v>马悦</v>
      </c>
      <c r="F38" s="14">
        <v>83</v>
      </c>
      <c r="G38" s="14">
        <f t="shared" si="0"/>
        <v>58.1</v>
      </c>
      <c r="H38" s="17">
        <v>7.5</v>
      </c>
      <c r="I38" s="20">
        <v>65.6</v>
      </c>
    </row>
    <row r="39" s="1" customFormat="1" customHeight="1" spans="1:9">
      <c r="A39" s="8">
        <v>36</v>
      </c>
      <c r="B39" s="9" t="str">
        <f>"2023020"</f>
        <v>2023020</v>
      </c>
      <c r="C39" s="9" t="s">
        <v>20</v>
      </c>
      <c r="D39" s="9" t="s">
        <v>26</v>
      </c>
      <c r="E39" s="9" t="str">
        <f>"王留奇"</f>
        <v>王留奇</v>
      </c>
      <c r="F39" s="14">
        <v>85.8</v>
      </c>
      <c r="G39" s="14">
        <f t="shared" si="0"/>
        <v>60.06</v>
      </c>
      <c r="H39" s="16">
        <v>2.25</v>
      </c>
      <c r="I39" s="20">
        <v>62.31</v>
      </c>
    </row>
    <row r="40" s="1" customFormat="1" customHeight="1" spans="1:9">
      <c r="A40" s="8">
        <v>37</v>
      </c>
      <c r="B40" s="9" t="str">
        <f>"2023021"</f>
        <v>2023021</v>
      </c>
      <c r="C40" s="9" t="s">
        <v>27</v>
      </c>
      <c r="D40" s="9" t="s">
        <v>21</v>
      </c>
      <c r="E40" s="9" t="str">
        <f>"栗志伟"</f>
        <v>栗志伟</v>
      </c>
      <c r="F40" s="14">
        <v>81.6</v>
      </c>
      <c r="G40" s="14">
        <f t="shared" si="0"/>
        <v>57.12</v>
      </c>
      <c r="H40" s="15">
        <v>13.8</v>
      </c>
      <c r="I40" s="20">
        <v>70.92</v>
      </c>
    </row>
    <row r="41" s="1" customFormat="1" customHeight="1" spans="1:9">
      <c r="A41" s="8">
        <v>38</v>
      </c>
      <c r="B41" s="9" t="str">
        <f>"2023022"</f>
        <v>2023022</v>
      </c>
      <c r="C41" s="9" t="s">
        <v>27</v>
      </c>
      <c r="D41" s="9" t="s">
        <v>28</v>
      </c>
      <c r="E41" s="9" t="str">
        <f>"秦芳"</f>
        <v>秦芳</v>
      </c>
      <c r="F41" s="14">
        <v>83.1</v>
      </c>
      <c r="G41" s="14">
        <f t="shared" si="0"/>
        <v>58.17</v>
      </c>
      <c r="H41" s="15">
        <v>17.1</v>
      </c>
      <c r="I41" s="20">
        <v>75.27</v>
      </c>
    </row>
    <row r="42" s="1" customFormat="1" customHeight="1" spans="1:9">
      <c r="A42" s="8">
        <v>39</v>
      </c>
      <c r="B42" s="9" t="str">
        <f>"2023022"</f>
        <v>2023022</v>
      </c>
      <c r="C42" s="9" t="s">
        <v>27</v>
      </c>
      <c r="D42" s="9" t="s">
        <v>28</v>
      </c>
      <c r="E42" s="9" t="str">
        <f>"李宾"</f>
        <v>李宾</v>
      </c>
      <c r="F42" s="14">
        <v>83.4</v>
      </c>
      <c r="G42" s="14">
        <f t="shared" si="0"/>
        <v>58.38</v>
      </c>
      <c r="H42" s="19">
        <v>15</v>
      </c>
      <c r="I42" s="20">
        <v>73.38</v>
      </c>
    </row>
    <row r="43" s="1" customFormat="1" customHeight="1" spans="1:9">
      <c r="A43" s="8">
        <v>40</v>
      </c>
      <c r="B43" s="9" t="str">
        <f>"2023023"</f>
        <v>2023023</v>
      </c>
      <c r="C43" s="9" t="s">
        <v>27</v>
      </c>
      <c r="D43" s="9" t="s">
        <v>22</v>
      </c>
      <c r="E43" s="9" t="str">
        <f>"李雯雯"</f>
        <v>李雯雯</v>
      </c>
      <c r="F43" s="14">
        <v>85.9</v>
      </c>
      <c r="G43" s="14">
        <f t="shared" si="0"/>
        <v>60.13</v>
      </c>
      <c r="H43" s="17">
        <v>15.9</v>
      </c>
      <c r="I43" s="20">
        <v>76.03</v>
      </c>
    </row>
    <row r="44" s="1" customFormat="1" customHeight="1" spans="1:9">
      <c r="A44" s="8">
        <v>41</v>
      </c>
      <c r="B44" s="9" t="str">
        <f t="shared" ref="B44:B46" si="7">"2023024"</f>
        <v>2023024</v>
      </c>
      <c r="C44" s="9" t="s">
        <v>27</v>
      </c>
      <c r="D44" s="9" t="s">
        <v>29</v>
      </c>
      <c r="E44" s="9" t="str">
        <f>"田嘉敏"</f>
        <v>田嘉敏</v>
      </c>
      <c r="F44" s="14">
        <v>85.1</v>
      </c>
      <c r="G44" s="14">
        <f t="shared" si="0"/>
        <v>59.57</v>
      </c>
      <c r="H44" s="16">
        <v>14.1</v>
      </c>
      <c r="I44" s="20">
        <v>73.67</v>
      </c>
    </row>
    <row r="45" s="1" customFormat="1" customHeight="1" spans="1:9">
      <c r="A45" s="8">
        <v>42</v>
      </c>
      <c r="B45" s="9" t="str">
        <f t="shared" si="7"/>
        <v>2023024</v>
      </c>
      <c r="C45" s="9" t="s">
        <v>27</v>
      </c>
      <c r="D45" s="9" t="s">
        <v>29</v>
      </c>
      <c r="E45" s="9" t="str">
        <f>"张诗凡"</f>
        <v>张诗凡</v>
      </c>
      <c r="F45" s="14">
        <v>83.7</v>
      </c>
      <c r="G45" s="14">
        <f t="shared" si="0"/>
        <v>58.59</v>
      </c>
      <c r="H45" s="15">
        <v>10.875</v>
      </c>
      <c r="I45" s="20">
        <v>69.465</v>
      </c>
    </row>
    <row r="46" s="1" customFormat="1" customHeight="1" spans="1:9">
      <c r="A46" s="8">
        <v>43</v>
      </c>
      <c r="B46" s="9" t="str">
        <f t="shared" si="7"/>
        <v>2023024</v>
      </c>
      <c r="C46" s="9" t="s">
        <v>27</v>
      </c>
      <c r="D46" s="9" t="s">
        <v>29</v>
      </c>
      <c r="E46" s="9" t="str">
        <f>"纪毓雯"</f>
        <v>纪毓雯</v>
      </c>
      <c r="F46" s="14">
        <v>84.64</v>
      </c>
      <c r="G46" s="14">
        <f t="shared" si="0"/>
        <v>59.248</v>
      </c>
      <c r="H46" s="15">
        <v>8.1</v>
      </c>
      <c r="I46" s="20">
        <v>67.348</v>
      </c>
    </row>
    <row r="47" s="1" customFormat="1" customHeight="1" spans="1:9">
      <c r="A47" s="8">
        <v>44</v>
      </c>
      <c r="B47" s="9" t="str">
        <f>"2023025"</f>
        <v>2023025</v>
      </c>
      <c r="C47" s="9" t="s">
        <v>27</v>
      </c>
      <c r="D47" s="9" t="s">
        <v>24</v>
      </c>
      <c r="E47" s="9" t="str">
        <f>"武子磊"</f>
        <v>武子磊</v>
      </c>
      <c r="F47" s="14">
        <v>81.8</v>
      </c>
      <c r="G47" s="14">
        <f t="shared" si="0"/>
        <v>57.26</v>
      </c>
      <c r="H47" s="15">
        <v>17.4</v>
      </c>
      <c r="I47" s="20">
        <v>74.66</v>
      </c>
    </row>
    <row r="48" s="1" customFormat="1" customHeight="1" spans="1:9">
      <c r="A48" s="8">
        <v>45</v>
      </c>
      <c r="B48" s="9" t="str">
        <f>"2023026"</f>
        <v>2023026</v>
      </c>
      <c r="C48" s="9" t="s">
        <v>27</v>
      </c>
      <c r="D48" s="9" t="s">
        <v>25</v>
      </c>
      <c r="E48" s="9" t="str">
        <f>"程诺"</f>
        <v>程诺</v>
      </c>
      <c r="F48" s="14">
        <v>85.9</v>
      </c>
      <c r="G48" s="14">
        <f t="shared" si="0"/>
        <v>60.13</v>
      </c>
      <c r="H48" s="15">
        <v>3</v>
      </c>
      <c r="I48" s="20">
        <v>63.13</v>
      </c>
    </row>
    <row r="49" s="1" customFormat="1" customHeight="1" spans="1:9">
      <c r="A49" s="8">
        <v>46</v>
      </c>
      <c r="B49" s="9" t="str">
        <f>"2023027"</f>
        <v>2023027</v>
      </c>
      <c r="C49" s="9" t="s">
        <v>27</v>
      </c>
      <c r="D49" s="9" t="s">
        <v>26</v>
      </c>
      <c r="E49" s="9" t="str">
        <f>"孙平"</f>
        <v>孙平</v>
      </c>
      <c r="F49" s="14">
        <v>83.4</v>
      </c>
      <c r="G49" s="14">
        <f t="shared" si="0"/>
        <v>58.38</v>
      </c>
      <c r="H49" s="15">
        <v>15.3</v>
      </c>
      <c r="I49" s="20">
        <v>73.68</v>
      </c>
    </row>
    <row r="50" s="1" customFormat="1" customHeight="1" spans="1:9">
      <c r="A50" s="8">
        <v>47</v>
      </c>
      <c r="B50" s="9" t="str">
        <f>"2023028"</f>
        <v>2023028</v>
      </c>
      <c r="C50" s="9" t="s">
        <v>30</v>
      </c>
      <c r="D50" s="9" t="s">
        <v>21</v>
      </c>
      <c r="E50" s="9" t="str">
        <f>"周飞"</f>
        <v>周飞</v>
      </c>
      <c r="F50" s="14">
        <v>76.44</v>
      </c>
      <c r="G50" s="14">
        <f t="shared" si="0"/>
        <v>53.508</v>
      </c>
      <c r="H50" s="17">
        <v>6.9</v>
      </c>
      <c r="I50" s="20">
        <v>60.408</v>
      </c>
    </row>
    <row r="51" s="1" customFormat="1" customHeight="1" spans="1:9">
      <c r="A51" s="8">
        <v>48</v>
      </c>
      <c r="B51" s="9" t="str">
        <f>"2023029"</f>
        <v>2023029</v>
      </c>
      <c r="C51" s="9" t="s">
        <v>30</v>
      </c>
      <c r="D51" s="9" t="s">
        <v>28</v>
      </c>
      <c r="E51" s="9" t="str">
        <f>"李亚伟"</f>
        <v>李亚伟</v>
      </c>
      <c r="F51" s="14">
        <v>80.26</v>
      </c>
      <c r="G51" s="14">
        <f t="shared" si="0"/>
        <v>56.182</v>
      </c>
      <c r="H51" s="17">
        <v>14.1</v>
      </c>
      <c r="I51" s="20">
        <v>70.282</v>
      </c>
    </row>
    <row r="52" s="1" customFormat="1" customHeight="1" spans="1:9">
      <c r="A52" s="8">
        <v>49</v>
      </c>
      <c r="B52" s="9" t="str">
        <f>"2023030"</f>
        <v>2023030</v>
      </c>
      <c r="C52" s="9" t="s">
        <v>30</v>
      </c>
      <c r="D52" s="9" t="s">
        <v>22</v>
      </c>
      <c r="E52" s="9" t="str">
        <f>"高风"</f>
        <v>高风</v>
      </c>
      <c r="F52" s="14">
        <v>82.92</v>
      </c>
      <c r="G52" s="14">
        <f t="shared" si="0"/>
        <v>58.044</v>
      </c>
      <c r="H52" s="18">
        <v>12</v>
      </c>
      <c r="I52" s="20">
        <v>70.044</v>
      </c>
    </row>
    <row r="53" s="1" customFormat="1" customHeight="1" spans="1:9">
      <c r="A53" s="8">
        <v>50</v>
      </c>
      <c r="B53" s="9" t="str">
        <f>"2023031"</f>
        <v>2023031</v>
      </c>
      <c r="C53" s="9" t="s">
        <v>30</v>
      </c>
      <c r="D53" s="9" t="s">
        <v>12</v>
      </c>
      <c r="E53" s="9" t="str">
        <f>"张海燕"</f>
        <v>张海燕</v>
      </c>
      <c r="F53" s="14">
        <v>81.24</v>
      </c>
      <c r="G53" s="14">
        <f t="shared" si="0"/>
        <v>56.868</v>
      </c>
      <c r="H53" s="15">
        <v>14.1</v>
      </c>
      <c r="I53" s="20">
        <v>70.968</v>
      </c>
    </row>
    <row r="54" s="1" customFormat="1" customHeight="1" spans="1:9">
      <c r="A54" s="8">
        <v>51</v>
      </c>
      <c r="B54" s="9" t="str">
        <f>"2023032"</f>
        <v>2023032</v>
      </c>
      <c r="C54" s="9" t="s">
        <v>30</v>
      </c>
      <c r="D54" s="9" t="s">
        <v>23</v>
      </c>
      <c r="E54" s="9" t="str">
        <f>"解小飞"</f>
        <v>解小飞</v>
      </c>
      <c r="F54" s="14">
        <v>79.28</v>
      </c>
      <c r="G54" s="14">
        <f t="shared" si="0"/>
        <v>55.496</v>
      </c>
      <c r="H54" s="15">
        <v>17.1</v>
      </c>
      <c r="I54" s="20">
        <v>72.596</v>
      </c>
    </row>
    <row r="55" s="1" customFormat="1" customHeight="1" spans="1:9">
      <c r="A55" s="8">
        <v>52</v>
      </c>
      <c r="B55" s="9" t="str">
        <f t="shared" ref="B55:B57" si="8">"2023033"</f>
        <v>2023033</v>
      </c>
      <c r="C55" s="9" t="s">
        <v>30</v>
      </c>
      <c r="D55" s="9" t="s">
        <v>29</v>
      </c>
      <c r="E55" s="9" t="str">
        <f>"王玉珏"</f>
        <v>王玉珏</v>
      </c>
      <c r="F55" s="14">
        <v>75.22</v>
      </c>
      <c r="G55" s="14">
        <f t="shared" si="0"/>
        <v>52.654</v>
      </c>
      <c r="H55" s="15">
        <v>17.1</v>
      </c>
      <c r="I55" s="20">
        <v>69.754</v>
      </c>
    </row>
    <row r="56" s="1" customFormat="1" customHeight="1" spans="1:9">
      <c r="A56" s="8">
        <v>53</v>
      </c>
      <c r="B56" s="9" t="str">
        <f t="shared" si="8"/>
        <v>2023033</v>
      </c>
      <c r="C56" s="9" t="s">
        <v>30</v>
      </c>
      <c r="D56" s="9" t="s">
        <v>29</v>
      </c>
      <c r="E56" s="9" t="str">
        <f>"孙翠芳"</f>
        <v>孙翠芳</v>
      </c>
      <c r="F56" s="14">
        <v>84.9</v>
      </c>
      <c r="G56" s="14">
        <f t="shared" si="0"/>
        <v>59.43</v>
      </c>
      <c r="H56" s="15">
        <v>9.6</v>
      </c>
      <c r="I56" s="20">
        <v>69.03</v>
      </c>
    </row>
    <row r="57" s="1" customFormat="1" customHeight="1" spans="1:9">
      <c r="A57" s="8">
        <v>54</v>
      </c>
      <c r="B57" s="9" t="str">
        <f t="shared" si="8"/>
        <v>2023033</v>
      </c>
      <c r="C57" s="9" t="s">
        <v>30</v>
      </c>
      <c r="D57" s="9" t="s">
        <v>29</v>
      </c>
      <c r="E57" s="9" t="str">
        <f>"王悦"</f>
        <v>王悦</v>
      </c>
      <c r="F57" s="14">
        <v>85.4</v>
      </c>
      <c r="G57" s="14">
        <f t="shared" si="0"/>
        <v>59.78</v>
      </c>
      <c r="H57" s="17">
        <v>8.1</v>
      </c>
      <c r="I57" s="20">
        <v>67.88</v>
      </c>
    </row>
    <row r="58" s="1" customFormat="1" customHeight="1" spans="1:9">
      <c r="A58" s="8">
        <v>55</v>
      </c>
      <c r="B58" s="9" t="str">
        <f>"2023034"</f>
        <v>2023034</v>
      </c>
      <c r="C58" s="9" t="s">
        <v>30</v>
      </c>
      <c r="D58" s="9" t="s">
        <v>24</v>
      </c>
      <c r="E58" s="9" t="str">
        <f>"徐永卿"</f>
        <v>徐永卿</v>
      </c>
      <c r="F58" s="14">
        <v>84.66</v>
      </c>
      <c r="G58" s="14">
        <f t="shared" si="0"/>
        <v>59.262</v>
      </c>
      <c r="H58" s="15">
        <v>13.5</v>
      </c>
      <c r="I58" s="20">
        <v>72.762</v>
      </c>
    </row>
    <row r="59" s="1" customFormat="1" customHeight="1" spans="1:9">
      <c r="A59" s="8">
        <v>56</v>
      </c>
      <c r="B59" s="9" t="str">
        <f>"2023035"</f>
        <v>2023035</v>
      </c>
      <c r="C59" s="9" t="s">
        <v>30</v>
      </c>
      <c r="D59" s="9" t="s">
        <v>25</v>
      </c>
      <c r="E59" s="9" t="str">
        <f>"盛亚梅"</f>
        <v>盛亚梅</v>
      </c>
      <c r="F59" s="14">
        <v>84.84</v>
      </c>
      <c r="G59" s="14">
        <f t="shared" si="0"/>
        <v>59.388</v>
      </c>
      <c r="H59" s="15">
        <v>7.5</v>
      </c>
      <c r="I59" s="20">
        <v>66.888</v>
      </c>
    </row>
    <row r="60" s="1" customFormat="1" customHeight="1" spans="1:9">
      <c r="A60" s="8">
        <v>57</v>
      </c>
      <c r="B60" s="9" t="str">
        <f>"2023036"</f>
        <v>2023036</v>
      </c>
      <c r="C60" s="9" t="s">
        <v>30</v>
      </c>
      <c r="D60" s="9" t="s">
        <v>26</v>
      </c>
      <c r="E60" s="9" t="str">
        <f>"陆磊"</f>
        <v>陆磊</v>
      </c>
      <c r="F60" s="14">
        <v>83.1</v>
      </c>
      <c r="G60" s="14">
        <f t="shared" si="0"/>
        <v>58.17</v>
      </c>
      <c r="H60" s="15">
        <v>7.8</v>
      </c>
      <c r="I60" s="20">
        <v>65.97</v>
      </c>
    </row>
    <row r="61" s="1" customFormat="1" customHeight="1" spans="1:9">
      <c r="A61" s="8">
        <v>58</v>
      </c>
      <c r="B61" s="9" t="str">
        <f>"2023037"</f>
        <v>2023037</v>
      </c>
      <c r="C61" s="9" t="s">
        <v>31</v>
      </c>
      <c r="D61" s="9" t="s">
        <v>21</v>
      </c>
      <c r="E61" s="9" t="str">
        <f>"过雅芹"</f>
        <v>过雅芹</v>
      </c>
      <c r="F61" s="14">
        <v>84.36</v>
      </c>
      <c r="G61" s="14">
        <f t="shared" si="0"/>
        <v>59.052</v>
      </c>
      <c r="H61" s="17">
        <v>13.8</v>
      </c>
      <c r="I61" s="20">
        <v>72.852</v>
      </c>
    </row>
    <row r="62" s="1" customFormat="1" customHeight="1" spans="1:9">
      <c r="A62" s="8">
        <v>59</v>
      </c>
      <c r="B62" s="9" t="str">
        <f>"2023038"</f>
        <v>2023038</v>
      </c>
      <c r="C62" s="9" t="s">
        <v>31</v>
      </c>
      <c r="D62" s="9" t="s">
        <v>28</v>
      </c>
      <c r="E62" s="9" t="str">
        <f>"耿利红"</f>
        <v>耿利红</v>
      </c>
      <c r="F62" s="14">
        <v>87.04</v>
      </c>
      <c r="G62" s="14">
        <f t="shared" si="0"/>
        <v>60.928</v>
      </c>
      <c r="H62" s="18">
        <v>9</v>
      </c>
      <c r="I62" s="20">
        <v>69.928</v>
      </c>
    </row>
    <row r="63" s="1" customFormat="1" customHeight="1" spans="1:9">
      <c r="A63" s="8">
        <v>60</v>
      </c>
      <c r="B63" s="9" t="str">
        <f>"2023039"</f>
        <v>2023039</v>
      </c>
      <c r="C63" s="9" t="s">
        <v>31</v>
      </c>
      <c r="D63" s="9" t="s">
        <v>22</v>
      </c>
      <c r="E63" s="9" t="str">
        <f>"李文静"</f>
        <v>李文静</v>
      </c>
      <c r="F63" s="14">
        <v>85.16</v>
      </c>
      <c r="G63" s="14">
        <f t="shared" si="0"/>
        <v>59.612</v>
      </c>
      <c r="H63" s="18">
        <v>9.3</v>
      </c>
      <c r="I63" s="20">
        <v>68.912</v>
      </c>
    </row>
    <row r="64" s="1" customFormat="1" customHeight="1" spans="1:9">
      <c r="A64" s="8">
        <v>61</v>
      </c>
      <c r="B64" s="9" t="str">
        <f>"2023041"</f>
        <v>2023041</v>
      </c>
      <c r="C64" s="9" t="s">
        <v>31</v>
      </c>
      <c r="D64" s="9" t="s">
        <v>29</v>
      </c>
      <c r="E64" s="9" t="str">
        <f>"张慧慧"</f>
        <v>张慧慧</v>
      </c>
      <c r="F64" s="14">
        <v>83.6</v>
      </c>
      <c r="G64" s="14">
        <f t="shared" si="0"/>
        <v>58.52</v>
      </c>
      <c r="H64" s="15">
        <v>1.5</v>
      </c>
      <c r="I64" s="20">
        <v>60.02</v>
      </c>
    </row>
    <row r="65" s="1" customFormat="1" customHeight="1" spans="1:9">
      <c r="A65" s="8">
        <v>62</v>
      </c>
      <c r="B65" s="9" t="str">
        <f>"2023042"</f>
        <v>2023042</v>
      </c>
      <c r="C65" s="9" t="s">
        <v>31</v>
      </c>
      <c r="D65" s="9" t="s">
        <v>24</v>
      </c>
      <c r="E65" s="9" t="str">
        <f>"刘成真"</f>
        <v>刘成真</v>
      </c>
      <c r="F65" s="14">
        <v>84.86</v>
      </c>
      <c r="G65" s="14">
        <f t="shared" si="0"/>
        <v>59.402</v>
      </c>
      <c r="H65" s="18">
        <v>13.05</v>
      </c>
      <c r="I65" s="20">
        <v>72.452</v>
      </c>
    </row>
    <row r="66" s="1" customFormat="1" customHeight="1" spans="1:9">
      <c r="A66" s="8">
        <v>63</v>
      </c>
      <c r="B66" s="9" t="str">
        <f>"2023043"</f>
        <v>2023043</v>
      </c>
      <c r="C66" s="9" t="s">
        <v>31</v>
      </c>
      <c r="D66" s="9" t="s">
        <v>26</v>
      </c>
      <c r="E66" s="9" t="str">
        <f>"侯真巧"</f>
        <v>侯真巧</v>
      </c>
      <c r="F66" s="14">
        <v>81.54</v>
      </c>
      <c r="G66" s="14">
        <f t="shared" si="0"/>
        <v>57.078</v>
      </c>
      <c r="H66" s="17">
        <v>11.1</v>
      </c>
      <c r="I66" s="20">
        <v>68.178</v>
      </c>
    </row>
    <row r="67" s="1" customFormat="1" customHeight="1" spans="1:9">
      <c r="A67" s="8">
        <v>64</v>
      </c>
      <c r="B67" s="9" t="str">
        <f>"2023044"</f>
        <v>2023044</v>
      </c>
      <c r="C67" s="9" t="s">
        <v>32</v>
      </c>
      <c r="D67" s="9" t="s">
        <v>21</v>
      </c>
      <c r="E67" s="9" t="str">
        <f>"孙其山"</f>
        <v>孙其山</v>
      </c>
      <c r="F67" s="14">
        <v>81.36</v>
      </c>
      <c r="G67" s="14">
        <f t="shared" si="0"/>
        <v>56.952</v>
      </c>
      <c r="H67" s="15">
        <v>14.4</v>
      </c>
      <c r="I67" s="20">
        <v>71.352</v>
      </c>
    </row>
    <row r="68" s="1" customFormat="1" customHeight="1" spans="1:9">
      <c r="A68" s="8">
        <v>65</v>
      </c>
      <c r="B68" s="9" t="str">
        <f>"2023045"</f>
        <v>2023045</v>
      </c>
      <c r="C68" s="9" t="s">
        <v>32</v>
      </c>
      <c r="D68" s="9" t="s">
        <v>28</v>
      </c>
      <c r="E68" s="9" t="str">
        <f>"魏然"</f>
        <v>魏然</v>
      </c>
      <c r="F68" s="14">
        <v>81</v>
      </c>
      <c r="G68" s="14">
        <f t="shared" si="0"/>
        <v>56.7</v>
      </c>
      <c r="H68" s="18">
        <v>12.6</v>
      </c>
      <c r="I68" s="20">
        <v>69.3</v>
      </c>
    </row>
    <row r="69" s="1" customFormat="1" customHeight="1" spans="1:9">
      <c r="A69" s="8">
        <v>66</v>
      </c>
      <c r="B69" s="9" t="str">
        <f>"2023046"</f>
        <v>2023046</v>
      </c>
      <c r="C69" s="9" t="s">
        <v>32</v>
      </c>
      <c r="D69" s="9" t="s">
        <v>22</v>
      </c>
      <c r="E69" s="9" t="str">
        <f>"李传楷"</f>
        <v>李传楷</v>
      </c>
      <c r="F69" s="14">
        <v>78.74</v>
      </c>
      <c r="G69" s="14">
        <f t="shared" ref="G69:G132" si="9">F69*0.7</f>
        <v>55.118</v>
      </c>
      <c r="H69" s="17">
        <v>13.5</v>
      </c>
      <c r="I69" s="20">
        <v>68.618</v>
      </c>
    </row>
    <row r="70" s="1" customFormat="1" customHeight="1" spans="1:9">
      <c r="A70" s="8">
        <v>67</v>
      </c>
      <c r="B70" s="9" t="str">
        <f>"2023047"</f>
        <v>2023047</v>
      </c>
      <c r="C70" s="9" t="s">
        <v>32</v>
      </c>
      <c r="D70" s="9" t="s">
        <v>12</v>
      </c>
      <c r="E70" s="9" t="str">
        <f>"龙梦露"</f>
        <v>龙梦露</v>
      </c>
      <c r="F70" s="14">
        <v>83.96</v>
      </c>
      <c r="G70" s="14">
        <f t="shared" si="9"/>
        <v>58.772</v>
      </c>
      <c r="H70" s="15">
        <v>12</v>
      </c>
      <c r="I70" s="20">
        <v>70.772</v>
      </c>
    </row>
    <row r="71" s="1" customFormat="1" customHeight="1" spans="1:9">
      <c r="A71" s="8">
        <v>68</v>
      </c>
      <c r="B71" s="9" t="str">
        <f>"2023050"</f>
        <v>2023050</v>
      </c>
      <c r="C71" s="9" t="s">
        <v>32</v>
      </c>
      <c r="D71" s="9" t="s">
        <v>24</v>
      </c>
      <c r="E71" s="9" t="str">
        <f>"祝雅倩"</f>
        <v>祝雅倩</v>
      </c>
      <c r="F71" s="14">
        <v>85</v>
      </c>
      <c r="G71" s="14">
        <f t="shared" si="9"/>
        <v>59.5</v>
      </c>
      <c r="H71" s="15">
        <v>4.5</v>
      </c>
      <c r="I71" s="20">
        <v>64</v>
      </c>
    </row>
    <row r="72" s="1" customFormat="1" customHeight="1" spans="1:9">
      <c r="A72" s="8">
        <v>69</v>
      </c>
      <c r="B72" s="9" t="str">
        <f>"2023052"</f>
        <v>2023052</v>
      </c>
      <c r="C72" s="9" t="s">
        <v>32</v>
      </c>
      <c r="D72" s="9" t="s">
        <v>26</v>
      </c>
      <c r="E72" s="9" t="str">
        <f>"叶静文"</f>
        <v>叶静文</v>
      </c>
      <c r="F72" s="14">
        <v>82.22</v>
      </c>
      <c r="G72" s="14">
        <f t="shared" si="9"/>
        <v>57.554</v>
      </c>
      <c r="H72" s="15">
        <v>13.8</v>
      </c>
      <c r="I72" s="20">
        <v>71.354</v>
      </c>
    </row>
    <row r="73" s="1" customFormat="1" customHeight="1" spans="1:9">
      <c r="A73" s="8">
        <v>70</v>
      </c>
      <c r="B73" s="9" t="str">
        <f>"2023053"</f>
        <v>2023053</v>
      </c>
      <c r="C73" s="9" t="s">
        <v>33</v>
      </c>
      <c r="D73" s="9" t="s">
        <v>21</v>
      </c>
      <c r="E73" s="9" t="str">
        <f>"高超"</f>
        <v>高超</v>
      </c>
      <c r="F73" s="14">
        <v>82.56</v>
      </c>
      <c r="G73" s="14">
        <f t="shared" si="9"/>
        <v>57.792</v>
      </c>
      <c r="H73" s="15">
        <v>12</v>
      </c>
      <c r="I73" s="20">
        <v>69.792</v>
      </c>
    </row>
    <row r="74" s="1" customFormat="1" customHeight="1" spans="1:9">
      <c r="A74" s="8">
        <v>71</v>
      </c>
      <c r="B74" s="9" t="str">
        <f>"2023056"</f>
        <v>2023056</v>
      </c>
      <c r="C74" s="9" t="s">
        <v>33</v>
      </c>
      <c r="D74" s="9" t="s">
        <v>12</v>
      </c>
      <c r="E74" s="9" t="str">
        <f>"王玲"</f>
        <v>王玲</v>
      </c>
      <c r="F74" s="14">
        <v>86.7</v>
      </c>
      <c r="G74" s="14">
        <f t="shared" si="9"/>
        <v>60.69</v>
      </c>
      <c r="H74" s="17">
        <v>11.25</v>
      </c>
      <c r="I74" s="20">
        <v>71.94</v>
      </c>
    </row>
    <row r="75" s="1" customFormat="1" customHeight="1" spans="1:9">
      <c r="A75" s="8">
        <v>72</v>
      </c>
      <c r="B75" s="9" t="str">
        <f>"2023060"</f>
        <v>2023060</v>
      </c>
      <c r="C75" s="9" t="s">
        <v>33</v>
      </c>
      <c r="D75" s="9" t="s">
        <v>26</v>
      </c>
      <c r="E75" s="9" t="str">
        <f>"王平平"</f>
        <v>王平平</v>
      </c>
      <c r="F75" s="14">
        <v>83.9</v>
      </c>
      <c r="G75" s="14">
        <f t="shared" si="9"/>
        <v>58.73</v>
      </c>
      <c r="H75" s="15">
        <v>9</v>
      </c>
      <c r="I75" s="20">
        <v>67.73</v>
      </c>
    </row>
    <row r="76" s="1" customFormat="1" customHeight="1" spans="1:9">
      <c r="A76" s="8">
        <v>73</v>
      </c>
      <c r="B76" s="9" t="str">
        <f>"2023061"</f>
        <v>2023061</v>
      </c>
      <c r="C76" s="9" t="s">
        <v>34</v>
      </c>
      <c r="D76" s="9" t="s">
        <v>21</v>
      </c>
      <c r="E76" s="9" t="str">
        <f>"刘晓红"</f>
        <v>刘晓红</v>
      </c>
      <c r="F76" s="14">
        <v>80.06</v>
      </c>
      <c r="G76" s="14">
        <f t="shared" si="9"/>
        <v>56.042</v>
      </c>
      <c r="H76" s="18">
        <v>17.4</v>
      </c>
      <c r="I76" s="20">
        <v>73.442</v>
      </c>
    </row>
    <row r="77" s="1" customFormat="1" customHeight="1" spans="1:9">
      <c r="A77" s="8">
        <v>74</v>
      </c>
      <c r="B77" s="9" t="str">
        <f>"2023061"</f>
        <v>2023061</v>
      </c>
      <c r="C77" s="9" t="s">
        <v>34</v>
      </c>
      <c r="D77" s="9" t="s">
        <v>21</v>
      </c>
      <c r="E77" s="9" t="str">
        <f>"周俊彪"</f>
        <v>周俊彪</v>
      </c>
      <c r="F77" s="14">
        <v>81.18</v>
      </c>
      <c r="G77" s="14">
        <f t="shared" si="9"/>
        <v>56.826</v>
      </c>
      <c r="H77" s="17">
        <v>12</v>
      </c>
      <c r="I77" s="20">
        <v>68.826</v>
      </c>
    </row>
    <row r="78" s="1" customFormat="1" customHeight="1" spans="1:9">
      <c r="A78" s="8">
        <v>75</v>
      </c>
      <c r="B78" s="9" t="str">
        <f>"2023063"</f>
        <v>2023063</v>
      </c>
      <c r="C78" s="9" t="s">
        <v>34</v>
      </c>
      <c r="D78" s="9" t="s">
        <v>22</v>
      </c>
      <c r="E78" s="9" t="str">
        <f>"孙怡"</f>
        <v>孙怡</v>
      </c>
      <c r="F78" s="14">
        <v>81.86</v>
      </c>
      <c r="G78" s="14">
        <f t="shared" si="9"/>
        <v>57.302</v>
      </c>
      <c r="H78" s="17">
        <v>10.5</v>
      </c>
      <c r="I78" s="20">
        <v>67.802</v>
      </c>
    </row>
    <row r="79" s="1" customFormat="1" customHeight="1" spans="1:9">
      <c r="A79" s="8">
        <v>76</v>
      </c>
      <c r="B79" s="9" t="str">
        <f>"2023064"</f>
        <v>2023064</v>
      </c>
      <c r="C79" s="9" t="s">
        <v>34</v>
      </c>
      <c r="D79" s="9" t="s">
        <v>12</v>
      </c>
      <c r="E79" s="9" t="str">
        <f>"陈洁"</f>
        <v>陈洁</v>
      </c>
      <c r="F79" s="14">
        <v>82.52</v>
      </c>
      <c r="G79" s="14">
        <f t="shared" si="9"/>
        <v>57.764</v>
      </c>
      <c r="H79" s="15">
        <v>13.8</v>
      </c>
      <c r="I79" s="20">
        <v>71.564</v>
      </c>
    </row>
    <row r="80" s="1" customFormat="1" customHeight="1" spans="1:9">
      <c r="A80" s="8">
        <v>77</v>
      </c>
      <c r="B80" s="9" t="str">
        <f>"2023064"</f>
        <v>2023064</v>
      </c>
      <c r="C80" s="9" t="s">
        <v>34</v>
      </c>
      <c r="D80" s="9" t="s">
        <v>12</v>
      </c>
      <c r="E80" s="9" t="str">
        <f>"姜丹丹"</f>
        <v>姜丹丹</v>
      </c>
      <c r="F80" s="14">
        <v>83.08</v>
      </c>
      <c r="G80" s="14">
        <f t="shared" si="9"/>
        <v>58.156</v>
      </c>
      <c r="H80" s="15">
        <v>12.75</v>
      </c>
      <c r="I80" s="20">
        <v>70.906</v>
      </c>
    </row>
    <row r="81" s="1" customFormat="1" customHeight="1" spans="1:9">
      <c r="A81" s="8">
        <v>78</v>
      </c>
      <c r="B81" s="21" t="str">
        <f>"2023065"</f>
        <v>2023065</v>
      </c>
      <c r="C81" s="21" t="s">
        <v>34</v>
      </c>
      <c r="D81" s="21" t="s">
        <v>23</v>
      </c>
      <c r="E81" s="21" t="str">
        <f>"李国"</f>
        <v>李国</v>
      </c>
      <c r="F81" s="14">
        <v>85.12</v>
      </c>
      <c r="G81" s="14">
        <f t="shared" si="9"/>
        <v>59.584</v>
      </c>
      <c r="H81" s="17">
        <v>14.1</v>
      </c>
      <c r="I81" s="20">
        <v>73.684</v>
      </c>
    </row>
    <row r="82" s="1" customFormat="1" customHeight="1" spans="1:9">
      <c r="A82" s="8">
        <v>79</v>
      </c>
      <c r="B82" s="9" t="str">
        <f>"2023065"</f>
        <v>2023065</v>
      </c>
      <c r="C82" s="9" t="s">
        <v>34</v>
      </c>
      <c r="D82" s="9" t="s">
        <v>23</v>
      </c>
      <c r="E82" s="9" t="str">
        <f>"凡勇"</f>
        <v>凡勇</v>
      </c>
      <c r="F82" s="14">
        <v>83.48</v>
      </c>
      <c r="G82" s="14">
        <f t="shared" si="9"/>
        <v>58.436</v>
      </c>
      <c r="H82" s="15">
        <v>13.35</v>
      </c>
      <c r="I82" s="20">
        <v>71.786</v>
      </c>
    </row>
    <row r="83" s="1" customFormat="1" customHeight="1" spans="1:9">
      <c r="A83" s="8">
        <v>80</v>
      </c>
      <c r="B83" s="9" t="str">
        <f>"2023066"</f>
        <v>2023066</v>
      </c>
      <c r="C83" s="9" t="s">
        <v>34</v>
      </c>
      <c r="D83" s="9" t="s">
        <v>24</v>
      </c>
      <c r="E83" s="9" t="str">
        <f>"李小改"</f>
        <v>李小改</v>
      </c>
      <c r="F83" s="14">
        <v>82.08</v>
      </c>
      <c r="G83" s="14">
        <f t="shared" si="9"/>
        <v>57.456</v>
      </c>
      <c r="H83" s="15">
        <v>12</v>
      </c>
      <c r="I83" s="20">
        <v>69.456</v>
      </c>
    </row>
    <row r="84" s="1" customFormat="1" customHeight="1" spans="1:9">
      <c r="A84" s="8">
        <v>81</v>
      </c>
      <c r="B84" s="9" t="str">
        <f>"2023067"</f>
        <v>2023067</v>
      </c>
      <c r="C84" s="9" t="s">
        <v>34</v>
      </c>
      <c r="D84" s="9" t="s">
        <v>25</v>
      </c>
      <c r="E84" s="9" t="str">
        <f>"闫化亮"</f>
        <v>闫化亮</v>
      </c>
      <c r="F84" s="14">
        <v>80.68</v>
      </c>
      <c r="G84" s="14">
        <f t="shared" si="9"/>
        <v>56.476</v>
      </c>
      <c r="H84" s="19">
        <v>13.5</v>
      </c>
      <c r="I84" s="20">
        <v>69.976</v>
      </c>
    </row>
    <row r="85" s="1" customFormat="1" customHeight="1" spans="1:9">
      <c r="A85" s="8">
        <v>82</v>
      </c>
      <c r="B85" s="9" t="str">
        <f>"2023068"</f>
        <v>2023068</v>
      </c>
      <c r="C85" s="9" t="s">
        <v>34</v>
      </c>
      <c r="D85" s="9" t="s">
        <v>26</v>
      </c>
      <c r="E85" s="9" t="str">
        <f>"林雪朋"</f>
        <v>林雪朋</v>
      </c>
      <c r="F85" s="14">
        <v>82.8</v>
      </c>
      <c r="G85" s="14">
        <f t="shared" si="9"/>
        <v>57.96</v>
      </c>
      <c r="H85" s="16">
        <v>7.5</v>
      </c>
      <c r="I85" s="20">
        <v>65.46</v>
      </c>
    </row>
    <row r="86" s="1" customFormat="1" customHeight="1" spans="1:9">
      <c r="A86" s="8">
        <v>83</v>
      </c>
      <c r="B86" s="9" t="str">
        <f>"2023069"</f>
        <v>2023069</v>
      </c>
      <c r="C86" s="9" t="s">
        <v>35</v>
      </c>
      <c r="D86" s="9" t="s">
        <v>29</v>
      </c>
      <c r="E86" s="9" t="str">
        <f>"郭强"</f>
        <v>郭强</v>
      </c>
      <c r="F86" s="14">
        <v>83.4</v>
      </c>
      <c r="G86" s="14">
        <f t="shared" si="9"/>
        <v>58.38</v>
      </c>
      <c r="H86" s="18">
        <v>10.2</v>
      </c>
      <c r="I86" s="20">
        <v>68.58</v>
      </c>
    </row>
    <row r="87" s="1" customFormat="1" customHeight="1" spans="1:9">
      <c r="A87" s="8">
        <v>84</v>
      </c>
      <c r="B87" s="9" t="str">
        <f>"2023070"</f>
        <v>2023070</v>
      </c>
      <c r="C87" s="9" t="s">
        <v>35</v>
      </c>
      <c r="D87" s="9" t="s">
        <v>25</v>
      </c>
      <c r="E87" s="9" t="str">
        <f>"李林"</f>
        <v>李林</v>
      </c>
      <c r="F87" s="14">
        <v>86.12</v>
      </c>
      <c r="G87" s="14">
        <f t="shared" si="9"/>
        <v>60.284</v>
      </c>
      <c r="H87" s="15">
        <v>18</v>
      </c>
      <c r="I87" s="20">
        <v>78.284</v>
      </c>
    </row>
    <row r="88" s="1" customFormat="1" customHeight="1" spans="1:9">
      <c r="A88" s="8">
        <v>85</v>
      </c>
      <c r="B88" s="9" t="str">
        <f>"2023071"</f>
        <v>2023071</v>
      </c>
      <c r="C88" s="9" t="s">
        <v>35</v>
      </c>
      <c r="D88" s="9" t="s">
        <v>23</v>
      </c>
      <c r="E88" s="9" t="str">
        <f>"夏振峰"</f>
        <v>夏振峰</v>
      </c>
      <c r="F88" s="14">
        <v>81.2</v>
      </c>
      <c r="G88" s="14">
        <f t="shared" si="9"/>
        <v>56.84</v>
      </c>
      <c r="H88" s="15">
        <v>12.6</v>
      </c>
      <c r="I88" s="20">
        <v>69.44</v>
      </c>
    </row>
    <row r="89" s="1" customFormat="1" customHeight="1" spans="1:9">
      <c r="A89" s="8">
        <v>86</v>
      </c>
      <c r="B89" s="9" t="str">
        <f>"2023072"</f>
        <v>2023072</v>
      </c>
      <c r="C89" s="9" t="s">
        <v>36</v>
      </c>
      <c r="D89" s="9" t="s">
        <v>22</v>
      </c>
      <c r="E89" s="9" t="str">
        <f>"程锐"</f>
        <v>程锐</v>
      </c>
      <c r="F89" s="14">
        <v>82.62</v>
      </c>
      <c r="G89" s="14">
        <f t="shared" si="9"/>
        <v>57.834</v>
      </c>
      <c r="H89" s="15">
        <v>2.1</v>
      </c>
      <c r="I89" s="20">
        <v>59.934</v>
      </c>
    </row>
    <row r="90" s="1" customFormat="1" customHeight="1" spans="1:9">
      <c r="A90" s="8">
        <v>87</v>
      </c>
      <c r="B90" s="9" t="str">
        <f>"2023075"</f>
        <v>2023075</v>
      </c>
      <c r="C90" s="9" t="s">
        <v>36</v>
      </c>
      <c r="D90" s="9" t="s">
        <v>24</v>
      </c>
      <c r="E90" s="9" t="str">
        <f>"陈露娜"</f>
        <v>陈露娜</v>
      </c>
      <c r="F90" s="14">
        <v>84.12</v>
      </c>
      <c r="G90" s="14">
        <f t="shared" si="9"/>
        <v>58.884</v>
      </c>
      <c r="H90" s="15">
        <v>13.5</v>
      </c>
      <c r="I90" s="20">
        <v>72.384</v>
      </c>
    </row>
    <row r="91" s="1" customFormat="1" customHeight="1" spans="1:9">
      <c r="A91" s="8">
        <v>88</v>
      </c>
      <c r="B91" s="9" t="str">
        <f>"2023076"</f>
        <v>2023076</v>
      </c>
      <c r="C91" s="9" t="s">
        <v>36</v>
      </c>
      <c r="D91" s="9" t="s">
        <v>25</v>
      </c>
      <c r="E91" s="9" t="str">
        <f>"代艳艳"</f>
        <v>代艳艳</v>
      </c>
      <c r="F91" s="14">
        <v>86.36</v>
      </c>
      <c r="G91" s="14">
        <f t="shared" si="9"/>
        <v>60.452</v>
      </c>
      <c r="H91" s="15">
        <v>5.1</v>
      </c>
      <c r="I91" s="20">
        <v>65.552</v>
      </c>
    </row>
    <row r="92" s="1" customFormat="1" customHeight="1" spans="1:9">
      <c r="A92" s="8">
        <v>89</v>
      </c>
      <c r="B92" s="9" t="str">
        <f>"2023077"</f>
        <v>2023077</v>
      </c>
      <c r="C92" s="9" t="s">
        <v>37</v>
      </c>
      <c r="D92" s="9" t="s">
        <v>23</v>
      </c>
      <c r="E92" s="9" t="str">
        <f>"张紫扬"</f>
        <v>张紫扬</v>
      </c>
      <c r="F92" s="14">
        <v>80.8</v>
      </c>
      <c r="G92" s="14">
        <f t="shared" si="9"/>
        <v>56.56</v>
      </c>
      <c r="H92" s="15">
        <v>18.9</v>
      </c>
      <c r="I92" s="20">
        <v>75.46</v>
      </c>
    </row>
    <row r="93" s="1" customFormat="1" customHeight="1" spans="1:9">
      <c r="A93" s="8">
        <v>90</v>
      </c>
      <c r="B93" s="9" t="str">
        <f>"2023078"</f>
        <v>2023078</v>
      </c>
      <c r="C93" s="9" t="s">
        <v>38</v>
      </c>
      <c r="D93" s="9" t="s">
        <v>28</v>
      </c>
      <c r="E93" s="9" t="str">
        <f>"张新"</f>
        <v>张新</v>
      </c>
      <c r="F93" s="14">
        <v>86.44</v>
      </c>
      <c r="G93" s="14">
        <f t="shared" si="9"/>
        <v>60.508</v>
      </c>
      <c r="H93" s="15">
        <v>8.1</v>
      </c>
      <c r="I93" s="20">
        <v>68.608</v>
      </c>
    </row>
    <row r="94" s="1" customFormat="1" customHeight="1" spans="1:9">
      <c r="A94" s="8">
        <v>91</v>
      </c>
      <c r="B94" s="9" t="str">
        <f t="shared" ref="B94:B96" si="10">"2023079"</f>
        <v>2023079</v>
      </c>
      <c r="C94" s="9" t="s">
        <v>38</v>
      </c>
      <c r="D94" s="9" t="s">
        <v>23</v>
      </c>
      <c r="E94" s="9" t="str">
        <f>"郑兵"</f>
        <v>郑兵</v>
      </c>
      <c r="F94" s="14">
        <v>84.12</v>
      </c>
      <c r="G94" s="14">
        <f t="shared" si="9"/>
        <v>58.884</v>
      </c>
      <c r="H94" s="17">
        <v>14.7</v>
      </c>
      <c r="I94" s="20">
        <v>73.584</v>
      </c>
    </row>
    <row r="95" s="1" customFormat="1" customHeight="1" spans="1:9">
      <c r="A95" s="8">
        <v>92</v>
      </c>
      <c r="B95" s="9" t="str">
        <f t="shared" si="10"/>
        <v>2023079</v>
      </c>
      <c r="C95" s="9" t="s">
        <v>38</v>
      </c>
      <c r="D95" s="9" t="s">
        <v>23</v>
      </c>
      <c r="E95" s="9" t="str">
        <f>"张五雷"</f>
        <v>张五雷</v>
      </c>
      <c r="F95" s="14">
        <v>84.12</v>
      </c>
      <c r="G95" s="14">
        <f t="shared" si="9"/>
        <v>58.884</v>
      </c>
      <c r="H95" s="18">
        <v>14.1</v>
      </c>
      <c r="I95" s="20">
        <v>72.984</v>
      </c>
    </row>
    <row r="96" s="1" customFormat="1" customHeight="1" spans="1:9">
      <c r="A96" s="8">
        <v>93</v>
      </c>
      <c r="B96" s="9" t="str">
        <f t="shared" si="10"/>
        <v>2023079</v>
      </c>
      <c r="C96" s="9" t="s">
        <v>38</v>
      </c>
      <c r="D96" s="9" t="s">
        <v>23</v>
      </c>
      <c r="E96" s="9" t="str">
        <f>"黄平"</f>
        <v>黄平</v>
      </c>
      <c r="F96" s="14">
        <v>83.58</v>
      </c>
      <c r="G96" s="14">
        <f t="shared" si="9"/>
        <v>58.506</v>
      </c>
      <c r="H96" s="17">
        <v>13.8</v>
      </c>
      <c r="I96" s="20">
        <v>72.306</v>
      </c>
    </row>
    <row r="97" s="1" customFormat="1" customHeight="1" spans="1:9">
      <c r="A97" s="8">
        <v>94</v>
      </c>
      <c r="B97" s="9" t="str">
        <f>"2023080"</f>
        <v>2023080</v>
      </c>
      <c r="C97" s="9" t="s">
        <v>38</v>
      </c>
      <c r="D97" s="9" t="s">
        <v>26</v>
      </c>
      <c r="E97" s="9" t="str">
        <f>"代威威"</f>
        <v>代威威</v>
      </c>
      <c r="F97" s="14">
        <v>87.16</v>
      </c>
      <c r="G97" s="14">
        <f t="shared" si="9"/>
        <v>61.012</v>
      </c>
      <c r="H97" s="15">
        <v>14.1</v>
      </c>
      <c r="I97" s="20">
        <v>75.112</v>
      </c>
    </row>
    <row r="98" s="1" customFormat="1" customHeight="1" spans="1:9">
      <c r="A98" s="8">
        <v>95</v>
      </c>
      <c r="B98" s="9" t="str">
        <f>"2023081"</f>
        <v>2023081</v>
      </c>
      <c r="C98" s="9" t="s">
        <v>39</v>
      </c>
      <c r="D98" s="9" t="s">
        <v>40</v>
      </c>
      <c r="E98" s="9" t="str">
        <f>"夏晓梦"</f>
        <v>夏晓梦</v>
      </c>
      <c r="F98" s="14">
        <v>84.32</v>
      </c>
      <c r="G98" s="14">
        <f t="shared" si="9"/>
        <v>59.024</v>
      </c>
      <c r="H98" s="17">
        <v>17.7</v>
      </c>
      <c r="I98" s="20">
        <v>76.724</v>
      </c>
    </row>
    <row r="99" s="1" customFormat="1" customHeight="1" spans="1:9">
      <c r="A99" s="8">
        <v>96</v>
      </c>
      <c r="B99" s="9" t="str">
        <f>"2023081"</f>
        <v>2023081</v>
      </c>
      <c r="C99" s="9" t="s">
        <v>39</v>
      </c>
      <c r="D99" s="9" t="s">
        <v>40</v>
      </c>
      <c r="E99" s="9" t="str">
        <f>"周伟利"</f>
        <v>周伟利</v>
      </c>
      <c r="F99" s="14">
        <v>83.18</v>
      </c>
      <c r="G99" s="14">
        <f t="shared" si="9"/>
        <v>58.226</v>
      </c>
      <c r="H99" s="17">
        <v>16.05</v>
      </c>
      <c r="I99" s="20">
        <v>74.276</v>
      </c>
    </row>
    <row r="100" s="1" customFormat="1" customHeight="1" spans="1:9">
      <c r="A100" s="8">
        <v>97</v>
      </c>
      <c r="B100" s="9" t="str">
        <f t="shared" ref="B100:B115" si="11">"2023082"</f>
        <v>2023082</v>
      </c>
      <c r="C100" s="9" t="s">
        <v>39</v>
      </c>
      <c r="D100" s="9" t="s">
        <v>22</v>
      </c>
      <c r="E100" s="9" t="str">
        <f>"秦允莲"</f>
        <v>秦允莲</v>
      </c>
      <c r="F100" s="14">
        <v>84.8</v>
      </c>
      <c r="G100" s="14">
        <f t="shared" si="9"/>
        <v>59.36</v>
      </c>
      <c r="H100" s="15">
        <v>17.4</v>
      </c>
      <c r="I100" s="20">
        <v>76.76</v>
      </c>
    </row>
    <row r="101" s="1" customFormat="1" customHeight="1" spans="1:9">
      <c r="A101" s="8">
        <v>98</v>
      </c>
      <c r="B101" s="9" t="str">
        <f t="shared" si="11"/>
        <v>2023082</v>
      </c>
      <c r="C101" s="9" t="s">
        <v>39</v>
      </c>
      <c r="D101" s="9" t="s">
        <v>22</v>
      </c>
      <c r="E101" s="9" t="str">
        <f>"朱会会"</f>
        <v>朱会会</v>
      </c>
      <c r="F101" s="14">
        <v>86.32</v>
      </c>
      <c r="G101" s="14">
        <f t="shared" si="9"/>
        <v>60.424</v>
      </c>
      <c r="H101" s="16">
        <v>15.9</v>
      </c>
      <c r="I101" s="20">
        <v>76.324</v>
      </c>
    </row>
    <row r="102" s="1" customFormat="1" customHeight="1" spans="1:9">
      <c r="A102" s="8">
        <v>99</v>
      </c>
      <c r="B102" s="9" t="str">
        <f t="shared" si="11"/>
        <v>2023082</v>
      </c>
      <c r="C102" s="9" t="s">
        <v>39</v>
      </c>
      <c r="D102" s="9" t="s">
        <v>22</v>
      </c>
      <c r="E102" s="9" t="str">
        <f>"高燕飞"</f>
        <v>高燕飞</v>
      </c>
      <c r="F102" s="14">
        <v>85.04</v>
      </c>
      <c r="G102" s="14">
        <f t="shared" si="9"/>
        <v>59.528</v>
      </c>
      <c r="H102" s="15">
        <v>15.3</v>
      </c>
      <c r="I102" s="20">
        <v>74.828</v>
      </c>
    </row>
    <row r="103" s="1" customFormat="1" customHeight="1" spans="1:9">
      <c r="A103" s="8">
        <v>100</v>
      </c>
      <c r="B103" s="9" t="str">
        <f t="shared" si="11"/>
        <v>2023082</v>
      </c>
      <c r="C103" s="9" t="s">
        <v>39</v>
      </c>
      <c r="D103" s="9" t="s">
        <v>22</v>
      </c>
      <c r="E103" s="9" t="str">
        <f>"刁兴莉"</f>
        <v>刁兴莉</v>
      </c>
      <c r="F103" s="14">
        <v>81.7</v>
      </c>
      <c r="G103" s="14">
        <f t="shared" si="9"/>
        <v>57.19</v>
      </c>
      <c r="H103" s="15">
        <v>17.4</v>
      </c>
      <c r="I103" s="20">
        <v>74.59</v>
      </c>
    </row>
    <row r="104" s="1" customFormat="1" customHeight="1" spans="1:9">
      <c r="A104" s="8">
        <v>101</v>
      </c>
      <c r="B104" s="9" t="str">
        <f t="shared" si="11"/>
        <v>2023082</v>
      </c>
      <c r="C104" s="9" t="s">
        <v>39</v>
      </c>
      <c r="D104" s="9" t="s">
        <v>22</v>
      </c>
      <c r="E104" s="9" t="str">
        <f>"马翠"</f>
        <v>马翠</v>
      </c>
      <c r="F104" s="14">
        <v>81.5</v>
      </c>
      <c r="G104" s="14">
        <f t="shared" si="9"/>
        <v>57.05</v>
      </c>
      <c r="H104" s="15">
        <v>16.8</v>
      </c>
      <c r="I104" s="20">
        <v>73.85</v>
      </c>
    </row>
    <row r="105" s="1" customFormat="1" customHeight="1" spans="1:9">
      <c r="A105" s="8">
        <v>102</v>
      </c>
      <c r="B105" s="9" t="str">
        <f t="shared" si="11"/>
        <v>2023082</v>
      </c>
      <c r="C105" s="9" t="s">
        <v>39</v>
      </c>
      <c r="D105" s="9" t="s">
        <v>22</v>
      </c>
      <c r="E105" s="9" t="str">
        <f>"陆晓可"</f>
        <v>陆晓可</v>
      </c>
      <c r="F105" s="14">
        <v>84.9</v>
      </c>
      <c r="G105" s="14">
        <f t="shared" si="9"/>
        <v>59.43</v>
      </c>
      <c r="H105" s="15">
        <v>13.5</v>
      </c>
      <c r="I105" s="20">
        <v>72.93</v>
      </c>
    </row>
    <row r="106" s="1" customFormat="1" customHeight="1" spans="1:9">
      <c r="A106" s="8">
        <v>103</v>
      </c>
      <c r="B106" s="9" t="str">
        <f t="shared" si="11"/>
        <v>2023082</v>
      </c>
      <c r="C106" s="9" t="s">
        <v>39</v>
      </c>
      <c r="D106" s="9" t="s">
        <v>22</v>
      </c>
      <c r="E106" s="9" t="str">
        <f>"陈楠"</f>
        <v>陈楠</v>
      </c>
      <c r="F106" s="14">
        <v>80.5</v>
      </c>
      <c r="G106" s="14">
        <f t="shared" si="9"/>
        <v>56.35</v>
      </c>
      <c r="H106" s="15">
        <v>16.5</v>
      </c>
      <c r="I106" s="20">
        <v>72.85</v>
      </c>
    </row>
    <row r="107" s="1" customFormat="1" customHeight="1" spans="1:9">
      <c r="A107" s="8">
        <v>104</v>
      </c>
      <c r="B107" s="9" t="str">
        <f t="shared" si="11"/>
        <v>2023082</v>
      </c>
      <c r="C107" s="9" t="s">
        <v>39</v>
      </c>
      <c r="D107" s="9" t="s">
        <v>22</v>
      </c>
      <c r="E107" s="9" t="str">
        <f>"葛桠楠"</f>
        <v>葛桠楠</v>
      </c>
      <c r="F107" s="14">
        <v>83.7</v>
      </c>
      <c r="G107" s="14">
        <f t="shared" si="9"/>
        <v>58.59</v>
      </c>
      <c r="H107" s="18">
        <v>13.5</v>
      </c>
      <c r="I107" s="20">
        <v>72.09</v>
      </c>
    </row>
    <row r="108" s="1" customFormat="1" customHeight="1" spans="1:9">
      <c r="A108" s="8">
        <v>105</v>
      </c>
      <c r="B108" s="21" t="str">
        <f t="shared" si="11"/>
        <v>2023082</v>
      </c>
      <c r="C108" s="21" t="s">
        <v>39</v>
      </c>
      <c r="D108" s="21" t="s">
        <v>22</v>
      </c>
      <c r="E108" s="21" t="str">
        <f>"纪坤"</f>
        <v>纪坤</v>
      </c>
      <c r="F108" s="14">
        <v>83.62</v>
      </c>
      <c r="G108" s="14">
        <f t="shared" si="9"/>
        <v>58.534</v>
      </c>
      <c r="H108" s="15">
        <v>13.5</v>
      </c>
      <c r="I108" s="20">
        <v>72.034</v>
      </c>
    </row>
    <row r="109" s="1" customFormat="1" customHeight="1" spans="1:9">
      <c r="A109" s="8">
        <v>106</v>
      </c>
      <c r="B109" s="9" t="str">
        <f t="shared" si="11"/>
        <v>2023082</v>
      </c>
      <c r="C109" s="9" t="s">
        <v>39</v>
      </c>
      <c r="D109" s="9" t="s">
        <v>22</v>
      </c>
      <c r="E109" s="9" t="str">
        <f>"张华晴"</f>
        <v>张华晴</v>
      </c>
      <c r="F109" s="14">
        <v>82.9</v>
      </c>
      <c r="G109" s="14">
        <f t="shared" si="9"/>
        <v>58.03</v>
      </c>
      <c r="H109" s="16">
        <v>13.8</v>
      </c>
      <c r="I109" s="20">
        <v>71.83</v>
      </c>
    </row>
    <row r="110" s="1" customFormat="1" customHeight="1" spans="1:9">
      <c r="A110" s="8">
        <v>107</v>
      </c>
      <c r="B110" s="9" t="str">
        <f t="shared" si="11"/>
        <v>2023082</v>
      </c>
      <c r="C110" s="9" t="s">
        <v>39</v>
      </c>
      <c r="D110" s="9" t="s">
        <v>22</v>
      </c>
      <c r="E110" s="9" t="str">
        <f>"王小珍"</f>
        <v>王小珍</v>
      </c>
      <c r="F110" s="14">
        <v>81.04</v>
      </c>
      <c r="G110" s="14">
        <f t="shared" si="9"/>
        <v>56.728</v>
      </c>
      <c r="H110" s="18">
        <v>15</v>
      </c>
      <c r="I110" s="20">
        <v>71.728</v>
      </c>
    </row>
    <row r="111" s="1" customFormat="1" customHeight="1" spans="1:9">
      <c r="A111" s="8">
        <v>108</v>
      </c>
      <c r="B111" s="9" t="str">
        <f t="shared" si="11"/>
        <v>2023082</v>
      </c>
      <c r="C111" s="9" t="s">
        <v>39</v>
      </c>
      <c r="D111" s="9" t="s">
        <v>22</v>
      </c>
      <c r="E111" s="9" t="str">
        <f>"黄春梅"</f>
        <v>黄春梅</v>
      </c>
      <c r="F111" s="14">
        <v>80.72</v>
      </c>
      <c r="G111" s="14">
        <f t="shared" si="9"/>
        <v>56.504</v>
      </c>
      <c r="H111" s="19">
        <v>15.15</v>
      </c>
      <c r="I111" s="20">
        <v>71.654</v>
      </c>
    </row>
    <row r="112" s="1" customFormat="1" customHeight="1" spans="1:9">
      <c r="A112" s="8">
        <v>109</v>
      </c>
      <c r="B112" s="9" t="str">
        <f t="shared" si="11"/>
        <v>2023082</v>
      </c>
      <c r="C112" s="9" t="s">
        <v>39</v>
      </c>
      <c r="D112" s="9" t="s">
        <v>22</v>
      </c>
      <c r="E112" s="9" t="str">
        <f>"李锐"</f>
        <v>李锐</v>
      </c>
      <c r="F112" s="14">
        <v>80.34</v>
      </c>
      <c r="G112" s="14">
        <f t="shared" si="9"/>
        <v>56.238</v>
      </c>
      <c r="H112" s="15">
        <v>15.3</v>
      </c>
      <c r="I112" s="20">
        <v>71.538</v>
      </c>
    </row>
    <row r="113" s="1" customFormat="1" customHeight="1" spans="1:9">
      <c r="A113" s="8">
        <v>110</v>
      </c>
      <c r="B113" s="9" t="str">
        <f t="shared" si="11"/>
        <v>2023082</v>
      </c>
      <c r="C113" s="9" t="s">
        <v>39</v>
      </c>
      <c r="D113" s="9" t="s">
        <v>22</v>
      </c>
      <c r="E113" s="9" t="str">
        <f>"王欣雨"</f>
        <v>王欣雨</v>
      </c>
      <c r="F113" s="14">
        <v>82.46</v>
      </c>
      <c r="G113" s="14">
        <f t="shared" si="9"/>
        <v>57.722</v>
      </c>
      <c r="H113" s="15">
        <v>13.8</v>
      </c>
      <c r="I113" s="20">
        <v>71.522</v>
      </c>
    </row>
    <row r="114" s="1" customFormat="1" customHeight="1" spans="1:9">
      <c r="A114" s="8">
        <v>111</v>
      </c>
      <c r="B114" s="9" t="str">
        <f t="shared" si="11"/>
        <v>2023082</v>
      </c>
      <c r="C114" s="9" t="s">
        <v>39</v>
      </c>
      <c r="D114" s="9" t="s">
        <v>22</v>
      </c>
      <c r="E114" s="9" t="str">
        <f>"杨娟娟"</f>
        <v>杨娟娟</v>
      </c>
      <c r="F114" s="14">
        <v>81.12</v>
      </c>
      <c r="G114" s="14">
        <f t="shared" si="9"/>
        <v>56.784</v>
      </c>
      <c r="H114" s="15">
        <v>14.7</v>
      </c>
      <c r="I114" s="20">
        <v>71.484</v>
      </c>
    </row>
    <row r="115" s="1" customFormat="1" customHeight="1" spans="1:9">
      <c r="A115" s="8">
        <v>112</v>
      </c>
      <c r="B115" s="9" t="str">
        <f t="shared" si="11"/>
        <v>2023082</v>
      </c>
      <c r="C115" s="9" t="s">
        <v>39</v>
      </c>
      <c r="D115" s="9" t="s">
        <v>22</v>
      </c>
      <c r="E115" s="9" t="str">
        <f>"陆冰燕"</f>
        <v>陆冰燕</v>
      </c>
      <c r="F115" s="14">
        <v>82.3</v>
      </c>
      <c r="G115" s="14">
        <f t="shared" si="9"/>
        <v>57.61</v>
      </c>
      <c r="H115" s="15">
        <v>13.5</v>
      </c>
      <c r="I115" s="20">
        <v>71.11</v>
      </c>
    </row>
    <row r="116" s="1" customFormat="1" customHeight="1" spans="1:9">
      <c r="A116" s="8">
        <v>113</v>
      </c>
      <c r="B116" s="9" t="str">
        <f t="shared" ref="B116:B130" si="12">"2023083"</f>
        <v>2023083</v>
      </c>
      <c r="C116" s="9" t="s">
        <v>39</v>
      </c>
      <c r="D116" s="9" t="s">
        <v>41</v>
      </c>
      <c r="E116" s="9" t="str">
        <f>"张慧敏"</f>
        <v>张慧敏</v>
      </c>
      <c r="F116" s="14">
        <v>85.74</v>
      </c>
      <c r="G116" s="14">
        <f t="shared" si="9"/>
        <v>60.018</v>
      </c>
      <c r="H116" s="18">
        <v>14.1</v>
      </c>
      <c r="I116" s="20">
        <v>74.118</v>
      </c>
    </row>
    <row r="117" s="1" customFormat="1" customHeight="1" spans="1:9">
      <c r="A117" s="8">
        <v>114</v>
      </c>
      <c r="B117" s="9" t="str">
        <f t="shared" si="12"/>
        <v>2023083</v>
      </c>
      <c r="C117" s="9" t="s">
        <v>39</v>
      </c>
      <c r="D117" s="9" t="s">
        <v>41</v>
      </c>
      <c r="E117" s="9" t="str">
        <f>"潘文静"</f>
        <v>潘文静</v>
      </c>
      <c r="F117" s="14">
        <v>85.26</v>
      </c>
      <c r="G117" s="14">
        <f t="shared" si="9"/>
        <v>59.682</v>
      </c>
      <c r="H117" s="18">
        <v>14.1</v>
      </c>
      <c r="I117" s="20">
        <v>73.782</v>
      </c>
    </row>
    <row r="118" s="1" customFormat="1" customHeight="1" spans="1:9">
      <c r="A118" s="8">
        <v>115</v>
      </c>
      <c r="B118" s="9" t="str">
        <f t="shared" si="12"/>
        <v>2023083</v>
      </c>
      <c r="C118" s="9" t="s">
        <v>39</v>
      </c>
      <c r="D118" s="9" t="s">
        <v>41</v>
      </c>
      <c r="E118" s="9" t="str">
        <f>"李凯丽"</f>
        <v>李凯丽</v>
      </c>
      <c r="F118" s="14">
        <v>84.72</v>
      </c>
      <c r="G118" s="14">
        <f t="shared" si="9"/>
        <v>59.304</v>
      </c>
      <c r="H118" s="18">
        <v>13.8</v>
      </c>
      <c r="I118" s="20">
        <v>73.104</v>
      </c>
    </row>
    <row r="119" s="1" customFormat="1" customHeight="1" spans="1:9">
      <c r="A119" s="8">
        <v>116</v>
      </c>
      <c r="B119" s="9" t="str">
        <f t="shared" si="12"/>
        <v>2023083</v>
      </c>
      <c r="C119" s="9" t="s">
        <v>39</v>
      </c>
      <c r="D119" s="9" t="s">
        <v>41</v>
      </c>
      <c r="E119" s="9" t="str">
        <f>"王梦茹"</f>
        <v>王梦茹</v>
      </c>
      <c r="F119" s="14">
        <v>81.12</v>
      </c>
      <c r="G119" s="14">
        <f t="shared" si="9"/>
        <v>56.784</v>
      </c>
      <c r="H119" s="15">
        <v>16.2</v>
      </c>
      <c r="I119" s="20">
        <v>72.984</v>
      </c>
    </row>
    <row r="120" s="1" customFormat="1" customHeight="1" spans="1:9">
      <c r="A120" s="8">
        <v>117</v>
      </c>
      <c r="B120" s="9" t="str">
        <f t="shared" si="12"/>
        <v>2023083</v>
      </c>
      <c r="C120" s="9" t="s">
        <v>39</v>
      </c>
      <c r="D120" s="9" t="s">
        <v>41</v>
      </c>
      <c r="E120" s="9" t="str">
        <f>"杨珍"</f>
        <v>杨珍</v>
      </c>
      <c r="F120" s="14">
        <v>82.24</v>
      </c>
      <c r="G120" s="14">
        <f t="shared" si="9"/>
        <v>57.568</v>
      </c>
      <c r="H120" s="18">
        <v>15</v>
      </c>
      <c r="I120" s="20">
        <v>72.568</v>
      </c>
    </row>
    <row r="121" s="1" customFormat="1" customHeight="1" spans="1:9">
      <c r="A121" s="8">
        <v>118</v>
      </c>
      <c r="B121" s="9" t="str">
        <f t="shared" si="12"/>
        <v>2023083</v>
      </c>
      <c r="C121" s="9" t="s">
        <v>39</v>
      </c>
      <c r="D121" s="9" t="s">
        <v>41</v>
      </c>
      <c r="E121" s="9" t="str">
        <f>"康晴晴"</f>
        <v>康晴晴</v>
      </c>
      <c r="F121" s="14">
        <v>84.7</v>
      </c>
      <c r="G121" s="14">
        <f t="shared" si="9"/>
        <v>59.29</v>
      </c>
      <c r="H121" s="15">
        <v>12.6</v>
      </c>
      <c r="I121" s="20">
        <v>71.89</v>
      </c>
    </row>
    <row r="122" s="1" customFormat="1" customHeight="1" spans="1:9">
      <c r="A122" s="8">
        <v>119</v>
      </c>
      <c r="B122" s="9" t="str">
        <f t="shared" si="12"/>
        <v>2023083</v>
      </c>
      <c r="C122" s="9" t="s">
        <v>39</v>
      </c>
      <c r="D122" s="9" t="s">
        <v>41</v>
      </c>
      <c r="E122" s="9" t="str">
        <f>"王雪"</f>
        <v>王雪</v>
      </c>
      <c r="F122" s="14">
        <v>82.04</v>
      </c>
      <c r="G122" s="14">
        <f t="shared" si="9"/>
        <v>57.428</v>
      </c>
      <c r="H122" s="17">
        <v>14.1</v>
      </c>
      <c r="I122" s="20">
        <v>71.528</v>
      </c>
    </row>
    <row r="123" s="1" customFormat="1" customHeight="1" spans="1:9">
      <c r="A123" s="8">
        <v>120</v>
      </c>
      <c r="B123" s="9" t="str">
        <f t="shared" si="12"/>
        <v>2023083</v>
      </c>
      <c r="C123" s="9" t="s">
        <v>39</v>
      </c>
      <c r="D123" s="9" t="s">
        <v>41</v>
      </c>
      <c r="E123" s="9" t="str">
        <f>"代钰"</f>
        <v>代钰</v>
      </c>
      <c r="F123" s="14">
        <v>82.86</v>
      </c>
      <c r="G123" s="14">
        <f t="shared" si="9"/>
        <v>58.002</v>
      </c>
      <c r="H123" s="15">
        <v>13.5</v>
      </c>
      <c r="I123" s="20">
        <v>71.502</v>
      </c>
    </row>
    <row r="124" s="1" customFormat="1" customHeight="1" spans="1:9">
      <c r="A124" s="8">
        <v>121</v>
      </c>
      <c r="B124" s="9" t="str">
        <f t="shared" si="12"/>
        <v>2023083</v>
      </c>
      <c r="C124" s="9" t="s">
        <v>39</v>
      </c>
      <c r="D124" s="9" t="s">
        <v>41</v>
      </c>
      <c r="E124" s="9" t="str">
        <f>"魏家敏"</f>
        <v>魏家敏</v>
      </c>
      <c r="F124" s="14">
        <v>81.96</v>
      </c>
      <c r="G124" s="14">
        <f t="shared" si="9"/>
        <v>57.372</v>
      </c>
      <c r="H124" s="17">
        <v>13.8</v>
      </c>
      <c r="I124" s="20">
        <v>71.172</v>
      </c>
    </row>
    <row r="125" s="1" customFormat="1" customHeight="1" spans="1:9">
      <c r="A125" s="8">
        <v>122</v>
      </c>
      <c r="B125" s="9" t="str">
        <f t="shared" si="12"/>
        <v>2023083</v>
      </c>
      <c r="C125" s="9" t="s">
        <v>39</v>
      </c>
      <c r="D125" s="9" t="s">
        <v>41</v>
      </c>
      <c r="E125" s="9" t="str">
        <f>"谷小倩"</f>
        <v>谷小倩</v>
      </c>
      <c r="F125" s="14">
        <v>83.74</v>
      </c>
      <c r="G125" s="14">
        <f t="shared" si="9"/>
        <v>58.618</v>
      </c>
      <c r="H125" s="15">
        <v>12</v>
      </c>
      <c r="I125" s="20">
        <v>70.618</v>
      </c>
    </row>
    <row r="126" s="1" customFormat="1" customHeight="1" spans="1:9">
      <c r="A126" s="8">
        <v>123</v>
      </c>
      <c r="B126" s="9" t="str">
        <f t="shared" si="12"/>
        <v>2023083</v>
      </c>
      <c r="C126" s="9" t="s">
        <v>39</v>
      </c>
      <c r="D126" s="9" t="s">
        <v>41</v>
      </c>
      <c r="E126" s="9" t="str">
        <f>"王雪利"</f>
        <v>王雪利</v>
      </c>
      <c r="F126" s="14">
        <v>83.22</v>
      </c>
      <c r="G126" s="14">
        <f t="shared" si="9"/>
        <v>58.254</v>
      </c>
      <c r="H126" s="15">
        <v>12.3</v>
      </c>
      <c r="I126" s="20">
        <v>70.554</v>
      </c>
    </row>
    <row r="127" s="1" customFormat="1" customHeight="1" spans="1:9">
      <c r="A127" s="8">
        <v>124</v>
      </c>
      <c r="B127" s="9" t="str">
        <f t="shared" si="12"/>
        <v>2023083</v>
      </c>
      <c r="C127" s="9" t="s">
        <v>39</v>
      </c>
      <c r="D127" s="9" t="s">
        <v>41</v>
      </c>
      <c r="E127" s="9" t="str">
        <f>"刘婷婷"</f>
        <v>刘婷婷</v>
      </c>
      <c r="F127" s="14">
        <v>80.82</v>
      </c>
      <c r="G127" s="14">
        <f t="shared" si="9"/>
        <v>56.574</v>
      </c>
      <c r="H127" s="15">
        <v>13.5</v>
      </c>
      <c r="I127" s="20">
        <v>70.074</v>
      </c>
    </row>
    <row r="128" s="1" customFormat="1" customHeight="1" spans="1:9">
      <c r="A128" s="8">
        <v>125</v>
      </c>
      <c r="B128" s="9" t="str">
        <f t="shared" si="12"/>
        <v>2023083</v>
      </c>
      <c r="C128" s="9" t="s">
        <v>39</v>
      </c>
      <c r="D128" s="9" t="s">
        <v>41</v>
      </c>
      <c r="E128" s="9" t="str">
        <f>"刘昆明"</f>
        <v>刘昆明</v>
      </c>
      <c r="F128" s="14">
        <v>75.28</v>
      </c>
      <c r="G128" s="14">
        <f t="shared" si="9"/>
        <v>52.696</v>
      </c>
      <c r="H128" s="15">
        <v>16.8</v>
      </c>
      <c r="I128" s="20">
        <v>69.496</v>
      </c>
    </row>
    <row r="129" s="1" customFormat="1" customHeight="1" spans="1:9">
      <c r="A129" s="8">
        <v>126</v>
      </c>
      <c r="B129" s="9" t="str">
        <f t="shared" si="12"/>
        <v>2023083</v>
      </c>
      <c r="C129" s="9" t="s">
        <v>39</v>
      </c>
      <c r="D129" s="9" t="s">
        <v>41</v>
      </c>
      <c r="E129" s="9" t="str">
        <f>"许淑香"</f>
        <v>许淑香</v>
      </c>
      <c r="F129" s="14">
        <v>79.76</v>
      </c>
      <c r="G129" s="14">
        <f t="shared" si="9"/>
        <v>55.832</v>
      </c>
      <c r="H129" s="18">
        <v>13.5</v>
      </c>
      <c r="I129" s="20">
        <v>69.332</v>
      </c>
    </row>
    <row r="130" s="1" customFormat="1" customHeight="1" spans="1:9">
      <c r="A130" s="8">
        <v>127</v>
      </c>
      <c r="B130" s="9" t="str">
        <f t="shared" si="12"/>
        <v>2023083</v>
      </c>
      <c r="C130" s="9" t="s">
        <v>39</v>
      </c>
      <c r="D130" s="9" t="s">
        <v>41</v>
      </c>
      <c r="E130" s="9" t="str">
        <f>"朱雨晴"</f>
        <v>朱雨晴</v>
      </c>
      <c r="F130" s="14">
        <v>79.72</v>
      </c>
      <c r="G130" s="14">
        <f t="shared" si="9"/>
        <v>55.804</v>
      </c>
      <c r="H130" s="18">
        <v>13.5</v>
      </c>
      <c r="I130" s="20">
        <v>69.304</v>
      </c>
    </row>
    <row r="131" s="1" customFormat="1" customHeight="1" spans="1:9">
      <c r="A131" s="8">
        <v>128</v>
      </c>
      <c r="B131" s="9" t="str">
        <f t="shared" ref="B131:B138" si="13">"2023084"</f>
        <v>2023084</v>
      </c>
      <c r="C131" s="9" t="s">
        <v>39</v>
      </c>
      <c r="D131" s="9" t="s">
        <v>24</v>
      </c>
      <c r="E131" s="9" t="str">
        <f>"刘晓龙"</f>
        <v>刘晓龙</v>
      </c>
      <c r="F131" s="14">
        <v>83.12</v>
      </c>
      <c r="G131" s="14">
        <f t="shared" si="9"/>
        <v>58.184</v>
      </c>
      <c r="H131" s="18">
        <v>17.25</v>
      </c>
      <c r="I131" s="20">
        <v>75.434</v>
      </c>
    </row>
    <row r="132" s="1" customFormat="1" customHeight="1" spans="1:9">
      <c r="A132" s="8">
        <v>129</v>
      </c>
      <c r="B132" s="9" t="str">
        <f t="shared" si="13"/>
        <v>2023084</v>
      </c>
      <c r="C132" s="9" t="s">
        <v>39</v>
      </c>
      <c r="D132" s="9" t="s">
        <v>24</v>
      </c>
      <c r="E132" s="9" t="str">
        <f>"解方方"</f>
        <v>解方方</v>
      </c>
      <c r="F132" s="14">
        <v>83.58</v>
      </c>
      <c r="G132" s="14">
        <f t="shared" si="9"/>
        <v>58.506</v>
      </c>
      <c r="H132" s="15">
        <v>16.8</v>
      </c>
      <c r="I132" s="20">
        <v>75.306</v>
      </c>
    </row>
    <row r="133" s="1" customFormat="1" customHeight="1" spans="1:9">
      <c r="A133" s="8">
        <v>130</v>
      </c>
      <c r="B133" s="9" t="str">
        <f t="shared" si="13"/>
        <v>2023084</v>
      </c>
      <c r="C133" s="9" t="s">
        <v>39</v>
      </c>
      <c r="D133" s="9" t="s">
        <v>24</v>
      </c>
      <c r="E133" s="9" t="str">
        <f>"孙春香"</f>
        <v>孙春香</v>
      </c>
      <c r="F133" s="14">
        <v>84.7</v>
      </c>
      <c r="G133" s="14">
        <f t="shared" ref="G133:G196" si="14">F133*0.7</f>
        <v>59.29</v>
      </c>
      <c r="H133" s="15">
        <v>15.9</v>
      </c>
      <c r="I133" s="20">
        <v>75.19</v>
      </c>
    </row>
    <row r="134" s="1" customFormat="1" customHeight="1" spans="1:9">
      <c r="A134" s="8">
        <v>131</v>
      </c>
      <c r="B134" s="21" t="str">
        <f t="shared" si="13"/>
        <v>2023084</v>
      </c>
      <c r="C134" s="21" t="s">
        <v>39</v>
      </c>
      <c r="D134" s="21" t="s">
        <v>24</v>
      </c>
      <c r="E134" s="21" t="str">
        <f>"韩勤"</f>
        <v>韩勤</v>
      </c>
      <c r="F134" s="14">
        <v>82.42</v>
      </c>
      <c r="G134" s="14">
        <f t="shared" si="14"/>
        <v>57.694</v>
      </c>
      <c r="H134" s="15">
        <v>17.1</v>
      </c>
      <c r="I134" s="20">
        <v>74.794</v>
      </c>
    </row>
    <row r="135" s="1" customFormat="1" customHeight="1" spans="1:9">
      <c r="A135" s="8">
        <v>132</v>
      </c>
      <c r="B135" s="9" t="str">
        <f t="shared" si="13"/>
        <v>2023084</v>
      </c>
      <c r="C135" s="9" t="s">
        <v>39</v>
      </c>
      <c r="D135" s="9" t="s">
        <v>24</v>
      </c>
      <c r="E135" s="9" t="str">
        <f>"徐龙龙"</f>
        <v>徐龙龙</v>
      </c>
      <c r="F135" s="14">
        <v>85.18</v>
      </c>
      <c r="G135" s="14">
        <f t="shared" si="14"/>
        <v>59.626</v>
      </c>
      <c r="H135" s="15">
        <v>13.8</v>
      </c>
      <c r="I135" s="20">
        <v>73.426</v>
      </c>
    </row>
    <row r="136" s="1" customFormat="1" customHeight="1" spans="1:9">
      <c r="A136" s="8">
        <v>133</v>
      </c>
      <c r="B136" s="9" t="str">
        <f t="shared" si="13"/>
        <v>2023084</v>
      </c>
      <c r="C136" s="9" t="s">
        <v>39</v>
      </c>
      <c r="D136" s="9" t="s">
        <v>24</v>
      </c>
      <c r="E136" s="9" t="str">
        <f>"陈续花"</f>
        <v>陈续花</v>
      </c>
      <c r="F136" s="14">
        <v>84.18</v>
      </c>
      <c r="G136" s="14">
        <f t="shared" si="14"/>
        <v>58.926</v>
      </c>
      <c r="H136" s="15">
        <v>14.4</v>
      </c>
      <c r="I136" s="20">
        <v>73.326</v>
      </c>
    </row>
    <row r="137" s="1" customFormat="1" customHeight="1" spans="1:9">
      <c r="A137" s="8">
        <v>134</v>
      </c>
      <c r="B137" s="9" t="str">
        <f t="shared" si="13"/>
        <v>2023084</v>
      </c>
      <c r="C137" s="9" t="s">
        <v>39</v>
      </c>
      <c r="D137" s="9" t="s">
        <v>24</v>
      </c>
      <c r="E137" s="9" t="str">
        <f>"吴冰"</f>
        <v>吴冰</v>
      </c>
      <c r="F137" s="14">
        <v>80.48</v>
      </c>
      <c r="G137" s="14">
        <f t="shared" si="14"/>
        <v>56.336</v>
      </c>
      <c r="H137" s="17">
        <v>16.5</v>
      </c>
      <c r="I137" s="20">
        <v>72.836</v>
      </c>
    </row>
    <row r="138" s="1" customFormat="1" customHeight="1" spans="1:9">
      <c r="A138" s="8">
        <v>135</v>
      </c>
      <c r="B138" s="9" t="str">
        <f t="shared" si="13"/>
        <v>2023084</v>
      </c>
      <c r="C138" s="9" t="s">
        <v>39</v>
      </c>
      <c r="D138" s="9" t="s">
        <v>24</v>
      </c>
      <c r="E138" s="9" t="str">
        <f>"李文娟"</f>
        <v>李文娟</v>
      </c>
      <c r="F138" s="14">
        <v>83.16</v>
      </c>
      <c r="G138" s="14">
        <f t="shared" si="14"/>
        <v>58.212</v>
      </c>
      <c r="H138" s="18">
        <v>14.4</v>
      </c>
      <c r="I138" s="20">
        <v>72.612</v>
      </c>
    </row>
    <row r="139" s="1" customFormat="1" customHeight="1" spans="1:9">
      <c r="A139" s="8">
        <v>136</v>
      </c>
      <c r="B139" s="9" t="str">
        <f t="shared" ref="B139:B144" si="15">"2023085"</f>
        <v>2023085</v>
      </c>
      <c r="C139" s="9" t="s">
        <v>39</v>
      </c>
      <c r="D139" s="9" t="s">
        <v>25</v>
      </c>
      <c r="E139" s="9" t="str">
        <f>"黄亚群"</f>
        <v>黄亚群</v>
      </c>
      <c r="F139" s="14">
        <v>84.72</v>
      </c>
      <c r="G139" s="14">
        <f t="shared" si="14"/>
        <v>59.304</v>
      </c>
      <c r="H139" s="15">
        <v>13.2</v>
      </c>
      <c r="I139" s="20">
        <v>72.504</v>
      </c>
    </row>
    <row r="140" s="1" customFormat="1" customHeight="1" spans="1:9">
      <c r="A140" s="8">
        <v>137</v>
      </c>
      <c r="B140" s="9" t="str">
        <f t="shared" si="15"/>
        <v>2023085</v>
      </c>
      <c r="C140" s="9" t="s">
        <v>39</v>
      </c>
      <c r="D140" s="9" t="s">
        <v>25</v>
      </c>
      <c r="E140" s="9" t="str">
        <f>"张文静"</f>
        <v>张文静</v>
      </c>
      <c r="F140" s="14">
        <v>84.5</v>
      </c>
      <c r="G140" s="14">
        <f t="shared" si="14"/>
        <v>59.15</v>
      </c>
      <c r="H140" s="18">
        <v>13.2</v>
      </c>
      <c r="I140" s="20">
        <v>72.35</v>
      </c>
    </row>
    <row r="141" s="1" customFormat="1" customHeight="1" spans="1:9">
      <c r="A141" s="8">
        <v>138</v>
      </c>
      <c r="B141" s="9" t="str">
        <f t="shared" si="15"/>
        <v>2023085</v>
      </c>
      <c r="C141" s="9" t="s">
        <v>39</v>
      </c>
      <c r="D141" s="9" t="s">
        <v>25</v>
      </c>
      <c r="E141" s="9" t="str">
        <f>"李艳立"</f>
        <v>李艳立</v>
      </c>
      <c r="F141" s="14">
        <v>80.5</v>
      </c>
      <c r="G141" s="14">
        <f t="shared" si="14"/>
        <v>56.35</v>
      </c>
      <c r="H141" s="15">
        <v>15.9</v>
      </c>
      <c r="I141" s="20">
        <v>72.25</v>
      </c>
    </row>
    <row r="142" s="1" customFormat="1" customHeight="1" spans="1:9">
      <c r="A142" s="8">
        <v>139</v>
      </c>
      <c r="B142" s="9" t="str">
        <f t="shared" si="15"/>
        <v>2023085</v>
      </c>
      <c r="C142" s="9" t="s">
        <v>39</v>
      </c>
      <c r="D142" s="9" t="s">
        <v>25</v>
      </c>
      <c r="E142" s="9" t="str">
        <f>"解艳艳"</f>
        <v>解艳艳</v>
      </c>
      <c r="F142" s="14">
        <v>80.64</v>
      </c>
      <c r="G142" s="14">
        <f t="shared" si="14"/>
        <v>56.448</v>
      </c>
      <c r="H142" s="17">
        <v>15.6</v>
      </c>
      <c r="I142" s="20">
        <v>72.048</v>
      </c>
    </row>
    <row r="143" s="1" customFormat="1" customHeight="1" spans="1:9">
      <c r="A143" s="8">
        <v>140</v>
      </c>
      <c r="B143" s="9" t="str">
        <f t="shared" si="15"/>
        <v>2023085</v>
      </c>
      <c r="C143" s="9" t="s">
        <v>39</v>
      </c>
      <c r="D143" s="9" t="s">
        <v>25</v>
      </c>
      <c r="E143" s="9" t="str">
        <f>"刘荣荣"</f>
        <v>刘荣荣</v>
      </c>
      <c r="F143" s="14">
        <v>82.1</v>
      </c>
      <c r="G143" s="14">
        <f t="shared" si="14"/>
        <v>57.47</v>
      </c>
      <c r="H143" s="15">
        <v>13.5</v>
      </c>
      <c r="I143" s="20">
        <v>70.97</v>
      </c>
    </row>
    <row r="144" s="1" customFormat="1" customHeight="1" spans="1:9">
      <c r="A144" s="8">
        <v>141</v>
      </c>
      <c r="B144" s="9" t="str">
        <f t="shared" si="15"/>
        <v>2023085</v>
      </c>
      <c r="C144" s="9" t="s">
        <v>39</v>
      </c>
      <c r="D144" s="9" t="s">
        <v>25</v>
      </c>
      <c r="E144" s="9" t="str">
        <f>"刘晓梅"</f>
        <v>刘晓梅</v>
      </c>
      <c r="F144" s="14">
        <v>84.06</v>
      </c>
      <c r="G144" s="14">
        <f t="shared" si="14"/>
        <v>58.842</v>
      </c>
      <c r="H144" s="15">
        <v>11.4</v>
      </c>
      <c r="I144" s="20">
        <v>70.242</v>
      </c>
    </row>
    <row r="145" s="1" customFormat="1" customHeight="1" spans="1:9">
      <c r="A145" s="8">
        <v>142</v>
      </c>
      <c r="B145" s="9" t="str">
        <f t="shared" ref="B145:B152" si="16">"2023086"</f>
        <v>2023086</v>
      </c>
      <c r="C145" s="9" t="s">
        <v>39</v>
      </c>
      <c r="D145" s="9" t="s">
        <v>26</v>
      </c>
      <c r="E145" s="9" t="str">
        <f>"秦艳平"</f>
        <v>秦艳平</v>
      </c>
      <c r="F145" s="14">
        <v>83.1</v>
      </c>
      <c r="G145" s="14">
        <f t="shared" si="14"/>
        <v>58.17</v>
      </c>
      <c r="H145" s="18">
        <v>20.4</v>
      </c>
      <c r="I145" s="20">
        <v>78.57</v>
      </c>
    </row>
    <row r="146" s="1" customFormat="1" customHeight="1" spans="1:9">
      <c r="A146" s="8">
        <v>143</v>
      </c>
      <c r="B146" s="9" t="str">
        <f t="shared" si="16"/>
        <v>2023086</v>
      </c>
      <c r="C146" s="9" t="s">
        <v>39</v>
      </c>
      <c r="D146" s="9" t="s">
        <v>26</v>
      </c>
      <c r="E146" s="9" t="str">
        <f>"付丽影"</f>
        <v>付丽影</v>
      </c>
      <c r="F146" s="14">
        <v>82.64</v>
      </c>
      <c r="G146" s="14">
        <f t="shared" si="14"/>
        <v>57.848</v>
      </c>
      <c r="H146" s="15">
        <v>17.7</v>
      </c>
      <c r="I146" s="20">
        <v>75.548</v>
      </c>
    </row>
    <row r="147" s="1" customFormat="1" customHeight="1" spans="1:9">
      <c r="A147" s="8">
        <v>144</v>
      </c>
      <c r="B147" s="9" t="str">
        <f t="shared" si="16"/>
        <v>2023086</v>
      </c>
      <c r="C147" s="9" t="s">
        <v>39</v>
      </c>
      <c r="D147" s="9" t="s">
        <v>26</v>
      </c>
      <c r="E147" s="9" t="str">
        <f>"孙茹"</f>
        <v>孙茹</v>
      </c>
      <c r="F147" s="14">
        <v>83.66</v>
      </c>
      <c r="G147" s="14">
        <f t="shared" si="14"/>
        <v>58.562</v>
      </c>
      <c r="H147" s="15">
        <v>16.5</v>
      </c>
      <c r="I147" s="20">
        <v>75.062</v>
      </c>
    </row>
    <row r="148" s="1" customFormat="1" customHeight="1" spans="1:9">
      <c r="A148" s="8">
        <v>145</v>
      </c>
      <c r="B148" s="9" t="str">
        <f t="shared" si="16"/>
        <v>2023086</v>
      </c>
      <c r="C148" s="9" t="s">
        <v>39</v>
      </c>
      <c r="D148" s="9" t="s">
        <v>26</v>
      </c>
      <c r="E148" s="9" t="str">
        <f>"孙宇晴"</f>
        <v>孙宇晴</v>
      </c>
      <c r="F148" s="14">
        <v>84.3</v>
      </c>
      <c r="G148" s="14">
        <f t="shared" si="14"/>
        <v>59.01</v>
      </c>
      <c r="H148" s="15">
        <v>15</v>
      </c>
      <c r="I148" s="20">
        <v>74.01</v>
      </c>
    </row>
    <row r="149" s="1" customFormat="1" customHeight="1" spans="1:9">
      <c r="A149" s="8">
        <v>146</v>
      </c>
      <c r="B149" s="9" t="str">
        <f t="shared" si="16"/>
        <v>2023086</v>
      </c>
      <c r="C149" s="9" t="s">
        <v>39</v>
      </c>
      <c r="D149" s="9" t="s">
        <v>26</v>
      </c>
      <c r="E149" s="9" t="str">
        <f>"徐亚茹"</f>
        <v>徐亚茹</v>
      </c>
      <c r="F149" s="14">
        <v>84.12</v>
      </c>
      <c r="G149" s="14">
        <f t="shared" si="14"/>
        <v>58.884</v>
      </c>
      <c r="H149" s="15">
        <v>14.7</v>
      </c>
      <c r="I149" s="20">
        <v>73.584</v>
      </c>
    </row>
    <row r="150" s="1" customFormat="1" customHeight="1" spans="1:9">
      <c r="A150" s="8">
        <v>147</v>
      </c>
      <c r="B150" s="9" t="str">
        <f t="shared" si="16"/>
        <v>2023086</v>
      </c>
      <c r="C150" s="9" t="s">
        <v>39</v>
      </c>
      <c r="D150" s="9" t="s">
        <v>26</v>
      </c>
      <c r="E150" s="9" t="str">
        <f>"梁利如"</f>
        <v>梁利如</v>
      </c>
      <c r="F150" s="14">
        <v>81.5</v>
      </c>
      <c r="G150" s="14">
        <f t="shared" si="14"/>
        <v>57.05</v>
      </c>
      <c r="H150" s="15">
        <v>16.2</v>
      </c>
      <c r="I150" s="20">
        <v>73.25</v>
      </c>
    </row>
    <row r="151" s="1" customFormat="1" customHeight="1" spans="1:9">
      <c r="A151" s="8">
        <v>148</v>
      </c>
      <c r="B151" s="9" t="str">
        <f t="shared" si="16"/>
        <v>2023086</v>
      </c>
      <c r="C151" s="9" t="s">
        <v>39</v>
      </c>
      <c r="D151" s="9" t="s">
        <v>26</v>
      </c>
      <c r="E151" s="9" t="str">
        <f>"李梦"</f>
        <v>李梦</v>
      </c>
      <c r="F151" s="14">
        <v>85.26</v>
      </c>
      <c r="G151" s="14">
        <f t="shared" si="14"/>
        <v>59.682</v>
      </c>
      <c r="H151" s="15">
        <v>13.5</v>
      </c>
      <c r="I151" s="20">
        <v>73.182</v>
      </c>
    </row>
    <row r="152" s="1" customFormat="1" customHeight="1" spans="1:9">
      <c r="A152" s="8">
        <v>149</v>
      </c>
      <c r="B152" s="9" t="str">
        <f t="shared" si="16"/>
        <v>2023086</v>
      </c>
      <c r="C152" s="9" t="s">
        <v>39</v>
      </c>
      <c r="D152" s="9" t="s">
        <v>26</v>
      </c>
      <c r="E152" s="9" t="str">
        <f>"纪姝婷"</f>
        <v>纪姝婷</v>
      </c>
      <c r="F152" s="14">
        <v>79.68</v>
      </c>
      <c r="G152" s="14">
        <f t="shared" si="14"/>
        <v>55.776</v>
      </c>
      <c r="H152" s="15">
        <v>17.4</v>
      </c>
      <c r="I152" s="20">
        <v>73.176</v>
      </c>
    </row>
    <row r="153" s="1" customFormat="1" customHeight="1" spans="1:9">
      <c r="A153" s="8">
        <v>150</v>
      </c>
      <c r="B153" s="9" t="str">
        <f>"2023087"</f>
        <v>2023087</v>
      </c>
      <c r="C153" s="9" t="s">
        <v>39</v>
      </c>
      <c r="D153" s="9" t="s">
        <v>42</v>
      </c>
      <c r="E153" s="9" t="str">
        <f>"周婧"</f>
        <v>周婧</v>
      </c>
      <c r="F153" s="14">
        <v>88.28</v>
      </c>
      <c r="G153" s="14">
        <f t="shared" si="14"/>
        <v>61.796</v>
      </c>
      <c r="H153" s="15">
        <v>17.4</v>
      </c>
      <c r="I153" s="20">
        <v>79.196</v>
      </c>
    </row>
    <row r="154" s="1" customFormat="1" customHeight="1" spans="1:9">
      <c r="A154" s="8">
        <v>151</v>
      </c>
      <c r="B154" s="9" t="str">
        <f>"2023087"</f>
        <v>2023087</v>
      </c>
      <c r="C154" s="9" t="s">
        <v>39</v>
      </c>
      <c r="D154" s="9" t="s">
        <v>42</v>
      </c>
      <c r="E154" s="9" t="str">
        <f>"张袁俊"</f>
        <v>张袁俊</v>
      </c>
      <c r="F154" s="14">
        <v>84.5</v>
      </c>
      <c r="G154" s="14">
        <f t="shared" si="14"/>
        <v>59.15</v>
      </c>
      <c r="H154" s="17">
        <v>18</v>
      </c>
      <c r="I154" s="20">
        <v>77.15</v>
      </c>
    </row>
    <row r="155" s="1" customFormat="1" customHeight="1" spans="1:9">
      <c r="A155" s="8">
        <v>152</v>
      </c>
      <c r="B155" s="9" t="str">
        <f t="shared" ref="B155:B157" si="17">"2023088"</f>
        <v>2023088</v>
      </c>
      <c r="C155" s="9" t="s">
        <v>39</v>
      </c>
      <c r="D155" s="9" t="s">
        <v>43</v>
      </c>
      <c r="E155" s="9" t="str">
        <f>"刘利利"</f>
        <v>刘利利</v>
      </c>
      <c r="F155" s="14">
        <v>87</v>
      </c>
      <c r="G155" s="14">
        <f t="shared" si="14"/>
        <v>60.9</v>
      </c>
      <c r="H155" s="17">
        <v>13.5</v>
      </c>
      <c r="I155" s="20">
        <v>74.4</v>
      </c>
    </row>
    <row r="156" s="1" customFormat="1" customHeight="1" spans="1:9">
      <c r="A156" s="8">
        <v>153</v>
      </c>
      <c r="B156" s="9" t="str">
        <f t="shared" si="17"/>
        <v>2023088</v>
      </c>
      <c r="C156" s="9" t="s">
        <v>39</v>
      </c>
      <c r="D156" s="9" t="s">
        <v>43</v>
      </c>
      <c r="E156" s="9" t="str">
        <f>"纪哲旭"</f>
        <v>纪哲旭</v>
      </c>
      <c r="F156" s="14">
        <v>81.38</v>
      </c>
      <c r="G156" s="14">
        <f t="shared" si="14"/>
        <v>56.966</v>
      </c>
      <c r="H156" s="15">
        <v>16.8</v>
      </c>
      <c r="I156" s="20">
        <v>73.766</v>
      </c>
    </row>
    <row r="157" s="1" customFormat="1" customHeight="1" spans="1:9">
      <c r="A157" s="8">
        <v>154</v>
      </c>
      <c r="B157" s="9" t="str">
        <f t="shared" si="17"/>
        <v>2023088</v>
      </c>
      <c r="C157" s="9" t="s">
        <v>39</v>
      </c>
      <c r="D157" s="9" t="s">
        <v>43</v>
      </c>
      <c r="E157" s="9" t="str">
        <f>"张雨婷"</f>
        <v>张雨婷</v>
      </c>
      <c r="F157" s="14">
        <v>80.76</v>
      </c>
      <c r="G157" s="14">
        <f t="shared" si="14"/>
        <v>56.532</v>
      </c>
      <c r="H157" s="18">
        <v>13.5</v>
      </c>
      <c r="I157" s="20">
        <v>70.032</v>
      </c>
    </row>
    <row r="158" s="1" customFormat="1" customHeight="1" spans="1:9">
      <c r="A158" s="8">
        <v>155</v>
      </c>
      <c r="B158" s="9" t="str">
        <f t="shared" ref="B158:B160" si="18">"2023089"</f>
        <v>2023089</v>
      </c>
      <c r="C158" s="9" t="s">
        <v>39</v>
      </c>
      <c r="D158" s="9" t="s">
        <v>44</v>
      </c>
      <c r="E158" s="9" t="str">
        <f>"孙晴"</f>
        <v>孙晴</v>
      </c>
      <c r="F158" s="14">
        <v>83.8</v>
      </c>
      <c r="G158" s="14">
        <f t="shared" si="14"/>
        <v>58.66</v>
      </c>
      <c r="H158" s="15">
        <v>13.8</v>
      </c>
      <c r="I158" s="20">
        <v>72.46</v>
      </c>
    </row>
    <row r="159" s="1" customFormat="1" customHeight="1" spans="1:9">
      <c r="A159" s="8">
        <v>156</v>
      </c>
      <c r="B159" s="9" t="str">
        <f t="shared" si="18"/>
        <v>2023089</v>
      </c>
      <c r="C159" s="9" t="s">
        <v>39</v>
      </c>
      <c r="D159" s="9" t="s">
        <v>44</v>
      </c>
      <c r="E159" s="9" t="str">
        <f>"董静文"</f>
        <v>董静文</v>
      </c>
      <c r="F159" s="14">
        <v>83.16</v>
      </c>
      <c r="G159" s="14">
        <f t="shared" si="14"/>
        <v>58.212</v>
      </c>
      <c r="H159" s="15">
        <v>14.1</v>
      </c>
      <c r="I159" s="20">
        <v>72.312</v>
      </c>
    </row>
    <row r="160" s="1" customFormat="1" customHeight="1" spans="1:9">
      <c r="A160" s="8">
        <v>157</v>
      </c>
      <c r="B160" s="9" t="str">
        <f t="shared" si="18"/>
        <v>2023089</v>
      </c>
      <c r="C160" s="9" t="s">
        <v>39</v>
      </c>
      <c r="D160" s="9" t="s">
        <v>44</v>
      </c>
      <c r="E160" s="9" t="str">
        <f>"田霜霜"</f>
        <v>田霜霜</v>
      </c>
      <c r="F160" s="14">
        <v>82.4</v>
      </c>
      <c r="G160" s="14">
        <f t="shared" si="14"/>
        <v>57.68</v>
      </c>
      <c r="H160" s="15">
        <v>12</v>
      </c>
      <c r="I160" s="20">
        <v>69.68</v>
      </c>
    </row>
    <row r="161" s="1" customFormat="1" customHeight="1" spans="1:9">
      <c r="A161" s="8">
        <v>158</v>
      </c>
      <c r="B161" s="9" t="str">
        <f t="shared" ref="B161:B165" si="19">"2023090"</f>
        <v>2023090</v>
      </c>
      <c r="C161" s="9" t="s">
        <v>39</v>
      </c>
      <c r="D161" s="9" t="s">
        <v>45</v>
      </c>
      <c r="E161" s="9" t="str">
        <f>"关曼梅"</f>
        <v>关曼梅</v>
      </c>
      <c r="F161" s="14">
        <v>81.9</v>
      </c>
      <c r="G161" s="14">
        <f t="shared" si="14"/>
        <v>57.33</v>
      </c>
      <c r="H161" s="15">
        <v>17.7</v>
      </c>
      <c r="I161" s="20">
        <v>75.03</v>
      </c>
    </row>
    <row r="162" s="1" customFormat="1" customHeight="1" spans="1:9">
      <c r="A162" s="8">
        <v>159</v>
      </c>
      <c r="B162" s="9" t="str">
        <f t="shared" si="19"/>
        <v>2023090</v>
      </c>
      <c r="C162" s="9" t="s">
        <v>39</v>
      </c>
      <c r="D162" s="9" t="s">
        <v>45</v>
      </c>
      <c r="E162" s="9" t="str">
        <f>"张梅"</f>
        <v>张梅</v>
      </c>
      <c r="F162" s="14">
        <v>82.34</v>
      </c>
      <c r="G162" s="14">
        <f t="shared" si="14"/>
        <v>57.638</v>
      </c>
      <c r="H162" s="17">
        <v>16.2</v>
      </c>
      <c r="I162" s="20">
        <v>73.838</v>
      </c>
    </row>
    <row r="163" s="1" customFormat="1" customHeight="1" spans="1:9">
      <c r="A163" s="8">
        <v>160</v>
      </c>
      <c r="B163" s="9" t="str">
        <f t="shared" si="19"/>
        <v>2023090</v>
      </c>
      <c r="C163" s="9" t="s">
        <v>39</v>
      </c>
      <c r="D163" s="9" t="s">
        <v>45</v>
      </c>
      <c r="E163" s="9" t="str">
        <f>"蔡梅"</f>
        <v>蔡梅</v>
      </c>
      <c r="F163" s="14">
        <v>84.4</v>
      </c>
      <c r="G163" s="14">
        <f t="shared" si="14"/>
        <v>59.08</v>
      </c>
      <c r="H163" s="15">
        <v>14.4</v>
      </c>
      <c r="I163" s="20">
        <v>73.48</v>
      </c>
    </row>
    <row r="164" s="1" customFormat="1" customHeight="1" spans="1:9">
      <c r="A164" s="8">
        <v>161</v>
      </c>
      <c r="B164" s="9" t="str">
        <f t="shared" si="19"/>
        <v>2023090</v>
      </c>
      <c r="C164" s="9" t="s">
        <v>39</v>
      </c>
      <c r="D164" s="9" t="s">
        <v>45</v>
      </c>
      <c r="E164" s="9" t="str">
        <f>"李伶"</f>
        <v>李伶</v>
      </c>
      <c r="F164" s="14">
        <v>85.02</v>
      </c>
      <c r="G164" s="14">
        <f t="shared" si="14"/>
        <v>59.514</v>
      </c>
      <c r="H164" s="17">
        <v>13.8</v>
      </c>
      <c r="I164" s="20">
        <v>73.314</v>
      </c>
    </row>
    <row r="165" s="1" customFormat="1" customHeight="1" spans="1:9">
      <c r="A165" s="8">
        <v>162</v>
      </c>
      <c r="B165" s="9" t="str">
        <f t="shared" si="19"/>
        <v>2023090</v>
      </c>
      <c r="C165" s="9" t="s">
        <v>39</v>
      </c>
      <c r="D165" s="9" t="s">
        <v>45</v>
      </c>
      <c r="E165" s="9" t="str">
        <f>"朱众"</f>
        <v>朱众</v>
      </c>
      <c r="F165" s="14">
        <v>78.72</v>
      </c>
      <c r="G165" s="14">
        <f t="shared" si="14"/>
        <v>55.104</v>
      </c>
      <c r="H165" s="15">
        <v>18</v>
      </c>
      <c r="I165" s="20">
        <v>73.104</v>
      </c>
    </row>
    <row r="166" s="1" customFormat="1" customHeight="1" spans="1:9">
      <c r="A166" s="8">
        <v>163</v>
      </c>
      <c r="B166" s="9" t="str">
        <f t="shared" ref="B166:B169" si="20">"2023091"</f>
        <v>2023091</v>
      </c>
      <c r="C166" s="9" t="s">
        <v>39</v>
      </c>
      <c r="D166" s="9" t="s">
        <v>46</v>
      </c>
      <c r="E166" s="9" t="str">
        <f>"陈柳柳"</f>
        <v>陈柳柳</v>
      </c>
      <c r="F166" s="14">
        <v>83.22</v>
      </c>
      <c r="G166" s="14">
        <f t="shared" si="14"/>
        <v>58.254</v>
      </c>
      <c r="H166" s="18">
        <v>14.1</v>
      </c>
      <c r="I166" s="20">
        <v>72.354</v>
      </c>
    </row>
    <row r="167" s="1" customFormat="1" customHeight="1" spans="1:9">
      <c r="A167" s="8">
        <v>164</v>
      </c>
      <c r="B167" s="9" t="str">
        <f t="shared" si="20"/>
        <v>2023091</v>
      </c>
      <c r="C167" s="9" t="s">
        <v>39</v>
      </c>
      <c r="D167" s="9" t="s">
        <v>46</v>
      </c>
      <c r="E167" s="9" t="str">
        <f>"关秀敏"</f>
        <v>关秀敏</v>
      </c>
      <c r="F167" s="14">
        <v>80.8</v>
      </c>
      <c r="G167" s="14">
        <f t="shared" si="14"/>
        <v>56.56</v>
      </c>
      <c r="H167" s="15">
        <v>14.7</v>
      </c>
      <c r="I167" s="20">
        <v>71.26</v>
      </c>
    </row>
    <row r="168" s="1" customFormat="1" customHeight="1" spans="1:9">
      <c r="A168" s="8">
        <v>165</v>
      </c>
      <c r="B168" s="9" t="str">
        <f t="shared" si="20"/>
        <v>2023091</v>
      </c>
      <c r="C168" s="9" t="s">
        <v>39</v>
      </c>
      <c r="D168" s="9" t="s">
        <v>46</v>
      </c>
      <c r="E168" s="9" t="str">
        <f>"时子涵"</f>
        <v>时子涵</v>
      </c>
      <c r="F168" s="14">
        <v>85.72</v>
      </c>
      <c r="G168" s="14">
        <f t="shared" si="14"/>
        <v>60.004</v>
      </c>
      <c r="H168" s="15">
        <v>9.75</v>
      </c>
      <c r="I168" s="20">
        <v>69.754</v>
      </c>
    </row>
    <row r="169" s="1" customFormat="1" customHeight="1" spans="1:9">
      <c r="A169" s="8">
        <v>166</v>
      </c>
      <c r="B169" s="9" t="str">
        <f t="shared" si="20"/>
        <v>2023091</v>
      </c>
      <c r="C169" s="9" t="s">
        <v>39</v>
      </c>
      <c r="D169" s="9" t="s">
        <v>46</v>
      </c>
      <c r="E169" s="9" t="str">
        <f>"刘三利"</f>
        <v>刘三利</v>
      </c>
      <c r="F169" s="14">
        <v>83.6</v>
      </c>
      <c r="G169" s="14">
        <f t="shared" si="14"/>
        <v>58.52</v>
      </c>
      <c r="H169" s="19">
        <v>9.75</v>
      </c>
      <c r="I169" s="20">
        <v>68.27</v>
      </c>
    </row>
    <row r="170" s="1" customFormat="1" customHeight="1" spans="1:9">
      <c r="A170" s="8">
        <v>167</v>
      </c>
      <c r="B170" s="9" t="str">
        <f t="shared" ref="B170:B172" si="21">"2023092"</f>
        <v>2023092</v>
      </c>
      <c r="C170" s="9" t="s">
        <v>39</v>
      </c>
      <c r="D170" s="9" t="s">
        <v>47</v>
      </c>
      <c r="E170" s="9" t="str">
        <f>"盛言"</f>
        <v>盛言</v>
      </c>
      <c r="F170" s="14">
        <v>83.66</v>
      </c>
      <c r="G170" s="14">
        <f t="shared" si="14"/>
        <v>58.562</v>
      </c>
      <c r="H170" s="15">
        <v>13.8</v>
      </c>
      <c r="I170" s="20">
        <v>72.362</v>
      </c>
    </row>
    <row r="171" s="1" customFormat="1" customHeight="1" spans="1:9">
      <c r="A171" s="8">
        <v>168</v>
      </c>
      <c r="B171" s="9" t="str">
        <f t="shared" si="21"/>
        <v>2023092</v>
      </c>
      <c r="C171" s="9" t="s">
        <v>39</v>
      </c>
      <c r="D171" s="9" t="s">
        <v>47</v>
      </c>
      <c r="E171" s="9" t="str">
        <f>"葛山秀"</f>
        <v>葛山秀</v>
      </c>
      <c r="F171" s="14">
        <v>82.84</v>
      </c>
      <c r="G171" s="14">
        <f t="shared" si="14"/>
        <v>57.988</v>
      </c>
      <c r="H171" s="18">
        <v>13.5</v>
      </c>
      <c r="I171" s="20">
        <v>71.488</v>
      </c>
    </row>
    <row r="172" s="1" customFormat="1" customHeight="1" spans="1:9">
      <c r="A172" s="8">
        <v>169</v>
      </c>
      <c r="B172" s="9" t="str">
        <f t="shared" si="21"/>
        <v>2023092</v>
      </c>
      <c r="C172" s="9" t="s">
        <v>39</v>
      </c>
      <c r="D172" s="9" t="s">
        <v>47</v>
      </c>
      <c r="E172" s="9" t="str">
        <f>"池静静"</f>
        <v>池静静</v>
      </c>
      <c r="F172" s="14">
        <v>82.78</v>
      </c>
      <c r="G172" s="14">
        <f t="shared" si="14"/>
        <v>57.946</v>
      </c>
      <c r="H172" s="15">
        <v>13.5</v>
      </c>
      <c r="I172" s="20">
        <v>71.446</v>
      </c>
    </row>
    <row r="173" s="1" customFormat="1" customHeight="1" spans="1:9">
      <c r="A173" s="8">
        <v>170</v>
      </c>
      <c r="B173" s="9" t="str">
        <f>"2023093"</f>
        <v>2023093</v>
      </c>
      <c r="C173" s="9" t="s">
        <v>48</v>
      </c>
      <c r="D173" s="9" t="s">
        <v>40</v>
      </c>
      <c r="E173" s="9" t="str">
        <f>"李慧杰"</f>
        <v>李慧杰</v>
      </c>
      <c r="F173" s="14">
        <v>83.94</v>
      </c>
      <c r="G173" s="14">
        <f t="shared" si="14"/>
        <v>58.758</v>
      </c>
      <c r="H173" s="19">
        <v>14.55</v>
      </c>
      <c r="I173" s="20">
        <v>73.308</v>
      </c>
    </row>
    <row r="174" s="1" customFormat="1" customHeight="1" spans="1:9">
      <c r="A174" s="8">
        <v>171</v>
      </c>
      <c r="B174" s="9" t="str">
        <f>"2023093"</f>
        <v>2023093</v>
      </c>
      <c r="C174" s="9" t="s">
        <v>48</v>
      </c>
      <c r="D174" s="9" t="s">
        <v>40</v>
      </c>
      <c r="E174" s="9" t="str">
        <f>"刘明"</f>
        <v>刘明</v>
      </c>
      <c r="F174" s="14">
        <v>82</v>
      </c>
      <c r="G174" s="14">
        <f t="shared" si="14"/>
        <v>57.4</v>
      </c>
      <c r="H174" s="17">
        <v>13.8</v>
      </c>
      <c r="I174" s="20">
        <v>71.2</v>
      </c>
    </row>
    <row r="175" s="1" customFormat="1" customHeight="1" spans="1:9">
      <c r="A175" s="8">
        <v>172</v>
      </c>
      <c r="B175" s="9" t="str">
        <f t="shared" ref="B175:B182" si="22">"2023094"</f>
        <v>2023094</v>
      </c>
      <c r="C175" s="9" t="s">
        <v>48</v>
      </c>
      <c r="D175" s="9" t="s">
        <v>22</v>
      </c>
      <c r="E175" s="9" t="str">
        <f>"陈雪"</f>
        <v>陈雪</v>
      </c>
      <c r="F175" s="14">
        <v>83.86</v>
      </c>
      <c r="G175" s="14">
        <f t="shared" si="14"/>
        <v>58.702</v>
      </c>
      <c r="H175" s="15">
        <v>17.7</v>
      </c>
      <c r="I175" s="20">
        <v>76.402</v>
      </c>
    </row>
    <row r="176" s="1" customFormat="1" customHeight="1" spans="1:9">
      <c r="A176" s="8">
        <v>173</v>
      </c>
      <c r="B176" s="9" t="str">
        <f t="shared" si="22"/>
        <v>2023094</v>
      </c>
      <c r="C176" s="9" t="s">
        <v>48</v>
      </c>
      <c r="D176" s="9" t="s">
        <v>22</v>
      </c>
      <c r="E176" s="9" t="str">
        <f>"罗坤"</f>
        <v>罗坤</v>
      </c>
      <c r="F176" s="14">
        <v>81.92</v>
      </c>
      <c r="G176" s="14">
        <f t="shared" si="14"/>
        <v>57.344</v>
      </c>
      <c r="H176" s="17">
        <v>16.8</v>
      </c>
      <c r="I176" s="20">
        <v>74.144</v>
      </c>
    </row>
    <row r="177" s="1" customFormat="1" customHeight="1" spans="1:9">
      <c r="A177" s="8">
        <v>174</v>
      </c>
      <c r="B177" s="9" t="str">
        <f t="shared" si="22"/>
        <v>2023094</v>
      </c>
      <c r="C177" s="9" t="s">
        <v>48</v>
      </c>
      <c r="D177" s="9" t="s">
        <v>22</v>
      </c>
      <c r="E177" s="9" t="str">
        <f>"李佩"</f>
        <v>李佩</v>
      </c>
      <c r="F177" s="14">
        <v>80.42</v>
      </c>
      <c r="G177" s="14">
        <f t="shared" si="14"/>
        <v>56.294</v>
      </c>
      <c r="H177" s="15">
        <v>17.1</v>
      </c>
      <c r="I177" s="20">
        <v>73.394</v>
      </c>
    </row>
    <row r="178" s="1" customFormat="1" customHeight="1" spans="1:9">
      <c r="A178" s="8">
        <v>175</v>
      </c>
      <c r="B178" s="9" t="str">
        <f t="shared" si="22"/>
        <v>2023094</v>
      </c>
      <c r="C178" s="9" t="s">
        <v>48</v>
      </c>
      <c r="D178" s="9" t="s">
        <v>22</v>
      </c>
      <c r="E178" s="9" t="str">
        <f>"李瑞雪"</f>
        <v>李瑞雪</v>
      </c>
      <c r="F178" s="14">
        <v>82.94</v>
      </c>
      <c r="G178" s="14">
        <f t="shared" si="14"/>
        <v>58.058</v>
      </c>
      <c r="H178" s="15">
        <v>14.4</v>
      </c>
      <c r="I178" s="20">
        <v>72.458</v>
      </c>
    </row>
    <row r="179" s="1" customFormat="1" customHeight="1" spans="1:9">
      <c r="A179" s="8">
        <v>176</v>
      </c>
      <c r="B179" s="9" t="str">
        <f t="shared" si="22"/>
        <v>2023094</v>
      </c>
      <c r="C179" s="9" t="s">
        <v>48</v>
      </c>
      <c r="D179" s="9" t="s">
        <v>22</v>
      </c>
      <c r="E179" s="9" t="str">
        <f>"黄福洲"</f>
        <v>黄福洲</v>
      </c>
      <c r="F179" s="14">
        <v>79.02</v>
      </c>
      <c r="G179" s="14">
        <f t="shared" si="14"/>
        <v>55.314</v>
      </c>
      <c r="H179" s="17">
        <v>16.5</v>
      </c>
      <c r="I179" s="20">
        <v>71.814</v>
      </c>
    </row>
    <row r="180" s="1" customFormat="1" customHeight="1" spans="1:9">
      <c r="A180" s="8">
        <v>177</v>
      </c>
      <c r="B180" s="9" t="str">
        <f t="shared" si="22"/>
        <v>2023094</v>
      </c>
      <c r="C180" s="9" t="s">
        <v>48</v>
      </c>
      <c r="D180" s="9" t="s">
        <v>22</v>
      </c>
      <c r="E180" s="9" t="str">
        <f>"李雪"</f>
        <v>李雪</v>
      </c>
      <c r="F180" s="14">
        <v>83.22</v>
      </c>
      <c r="G180" s="14">
        <f t="shared" si="14"/>
        <v>58.254</v>
      </c>
      <c r="H180" s="17">
        <v>13.5</v>
      </c>
      <c r="I180" s="20">
        <v>71.754</v>
      </c>
    </row>
    <row r="181" s="1" customFormat="1" customHeight="1" spans="1:9">
      <c r="A181" s="8">
        <v>178</v>
      </c>
      <c r="B181" s="9" t="str">
        <f t="shared" si="22"/>
        <v>2023094</v>
      </c>
      <c r="C181" s="9" t="s">
        <v>48</v>
      </c>
      <c r="D181" s="9" t="s">
        <v>22</v>
      </c>
      <c r="E181" s="9" t="str">
        <f>"丰伟"</f>
        <v>丰伟</v>
      </c>
      <c r="F181" s="14">
        <v>81.6</v>
      </c>
      <c r="G181" s="14">
        <f t="shared" si="14"/>
        <v>57.12</v>
      </c>
      <c r="H181" s="15">
        <v>14.4</v>
      </c>
      <c r="I181" s="20">
        <v>71.52</v>
      </c>
    </row>
    <row r="182" s="1" customFormat="1" customHeight="1" spans="1:9">
      <c r="A182" s="8">
        <v>179</v>
      </c>
      <c r="B182" s="9" t="str">
        <f t="shared" si="22"/>
        <v>2023094</v>
      </c>
      <c r="C182" s="9" t="s">
        <v>48</v>
      </c>
      <c r="D182" s="9" t="s">
        <v>22</v>
      </c>
      <c r="E182" s="9" t="str">
        <f>"汪苗"</f>
        <v>汪苗</v>
      </c>
      <c r="F182" s="14">
        <v>82.06</v>
      </c>
      <c r="G182" s="14">
        <f t="shared" si="14"/>
        <v>57.442</v>
      </c>
      <c r="H182" s="15">
        <v>13.8</v>
      </c>
      <c r="I182" s="20">
        <v>71.242</v>
      </c>
    </row>
    <row r="183" s="1" customFormat="1" customHeight="1" spans="1:9">
      <c r="A183" s="8">
        <v>180</v>
      </c>
      <c r="B183" s="9" t="str">
        <f t="shared" ref="B183:B191" si="23">"2023095"</f>
        <v>2023095</v>
      </c>
      <c r="C183" s="9" t="s">
        <v>48</v>
      </c>
      <c r="D183" s="9" t="s">
        <v>41</v>
      </c>
      <c r="E183" s="9" t="str">
        <f>"王焕洁"</f>
        <v>王焕洁</v>
      </c>
      <c r="F183" s="14">
        <v>86.08</v>
      </c>
      <c r="G183" s="14">
        <f t="shared" si="14"/>
        <v>60.256</v>
      </c>
      <c r="H183" s="15">
        <v>13.5</v>
      </c>
      <c r="I183" s="20">
        <v>73.756</v>
      </c>
    </row>
    <row r="184" s="1" customFormat="1" customHeight="1" spans="1:9">
      <c r="A184" s="8">
        <v>181</v>
      </c>
      <c r="B184" s="9" t="str">
        <f t="shared" si="23"/>
        <v>2023095</v>
      </c>
      <c r="C184" s="9" t="s">
        <v>48</v>
      </c>
      <c r="D184" s="9" t="s">
        <v>41</v>
      </c>
      <c r="E184" s="9" t="str">
        <f>"严国慧"</f>
        <v>严国慧</v>
      </c>
      <c r="F184" s="14">
        <v>80.99</v>
      </c>
      <c r="G184" s="14">
        <f t="shared" si="14"/>
        <v>56.693</v>
      </c>
      <c r="H184" s="15">
        <v>15.6</v>
      </c>
      <c r="I184" s="20">
        <v>72.293</v>
      </c>
    </row>
    <row r="185" s="1" customFormat="1" customHeight="1" spans="1:9">
      <c r="A185" s="8">
        <v>182</v>
      </c>
      <c r="B185" s="9" t="str">
        <f t="shared" si="23"/>
        <v>2023095</v>
      </c>
      <c r="C185" s="9" t="s">
        <v>48</v>
      </c>
      <c r="D185" s="9" t="s">
        <v>41</v>
      </c>
      <c r="E185" s="9" t="str">
        <f>"崔佳慧"</f>
        <v>崔佳慧</v>
      </c>
      <c r="F185" s="14">
        <v>84.6</v>
      </c>
      <c r="G185" s="14">
        <f t="shared" si="14"/>
        <v>59.22</v>
      </c>
      <c r="H185" s="15">
        <v>12.75</v>
      </c>
      <c r="I185" s="20">
        <v>71.97</v>
      </c>
    </row>
    <row r="186" s="1" customFormat="1" customHeight="1" spans="1:9">
      <c r="A186" s="8">
        <v>183</v>
      </c>
      <c r="B186" s="9" t="str">
        <f t="shared" si="23"/>
        <v>2023095</v>
      </c>
      <c r="C186" s="9" t="s">
        <v>48</v>
      </c>
      <c r="D186" s="9" t="s">
        <v>41</v>
      </c>
      <c r="E186" s="9" t="str">
        <f>"许晓习"</f>
        <v>许晓习</v>
      </c>
      <c r="F186" s="14">
        <v>81.15</v>
      </c>
      <c r="G186" s="14">
        <f t="shared" si="14"/>
        <v>56.805</v>
      </c>
      <c r="H186" s="15">
        <v>13.5</v>
      </c>
      <c r="I186" s="20">
        <v>70.305</v>
      </c>
    </row>
    <row r="187" s="1" customFormat="1" customHeight="1" spans="1:9">
      <c r="A187" s="8">
        <v>184</v>
      </c>
      <c r="B187" s="9" t="str">
        <f t="shared" si="23"/>
        <v>2023095</v>
      </c>
      <c r="C187" s="9" t="s">
        <v>48</v>
      </c>
      <c r="D187" s="9" t="s">
        <v>41</v>
      </c>
      <c r="E187" s="9" t="str">
        <f>"刘晴"</f>
        <v>刘晴</v>
      </c>
      <c r="F187" s="14">
        <v>81.96</v>
      </c>
      <c r="G187" s="14">
        <f t="shared" si="14"/>
        <v>57.372</v>
      </c>
      <c r="H187" s="17">
        <v>12.3</v>
      </c>
      <c r="I187" s="20">
        <v>69.672</v>
      </c>
    </row>
    <row r="188" s="1" customFormat="1" customHeight="1" spans="1:9">
      <c r="A188" s="8">
        <v>185</v>
      </c>
      <c r="B188" s="9" t="str">
        <f t="shared" si="23"/>
        <v>2023095</v>
      </c>
      <c r="C188" s="9" t="s">
        <v>48</v>
      </c>
      <c r="D188" s="9" t="s">
        <v>41</v>
      </c>
      <c r="E188" s="9" t="str">
        <f>"陈晓莉"</f>
        <v>陈晓莉</v>
      </c>
      <c r="F188" s="14">
        <v>79.3</v>
      </c>
      <c r="G188" s="14">
        <f t="shared" si="14"/>
        <v>55.51</v>
      </c>
      <c r="H188" s="15">
        <v>13.5</v>
      </c>
      <c r="I188" s="20">
        <v>69.01</v>
      </c>
    </row>
    <row r="189" s="1" customFormat="1" customHeight="1" spans="1:9">
      <c r="A189" s="8">
        <v>186</v>
      </c>
      <c r="B189" s="9" t="str">
        <f t="shared" si="23"/>
        <v>2023095</v>
      </c>
      <c r="C189" s="9" t="s">
        <v>48</v>
      </c>
      <c r="D189" s="9" t="s">
        <v>41</v>
      </c>
      <c r="E189" s="9" t="str">
        <f>"李卫国"</f>
        <v>李卫国</v>
      </c>
      <c r="F189" s="14">
        <v>80.72</v>
      </c>
      <c r="G189" s="14">
        <f t="shared" si="14"/>
        <v>56.504</v>
      </c>
      <c r="H189" s="22">
        <v>12</v>
      </c>
      <c r="I189" s="20">
        <v>68.504</v>
      </c>
    </row>
    <row r="190" s="1" customFormat="1" customHeight="1" spans="1:9">
      <c r="A190" s="8">
        <v>187</v>
      </c>
      <c r="B190" s="9" t="str">
        <f t="shared" si="23"/>
        <v>2023095</v>
      </c>
      <c r="C190" s="9" t="s">
        <v>48</v>
      </c>
      <c r="D190" s="9" t="s">
        <v>41</v>
      </c>
      <c r="E190" s="9" t="str">
        <f>"王方"</f>
        <v>王方</v>
      </c>
      <c r="F190" s="14">
        <v>87.06</v>
      </c>
      <c r="G190" s="14">
        <f t="shared" si="14"/>
        <v>60.942</v>
      </c>
      <c r="H190" s="15">
        <v>7.5</v>
      </c>
      <c r="I190" s="20">
        <v>68.442</v>
      </c>
    </row>
    <row r="191" s="1" customFormat="1" customHeight="1" spans="1:9">
      <c r="A191" s="8">
        <v>188</v>
      </c>
      <c r="B191" s="9" t="str">
        <f t="shared" si="23"/>
        <v>2023095</v>
      </c>
      <c r="C191" s="9" t="s">
        <v>48</v>
      </c>
      <c r="D191" s="9" t="s">
        <v>41</v>
      </c>
      <c r="E191" s="9" t="str">
        <f>"马静怡"</f>
        <v>马静怡</v>
      </c>
      <c r="F191" s="14">
        <v>81.26</v>
      </c>
      <c r="G191" s="14">
        <f t="shared" si="14"/>
        <v>56.882</v>
      </c>
      <c r="H191" s="15">
        <v>10.125</v>
      </c>
      <c r="I191" s="20">
        <v>67.007</v>
      </c>
    </row>
    <row r="192" s="1" customFormat="1" customHeight="1" spans="1:9">
      <c r="A192" s="8">
        <v>189</v>
      </c>
      <c r="B192" s="9" t="str">
        <f t="shared" ref="B192:B199" si="24">"2023096"</f>
        <v>2023096</v>
      </c>
      <c r="C192" s="9" t="s">
        <v>48</v>
      </c>
      <c r="D192" s="9" t="s">
        <v>24</v>
      </c>
      <c r="E192" s="9" t="str">
        <f>"董子"</f>
        <v>董子</v>
      </c>
      <c r="F192" s="14">
        <v>83.95</v>
      </c>
      <c r="G192" s="14">
        <f t="shared" si="14"/>
        <v>58.765</v>
      </c>
      <c r="H192" s="15">
        <v>14.7</v>
      </c>
      <c r="I192" s="20">
        <v>73.465</v>
      </c>
    </row>
    <row r="193" s="1" customFormat="1" customHeight="1" spans="1:9">
      <c r="A193" s="8">
        <v>190</v>
      </c>
      <c r="B193" s="9" t="str">
        <f t="shared" si="24"/>
        <v>2023096</v>
      </c>
      <c r="C193" s="9" t="s">
        <v>48</v>
      </c>
      <c r="D193" s="9" t="s">
        <v>24</v>
      </c>
      <c r="E193" s="9" t="str">
        <f>"李晓东"</f>
        <v>李晓东</v>
      </c>
      <c r="F193" s="14">
        <v>84.08</v>
      </c>
      <c r="G193" s="14">
        <f t="shared" si="14"/>
        <v>58.856</v>
      </c>
      <c r="H193" s="17">
        <v>13.5</v>
      </c>
      <c r="I193" s="20">
        <v>72.356</v>
      </c>
    </row>
    <row r="194" s="1" customFormat="1" customHeight="1" spans="1:9">
      <c r="A194" s="8">
        <v>191</v>
      </c>
      <c r="B194" s="9" t="str">
        <f t="shared" si="24"/>
        <v>2023096</v>
      </c>
      <c r="C194" s="9" t="s">
        <v>48</v>
      </c>
      <c r="D194" s="9" t="s">
        <v>24</v>
      </c>
      <c r="E194" s="9" t="str">
        <f>"马飞"</f>
        <v>马飞</v>
      </c>
      <c r="F194" s="14">
        <v>81.7</v>
      </c>
      <c r="G194" s="14">
        <f t="shared" si="14"/>
        <v>57.19</v>
      </c>
      <c r="H194" s="15">
        <v>15</v>
      </c>
      <c r="I194" s="20">
        <v>72.19</v>
      </c>
    </row>
    <row r="195" s="1" customFormat="1" customHeight="1" spans="1:9">
      <c r="A195" s="8">
        <v>192</v>
      </c>
      <c r="B195" s="9" t="str">
        <f t="shared" si="24"/>
        <v>2023096</v>
      </c>
      <c r="C195" s="9" t="s">
        <v>48</v>
      </c>
      <c r="D195" s="9" t="s">
        <v>24</v>
      </c>
      <c r="E195" s="9" t="str">
        <f>"王徐飞"</f>
        <v>王徐飞</v>
      </c>
      <c r="F195" s="14">
        <v>83.71</v>
      </c>
      <c r="G195" s="14">
        <f t="shared" si="14"/>
        <v>58.597</v>
      </c>
      <c r="H195" s="15">
        <v>13.5</v>
      </c>
      <c r="I195" s="20">
        <v>72.097</v>
      </c>
    </row>
    <row r="196" s="1" customFormat="1" customHeight="1" spans="1:9">
      <c r="A196" s="8">
        <v>193</v>
      </c>
      <c r="B196" s="9" t="str">
        <f t="shared" si="24"/>
        <v>2023096</v>
      </c>
      <c r="C196" s="9" t="s">
        <v>48</v>
      </c>
      <c r="D196" s="9" t="s">
        <v>24</v>
      </c>
      <c r="E196" s="9" t="str">
        <f>"孙昔昔"</f>
        <v>孙昔昔</v>
      </c>
      <c r="F196" s="14">
        <v>83.14</v>
      </c>
      <c r="G196" s="14">
        <f t="shared" si="14"/>
        <v>58.198</v>
      </c>
      <c r="H196" s="18">
        <v>13.5</v>
      </c>
      <c r="I196" s="20">
        <v>71.698</v>
      </c>
    </row>
    <row r="197" s="1" customFormat="1" customHeight="1" spans="1:9">
      <c r="A197" s="8">
        <v>194</v>
      </c>
      <c r="B197" s="9" t="str">
        <f t="shared" si="24"/>
        <v>2023096</v>
      </c>
      <c r="C197" s="9" t="s">
        <v>48</v>
      </c>
      <c r="D197" s="9" t="s">
        <v>24</v>
      </c>
      <c r="E197" s="9" t="str">
        <f>"杨磊"</f>
        <v>杨磊</v>
      </c>
      <c r="F197" s="14">
        <v>81.67</v>
      </c>
      <c r="G197" s="14">
        <f t="shared" ref="G197:G260" si="25">F197*0.7</f>
        <v>57.169</v>
      </c>
      <c r="H197" s="15">
        <v>14.1</v>
      </c>
      <c r="I197" s="20">
        <v>71.269</v>
      </c>
    </row>
    <row r="198" s="1" customFormat="1" customHeight="1" spans="1:9">
      <c r="A198" s="8">
        <v>195</v>
      </c>
      <c r="B198" s="9" t="str">
        <f t="shared" si="24"/>
        <v>2023096</v>
      </c>
      <c r="C198" s="9" t="s">
        <v>48</v>
      </c>
      <c r="D198" s="9" t="s">
        <v>24</v>
      </c>
      <c r="E198" s="9" t="str">
        <f>"张茜茜"</f>
        <v>张茜茜</v>
      </c>
      <c r="F198" s="14">
        <v>80.23</v>
      </c>
      <c r="G198" s="14">
        <f t="shared" si="25"/>
        <v>56.161</v>
      </c>
      <c r="H198" s="17">
        <v>13.8</v>
      </c>
      <c r="I198" s="20">
        <v>69.961</v>
      </c>
    </row>
    <row r="199" s="1" customFormat="1" customHeight="1" spans="1:9">
      <c r="A199" s="8">
        <v>196</v>
      </c>
      <c r="B199" s="9" t="str">
        <f t="shared" si="24"/>
        <v>2023096</v>
      </c>
      <c r="C199" s="9" t="s">
        <v>48</v>
      </c>
      <c r="D199" s="9" t="s">
        <v>24</v>
      </c>
      <c r="E199" s="9" t="str">
        <f>"刘晴晴"</f>
        <v>刘晴晴</v>
      </c>
      <c r="F199" s="14">
        <v>76.79</v>
      </c>
      <c r="G199" s="14">
        <f t="shared" si="25"/>
        <v>53.753</v>
      </c>
      <c r="H199" s="17">
        <v>14.7</v>
      </c>
      <c r="I199" s="20">
        <v>68.453</v>
      </c>
    </row>
    <row r="200" s="1" customFormat="1" customHeight="1" spans="1:9">
      <c r="A200" s="8">
        <v>197</v>
      </c>
      <c r="B200" s="9" t="str">
        <f t="shared" ref="B200:B204" si="26">"2023097"</f>
        <v>2023097</v>
      </c>
      <c r="C200" s="9" t="s">
        <v>48</v>
      </c>
      <c r="D200" s="9" t="s">
        <v>25</v>
      </c>
      <c r="E200" s="9" t="str">
        <f>"李欢"</f>
        <v>李欢</v>
      </c>
      <c r="F200" s="14">
        <v>83.1</v>
      </c>
      <c r="G200" s="14">
        <f t="shared" si="25"/>
        <v>58.17</v>
      </c>
      <c r="H200" s="17">
        <v>16.8</v>
      </c>
      <c r="I200" s="20">
        <v>74.97</v>
      </c>
    </row>
    <row r="201" s="1" customFormat="1" customHeight="1" spans="1:9">
      <c r="A201" s="8">
        <v>198</v>
      </c>
      <c r="B201" s="9" t="str">
        <f t="shared" si="26"/>
        <v>2023097</v>
      </c>
      <c r="C201" s="9" t="s">
        <v>48</v>
      </c>
      <c r="D201" s="9" t="s">
        <v>25</v>
      </c>
      <c r="E201" s="9" t="str">
        <f>"刘月华"</f>
        <v>刘月华</v>
      </c>
      <c r="F201" s="14">
        <v>81</v>
      </c>
      <c r="G201" s="14">
        <f t="shared" si="25"/>
        <v>56.7</v>
      </c>
      <c r="H201" s="15">
        <v>18</v>
      </c>
      <c r="I201" s="20">
        <v>74.7</v>
      </c>
    </row>
    <row r="202" s="1" customFormat="1" customHeight="1" spans="1:9">
      <c r="A202" s="8">
        <v>199</v>
      </c>
      <c r="B202" s="21" t="str">
        <f t="shared" si="26"/>
        <v>2023097</v>
      </c>
      <c r="C202" s="21" t="s">
        <v>48</v>
      </c>
      <c r="D202" s="21" t="s">
        <v>25</v>
      </c>
      <c r="E202" s="21" t="str">
        <f>"韩旭"</f>
        <v>韩旭</v>
      </c>
      <c r="F202" s="14">
        <v>84.24</v>
      </c>
      <c r="G202" s="14">
        <f t="shared" si="25"/>
        <v>58.968</v>
      </c>
      <c r="H202" s="18">
        <v>13.8</v>
      </c>
      <c r="I202" s="20">
        <v>72.768</v>
      </c>
    </row>
    <row r="203" s="1" customFormat="1" customHeight="1" spans="1:9">
      <c r="A203" s="8">
        <v>200</v>
      </c>
      <c r="B203" s="9" t="str">
        <f t="shared" si="26"/>
        <v>2023097</v>
      </c>
      <c r="C203" s="9" t="s">
        <v>48</v>
      </c>
      <c r="D203" s="9" t="s">
        <v>25</v>
      </c>
      <c r="E203" s="9" t="str">
        <f>"李娈"</f>
        <v>李娈</v>
      </c>
      <c r="F203" s="14">
        <v>83.66</v>
      </c>
      <c r="G203" s="14">
        <f t="shared" si="25"/>
        <v>58.562</v>
      </c>
      <c r="H203" s="18">
        <v>13.8</v>
      </c>
      <c r="I203" s="20">
        <v>72.362</v>
      </c>
    </row>
    <row r="204" s="1" customFormat="1" customHeight="1" spans="1:9">
      <c r="A204" s="8">
        <v>201</v>
      </c>
      <c r="B204" s="9" t="str">
        <f t="shared" si="26"/>
        <v>2023097</v>
      </c>
      <c r="C204" s="9" t="s">
        <v>48</v>
      </c>
      <c r="D204" s="9" t="s">
        <v>25</v>
      </c>
      <c r="E204" s="9" t="str">
        <f>"王路路"</f>
        <v>王路路</v>
      </c>
      <c r="F204" s="14">
        <v>84.08</v>
      </c>
      <c r="G204" s="14">
        <f t="shared" si="25"/>
        <v>58.856</v>
      </c>
      <c r="H204" s="15">
        <v>13.5</v>
      </c>
      <c r="I204" s="20">
        <v>72.356</v>
      </c>
    </row>
    <row r="205" s="1" customFormat="1" customHeight="1" spans="1:9">
      <c r="A205" s="8">
        <v>202</v>
      </c>
      <c r="B205" s="9" t="str">
        <f t="shared" ref="B205:B209" si="27">"2023098"</f>
        <v>2023098</v>
      </c>
      <c r="C205" s="9" t="s">
        <v>48</v>
      </c>
      <c r="D205" s="9" t="s">
        <v>26</v>
      </c>
      <c r="E205" s="9" t="str">
        <f>"张伊杰"</f>
        <v>张伊杰</v>
      </c>
      <c r="F205" s="14">
        <v>84.48</v>
      </c>
      <c r="G205" s="14">
        <f t="shared" si="25"/>
        <v>59.136</v>
      </c>
      <c r="H205" s="15">
        <v>14.4</v>
      </c>
      <c r="I205" s="20">
        <v>73.536</v>
      </c>
    </row>
    <row r="206" s="1" customFormat="1" customHeight="1" spans="1:9">
      <c r="A206" s="8">
        <v>203</v>
      </c>
      <c r="B206" s="9" t="str">
        <f t="shared" si="27"/>
        <v>2023098</v>
      </c>
      <c r="C206" s="9" t="s">
        <v>48</v>
      </c>
      <c r="D206" s="9" t="s">
        <v>26</v>
      </c>
      <c r="E206" s="9" t="str">
        <f>"苏亚飞"</f>
        <v>苏亚飞</v>
      </c>
      <c r="F206" s="14">
        <v>83.34</v>
      </c>
      <c r="G206" s="14">
        <f t="shared" si="25"/>
        <v>58.338</v>
      </c>
      <c r="H206" s="17">
        <v>14.7</v>
      </c>
      <c r="I206" s="20">
        <v>73.038</v>
      </c>
    </row>
    <row r="207" s="1" customFormat="1" customHeight="1" spans="1:9">
      <c r="A207" s="8">
        <v>204</v>
      </c>
      <c r="B207" s="9" t="str">
        <f t="shared" si="27"/>
        <v>2023098</v>
      </c>
      <c r="C207" s="9" t="s">
        <v>48</v>
      </c>
      <c r="D207" s="9" t="s">
        <v>26</v>
      </c>
      <c r="E207" s="9" t="str">
        <f>"盛淑荣"</f>
        <v>盛淑荣</v>
      </c>
      <c r="F207" s="14">
        <v>77.62</v>
      </c>
      <c r="G207" s="14">
        <f t="shared" si="25"/>
        <v>54.334</v>
      </c>
      <c r="H207" s="18">
        <v>18</v>
      </c>
      <c r="I207" s="20">
        <v>72.334</v>
      </c>
    </row>
    <row r="208" s="1" customFormat="1" customHeight="1" spans="1:9">
      <c r="A208" s="8">
        <v>205</v>
      </c>
      <c r="B208" s="9" t="str">
        <f t="shared" si="27"/>
        <v>2023098</v>
      </c>
      <c r="C208" s="9" t="s">
        <v>48</v>
      </c>
      <c r="D208" s="9" t="s">
        <v>26</v>
      </c>
      <c r="E208" s="9" t="str">
        <f>"刘志伟"</f>
        <v>刘志伟</v>
      </c>
      <c r="F208" s="14">
        <v>83.62</v>
      </c>
      <c r="G208" s="14">
        <f t="shared" si="25"/>
        <v>58.534</v>
      </c>
      <c r="H208" s="17">
        <v>13.5</v>
      </c>
      <c r="I208" s="20">
        <v>72.034</v>
      </c>
    </row>
    <row r="209" s="1" customFormat="1" customHeight="1" spans="1:9">
      <c r="A209" s="8">
        <v>206</v>
      </c>
      <c r="B209" s="9" t="str">
        <f t="shared" si="27"/>
        <v>2023098</v>
      </c>
      <c r="C209" s="9" t="s">
        <v>48</v>
      </c>
      <c r="D209" s="9" t="s">
        <v>26</v>
      </c>
      <c r="E209" s="9" t="str">
        <f>"李鹏飞"</f>
        <v>李鹏飞</v>
      </c>
      <c r="F209" s="14">
        <v>82.06</v>
      </c>
      <c r="G209" s="14">
        <f t="shared" si="25"/>
        <v>57.442</v>
      </c>
      <c r="H209" s="15">
        <v>14.1</v>
      </c>
      <c r="I209" s="20">
        <v>71.542</v>
      </c>
    </row>
    <row r="210" s="1" customFormat="1" customHeight="1" spans="1:9">
      <c r="A210" s="8">
        <v>207</v>
      </c>
      <c r="B210" s="9" t="str">
        <f t="shared" ref="B210:B212" si="28">"2023099"</f>
        <v>2023099</v>
      </c>
      <c r="C210" s="9" t="s">
        <v>48</v>
      </c>
      <c r="D210" s="9" t="s">
        <v>42</v>
      </c>
      <c r="E210" s="9" t="str">
        <f>"邹红伟"</f>
        <v>邹红伟</v>
      </c>
      <c r="F210" s="14">
        <v>85.28</v>
      </c>
      <c r="G210" s="14">
        <f t="shared" si="25"/>
        <v>59.696</v>
      </c>
      <c r="H210" s="17">
        <v>17.7</v>
      </c>
      <c r="I210" s="20">
        <v>77.396</v>
      </c>
    </row>
    <row r="211" s="1" customFormat="1" customHeight="1" spans="1:9">
      <c r="A211" s="8">
        <v>208</v>
      </c>
      <c r="B211" s="9" t="str">
        <f t="shared" si="28"/>
        <v>2023099</v>
      </c>
      <c r="C211" s="9" t="s">
        <v>48</v>
      </c>
      <c r="D211" s="9" t="s">
        <v>42</v>
      </c>
      <c r="E211" s="9" t="str">
        <f>"朱静"</f>
        <v>朱静</v>
      </c>
      <c r="F211" s="14">
        <v>84.34</v>
      </c>
      <c r="G211" s="14">
        <f t="shared" si="25"/>
        <v>59.038</v>
      </c>
      <c r="H211" s="15">
        <v>16.8</v>
      </c>
      <c r="I211" s="20">
        <v>75.838</v>
      </c>
    </row>
    <row r="212" s="1" customFormat="1" customHeight="1" spans="1:9">
      <c r="A212" s="8">
        <v>209</v>
      </c>
      <c r="B212" s="9" t="str">
        <f t="shared" si="28"/>
        <v>2023099</v>
      </c>
      <c r="C212" s="9" t="s">
        <v>48</v>
      </c>
      <c r="D212" s="9" t="s">
        <v>42</v>
      </c>
      <c r="E212" s="9" t="str">
        <f>"孙静宜"</f>
        <v>孙静宜</v>
      </c>
      <c r="F212" s="14">
        <v>76.4</v>
      </c>
      <c r="G212" s="14">
        <f t="shared" si="25"/>
        <v>53.48</v>
      </c>
      <c r="H212" s="17">
        <v>20.4</v>
      </c>
      <c r="I212" s="20">
        <v>73.88</v>
      </c>
    </row>
    <row r="213" s="1" customFormat="1" customHeight="1" spans="1:9">
      <c r="A213" s="8">
        <v>210</v>
      </c>
      <c r="B213" s="9" t="str">
        <f t="shared" ref="B213:B217" si="29">"2023100"</f>
        <v>2023100</v>
      </c>
      <c r="C213" s="9" t="s">
        <v>48</v>
      </c>
      <c r="D213" s="9" t="s">
        <v>43</v>
      </c>
      <c r="E213" s="9" t="str">
        <f>"张玉莹"</f>
        <v>张玉莹</v>
      </c>
      <c r="F213" s="14">
        <v>86.1</v>
      </c>
      <c r="G213" s="14">
        <f t="shared" si="25"/>
        <v>60.27</v>
      </c>
      <c r="H213" s="15">
        <v>13.05</v>
      </c>
      <c r="I213" s="20">
        <v>73.32</v>
      </c>
    </row>
    <row r="214" s="1" customFormat="1" customHeight="1" spans="1:9">
      <c r="A214" s="8">
        <v>211</v>
      </c>
      <c r="B214" s="9" t="str">
        <f t="shared" si="29"/>
        <v>2023100</v>
      </c>
      <c r="C214" s="9" t="s">
        <v>48</v>
      </c>
      <c r="D214" s="9" t="s">
        <v>43</v>
      </c>
      <c r="E214" s="9" t="str">
        <f>"刘钦"</f>
        <v>刘钦</v>
      </c>
      <c r="F214" s="14">
        <v>82.02</v>
      </c>
      <c r="G214" s="14">
        <f t="shared" si="25"/>
        <v>57.414</v>
      </c>
      <c r="H214" s="17">
        <v>14.1</v>
      </c>
      <c r="I214" s="20">
        <v>71.514</v>
      </c>
    </row>
    <row r="215" s="1" customFormat="1" customHeight="1" spans="1:9">
      <c r="A215" s="8">
        <v>212</v>
      </c>
      <c r="B215" s="9" t="str">
        <f t="shared" si="29"/>
        <v>2023100</v>
      </c>
      <c r="C215" s="9" t="s">
        <v>48</v>
      </c>
      <c r="D215" s="9" t="s">
        <v>43</v>
      </c>
      <c r="E215" s="9" t="str">
        <f>"刘雪"</f>
        <v>刘雪</v>
      </c>
      <c r="F215" s="14">
        <v>80.32</v>
      </c>
      <c r="G215" s="14">
        <f t="shared" si="25"/>
        <v>56.224</v>
      </c>
      <c r="H215" s="15">
        <v>14.25</v>
      </c>
      <c r="I215" s="20">
        <v>70.474</v>
      </c>
    </row>
    <row r="216" s="1" customFormat="1" customHeight="1" spans="1:9">
      <c r="A216" s="8">
        <v>213</v>
      </c>
      <c r="B216" s="9" t="str">
        <f t="shared" si="29"/>
        <v>2023100</v>
      </c>
      <c r="C216" s="9" t="s">
        <v>48</v>
      </c>
      <c r="D216" s="9" t="s">
        <v>43</v>
      </c>
      <c r="E216" s="9" t="str">
        <f>"李静"</f>
        <v>李静</v>
      </c>
      <c r="F216" s="14">
        <v>84.08</v>
      </c>
      <c r="G216" s="14">
        <f t="shared" si="25"/>
        <v>58.856</v>
      </c>
      <c r="H216" s="15">
        <v>10.575</v>
      </c>
      <c r="I216" s="20">
        <v>69.431</v>
      </c>
    </row>
    <row r="217" s="1" customFormat="1" customHeight="1" spans="1:9">
      <c r="A217" s="8">
        <v>214</v>
      </c>
      <c r="B217" s="9" t="str">
        <f t="shared" si="29"/>
        <v>2023100</v>
      </c>
      <c r="C217" s="9" t="s">
        <v>48</v>
      </c>
      <c r="D217" s="9" t="s">
        <v>43</v>
      </c>
      <c r="E217" s="9" t="str">
        <f>"刘梦茹"</f>
        <v>刘梦茹</v>
      </c>
      <c r="F217" s="14">
        <v>86.18</v>
      </c>
      <c r="G217" s="14">
        <f t="shared" si="25"/>
        <v>60.326</v>
      </c>
      <c r="H217" s="15">
        <v>7.8</v>
      </c>
      <c r="I217" s="20">
        <v>68.126</v>
      </c>
    </row>
    <row r="218" s="1" customFormat="1" customHeight="1" spans="1:9">
      <c r="A218" s="8">
        <v>215</v>
      </c>
      <c r="B218" s="9" t="str">
        <f t="shared" ref="B218:B220" si="30">"2023101"</f>
        <v>2023101</v>
      </c>
      <c r="C218" s="9" t="s">
        <v>48</v>
      </c>
      <c r="D218" s="9" t="s">
        <v>44</v>
      </c>
      <c r="E218" s="9" t="str">
        <f>"康志海"</f>
        <v>康志海</v>
      </c>
      <c r="F218" s="14">
        <v>85.82</v>
      </c>
      <c r="G218" s="14">
        <f t="shared" si="25"/>
        <v>60.074</v>
      </c>
      <c r="H218" s="15">
        <v>10.8</v>
      </c>
      <c r="I218" s="20">
        <v>70.874</v>
      </c>
    </row>
    <row r="219" s="1" customFormat="1" customHeight="1" spans="1:9">
      <c r="A219" s="8">
        <v>216</v>
      </c>
      <c r="B219" s="9" t="str">
        <f t="shared" si="30"/>
        <v>2023101</v>
      </c>
      <c r="C219" s="9" t="s">
        <v>48</v>
      </c>
      <c r="D219" s="9" t="s">
        <v>44</v>
      </c>
      <c r="E219" s="9" t="str">
        <f>"王亚楠"</f>
        <v>王亚楠</v>
      </c>
      <c r="F219" s="14">
        <v>82.2</v>
      </c>
      <c r="G219" s="14">
        <f t="shared" si="25"/>
        <v>57.54</v>
      </c>
      <c r="H219" s="18">
        <v>12.75</v>
      </c>
      <c r="I219" s="20">
        <v>70.29</v>
      </c>
    </row>
    <row r="220" s="1" customFormat="1" customHeight="1" spans="1:9">
      <c r="A220" s="8">
        <v>217</v>
      </c>
      <c r="B220" s="9" t="str">
        <f t="shared" si="30"/>
        <v>2023101</v>
      </c>
      <c r="C220" s="9" t="s">
        <v>48</v>
      </c>
      <c r="D220" s="9" t="s">
        <v>44</v>
      </c>
      <c r="E220" s="9" t="str">
        <f>"王静静"</f>
        <v>王静静</v>
      </c>
      <c r="F220" s="14">
        <v>85.3</v>
      </c>
      <c r="G220" s="14">
        <f t="shared" si="25"/>
        <v>59.71</v>
      </c>
      <c r="H220" s="15">
        <v>9.3</v>
      </c>
      <c r="I220" s="20">
        <v>69.01</v>
      </c>
    </row>
    <row r="221" s="1" customFormat="1" customHeight="1" spans="1:9">
      <c r="A221" s="8">
        <v>218</v>
      </c>
      <c r="B221" s="9" t="str">
        <f t="shared" ref="B221:B225" si="31">"2023102"</f>
        <v>2023102</v>
      </c>
      <c r="C221" s="9" t="s">
        <v>48</v>
      </c>
      <c r="D221" s="9" t="s">
        <v>45</v>
      </c>
      <c r="E221" s="9" t="str">
        <f>"余亮亮"</f>
        <v>余亮亮</v>
      </c>
      <c r="F221" s="14">
        <v>86.9</v>
      </c>
      <c r="G221" s="14">
        <f t="shared" si="25"/>
        <v>60.83</v>
      </c>
      <c r="H221" s="15">
        <v>14.1</v>
      </c>
      <c r="I221" s="20">
        <v>74.93</v>
      </c>
    </row>
    <row r="222" s="1" customFormat="1" customHeight="1" spans="1:9">
      <c r="A222" s="8">
        <v>219</v>
      </c>
      <c r="B222" s="9" t="str">
        <f t="shared" si="31"/>
        <v>2023102</v>
      </c>
      <c r="C222" s="9" t="s">
        <v>48</v>
      </c>
      <c r="D222" s="9" t="s">
        <v>45</v>
      </c>
      <c r="E222" s="9" t="str">
        <f>"兰云召"</f>
        <v>兰云召</v>
      </c>
      <c r="F222" s="14">
        <v>80.86</v>
      </c>
      <c r="G222" s="14">
        <f t="shared" si="25"/>
        <v>56.602</v>
      </c>
      <c r="H222" s="15">
        <v>18</v>
      </c>
      <c r="I222" s="20">
        <v>74.602</v>
      </c>
    </row>
    <row r="223" s="1" customFormat="1" customHeight="1" spans="1:9">
      <c r="A223" s="8">
        <v>220</v>
      </c>
      <c r="B223" s="9" t="str">
        <f t="shared" si="31"/>
        <v>2023102</v>
      </c>
      <c r="C223" s="9" t="s">
        <v>48</v>
      </c>
      <c r="D223" s="9" t="s">
        <v>45</v>
      </c>
      <c r="E223" s="9" t="str">
        <f>"兰媛媛"</f>
        <v>兰媛媛</v>
      </c>
      <c r="F223" s="14">
        <v>85.5</v>
      </c>
      <c r="G223" s="14">
        <f t="shared" si="25"/>
        <v>59.85</v>
      </c>
      <c r="H223" s="17">
        <v>14.025</v>
      </c>
      <c r="I223" s="20">
        <v>73.875</v>
      </c>
    </row>
    <row r="224" s="1" customFormat="1" customHeight="1" spans="1:9">
      <c r="A224" s="8">
        <v>221</v>
      </c>
      <c r="B224" s="21" t="str">
        <f t="shared" si="31"/>
        <v>2023102</v>
      </c>
      <c r="C224" s="21" t="s">
        <v>48</v>
      </c>
      <c r="D224" s="21" t="s">
        <v>45</v>
      </c>
      <c r="E224" s="21" t="str">
        <f>"李刚强"</f>
        <v>李刚强</v>
      </c>
      <c r="F224" s="14">
        <v>85.78</v>
      </c>
      <c r="G224" s="14">
        <f t="shared" si="25"/>
        <v>60.046</v>
      </c>
      <c r="H224" s="15">
        <v>13.5</v>
      </c>
      <c r="I224" s="20">
        <v>73.546</v>
      </c>
    </row>
    <row r="225" s="1" customFormat="1" customHeight="1" spans="1:9">
      <c r="A225" s="8">
        <v>222</v>
      </c>
      <c r="B225" s="9" t="str">
        <f t="shared" si="31"/>
        <v>2023102</v>
      </c>
      <c r="C225" s="9" t="s">
        <v>48</v>
      </c>
      <c r="D225" s="9" t="s">
        <v>45</v>
      </c>
      <c r="E225" s="9" t="str">
        <f>"宋红梅"</f>
        <v>宋红梅</v>
      </c>
      <c r="F225" s="14">
        <v>85.04</v>
      </c>
      <c r="G225" s="14">
        <f t="shared" si="25"/>
        <v>59.528</v>
      </c>
      <c r="H225" s="15">
        <v>13.8</v>
      </c>
      <c r="I225" s="20">
        <v>73.328</v>
      </c>
    </row>
    <row r="226" s="1" customFormat="1" customHeight="1" spans="1:9">
      <c r="A226" s="8">
        <v>223</v>
      </c>
      <c r="B226" s="9" t="str">
        <f t="shared" ref="B226:B232" si="32">"2023103"</f>
        <v>2023103</v>
      </c>
      <c r="C226" s="9" t="s">
        <v>48</v>
      </c>
      <c r="D226" s="9" t="s">
        <v>46</v>
      </c>
      <c r="E226" s="9" t="str">
        <f>"剧小文"</f>
        <v>剧小文</v>
      </c>
      <c r="F226" s="14">
        <v>85.68</v>
      </c>
      <c r="G226" s="14">
        <f t="shared" si="25"/>
        <v>59.976</v>
      </c>
      <c r="H226" s="15">
        <v>13.5</v>
      </c>
      <c r="I226" s="20">
        <v>73.476</v>
      </c>
    </row>
    <row r="227" s="1" customFormat="1" customHeight="1" spans="1:9">
      <c r="A227" s="8">
        <v>224</v>
      </c>
      <c r="B227" s="9" t="str">
        <f t="shared" si="32"/>
        <v>2023103</v>
      </c>
      <c r="C227" s="9" t="s">
        <v>48</v>
      </c>
      <c r="D227" s="9" t="s">
        <v>46</v>
      </c>
      <c r="E227" s="9" t="str">
        <f>"尤瑞梅"</f>
        <v>尤瑞梅</v>
      </c>
      <c r="F227" s="14">
        <v>84.66</v>
      </c>
      <c r="G227" s="14">
        <f t="shared" si="25"/>
        <v>59.262</v>
      </c>
      <c r="H227" s="17">
        <v>13.8</v>
      </c>
      <c r="I227" s="20">
        <v>73.062</v>
      </c>
    </row>
    <row r="228" s="1" customFormat="1" customHeight="1" spans="1:9">
      <c r="A228" s="8">
        <v>225</v>
      </c>
      <c r="B228" s="9" t="str">
        <f t="shared" si="32"/>
        <v>2023103</v>
      </c>
      <c r="C228" s="9" t="s">
        <v>48</v>
      </c>
      <c r="D228" s="9" t="s">
        <v>46</v>
      </c>
      <c r="E228" s="9" t="str">
        <f>"闫利利"</f>
        <v>闫利利</v>
      </c>
      <c r="F228" s="14">
        <v>84.48</v>
      </c>
      <c r="G228" s="14">
        <f t="shared" si="25"/>
        <v>59.136</v>
      </c>
      <c r="H228" s="17">
        <v>13.5</v>
      </c>
      <c r="I228" s="20">
        <v>72.636</v>
      </c>
    </row>
    <row r="229" s="1" customFormat="1" customHeight="1" spans="1:9">
      <c r="A229" s="8">
        <v>226</v>
      </c>
      <c r="B229" s="9" t="str">
        <f t="shared" si="32"/>
        <v>2023103</v>
      </c>
      <c r="C229" s="9" t="s">
        <v>48</v>
      </c>
      <c r="D229" s="9" t="s">
        <v>46</v>
      </c>
      <c r="E229" s="9" t="str">
        <f>"王莉"</f>
        <v>王莉</v>
      </c>
      <c r="F229" s="14">
        <v>83.6</v>
      </c>
      <c r="G229" s="14">
        <f t="shared" si="25"/>
        <v>58.52</v>
      </c>
      <c r="H229" s="17">
        <v>13.5</v>
      </c>
      <c r="I229" s="20">
        <v>72.02</v>
      </c>
    </row>
    <row r="230" s="1" customFormat="1" customHeight="1" spans="1:9">
      <c r="A230" s="8">
        <v>227</v>
      </c>
      <c r="B230" s="9" t="str">
        <f t="shared" si="32"/>
        <v>2023103</v>
      </c>
      <c r="C230" s="9" t="s">
        <v>48</v>
      </c>
      <c r="D230" s="9" t="s">
        <v>46</v>
      </c>
      <c r="E230" s="9" t="str">
        <f>"王慧慧"</f>
        <v>王慧慧</v>
      </c>
      <c r="F230" s="14">
        <v>83.22</v>
      </c>
      <c r="G230" s="14">
        <f t="shared" si="25"/>
        <v>58.254</v>
      </c>
      <c r="H230" s="15">
        <v>13.5</v>
      </c>
      <c r="I230" s="20">
        <v>71.754</v>
      </c>
    </row>
    <row r="231" s="1" customFormat="1" customHeight="1" spans="1:9">
      <c r="A231" s="8">
        <v>228</v>
      </c>
      <c r="B231" s="9" t="str">
        <f t="shared" si="32"/>
        <v>2023103</v>
      </c>
      <c r="C231" s="9" t="s">
        <v>48</v>
      </c>
      <c r="D231" s="9" t="s">
        <v>46</v>
      </c>
      <c r="E231" s="9" t="str">
        <f>"陈凤梅"</f>
        <v>陈凤梅</v>
      </c>
      <c r="F231" s="14">
        <v>83.4</v>
      </c>
      <c r="G231" s="14">
        <f t="shared" si="25"/>
        <v>58.38</v>
      </c>
      <c r="H231" s="15">
        <v>11.1</v>
      </c>
      <c r="I231" s="20">
        <v>69.48</v>
      </c>
    </row>
    <row r="232" s="1" customFormat="1" customHeight="1" spans="1:9">
      <c r="A232" s="8">
        <v>229</v>
      </c>
      <c r="B232" s="9" t="str">
        <f t="shared" si="32"/>
        <v>2023103</v>
      </c>
      <c r="C232" s="9" t="s">
        <v>48</v>
      </c>
      <c r="D232" s="9" t="s">
        <v>46</v>
      </c>
      <c r="E232" s="9" t="str">
        <f>"杨芳"</f>
        <v>杨芳</v>
      </c>
      <c r="F232" s="14">
        <v>81.08</v>
      </c>
      <c r="G232" s="14">
        <f t="shared" si="25"/>
        <v>56.756</v>
      </c>
      <c r="H232" s="15">
        <v>12.6</v>
      </c>
      <c r="I232" s="20">
        <v>69.356</v>
      </c>
    </row>
    <row r="233" s="1" customFormat="1" customHeight="1" spans="1:9">
      <c r="A233" s="8">
        <v>230</v>
      </c>
      <c r="B233" s="9" t="str">
        <f>"2023104"</f>
        <v>2023104</v>
      </c>
      <c r="C233" s="9" t="s">
        <v>48</v>
      </c>
      <c r="D233" s="9" t="s">
        <v>47</v>
      </c>
      <c r="E233" s="9" t="str">
        <f>"盛亚坤"</f>
        <v>盛亚坤</v>
      </c>
      <c r="F233" s="14">
        <v>80.64</v>
      </c>
      <c r="G233" s="14">
        <f t="shared" si="25"/>
        <v>56.448</v>
      </c>
      <c r="H233" s="15">
        <v>20.4</v>
      </c>
      <c r="I233" s="20">
        <v>76.848</v>
      </c>
    </row>
    <row r="234" s="1" customFormat="1" customHeight="1" spans="1:9">
      <c r="A234" s="8">
        <v>231</v>
      </c>
      <c r="B234" s="9" t="str">
        <f>"2023104"</f>
        <v>2023104</v>
      </c>
      <c r="C234" s="9" t="s">
        <v>48</v>
      </c>
      <c r="D234" s="9" t="s">
        <v>47</v>
      </c>
      <c r="E234" s="9" t="str">
        <f>"解凯祥"</f>
        <v>解凯祥</v>
      </c>
      <c r="F234" s="14">
        <v>83.42</v>
      </c>
      <c r="G234" s="14">
        <f t="shared" si="25"/>
        <v>58.394</v>
      </c>
      <c r="H234" s="15">
        <v>13.8</v>
      </c>
      <c r="I234" s="20">
        <v>72.194</v>
      </c>
    </row>
    <row r="235" s="1" customFormat="1" customHeight="1" spans="1:9">
      <c r="A235" s="8">
        <v>232</v>
      </c>
      <c r="B235" s="9" t="str">
        <f>"2023105"</f>
        <v>2023105</v>
      </c>
      <c r="C235" s="9" t="s">
        <v>49</v>
      </c>
      <c r="D235" s="9" t="s">
        <v>40</v>
      </c>
      <c r="E235" s="9" t="str">
        <f>"刘烨"</f>
        <v>刘烨</v>
      </c>
      <c r="F235" s="14">
        <v>86.6</v>
      </c>
      <c r="G235" s="14">
        <f t="shared" si="25"/>
        <v>60.62</v>
      </c>
      <c r="H235" s="17">
        <v>13.8</v>
      </c>
      <c r="I235" s="20">
        <v>74.42</v>
      </c>
    </row>
    <row r="236" s="1" customFormat="1" customHeight="1" spans="1:9">
      <c r="A236" s="8">
        <v>233</v>
      </c>
      <c r="B236" s="9" t="str">
        <f>"2023105"</f>
        <v>2023105</v>
      </c>
      <c r="C236" s="9" t="s">
        <v>49</v>
      </c>
      <c r="D236" s="9" t="s">
        <v>40</v>
      </c>
      <c r="E236" s="9" t="str">
        <f>"刘星晨"</f>
        <v>刘星晨</v>
      </c>
      <c r="F236" s="14">
        <v>83.76</v>
      </c>
      <c r="G236" s="14">
        <f t="shared" si="25"/>
        <v>58.632</v>
      </c>
      <c r="H236" s="17">
        <v>12.9</v>
      </c>
      <c r="I236" s="20">
        <v>71.532</v>
      </c>
    </row>
    <row r="237" s="1" customFormat="1" customHeight="1" spans="1:9">
      <c r="A237" s="8">
        <v>234</v>
      </c>
      <c r="B237" s="9" t="str">
        <f t="shared" ref="B237:B239" si="33">"2023106"</f>
        <v>2023106</v>
      </c>
      <c r="C237" s="9" t="s">
        <v>49</v>
      </c>
      <c r="D237" s="9" t="s">
        <v>22</v>
      </c>
      <c r="E237" s="9" t="str">
        <f>"马瑞雪"</f>
        <v>马瑞雪</v>
      </c>
      <c r="F237" s="14">
        <v>86.16</v>
      </c>
      <c r="G237" s="14">
        <f t="shared" si="25"/>
        <v>60.312</v>
      </c>
      <c r="H237" s="17">
        <v>13.5</v>
      </c>
      <c r="I237" s="20">
        <v>73.812</v>
      </c>
    </row>
    <row r="238" s="1" customFormat="1" customHeight="1" spans="1:9">
      <c r="A238" s="8">
        <v>235</v>
      </c>
      <c r="B238" s="9" t="str">
        <f t="shared" si="33"/>
        <v>2023106</v>
      </c>
      <c r="C238" s="9" t="s">
        <v>49</v>
      </c>
      <c r="D238" s="9" t="s">
        <v>22</v>
      </c>
      <c r="E238" s="9" t="str">
        <f>"慕婷婉"</f>
        <v>慕婷婉</v>
      </c>
      <c r="F238" s="14">
        <v>82.72</v>
      </c>
      <c r="G238" s="14">
        <f t="shared" si="25"/>
        <v>57.904</v>
      </c>
      <c r="H238" s="17">
        <v>15.9</v>
      </c>
      <c r="I238" s="20">
        <v>73.804</v>
      </c>
    </row>
    <row r="239" s="1" customFormat="1" customHeight="1" spans="1:9">
      <c r="A239" s="8">
        <v>236</v>
      </c>
      <c r="B239" s="9" t="str">
        <f t="shared" si="33"/>
        <v>2023106</v>
      </c>
      <c r="C239" s="9" t="s">
        <v>49</v>
      </c>
      <c r="D239" s="9" t="s">
        <v>22</v>
      </c>
      <c r="E239" s="9" t="str">
        <f>"郭阿娟"</f>
        <v>郭阿娟</v>
      </c>
      <c r="F239" s="14">
        <v>81.94</v>
      </c>
      <c r="G239" s="14">
        <f t="shared" si="25"/>
        <v>57.358</v>
      </c>
      <c r="H239" s="17">
        <v>13.5</v>
      </c>
      <c r="I239" s="20">
        <v>70.858</v>
      </c>
    </row>
    <row r="240" s="1" customFormat="1" customHeight="1" spans="1:9">
      <c r="A240" s="8">
        <v>237</v>
      </c>
      <c r="B240" s="9" t="str">
        <f>"2023107"</f>
        <v>2023107</v>
      </c>
      <c r="C240" s="9" t="s">
        <v>49</v>
      </c>
      <c r="D240" s="9" t="s">
        <v>41</v>
      </c>
      <c r="E240" s="9" t="str">
        <f>"李梦如"</f>
        <v>李梦如</v>
      </c>
      <c r="F240" s="14">
        <v>85.3</v>
      </c>
      <c r="G240" s="14">
        <f t="shared" si="25"/>
        <v>59.71</v>
      </c>
      <c r="H240" s="15">
        <v>12</v>
      </c>
      <c r="I240" s="20">
        <v>71.71</v>
      </c>
    </row>
    <row r="241" s="1" customFormat="1" customHeight="1" spans="1:9">
      <c r="A241" s="8">
        <v>238</v>
      </c>
      <c r="B241" s="9" t="str">
        <f>"2023107"</f>
        <v>2023107</v>
      </c>
      <c r="C241" s="9" t="s">
        <v>49</v>
      </c>
      <c r="D241" s="9" t="s">
        <v>41</v>
      </c>
      <c r="E241" s="9" t="str">
        <f>"李珍"</f>
        <v>李珍</v>
      </c>
      <c r="F241" s="14">
        <v>80.14</v>
      </c>
      <c r="G241" s="14">
        <f t="shared" si="25"/>
        <v>56.098</v>
      </c>
      <c r="H241" s="18">
        <v>13.8</v>
      </c>
      <c r="I241" s="20">
        <v>69.898</v>
      </c>
    </row>
    <row r="242" s="1" customFormat="1" customHeight="1" spans="1:9">
      <c r="A242" s="8">
        <v>239</v>
      </c>
      <c r="B242" s="9" t="str">
        <f>"2023108"</f>
        <v>2023108</v>
      </c>
      <c r="C242" s="9" t="s">
        <v>49</v>
      </c>
      <c r="D242" s="9" t="s">
        <v>43</v>
      </c>
      <c r="E242" s="9" t="str">
        <f>"朱娜娜"</f>
        <v>朱娜娜</v>
      </c>
      <c r="F242" s="14">
        <v>80.7</v>
      </c>
      <c r="G242" s="14">
        <f t="shared" si="25"/>
        <v>56.49</v>
      </c>
      <c r="H242" s="17">
        <v>8.1</v>
      </c>
      <c r="I242" s="20">
        <v>64.59</v>
      </c>
    </row>
    <row r="243" s="1" customFormat="1" customHeight="1" spans="1:9">
      <c r="A243" s="8">
        <v>240</v>
      </c>
      <c r="B243" s="9" t="str">
        <f>"2023109"</f>
        <v>2023109</v>
      </c>
      <c r="C243" s="9" t="s">
        <v>49</v>
      </c>
      <c r="D243" s="9" t="s">
        <v>24</v>
      </c>
      <c r="E243" s="9" t="str">
        <f>"李智"</f>
        <v>李智</v>
      </c>
      <c r="F243" s="14">
        <v>79</v>
      </c>
      <c r="G243" s="14">
        <f t="shared" si="25"/>
        <v>55.3</v>
      </c>
      <c r="H243" s="18">
        <v>14.7</v>
      </c>
      <c r="I243" s="20">
        <v>70</v>
      </c>
    </row>
    <row r="244" s="1" customFormat="1" customHeight="1" spans="1:9">
      <c r="A244" s="8">
        <v>241</v>
      </c>
      <c r="B244" s="9" t="str">
        <f>"2023110"</f>
        <v>2023110</v>
      </c>
      <c r="C244" s="9" t="s">
        <v>49</v>
      </c>
      <c r="D244" s="9" t="s">
        <v>45</v>
      </c>
      <c r="E244" s="9" t="str">
        <f>"李念念"</f>
        <v>李念念</v>
      </c>
      <c r="F244" s="14">
        <v>83.08</v>
      </c>
      <c r="G244" s="14">
        <f t="shared" si="25"/>
        <v>58.156</v>
      </c>
      <c r="H244" s="15">
        <v>13.5</v>
      </c>
      <c r="I244" s="20">
        <v>71.656</v>
      </c>
    </row>
    <row r="245" s="1" customFormat="1" customHeight="1" spans="1:9">
      <c r="A245" s="8">
        <v>242</v>
      </c>
      <c r="B245" s="9" t="str">
        <f>"2023111"</f>
        <v>2023111</v>
      </c>
      <c r="C245" s="9" t="s">
        <v>49</v>
      </c>
      <c r="D245" s="9" t="s">
        <v>47</v>
      </c>
      <c r="E245" s="9" t="str">
        <f>"陈仪慧"</f>
        <v>陈仪慧</v>
      </c>
      <c r="F245" s="14">
        <v>83.78</v>
      </c>
      <c r="G245" s="14">
        <f t="shared" si="25"/>
        <v>58.646</v>
      </c>
      <c r="H245" s="17">
        <v>7.5</v>
      </c>
      <c r="I245" s="20">
        <v>66.146</v>
      </c>
    </row>
    <row r="246" s="1" customFormat="1" customHeight="1" spans="1:9">
      <c r="A246" s="8">
        <v>243</v>
      </c>
      <c r="B246" s="9" t="str">
        <f>"2023112"</f>
        <v>2023112</v>
      </c>
      <c r="C246" s="9" t="s">
        <v>49</v>
      </c>
      <c r="D246" s="9" t="s">
        <v>25</v>
      </c>
      <c r="E246" s="9" t="str">
        <f>"陆智芹"</f>
        <v>陆智芹</v>
      </c>
      <c r="F246" s="14">
        <v>85.18</v>
      </c>
      <c r="G246" s="14">
        <f t="shared" si="25"/>
        <v>59.626</v>
      </c>
      <c r="H246" s="17">
        <v>12.3</v>
      </c>
      <c r="I246" s="20">
        <v>71.926</v>
      </c>
    </row>
    <row r="247" s="1" customFormat="1" customHeight="1" spans="1:9">
      <c r="A247" s="8">
        <v>244</v>
      </c>
      <c r="B247" s="9" t="str">
        <f>"2023113"</f>
        <v>2023113</v>
      </c>
      <c r="C247" s="9" t="s">
        <v>49</v>
      </c>
      <c r="D247" s="9" t="s">
        <v>44</v>
      </c>
      <c r="E247" s="9" t="str">
        <f>"车慧敏"</f>
        <v>车慧敏</v>
      </c>
      <c r="F247" s="14">
        <v>82.6</v>
      </c>
      <c r="G247" s="14">
        <f t="shared" si="25"/>
        <v>57.82</v>
      </c>
      <c r="H247" s="15">
        <v>13.5</v>
      </c>
      <c r="I247" s="20">
        <v>71.32</v>
      </c>
    </row>
    <row r="248" s="1" customFormat="1" customHeight="1" spans="1:9">
      <c r="A248" s="8">
        <v>245</v>
      </c>
      <c r="B248" s="9" t="str">
        <f>"2023114"</f>
        <v>2023114</v>
      </c>
      <c r="C248" s="9" t="s">
        <v>50</v>
      </c>
      <c r="D248" s="9" t="s">
        <v>41</v>
      </c>
      <c r="E248" s="9" t="str">
        <f>"李东祥"</f>
        <v>李东祥</v>
      </c>
      <c r="F248" s="14">
        <v>83.04</v>
      </c>
      <c r="G248" s="14">
        <f t="shared" si="25"/>
        <v>58.128</v>
      </c>
      <c r="H248" s="15">
        <v>15.3</v>
      </c>
      <c r="I248" s="20">
        <v>73.428</v>
      </c>
    </row>
    <row r="249" s="1" customFormat="1" customHeight="1" spans="1:9">
      <c r="A249" s="8">
        <v>246</v>
      </c>
      <c r="B249" s="9" t="str">
        <f>"2023116"</f>
        <v>2023116</v>
      </c>
      <c r="C249" s="9" t="s">
        <v>50</v>
      </c>
      <c r="D249" s="9" t="s">
        <v>45</v>
      </c>
      <c r="E249" s="9" t="str">
        <f>"刁苗苗"</f>
        <v>刁苗苗</v>
      </c>
      <c r="F249" s="14">
        <v>84.3</v>
      </c>
      <c r="G249" s="14">
        <f t="shared" si="25"/>
        <v>59.01</v>
      </c>
      <c r="H249" s="15">
        <v>11.1</v>
      </c>
      <c r="I249" s="20">
        <v>70.11</v>
      </c>
    </row>
    <row r="250" s="1" customFormat="1" customHeight="1" spans="1:9">
      <c r="A250" s="8">
        <v>247</v>
      </c>
      <c r="B250" s="9" t="str">
        <f>"2023116"</f>
        <v>2023116</v>
      </c>
      <c r="C250" s="9" t="s">
        <v>50</v>
      </c>
      <c r="D250" s="9" t="s">
        <v>45</v>
      </c>
      <c r="E250" s="9" t="str">
        <f>"王子成"</f>
        <v>王子成</v>
      </c>
      <c r="F250" s="14">
        <v>79.9</v>
      </c>
      <c r="G250" s="14">
        <f t="shared" si="25"/>
        <v>55.93</v>
      </c>
      <c r="H250" s="15">
        <v>10.8</v>
      </c>
      <c r="I250" s="20">
        <v>66.73</v>
      </c>
    </row>
    <row r="251" s="1" customFormat="1" customHeight="1" spans="1:9">
      <c r="A251" s="8">
        <v>248</v>
      </c>
      <c r="B251" s="9" t="str">
        <f>"2023119"</f>
        <v>2023119</v>
      </c>
      <c r="C251" s="9" t="s">
        <v>50</v>
      </c>
      <c r="D251" s="9" t="s">
        <v>26</v>
      </c>
      <c r="E251" s="9" t="str">
        <f>"刘春艳"</f>
        <v>刘春艳</v>
      </c>
      <c r="F251" s="14">
        <v>85.74</v>
      </c>
      <c r="G251" s="14">
        <f t="shared" si="25"/>
        <v>60.018</v>
      </c>
      <c r="H251" s="15">
        <v>14.7</v>
      </c>
      <c r="I251" s="20">
        <v>74.718</v>
      </c>
    </row>
    <row r="252" s="1" customFormat="1" customHeight="1" spans="1:9">
      <c r="A252" s="8">
        <v>249</v>
      </c>
      <c r="B252" s="9" t="str">
        <f>"2023120"</f>
        <v>2023120</v>
      </c>
      <c r="C252" s="9" t="s">
        <v>50</v>
      </c>
      <c r="D252" s="9" t="s">
        <v>25</v>
      </c>
      <c r="E252" s="9" t="str">
        <f>"闫慧"</f>
        <v>闫慧</v>
      </c>
      <c r="F252" s="14">
        <v>85.36</v>
      </c>
      <c r="G252" s="14">
        <f t="shared" si="25"/>
        <v>59.752</v>
      </c>
      <c r="H252" s="15">
        <v>13.5</v>
      </c>
      <c r="I252" s="20">
        <v>73.252</v>
      </c>
    </row>
    <row r="253" s="1" customFormat="1" customHeight="1" spans="1:9">
      <c r="A253" s="8">
        <v>250</v>
      </c>
      <c r="B253" s="9" t="str">
        <f>"2023121"</f>
        <v>2023121</v>
      </c>
      <c r="C253" s="9" t="s">
        <v>50</v>
      </c>
      <c r="D253" s="9" t="s">
        <v>44</v>
      </c>
      <c r="E253" s="9" t="str">
        <f>"何畅"</f>
        <v>何畅</v>
      </c>
      <c r="F253" s="14">
        <v>87.1</v>
      </c>
      <c r="G253" s="14">
        <f t="shared" si="25"/>
        <v>60.97</v>
      </c>
      <c r="H253" s="19">
        <v>9</v>
      </c>
      <c r="I253" s="20">
        <v>69.97</v>
      </c>
    </row>
    <row r="254" s="1" customFormat="1" customHeight="1" spans="1:9">
      <c r="A254" s="8">
        <v>251</v>
      </c>
      <c r="B254" s="9" t="str">
        <f>"2023122"</f>
        <v>2023122</v>
      </c>
      <c r="C254" s="9" t="s">
        <v>51</v>
      </c>
      <c r="D254" s="9" t="s">
        <v>24</v>
      </c>
      <c r="E254" s="9" t="str">
        <f>"张梦雨"</f>
        <v>张梦雨</v>
      </c>
      <c r="F254" s="14">
        <v>81.3</v>
      </c>
      <c r="G254" s="14">
        <f t="shared" si="25"/>
        <v>56.91</v>
      </c>
      <c r="H254" s="15">
        <v>14.1</v>
      </c>
      <c r="I254" s="20">
        <v>71.01</v>
      </c>
    </row>
    <row r="255" s="1" customFormat="1" customHeight="1" spans="1:9">
      <c r="A255" s="8">
        <v>252</v>
      </c>
      <c r="B255" s="9" t="str">
        <f>"2023123"</f>
        <v>2023123</v>
      </c>
      <c r="C255" s="9" t="s">
        <v>51</v>
      </c>
      <c r="D255" s="9" t="s">
        <v>26</v>
      </c>
      <c r="E255" s="9" t="str">
        <f>"李宁"</f>
        <v>李宁</v>
      </c>
      <c r="F255" s="14">
        <v>78.2</v>
      </c>
      <c r="G255" s="14">
        <f t="shared" si="25"/>
        <v>54.74</v>
      </c>
      <c r="H255" s="18">
        <v>14.4</v>
      </c>
      <c r="I255" s="20">
        <v>69.14</v>
      </c>
    </row>
    <row r="256" s="1" customFormat="1" customHeight="1" spans="1:9">
      <c r="A256" s="8">
        <v>253</v>
      </c>
      <c r="B256" s="9" t="str">
        <f>"2023124"</f>
        <v>2023124</v>
      </c>
      <c r="C256" s="9" t="s">
        <v>51</v>
      </c>
      <c r="D256" s="9" t="s">
        <v>43</v>
      </c>
      <c r="E256" s="9" t="str">
        <f>"刘梦蝶"</f>
        <v>刘梦蝶</v>
      </c>
      <c r="F256" s="14">
        <v>77.2</v>
      </c>
      <c r="G256" s="14">
        <f t="shared" si="25"/>
        <v>54.04</v>
      </c>
      <c r="H256" s="15">
        <v>13.35</v>
      </c>
      <c r="I256" s="20">
        <v>67.39</v>
      </c>
    </row>
    <row r="257" s="1" customFormat="1" customHeight="1" spans="1:9">
      <c r="A257" s="8">
        <v>254</v>
      </c>
      <c r="B257" s="9" t="str">
        <f>"2023125"</f>
        <v>2023125</v>
      </c>
      <c r="C257" s="9" t="s">
        <v>51</v>
      </c>
      <c r="D257" s="9" t="s">
        <v>46</v>
      </c>
      <c r="E257" s="9" t="str">
        <f>"葛楠楠"</f>
        <v>葛楠楠</v>
      </c>
      <c r="F257" s="14">
        <v>80.4</v>
      </c>
      <c r="G257" s="14">
        <f t="shared" si="25"/>
        <v>56.28</v>
      </c>
      <c r="H257" s="17">
        <v>14.7</v>
      </c>
      <c r="I257" s="20">
        <v>70.98</v>
      </c>
    </row>
    <row r="258" s="1" customFormat="1" customHeight="1" spans="1:9">
      <c r="A258" s="8">
        <v>255</v>
      </c>
      <c r="B258" s="9" t="str">
        <f>"2023125"</f>
        <v>2023125</v>
      </c>
      <c r="C258" s="9" t="s">
        <v>51</v>
      </c>
      <c r="D258" s="9" t="s">
        <v>46</v>
      </c>
      <c r="E258" s="9" t="str">
        <f>"杨静茹"</f>
        <v>杨静茹</v>
      </c>
      <c r="F258" s="14">
        <v>78.2</v>
      </c>
      <c r="G258" s="14">
        <f t="shared" si="25"/>
        <v>54.74</v>
      </c>
      <c r="H258" s="15">
        <v>14.1</v>
      </c>
      <c r="I258" s="20">
        <v>68.84</v>
      </c>
    </row>
    <row r="259" s="1" customFormat="1" customHeight="1" spans="1:9">
      <c r="A259" s="8">
        <v>256</v>
      </c>
      <c r="B259" s="9" t="str">
        <f>"2023126"</f>
        <v>2023126</v>
      </c>
      <c r="C259" s="9" t="s">
        <v>52</v>
      </c>
      <c r="D259" s="9" t="s">
        <v>25</v>
      </c>
      <c r="E259" s="9" t="str">
        <f>"张添添"</f>
        <v>张添添</v>
      </c>
      <c r="F259" s="14">
        <v>80.8</v>
      </c>
      <c r="G259" s="14">
        <f t="shared" si="25"/>
        <v>56.56</v>
      </c>
      <c r="H259" s="15">
        <v>14.85</v>
      </c>
      <c r="I259" s="20">
        <v>71.41</v>
      </c>
    </row>
    <row r="260" s="1" customFormat="1" customHeight="1" spans="1:9">
      <c r="A260" s="8">
        <v>257</v>
      </c>
      <c r="B260" s="9" t="str">
        <f>"2023127"</f>
        <v>2023127</v>
      </c>
      <c r="C260" s="9" t="s">
        <v>52</v>
      </c>
      <c r="D260" s="9" t="s">
        <v>45</v>
      </c>
      <c r="E260" s="9" t="str">
        <f>"李珊珊"</f>
        <v>李珊珊</v>
      </c>
      <c r="F260" s="14">
        <v>79.8</v>
      </c>
      <c r="G260" s="14">
        <f t="shared" si="25"/>
        <v>55.86</v>
      </c>
      <c r="H260" s="15">
        <v>14.1</v>
      </c>
      <c r="I260" s="20">
        <v>69.96</v>
      </c>
    </row>
    <row r="261" s="1" customFormat="1" customHeight="1" spans="1:9">
      <c r="A261" s="8">
        <v>258</v>
      </c>
      <c r="B261" s="9" t="str">
        <f>"2023128"</f>
        <v>2023128</v>
      </c>
      <c r="C261" s="9" t="s">
        <v>53</v>
      </c>
      <c r="D261" s="9" t="s">
        <v>47</v>
      </c>
      <c r="E261" s="9" t="str">
        <f>"刘贵鲜"</f>
        <v>刘贵鲜</v>
      </c>
      <c r="F261" s="14">
        <v>79.8</v>
      </c>
      <c r="G261" s="14">
        <f>F261*0.7</f>
        <v>55.86</v>
      </c>
      <c r="H261" s="15">
        <v>15.3</v>
      </c>
      <c r="I261" s="20">
        <v>71.16</v>
      </c>
    </row>
    <row r="262" s="1" customFormat="1" customHeight="1" spans="1:8">
      <c r="A262" s="2"/>
      <c r="C262" s="3"/>
      <c r="D262" s="3"/>
      <c r="F262" s="2"/>
      <c r="G262" s="2"/>
      <c r="H262" s="4"/>
    </row>
    <row r="263" s="1" customFormat="1" customHeight="1" spans="1:8">
      <c r="A263" s="2"/>
      <c r="C263" s="3"/>
      <c r="D263" s="3"/>
      <c r="F263" s="2"/>
      <c r="G263" s="2"/>
      <c r="H263" s="4"/>
    </row>
    <row r="264" s="1" customFormat="1" customHeight="1" spans="1:8">
      <c r="A264" s="2"/>
      <c r="C264" s="3"/>
      <c r="D264" s="3"/>
      <c r="F264" s="2"/>
      <c r="G264" s="2"/>
      <c r="H264" s="4"/>
    </row>
    <row r="265" s="1" customFormat="1" customHeight="1" spans="1:8">
      <c r="A265" s="2"/>
      <c r="C265" s="3"/>
      <c r="D265" s="3"/>
      <c r="F265" s="2"/>
      <c r="G265" s="2"/>
      <c r="H265" s="4"/>
    </row>
    <row r="266" s="1" customFormat="1" customHeight="1" spans="1:8">
      <c r="A266" s="2"/>
      <c r="C266" s="3"/>
      <c r="D266" s="3"/>
      <c r="F266" s="2"/>
      <c r="G266" s="2"/>
      <c r="H266" s="4"/>
    </row>
    <row r="267" s="1" customFormat="1" customHeight="1" spans="1:8">
      <c r="A267" s="2"/>
      <c r="C267" s="3"/>
      <c r="D267" s="3"/>
      <c r="F267" s="2"/>
      <c r="G267" s="2"/>
      <c r="H267" s="4"/>
    </row>
    <row r="268" s="1" customFormat="1" customHeight="1" spans="1:8">
      <c r="A268" s="2"/>
      <c r="C268" s="3"/>
      <c r="D268" s="3"/>
      <c r="F268" s="2"/>
      <c r="G268" s="2"/>
      <c r="H268" s="4"/>
    </row>
    <row r="269" s="1" customFormat="1" customHeight="1" spans="1:8">
      <c r="A269" s="2"/>
      <c r="C269" s="3"/>
      <c r="D269" s="3"/>
      <c r="F269" s="2"/>
      <c r="G269" s="2"/>
      <c r="H269" s="4"/>
    </row>
    <row r="270" s="1" customFormat="1" customHeight="1" spans="1:8">
      <c r="A270" s="2"/>
      <c r="C270" s="3"/>
      <c r="D270" s="3"/>
      <c r="F270" s="2"/>
      <c r="G270" s="2"/>
      <c r="H270" s="4"/>
    </row>
    <row r="271" s="1" customFormat="1" customHeight="1" spans="1:8">
      <c r="A271" s="2"/>
      <c r="C271" s="3"/>
      <c r="D271" s="3"/>
      <c r="F271" s="2"/>
      <c r="G271" s="2"/>
      <c r="H271" s="4"/>
    </row>
    <row r="272" s="1" customFormat="1" customHeight="1" spans="1:8">
      <c r="A272" s="2"/>
      <c r="C272" s="3"/>
      <c r="D272" s="3"/>
      <c r="F272" s="2"/>
      <c r="G272" s="2"/>
      <c r="H272" s="4"/>
    </row>
    <row r="273" s="1" customFormat="1" customHeight="1" spans="1:8">
      <c r="A273" s="2"/>
      <c r="C273" s="3"/>
      <c r="D273" s="3"/>
      <c r="F273" s="2"/>
      <c r="G273" s="2"/>
      <c r="H273" s="4"/>
    </row>
  </sheetData>
  <sortState ref="A4:P272">
    <sortCondition ref="E4:E272"/>
  </sortState>
  <mergeCells count="2">
    <mergeCell ref="A1:B1"/>
    <mergeCell ref="A2:I2"/>
  </mergeCells>
  <printOptions horizontalCentered="1"/>
  <pageMargins left="0.161111111111111" right="0.161111111111111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BZB</dc:creator>
  <cp:lastModifiedBy>Lenovo</cp:lastModifiedBy>
  <dcterms:created xsi:type="dcterms:W3CDTF">2020-12-16T09:27:00Z</dcterms:created>
  <dcterms:modified xsi:type="dcterms:W3CDTF">2023-07-25T07:10:57Z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30CCEBA159AC41399BE171A55BBD09D2</vt:lpwstr>
  </property>
  <property fmtid="{D5CDD505-2E9C-101B-9397-08002B2CF9AE}" pid="4" name="KSOReadingLayout">
    <vt:bool>true</vt:bool>
  </property>
</Properties>
</file>