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firstSheet="17" activeTab="16"/>
  </bookViews>
  <sheets>
    <sheet name="导出计数_报考学科" sheetId="6" state="hidden" r:id="rId1"/>
    <sheet name="导出计数_报考学科_2" sheetId="15" state="hidden" r:id="rId2"/>
    <sheet name="考场统计" sheetId="10" state="hidden" r:id="rId3"/>
    <sheet name="试卷统计" sheetId="11" state="hidden" r:id="rId4"/>
    <sheet name="阅卷老师选派安排" sheetId="19" state="hidden" r:id="rId5"/>
    <sheet name="外联试卷明细表" sheetId="21" state="hidden" r:id="rId6"/>
    <sheet name="原始" sheetId="1" state="hidden" r:id="rId7"/>
    <sheet name="有效人" sheetId="5" state="hidden" r:id="rId8"/>
    <sheet name="座位表（含错报人）" sheetId="7" state="hidden" r:id="rId9"/>
    <sheet name="准考证（含错报人）" sheetId="9" state="hidden" r:id="rId10"/>
    <sheet name="准考证" sheetId="12" state="hidden" r:id="rId11"/>
    <sheet name="笔试公告附件" sheetId="20" state="hidden" r:id="rId12"/>
    <sheet name="领准考证登记表" sheetId="16" state="hidden" r:id="rId13"/>
    <sheet name="考场查询表" sheetId="18" state="hidden" r:id="rId14"/>
    <sheet name="登分表" sheetId="17" state="hidden" r:id="rId15"/>
    <sheet name="笔试入闱" sheetId="22" state="hidden" r:id="rId16"/>
    <sheet name="面试成绩" sheetId="36" r:id="rId17"/>
    <sheet name="笔试公示" sheetId="23" state="hidden" r:id="rId18"/>
    <sheet name="座位表" sheetId="14" state="hidden" r:id="rId19"/>
    <sheet name="测试用" sheetId="8" state="hidden" r:id="rId20"/>
    <sheet name="WpsReserved_CellImgList" sheetId="2" state="veryHidden" r:id="rId21"/>
  </sheets>
  <definedNames>
    <definedName name="_xlnm._FilterDatabase" localSheetId="6" hidden="1">原始!$A$1:$S$552</definedName>
    <definedName name="_xlnm._FilterDatabase" localSheetId="7" hidden="1">有效人!$A$1:$S$537</definedName>
    <definedName name="_xlnm._FilterDatabase" localSheetId="8" hidden="1">'座位表（含错报人）'!$1:$601</definedName>
    <definedName name="_xlnm._FilterDatabase" localSheetId="9" hidden="1">'准考证（含错报人）'!$1:$537</definedName>
    <definedName name="_xlnm._FilterDatabase" localSheetId="10" hidden="1">准考证!$1:$516</definedName>
    <definedName name="_xlnm._FilterDatabase" localSheetId="11" hidden="1">笔试公告附件!$1:$516</definedName>
    <definedName name="_xlnm._FilterDatabase" localSheetId="12" hidden="1">领准考证登记表!$2:$591</definedName>
    <definedName name="_xlnm._FilterDatabase" localSheetId="13" hidden="1">考场查询表!$2:$591</definedName>
    <definedName name="_xlnm._FilterDatabase" localSheetId="14" hidden="1">登分表!$2:$591</definedName>
    <definedName name="_xlnm._FilterDatabase" localSheetId="15" hidden="1">笔试入闱!$2:$517</definedName>
    <definedName name="_xlnm._FilterDatabase" localSheetId="17" hidden="1">笔试公示!$3:$518</definedName>
    <definedName name="_xlnm._FilterDatabase" localSheetId="18" hidden="1">座位表!$1:$601</definedName>
    <definedName name="WebWps_Form">原始!$A$1:$S$552</definedName>
    <definedName name="WebWps_Form" localSheetId="7">有效人!$A$1:$S$537</definedName>
    <definedName name="_xlnm.Print_Titles" localSheetId="12">领准考证登记表!$1:$2</definedName>
    <definedName name="_xlnm.Print_Titles" localSheetId="14">登分表!$1:$2</definedName>
    <definedName name="_xlnm.Print_Titles" localSheetId="13">考场查询表!$1:$2</definedName>
    <definedName name="_xlnm.Print_Titles" localSheetId="15">笔试入闱!$2:$2</definedName>
    <definedName name="_xlnm.Print_Titles" localSheetId="17">笔试公示!$3:$3</definedName>
  </definedNames>
  <calcPr calcId="144525" concurrentCalc="0"/>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1BBFB8252D30496F95F71593A2B76AF5"/>
        <xdr:cNvPicPr/>
      </xdr:nvPicPr>
      <xdr:blipFill>
        <a:blip r:link="rId1"/>
        <a:stretch>
          <a:fillRect/>
        </a:stretch>
      </xdr:blipFill>
      <xdr:spPr>
        <a:xfrm>
          <a:off x="0" y="0"/>
          <a:ext cx="7143750" cy="10582275"/>
        </a:xfrm>
        <a:prstGeom prst="rect">
          <a:avLst/>
        </a:prstGeom>
      </xdr:spPr>
    </xdr:pic>
  </etc:cellImage>
  <etc:cellImage>
    <xdr:pic>
      <xdr:nvPicPr>
        <xdr:cNvPr id="3" name="ID_7D4B330FD7544FC19CF8CAA4A42A6F11"/>
        <xdr:cNvPicPr/>
      </xdr:nvPicPr>
      <xdr:blipFill>
        <a:blip r:link="rId2"/>
        <a:stretch>
          <a:fillRect/>
        </a:stretch>
      </xdr:blipFill>
      <xdr:spPr>
        <a:xfrm>
          <a:off x="0" y="0"/>
          <a:ext cx="7143750" cy="10001250"/>
        </a:xfrm>
        <a:prstGeom prst="rect">
          <a:avLst/>
        </a:prstGeom>
      </xdr:spPr>
    </xdr:pic>
  </etc:cellImage>
  <etc:cellImage>
    <xdr:pic>
      <xdr:nvPicPr>
        <xdr:cNvPr id="4" name="ID_BD43028E6BB24443B06241FE37DC179A"/>
        <xdr:cNvPicPr/>
      </xdr:nvPicPr>
      <xdr:blipFill>
        <a:blip r:link="rId3"/>
        <a:stretch>
          <a:fillRect/>
        </a:stretch>
      </xdr:blipFill>
      <xdr:spPr>
        <a:xfrm>
          <a:off x="0" y="0"/>
          <a:ext cx="7143750" cy="9458325"/>
        </a:xfrm>
        <a:prstGeom prst="rect">
          <a:avLst/>
        </a:prstGeom>
      </xdr:spPr>
    </xdr:pic>
  </etc:cellImage>
  <etc:cellImage>
    <xdr:pic>
      <xdr:nvPicPr>
        <xdr:cNvPr id="5" name="ID_F9EC90828AC344EC8EE9AB75C1318672"/>
        <xdr:cNvPicPr/>
      </xdr:nvPicPr>
      <xdr:blipFill>
        <a:blip r:link="rId4"/>
        <a:stretch>
          <a:fillRect/>
        </a:stretch>
      </xdr:blipFill>
      <xdr:spPr>
        <a:xfrm>
          <a:off x="0" y="0"/>
          <a:ext cx="7143750" cy="9525000"/>
        </a:xfrm>
        <a:prstGeom prst="rect">
          <a:avLst/>
        </a:prstGeom>
      </xdr:spPr>
    </xdr:pic>
  </etc:cellImage>
  <etc:cellImage>
    <xdr:pic>
      <xdr:nvPicPr>
        <xdr:cNvPr id="6" name="ID_A8B2B34FEB1F4C29AD364FF328B946F1"/>
        <xdr:cNvPicPr/>
      </xdr:nvPicPr>
      <xdr:blipFill>
        <a:blip r:link="rId5"/>
        <a:stretch>
          <a:fillRect/>
        </a:stretch>
      </xdr:blipFill>
      <xdr:spPr>
        <a:xfrm>
          <a:off x="0" y="0"/>
          <a:ext cx="7143750" cy="10820400"/>
        </a:xfrm>
        <a:prstGeom prst="rect">
          <a:avLst/>
        </a:prstGeom>
      </xdr:spPr>
    </xdr:pic>
  </etc:cellImage>
  <etc:cellImage>
    <xdr:pic>
      <xdr:nvPicPr>
        <xdr:cNvPr id="7" name="ID_331C6355B784470AAD84DC8B9EBD3F4C"/>
        <xdr:cNvPicPr/>
      </xdr:nvPicPr>
      <xdr:blipFill>
        <a:blip r:link="rId6"/>
        <a:stretch>
          <a:fillRect/>
        </a:stretch>
      </xdr:blipFill>
      <xdr:spPr>
        <a:xfrm>
          <a:off x="0" y="0"/>
          <a:ext cx="7143750" cy="10001250"/>
        </a:xfrm>
        <a:prstGeom prst="rect">
          <a:avLst/>
        </a:prstGeom>
      </xdr:spPr>
    </xdr:pic>
  </etc:cellImage>
  <etc:cellImage>
    <xdr:pic>
      <xdr:nvPicPr>
        <xdr:cNvPr id="8" name="ID_5F2C40BDD5324AC2917B018DDF4B26D9"/>
        <xdr:cNvPicPr/>
      </xdr:nvPicPr>
      <xdr:blipFill>
        <a:blip r:link="rId7"/>
        <a:stretch>
          <a:fillRect/>
        </a:stretch>
      </xdr:blipFill>
      <xdr:spPr>
        <a:xfrm>
          <a:off x="0" y="0"/>
          <a:ext cx="7143750" cy="10001250"/>
        </a:xfrm>
        <a:prstGeom prst="rect">
          <a:avLst/>
        </a:prstGeom>
      </xdr:spPr>
    </xdr:pic>
  </etc:cellImage>
  <etc:cellImage>
    <xdr:pic>
      <xdr:nvPicPr>
        <xdr:cNvPr id="9" name="ID_9CBFB21D3F5B4658948522EF0C2AECE4"/>
        <xdr:cNvPicPr/>
      </xdr:nvPicPr>
      <xdr:blipFill>
        <a:blip r:link="rId8"/>
        <a:stretch>
          <a:fillRect/>
        </a:stretch>
      </xdr:blipFill>
      <xdr:spPr>
        <a:xfrm>
          <a:off x="0" y="0"/>
          <a:ext cx="7143750" cy="10001250"/>
        </a:xfrm>
        <a:prstGeom prst="rect">
          <a:avLst/>
        </a:prstGeom>
      </xdr:spPr>
    </xdr:pic>
  </etc:cellImage>
  <etc:cellImage>
    <xdr:pic>
      <xdr:nvPicPr>
        <xdr:cNvPr id="10" name="ID_75E1D16F2E6F48168F32947A4DF07EC3"/>
        <xdr:cNvPicPr/>
      </xdr:nvPicPr>
      <xdr:blipFill>
        <a:blip r:link="rId9"/>
        <a:stretch>
          <a:fillRect/>
        </a:stretch>
      </xdr:blipFill>
      <xdr:spPr>
        <a:xfrm>
          <a:off x="0" y="0"/>
          <a:ext cx="7143750" cy="9525000"/>
        </a:xfrm>
        <a:prstGeom prst="rect">
          <a:avLst/>
        </a:prstGeom>
      </xdr:spPr>
    </xdr:pic>
  </etc:cellImage>
  <etc:cellImage>
    <xdr:pic>
      <xdr:nvPicPr>
        <xdr:cNvPr id="11" name="ID_6612D67BD9E1456A9FAE3B7BC6ABC79B"/>
        <xdr:cNvPicPr/>
      </xdr:nvPicPr>
      <xdr:blipFill>
        <a:blip r:link="rId10"/>
        <a:stretch>
          <a:fillRect/>
        </a:stretch>
      </xdr:blipFill>
      <xdr:spPr>
        <a:xfrm>
          <a:off x="0" y="0"/>
          <a:ext cx="7143750" cy="9420225"/>
        </a:xfrm>
        <a:prstGeom prst="rect">
          <a:avLst/>
        </a:prstGeom>
      </xdr:spPr>
    </xdr:pic>
  </etc:cellImage>
  <etc:cellImage>
    <xdr:pic>
      <xdr:nvPicPr>
        <xdr:cNvPr id="12" name="ID_B65C52FC26C14A83A9F7B47ADDC75EF7"/>
        <xdr:cNvPicPr/>
      </xdr:nvPicPr>
      <xdr:blipFill>
        <a:blip r:link="rId11"/>
        <a:stretch>
          <a:fillRect/>
        </a:stretch>
      </xdr:blipFill>
      <xdr:spPr>
        <a:xfrm>
          <a:off x="0" y="0"/>
          <a:ext cx="7143750" cy="10001250"/>
        </a:xfrm>
        <a:prstGeom prst="rect">
          <a:avLst/>
        </a:prstGeom>
      </xdr:spPr>
    </xdr:pic>
  </etc:cellImage>
  <etc:cellImage>
    <xdr:pic>
      <xdr:nvPicPr>
        <xdr:cNvPr id="13" name="ID_5BB4AA0F377240A584934BCE0D4B941B"/>
        <xdr:cNvPicPr/>
      </xdr:nvPicPr>
      <xdr:blipFill>
        <a:blip r:link="rId12"/>
        <a:stretch>
          <a:fillRect/>
        </a:stretch>
      </xdr:blipFill>
      <xdr:spPr>
        <a:xfrm>
          <a:off x="0" y="0"/>
          <a:ext cx="7143750" cy="10001250"/>
        </a:xfrm>
        <a:prstGeom prst="rect">
          <a:avLst/>
        </a:prstGeom>
      </xdr:spPr>
    </xdr:pic>
  </etc:cellImage>
  <etc:cellImage>
    <xdr:pic>
      <xdr:nvPicPr>
        <xdr:cNvPr id="14" name="ID_60CDE70AF1564D1B99D89BFC637EF6FF"/>
        <xdr:cNvPicPr/>
      </xdr:nvPicPr>
      <xdr:blipFill>
        <a:blip r:link="rId13"/>
        <a:stretch>
          <a:fillRect/>
        </a:stretch>
      </xdr:blipFill>
      <xdr:spPr>
        <a:xfrm>
          <a:off x="0" y="0"/>
          <a:ext cx="7143750" cy="10344150"/>
        </a:xfrm>
        <a:prstGeom prst="rect">
          <a:avLst/>
        </a:prstGeom>
      </xdr:spPr>
    </xdr:pic>
  </etc:cellImage>
  <etc:cellImage>
    <xdr:pic>
      <xdr:nvPicPr>
        <xdr:cNvPr id="15" name="ID_BFA65A737AA14FBDAE88EFBDD5E2990B"/>
        <xdr:cNvPicPr/>
      </xdr:nvPicPr>
      <xdr:blipFill>
        <a:blip r:link="rId14"/>
        <a:stretch>
          <a:fillRect/>
        </a:stretch>
      </xdr:blipFill>
      <xdr:spPr>
        <a:xfrm>
          <a:off x="0" y="0"/>
          <a:ext cx="7143750" cy="7524750"/>
        </a:xfrm>
        <a:prstGeom prst="rect">
          <a:avLst/>
        </a:prstGeom>
      </xdr:spPr>
    </xdr:pic>
  </etc:cellImage>
  <etc:cellImage>
    <xdr:pic>
      <xdr:nvPicPr>
        <xdr:cNvPr id="16" name="ID_7D94F98EB3D041FA910044FDF5DF1027"/>
        <xdr:cNvPicPr/>
      </xdr:nvPicPr>
      <xdr:blipFill>
        <a:blip r:link="rId15"/>
        <a:stretch>
          <a:fillRect/>
        </a:stretch>
      </xdr:blipFill>
      <xdr:spPr>
        <a:xfrm>
          <a:off x="0" y="0"/>
          <a:ext cx="7143750" cy="9515475"/>
        </a:xfrm>
        <a:prstGeom prst="rect">
          <a:avLst/>
        </a:prstGeom>
      </xdr:spPr>
    </xdr:pic>
  </etc:cellImage>
  <etc:cellImage>
    <xdr:pic>
      <xdr:nvPicPr>
        <xdr:cNvPr id="17" name="ID_66E2A8C103C040BCBC4789F49E6E9C74"/>
        <xdr:cNvPicPr/>
      </xdr:nvPicPr>
      <xdr:blipFill>
        <a:blip r:link="rId16"/>
        <a:stretch>
          <a:fillRect/>
        </a:stretch>
      </xdr:blipFill>
      <xdr:spPr>
        <a:xfrm>
          <a:off x="0" y="0"/>
          <a:ext cx="7143750" cy="9420225"/>
        </a:xfrm>
        <a:prstGeom prst="rect">
          <a:avLst/>
        </a:prstGeom>
      </xdr:spPr>
    </xdr:pic>
  </etc:cellImage>
  <etc:cellImage>
    <xdr:pic>
      <xdr:nvPicPr>
        <xdr:cNvPr id="18" name="ID_FA546082303144F6A5FD61F335F92D18"/>
        <xdr:cNvPicPr/>
      </xdr:nvPicPr>
      <xdr:blipFill>
        <a:blip r:link="rId17"/>
        <a:stretch>
          <a:fillRect/>
        </a:stretch>
      </xdr:blipFill>
      <xdr:spPr>
        <a:xfrm>
          <a:off x="0" y="0"/>
          <a:ext cx="7143750" cy="9886950"/>
        </a:xfrm>
        <a:prstGeom prst="rect">
          <a:avLst/>
        </a:prstGeom>
      </xdr:spPr>
    </xdr:pic>
  </etc:cellImage>
  <etc:cellImage>
    <xdr:pic>
      <xdr:nvPicPr>
        <xdr:cNvPr id="19" name="ID_0FE66397D3464536A23D26C93FD62495"/>
        <xdr:cNvPicPr/>
      </xdr:nvPicPr>
      <xdr:blipFill>
        <a:blip r:link="rId18"/>
        <a:stretch>
          <a:fillRect/>
        </a:stretch>
      </xdr:blipFill>
      <xdr:spPr>
        <a:xfrm>
          <a:off x="0" y="0"/>
          <a:ext cx="7143750" cy="10001250"/>
        </a:xfrm>
        <a:prstGeom prst="rect">
          <a:avLst/>
        </a:prstGeom>
      </xdr:spPr>
    </xdr:pic>
  </etc:cellImage>
  <etc:cellImage>
    <xdr:pic>
      <xdr:nvPicPr>
        <xdr:cNvPr id="20" name="ID_FD9EEFBCD596495DACB8A95ACD5E222F"/>
        <xdr:cNvPicPr/>
      </xdr:nvPicPr>
      <xdr:blipFill>
        <a:blip r:link="rId19"/>
        <a:stretch>
          <a:fillRect/>
        </a:stretch>
      </xdr:blipFill>
      <xdr:spPr>
        <a:xfrm>
          <a:off x="0" y="0"/>
          <a:ext cx="7143750" cy="9763125"/>
        </a:xfrm>
        <a:prstGeom prst="rect">
          <a:avLst/>
        </a:prstGeom>
      </xdr:spPr>
    </xdr:pic>
  </etc:cellImage>
  <etc:cellImage>
    <xdr:pic>
      <xdr:nvPicPr>
        <xdr:cNvPr id="21" name="ID_08B1C5991BF641D590EC606BAB378CA1"/>
        <xdr:cNvPicPr/>
      </xdr:nvPicPr>
      <xdr:blipFill>
        <a:blip r:link="rId20"/>
        <a:stretch>
          <a:fillRect/>
        </a:stretch>
      </xdr:blipFill>
      <xdr:spPr>
        <a:xfrm>
          <a:off x="0" y="0"/>
          <a:ext cx="7143750" cy="9534525"/>
        </a:xfrm>
        <a:prstGeom prst="rect">
          <a:avLst/>
        </a:prstGeom>
      </xdr:spPr>
    </xdr:pic>
  </etc:cellImage>
  <etc:cellImage>
    <xdr:pic>
      <xdr:nvPicPr>
        <xdr:cNvPr id="22" name="ID_C8327FEC732A4CC39200F90994F97069"/>
        <xdr:cNvPicPr/>
      </xdr:nvPicPr>
      <xdr:blipFill>
        <a:blip r:link="rId21"/>
        <a:stretch>
          <a:fillRect/>
        </a:stretch>
      </xdr:blipFill>
      <xdr:spPr>
        <a:xfrm>
          <a:off x="0" y="0"/>
          <a:ext cx="7143750" cy="9525000"/>
        </a:xfrm>
        <a:prstGeom prst="rect">
          <a:avLst/>
        </a:prstGeom>
      </xdr:spPr>
    </xdr:pic>
  </etc:cellImage>
  <etc:cellImage>
    <xdr:pic>
      <xdr:nvPicPr>
        <xdr:cNvPr id="23" name="ID_66D69597049F4F76B0A0201065CACE75"/>
        <xdr:cNvPicPr/>
      </xdr:nvPicPr>
      <xdr:blipFill>
        <a:blip r:link="rId22"/>
        <a:stretch>
          <a:fillRect/>
        </a:stretch>
      </xdr:blipFill>
      <xdr:spPr>
        <a:xfrm>
          <a:off x="0" y="0"/>
          <a:ext cx="7143750" cy="10287000"/>
        </a:xfrm>
        <a:prstGeom prst="rect">
          <a:avLst/>
        </a:prstGeom>
      </xdr:spPr>
    </xdr:pic>
  </etc:cellImage>
  <etc:cellImage>
    <xdr:pic>
      <xdr:nvPicPr>
        <xdr:cNvPr id="24" name="ID_EBB3EDBB16514C57957D178C829CE459"/>
        <xdr:cNvPicPr/>
      </xdr:nvPicPr>
      <xdr:blipFill>
        <a:blip r:link="rId23"/>
        <a:stretch>
          <a:fillRect/>
        </a:stretch>
      </xdr:blipFill>
      <xdr:spPr>
        <a:xfrm>
          <a:off x="0" y="0"/>
          <a:ext cx="7143750" cy="9582150"/>
        </a:xfrm>
        <a:prstGeom prst="rect">
          <a:avLst/>
        </a:prstGeom>
      </xdr:spPr>
    </xdr:pic>
  </etc:cellImage>
  <etc:cellImage>
    <xdr:pic>
      <xdr:nvPicPr>
        <xdr:cNvPr id="25" name="ID_CF4959AF4AC44C8391DB8D257F1D8B87"/>
        <xdr:cNvPicPr/>
      </xdr:nvPicPr>
      <xdr:blipFill>
        <a:blip r:link="rId24"/>
        <a:stretch>
          <a:fillRect/>
        </a:stretch>
      </xdr:blipFill>
      <xdr:spPr>
        <a:xfrm>
          <a:off x="0" y="0"/>
          <a:ext cx="7143750" cy="10287000"/>
        </a:xfrm>
        <a:prstGeom prst="rect">
          <a:avLst/>
        </a:prstGeom>
      </xdr:spPr>
    </xdr:pic>
  </etc:cellImage>
  <etc:cellImage>
    <xdr:pic>
      <xdr:nvPicPr>
        <xdr:cNvPr id="26" name="ID_C929C0A6F3B54FF18F2B98BE28643203"/>
        <xdr:cNvPicPr/>
      </xdr:nvPicPr>
      <xdr:blipFill>
        <a:blip r:link="rId25"/>
        <a:stretch>
          <a:fillRect/>
        </a:stretch>
      </xdr:blipFill>
      <xdr:spPr>
        <a:xfrm>
          <a:off x="0" y="0"/>
          <a:ext cx="7143750" cy="10001250"/>
        </a:xfrm>
        <a:prstGeom prst="rect">
          <a:avLst/>
        </a:prstGeom>
      </xdr:spPr>
    </xdr:pic>
  </etc:cellImage>
  <etc:cellImage>
    <xdr:pic>
      <xdr:nvPicPr>
        <xdr:cNvPr id="27" name="ID_37FC201A56874EEA918314432BBE8D22"/>
        <xdr:cNvPicPr/>
      </xdr:nvPicPr>
      <xdr:blipFill>
        <a:blip r:link="rId26"/>
        <a:stretch>
          <a:fillRect/>
        </a:stretch>
      </xdr:blipFill>
      <xdr:spPr>
        <a:xfrm>
          <a:off x="0" y="0"/>
          <a:ext cx="7143750" cy="9582150"/>
        </a:xfrm>
        <a:prstGeom prst="rect">
          <a:avLst/>
        </a:prstGeom>
      </xdr:spPr>
    </xdr:pic>
  </etc:cellImage>
  <etc:cellImage>
    <xdr:pic>
      <xdr:nvPicPr>
        <xdr:cNvPr id="28" name="ID_9C21E529A1D946A49AECBF1B4E991CC9"/>
        <xdr:cNvPicPr/>
      </xdr:nvPicPr>
      <xdr:blipFill>
        <a:blip r:link="rId27"/>
        <a:stretch>
          <a:fillRect/>
        </a:stretch>
      </xdr:blipFill>
      <xdr:spPr>
        <a:xfrm>
          <a:off x="0" y="0"/>
          <a:ext cx="7143750" cy="10391775"/>
        </a:xfrm>
        <a:prstGeom prst="rect">
          <a:avLst/>
        </a:prstGeom>
      </xdr:spPr>
    </xdr:pic>
  </etc:cellImage>
  <etc:cellImage>
    <xdr:pic>
      <xdr:nvPicPr>
        <xdr:cNvPr id="29" name="ID_A9E5DA8466964C2D98F0B0FFCCE562D8"/>
        <xdr:cNvPicPr/>
      </xdr:nvPicPr>
      <xdr:blipFill>
        <a:blip r:link="rId28"/>
        <a:stretch>
          <a:fillRect/>
        </a:stretch>
      </xdr:blipFill>
      <xdr:spPr>
        <a:xfrm>
          <a:off x="0" y="0"/>
          <a:ext cx="7143750" cy="10001250"/>
        </a:xfrm>
        <a:prstGeom prst="rect">
          <a:avLst/>
        </a:prstGeom>
      </xdr:spPr>
    </xdr:pic>
  </etc:cellImage>
  <etc:cellImage>
    <xdr:pic>
      <xdr:nvPicPr>
        <xdr:cNvPr id="30" name="ID_8FDFD8CDACA94911BFEF3051E2235221"/>
        <xdr:cNvPicPr/>
      </xdr:nvPicPr>
      <xdr:blipFill>
        <a:blip r:link="rId29"/>
        <a:stretch>
          <a:fillRect/>
        </a:stretch>
      </xdr:blipFill>
      <xdr:spPr>
        <a:xfrm>
          <a:off x="0" y="0"/>
          <a:ext cx="7143750" cy="9982200"/>
        </a:xfrm>
        <a:prstGeom prst="rect">
          <a:avLst/>
        </a:prstGeom>
      </xdr:spPr>
    </xdr:pic>
  </etc:cellImage>
  <etc:cellImage>
    <xdr:pic>
      <xdr:nvPicPr>
        <xdr:cNvPr id="31" name="ID_B55181394FEF4B858E10F092AB43BFBB"/>
        <xdr:cNvPicPr/>
      </xdr:nvPicPr>
      <xdr:blipFill>
        <a:blip r:link="rId30"/>
        <a:stretch>
          <a:fillRect/>
        </a:stretch>
      </xdr:blipFill>
      <xdr:spPr>
        <a:xfrm>
          <a:off x="0" y="0"/>
          <a:ext cx="7143750" cy="10001250"/>
        </a:xfrm>
        <a:prstGeom prst="rect">
          <a:avLst/>
        </a:prstGeom>
      </xdr:spPr>
    </xdr:pic>
  </etc:cellImage>
  <etc:cellImage>
    <xdr:pic>
      <xdr:nvPicPr>
        <xdr:cNvPr id="32" name="ID_DCCAD4E9E505474E946107D340C03662"/>
        <xdr:cNvPicPr/>
      </xdr:nvPicPr>
      <xdr:blipFill>
        <a:blip r:link="rId31"/>
        <a:stretch>
          <a:fillRect/>
        </a:stretch>
      </xdr:blipFill>
      <xdr:spPr>
        <a:xfrm>
          <a:off x="0" y="0"/>
          <a:ext cx="7143750" cy="9182100"/>
        </a:xfrm>
        <a:prstGeom prst="rect">
          <a:avLst/>
        </a:prstGeom>
      </xdr:spPr>
    </xdr:pic>
  </etc:cellImage>
  <etc:cellImage>
    <xdr:pic>
      <xdr:nvPicPr>
        <xdr:cNvPr id="33" name="ID_1D525F375CC54BBBB3EFFDF9EC99FC2F"/>
        <xdr:cNvPicPr/>
      </xdr:nvPicPr>
      <xdr:blipFill>
        <a:blip r:link="rId32"/>
        <a:stretch>
          <a:fillRect/>
        </a:stretch>
      </xdr:blipFill>
      <xdr:spPr>
        <a:xfrm>
          <a:off x="0" y="0"/>
          <a:ext cx="7143750" cy="10001250"/>
        </a:xfrm>
        <a:prstGeom prst="rect">
          <a:avLst/>
        </a:prstGeom>
      </xdr:spPr>
    </xdr:pic>
  </etc:cellImage>
  <etc:cellImage>
    <xdr:pic>
      <xdr:nvPicPr>
        <xdr:cNvPr id="34" name="ID_CA960935E07F423087EFDE1A92D5AFE3"/>
        <xdr:cNvPicPr/>
      </xdr:nvPicPr>
      <xdr:blipFill>
        <a:blip r:link="rId33"/>
        <a:stretch>
          <a:fillRect/>
        </a:stretch>
      </xdr:blipFill>
      <xdr:spPr>
        <a:xfrm>
          <a:off x="0" y="0"/>
          <a:ext cx="7143750" cy="10001250"/>
        </a:xfrm>
        <a:prstGeom prst="rect">
          <a:avLst/>
        </a:prstGeom>
      </xdr:spPr>
    </xdr:pic>
  </etc:cellImage>
  <etc:cellImage>
    <xdr:pic>
      <xdr:nvPicPr>
        <xdr:cNvPr id="35" name="ID_090E35C53BC1424DB22E97EDD7B66993"/>
        <xdr:cNvPicPr/>
      </xdr:nvPicPr>
      <xdr:blipFill>
        <a:blip r:link="rId34"/>
        <a:stretch>
          <a:fillRect/>
        </a:stretch>
      </xdr:blipFill>
      <xdr:spPr>
        <a:xfrm>
          <a:off x="0" y="0"/>
          <a:ext cx="7143750" cy="10058400"/>
        </a:xfrm>
        <a:prstGeom prst="rect">
          <a:avLst/>
        </a:prstGeom>
      </xdr:spPr>
    </xdr:pic>
  </etc:cellImage>
  <etc:cellImage>
    <xdr:pic>
      <xdr:nvPicPr>
        <xdr:cNvPr id="36" name="ID_E6FAEDD85D0A4C7CBFEED961D2655370"/>
        <xdr:cNvPicPr/>
      </xdr:nvPicPr>
      <xdr:blipFill>
        <a:blip r:link="rId35"/>
        <a:stretch>
          <a:fillRect/>
        </a:stretch>
      </xdr:blipFill>
      <xdr:spPr>
        <a:xfrm>
          <a:off x="0" y="0"/>
          <a:ext cx="7143750" cy="10001250"/>
        </a:xfrm>
        <a:prstGeom prst="rect">
          <a:avLst/>
        </a:prstGeom>
      </xdr:spPr>
    </xdr:pic>
  </etc:cellImage>
  <etc:cellImage>
    <xdr:pic>
      <xdr:nvPicPr>
        <xdr:cNvPr id="37" name="ID_83DE97F5DD9E4626804875394FE0FC9C"/>
        <xdr:cNvPicPr/>
      </xdr:nvPicPr>
      <xdr:blipFill>
        <a:blip r:link="rId36"/>
        <a:stretch>
          <a:fillRect/>
        </a:stretch>
      </xdr:blipFill>
      <xdr:spPr>
        <a:xfrm>
          <a:off x="0" y="0"/>
          <a:ext cx="7143750" cy="10382250"/>
        </a:xfrm>
        <a:prstGeom prst="rect">
          <a:avLst/>
        </a:prstGeom>
      </xdr:spPr>
    </xdr:pic>
  </etc:cellImage>
  <etc:cellImage>
    <xdr:pic>
      <xdr:nvPicPr>
        <xdr:cNvPr id="38" name="ID_40FEE490C2E64411A9F9A70FED108C60"/>
        <xdr:cNvPicPr/>
      </xdr:nvPicPr>
      <xdr:blipFill>
        <a:blip r:link="rId37"/>
        <a:stretch>
          <a:fillRect/>
        </a:stretch>
      </xdr:blipFill>
      <xdr:spPr>
        <a:xfrm>
          <a:off x="0" y="0"/>
          <a:ext cx="7143750" cy="10001250"/>
        </a:xfrm>
        <a:prstGeom prst="rect">
          <a:avLst/>
        </a:prstGeom>
      </xdr:spPr>
    </xdr:pic>
  </etc:cellImage>
  <etc:cellImage>
    <xdr:pic>
      <xdr:nvPicPr>
        <xdr:cNvPr id="39" name="ID_07A071EC50BE4110A9ABC6B339CCBE2D"/>
        <xdr:cNvPicPr/>
      </xdr:nvPicPr>
      <xdr:blipFill>
        <a:blip r:link="rId38"/>
        <a:stretch>
          <a:fillRect/>
        </a:stretch>
      </xdr:blipFill>
      <xdr:spPr>
        <a:xfrm>
          <a:off x="0" y="0"/>
          <a:ext cx="7143750" cy="9496425"/>
        </a:xfrm>
        <a:prstGeom prst="rect">
          <a:avLst/>
        </a:prstGeom>
      </xdr:spPr>
    </xdr:pic>
  </etc:cellImage>
  <etc:cellImage>
    <xdr:pic>
      <xdr:nvPicPr>
        <xdr:cNvPr id="40" name="ID_71DE12F1CD59449693F0263DC215D27B"/>
        <xdr:cNvPicPr/>
      </xdr:nvPicPr>
      <xdr:blipFill>
        <a:blip r:link="rId39"/>
        <a:stretch>
          <a:fillRect/>
        </a:stretch>
      </xdr:blipFill>
      <xdr:spPr>
        <a:xfrm>
          <a:off x="0" y="0"/>
          <a:ext cx="7143750" cy="9715500"/>
        </a:xfrm>
        <a:prstGeom prst="rect">
          <a:avLst/>
        </a:prstGeom>
      </xdr:spPr>
    </xdr:pic>
  </etc:cellImage>
  <etc:cellImage>
    <xdr:pic>
      <xdr:nvPicPr>
        <xdr:cNvPr id="41" name="ID_DE54808A64424090BF3B2071C574D915"/>
        <xdr:cNvPicPr/>
      </xdr:nvPicPr>
      <xdr:blipFill>
        <a:blip r:link="rId40"/>
        <a:stretch>
          <a:fillRect/>
        </a:stretch>
      </xdr:blipFill>
      <xdr:spPr>
        <a:xfrm>
          <a:off x="0" y="0"/>
          <a:ext cx="7143750" cy="10001250"/>
        </a:xfrm>
        <a:prstGeom prst="rect">
          <a:avLst/>
        </a:prstGeom>
      </xdr:spPr>
    </xdr:pic>
  </etc:cellImage>
  <etc:cellImage>
    <xdr:pic>
      <xdr:nvPicPr>
        <xdr:cNvPr id="42" name="ID_9605826B48E04C21832E1CDFB6E0AF15"/>
        <xdr:cNvPicPr/>
      </xdr:nvPicPr>
      <xdr:blipFill>
        <a:blip r:link="rId41"/>
        <a:stretch>
          <a:fillRect/>
        </a:stretch>
      </xdr:blipFill>
      <xdr:spPr>
        <a:xfrm>
          <a:off x="0" y="0"/>
          <a:ext cx="7143750" cy="8191500"/>
        </a:xfrm>
        <a:prstGeom prst="rect">
          <a:avLst/>
        </a:prstGeom>
      </xdr:spPr>
    </xdr:pic>
  </etc:cellImage>
  <etc:cellImage>
    <xdr:pic>
      <xdr:nvPicPr>
        <xdr:cNvPr id="43" name="ID_815DB3FDB9924FE5A27318CA3E9A763D"/>
        <xdr:cNvPicPr/>
      </xdr:nvPicPr>
      <xdr:blipFill>
        <a:blip r:link="rId42"/>
        <a:stretch>
          <a:fillRect/>
        </a:stretch>
      </xdr:blipFill>
      <xdr:spPr>
        <a:xfrm>
          <a:off x="0" y="0"/>
          <a:ext cx="7143750" cy="10001250"/>
        </a:xfrm>
        <a:prstGeom prst="rect">
          <a:avLst/>
        </a:prstGeom>
      </xdr:spPr>
    </xdr:pic>
  </etc:cellImage>
  <etc:cellImage>
    <xdr:pic>
      <xdr:nvPicPr>
        <xdr:cNvPr id="44" name="ID_ED037D5B8E7D49BEA8FD0DBFF3A4827B"/>
        <xdr:cNvPicPr/>
      </xdr:nvPicPr>
      <xdr:blipFill>
        <a:blip r:link="rId43"/>
        <a:stretch>
          <a:fillRect/>
        </a:stretch>
      </xdr:blipFill>
      <xdr:spPr>
        <a:xfrm>
          <a:off x="0" y="0"/>
          <a:ext cx="7143750" cy="10001250"/>
        </a:xfrm>
        <a:prstGeom prst="rect">
          <a:avLst/>
        </a:prstGeom>
      </xdr:spPr>
    </xdr:pic>
  </etc:cellImage>
  <etc:cellImage>
    <xdr:pic>
      <xdr:nvPicPr>
        <xdr:cNvPr id="45" name="ID_937169E203CF4CFF91192737B547BFCD"/>
        <xdr:cNvPicPr/>
      </xdr:nvPicPr>
      <xdr:blipFill>
        <a:blip r:link="rId44"/>
        <a:stretch>
          <a:fillRect/>
        </a:stretch>
      </xdr:blipFill>
      <xdr:spPr>
        <a:xfrm>
          <a:off x="0" y="0"/>
          <a:ext cx="7143750" cy="10115550"/>
        </a:xfrm>
        <a:prstGeom prst="rect">
          <a:avLst/>
        </a:prstGeom>
      </xdr:spPr>
    </xdr:pic>
  </etc:cellImage>
  <etc:cellImage>
    <xdr:pic>
      <xdr:nvPicPr>
        <xdr:cNvPr id="46" name="ID_82D3A4866E584D37A328F1F75C226980"/>
        <xdr:cNvPicPr/>
      </xdr:nvPicPr>
      <xdr:blipFill>
        <a:blip r:link="rId45"/>
        <a:stretch>
          <a:fillRect/>
        </a:stretch>
      </xdr:blipFill>
      <xdr:spPr>
        <a:xfrm>
          <a:off x="0" y="0"/>
          <a:ext cx="7143750" cy="10010775"/>
        </a:xfrm>
        <a:prstGeom prst="rect">
          <a:avLst/>
        </a:prstGeom>
      </xdr:spPr>
    </xdr:pic>
  </etc:cellImage>
  <etc:cellImage>
    <xdr:pic>
      <xdr:nvPicPr>
        <xdr:cNvPr id="47" name="ID_4A2B45245E6541EDAAF502188C295214"/>
        <xdr:cNvPicPr/>
      </xdr:nvPicPr>
      <xdr:blipFill>
        <a:blip r:link="rId46"/>
        <a:stretch>
          <a:fillRect/>
        </a:stretch>
      </xdr:blipFill>
      <xdr:spPr>
        <a:xfrm>
          <a:off x="0" y="0"/>
          <a:ext cx="7143750" cy="10010775"/>
        </a:xfrm>
        <a:prstGeom prst="rect">
          <a:avLst/>
        </a:prstGeom>
      </xdr:spPr>
    </xdr:pic>
  </etc:cellImage>
  <etc:cellImage>
    <xdr:pic>
      <xdr:nvPicPr>
        <xdr:cNvPr id="48" name="ID_274A21E15DE94C9DB65D865C0AE50BA3"/>
        <xdr:cNvPicPr/>
      </xdr:nvPicPr>
      <xdr:blipFill>
        <a:blip r:link="rId47"/>
        <a:stretch>
          <a:fillRect/>
        </a:stretch>
      </xdr:blipFill>
      <xdr:spPr>
        <a:xfrm>
          <a:off x="0" y="0"/>
          <a:ext cx="7143750" cy="9896475"/>
        </a:xfrm>
        <a:prstGeom prst="rect">
          <a:avLst/>
        </a:prstGeom>
      </xdr:spPr>
    </xdr:pic>
  </etc:cellImage>
  <etc:cellImage>
    <xdr:pic>
      <xdr:nvPicPr>
        <xdr:cNvPr id="49" name="ID_AED44616ADF34083BED4818BEE7F954D"/>
        <xdr:cNvPicPr/>
      </xdr:nvPicPr>
      <xdr:blipFill>
        <a:blip r:link="rId48"/>
        <a:stretch>
          <a:fillRect/>
        </a:stretch>
      </xdr:blipFill>
      <xdr:spPr>
        <a:xfrm>
          <a:off x="0" y="0"/>
          <a:ext cx="7143750" cy="9525000"/>
        </a:xfrm>
        <a:prstGeom prst="rect">
          <a:avLst/>
        </a:prstGeom>
      </xdr:spPr>
    </xdr:pic>
  </etc:cellImage>
  <etc:cellImage>
    <xdr:pic>
      <xdr:nvPicPr>
        <xdr:cNvPr id="50" name="ID_85355BEE288D4456A9F8FBBF22F43B44"/>
        <xdr:cNvPicPr/>
      </xdr:nvPicPr>
      <xdr:blipFill>
        <a:blip r:link="rId49"/>
        <a:stretch>
          <a:fillRect/>
        </a:stretch>
      </xdr:blipFill>
      <xdr:spPr>
        <a:xfrm>
          <a:off x="0" y="0"/>
          <a:ext cx="7143750" cy="10010775"/>
        </a:xfrm>
        <a:prstGeom prst="rect">
          <a:avLst/>
        </a:prstGeom>
      </xdr:spPr>
    </xdr:pic>
  </etc:cellImage>
  <etc:cellImage>
    <xdr:pic>
      <xdr:nvPicPr>
        <xdr:cNvPr id="51" name="ID_109F9871D9934FD3B362EB8D2EAFD060"/>
        <xdr:cNvPicPr/>
      </xdr:nvPicPr>
      <xdr:blipFill>
        <a:blip r:link="rId50"/>
        <a:stretch>
          <a:fillRect/>
        </a:stretch>
      </xdr:blipFill>
      <xdr:spPr>
        <a:xfrm>
          <a:off x="0" y="0"/>
          <a:ext cx="7143750" cy="10382250"/>
        </a:xfrm>
        <a:prstGeom prst="rect">
          <a:avLst/>
        </a:prstGeom>
      </xdr:spPr>
    </xdr:pic>
  </etc:cellImage>
  <etc:cellImage>
    <xdr:pic>
      <xdr:nvPicPr>
        <xdr:cNvPr id="52" name="ID_50ADA4D0B38B42B786E2DD18C78CCC60"/>
        <xdr:cNvPicPr/>
      </xdr:nvPicPr>
      <xdr:blipFill>
        <a:blip r:link="rId51"/>
        <a:stretch>
          <a:fillRect/>
        </a:stretch>
      </xdr:blipFill>
      <xdr:spPr>
        <a:xfrm>
          <a:off x="0" y="0"/>
          <a:ext cx="7143750" cy="9944100"/>
        </a:xfrm>
        <a:prstGeom prst="rect">
          <a:avLst/>
        </a:prstGeom>
      </xdr:spPr>
    </xdr:pic>
  </etc:cellImage>
  <etc:cellImage>
    <xdr:pic>
      <xdr:nvPicPr>
        <xdr:cNvPr id="53" name="ID_89E406E2AE894B018BFF7E7198130BCA"/>
        <xdr:cNvPicPr/>
      </xdr:nvPicPr>
      <xdr:blipFill>
        <a:blip r:link="rId52"/>
        <a:stretch>
          <a:fillRect/>
        </a:stretch>
      </xdr:blipFill>
      <xdr:spPr>
        <a:xfrm>
          <a:off x="0" y="0"/>
          <a:ext cx="7143750" cy="10001250"/>
        </a:xfrm>
        <a:prstGeom prst="rect">
          <a:avLst/>
        </a:prstGeom>
      </xdr:spPr>
    </xdr:pic>
  </etc:cellImage>
  <etc:cellImage>
    <xdr:pic>
      <xdr:nvPicPr>
        <xdr:cNvPr id="54" name="ID_905C387E694F4B30B6CB8B8291B01F38"/>
        <xdr:cNvPicPr/>
      </xdr:nvPicPr>
      <xdr:blipFill>
        <a:blip r:link="rId53"/>
        <a:stretch>
          <a:fillRect/>
        </a:stretch>
      </xdr:blipFill>
      <xdr:spPr>
        <a:xfrm>
          <a:off x="0" y="0"/>
          <a:ext cx="7143750" cy="10372725"/>
        </a:xfrm>
        <a:prstGeom prst="rect">
          <a:avLst/>
        </a:prstGeom>
      </xdr:spPr>
    </xdr:pic>
  </etc:cellImage>
  <etc:cellImage>
    <xdr:pic>
      <xdr:nvPicPr>
        <xdr:cNvPr id="55" name="ID_F245B8B6D20E4BBA8409FA8C63902E06"/>
        <xdr:cNvPicPr/>
      </xdr:nvPicPr>
      <xdr:blipFill>
        <a:blip r:link="rId54"/>
        <a:stretch>
          <a:fillRect/>
        </a:stretch>
      </xdr:blipFill>
      <xdr:spPr>
        <a:xfrm>
          <a:off x="0" y="0"/>
          <a:ext cx="7143750" cy="10734675"/>
        </a:xfrm>
        <a:prstGeom prst="rect">
          <a:avLst/>
        </a:prstGeom>
      </xdr:spPr>
    </xdr:pic>
  </etc:cellImage>
  <etc:cellImage>
    <xdr:pic>
      <xdr:nvPicPr>
        <xdr:cNvPr id="56" name="ID_350951056247403B99D5F5C96BCE4CA8"/>
        <xdr:cNvPicPr/>
      </xdr:nvPicPr>
      <xdr:blipFill>
        <a:blip r:link="rId55"/>
        <a:stretch>
          <a:fillRect/>
        </a:stretch>
      </xdr:blipFill>
      <xdr:spPr>
        <a:xfrm>
          <a:off x="0" y="0"/>
          <a:ext cx="7143750" cy="9525000"/>
        </a:xfrm>
        <a:prstGeom prst="rect">
          <a:avLst/>
        </a:prstGeom>
      </xdr:spPr>
    </xdr:pic>
  </etc:cellImage>
  <etc:cellImage>
    <xdr:pic>
      <xdr:nvPicPr>
        <xdr:cNvPr id="57" name="ID_6F0A1E5B97CE4F0C8967B602A8189E7F"/>
        <xdr:cNvPicPr/>
      </xdr:nvPicPr>
      <xdr:blipFill>
        <a:blip r:link="rId56"/>
        <a:stretch>
          <a:fillRect/>
        </a:stretch>
      </xdr:blipFill>
      <xdr:spPr>
        <a:xfrm>
          <a:off x="0" y="0"/>
          <a:ext cx="7143750" cy="10001250"/>
        </a:xfrm>
        <a:prstGeom prst="rect">
          <a:avLst/>
        </a:prstGeom>
      </xdr:spPr>
    </xdr:pic>
  </etc:cellImage>
  <etc:cellImage>
    <xdr:pic>
      <xdr:nvPicPr>
        <xdr:cNvPr id="58" name="ID_54204C01855F423A99B7E1E3FD940E61"/>
        <xdr:cNvPicPr/>
      </xdr:nvPicPr>
      <xdr:blipFill>
        <a:blip r:link="rId57"/>
        <a:stretch>
          <a:fillRect/>
        </a:stretch>
      </xdr:blipFill>
      <xdr:spPr>
        <a:xfrm>
          <a:off x="0" y="0"/>
          <a:ext cx="7143750" cy="11820525"/>
        </a:xfrm>
        <a:prstGeom prst="rect">
          <a:avLst/>
        </a:prstGeom>
      </xdr:spPr>
    </xdr:pic>
  </etc:cellImage>
  <etc:cellImage>
    <xdr:pic>
      <xdr:nvPicPr>
        <xdr:cNvPr id="59" name="ID_E6AFBB076E18415F8E4E8CB1E3BFC1A0"/>
        <xdr:cNvPicPr/>
      </xdr:nvPicPr>
      <xdr:blipFill>
        <a:blip r:link="rId58"/>
        <a:stretch>
          <a:fillRect/>
        </a:stretch>
      </xdr:blipFill>
      <xdr:spPr>
        <a:xfrm>
          <a:off x="0" y="0"/>
          <a:ext cx="7143750" cy="10201275"/>
        </a:xfrm>
        <a:prstGeom prst="rect">
          <a:avLst/>
        </a:prstGeom>
      </xdr:spPr>
    </xdr:pic>
  </etc:cellImage>
  <etc:cellImage>
    <xdr:pic>
      <xdr:nvPicPr>
        <xdr:cNvPr id="60" name="ID_0553F27943C1489A99AB032B2AD0761A"/>
        <xdr:cNvPicPr/>
      </xdr:nvPicPr>
      <xdr:blipFill>
        <a:blip r:link="rId59"/>
        <a:stretch>
          <a:fillRect/>
        </a:stretch>
      </xdr:blipFill>
      <xdr:spPr>
        <a:xfrm>
          <a:off x="0" y="0"/>
          <a:ext cx="7143750" cy="10001250"/>
        </a:xfrm>
        <a:prstGeom prst="rect">
          <a:avLst/>
        </a:prstGeom>
      </xdr:spPr>
    </xdr:pic>
  </etc:cellImage>
  <etc:cellImage>
    <xdr:pic>
      <xdr:nvPicPr>
        <xdr:cNvPr id="61" name="ID_CF0B9D1514D24BCEBECEF1FC59445AFE"/>
        <xdr:cNvPicPr/>
      </xdr:nvPicPr>
      <xdr:blipFill>
        <a:blip r:link="rId60"/>
        <a:stretch>
          <a:fillRect/>
        </a:stretch>
      </xdr:blipFill>
      <xdr:spPr>
        <a:xfrm>
          <a:off x="0" y="0"/>
          <a:ext cx="7143750" cy="10001250"/>
        </a:xfrm>
        <a:prstGeom prst="rect">
          <a:avLst/>
        </a:prstGeom>
      </xdr:spPr>
    </xdr:pic>
  </etc:cellImage>
  <etc:cellImage>
    <xdr:pic>
      <xdr:nvPicPr>
        <xdr:cNvPr id="62" name="ID_18752421A8044E9999D06F0B98A5B3A9"/>
        <xdr:cNvPicPr/>
      </xdr:nvPicPr>
      <xdr:blipFill>
        <a:blip r:link="rId61"/>
        <a:stretch>
          <a:fillRect/>
        </a:stretch>
      </xdr:blipFill>
      <xdr:spPr>
        <a:xfrm>
          <a:off x="0" y="0"/>
          <a:ext cx="7143750" cy="10001250"/>
        </a:xfrm>
        <a:prstGeom prst="rect">
          <a:avLst/>
        </a:prstGeom>
      </xdr:spPr>
    </xdr:pic>
  </etc:cellImage>
  <etc:cellImage>
    <xdr:pic>
      <xdr:nvPicPr>
        <xdr:cNvPr id="63" name="ID_9786F64DF5E04D0EBFF7257960884627"/>
        <xdr:cNvPicPr/>
      </xdr:nvPicPr>
      <xdr:blipFill>
        <a:blip r:link="rId62"/>
        <a:stretch>
          <a:fillRect/>
        </a:stretch>
      </xdr:blipFill>
      <xdr:spPr>
        <a:xfrm>
          <a:off x="0" y="0"/>
          <a:ext cx="7143750" cy="9972675"/>
        </a:xfrm>
        <a:prstGeom prst="rect">
          <a:avLst/>
        </a:prstGeom>
      </xdr:spPr>
    </xdr:pic>
  </etc:cellImage>
  <etc:cellImage>
    <xdr:pic>
      <xdr:nvPicPr>
        <xdr:cNvPr id="64" name="ID_7B1FBC3D2E8F42D28CA9AC35B8C2D010"/>
        <xdr:cNvPicPr/>
      </xdr:nvPicPr>
      <xdr:blipFill>
        <a:blip r:link="rId63"/>
        <a:stretch>
          <a:fillRect/>
        </a:stretch>
      </xdr:blipFill>
      <xdr:spPr>
        <a:xfrm>
          <a:off x="0" y="0"/>
          <a:ext cx="7143750" cy="10001250"/>
        </a:xfrm>
        <a:prstGeom prst="rect">
          <a:avLst/>
        </a:prstGeom>
      </xdr:spPr>
    </xdr:pic>
  </etc:cellImage>
  <etc:cellImage>
    <xdr:pic>
      <xdr:nvPicPr>
        <xdr:cNvPr id="65" name="ID_7BB67F893C7640E3B6FEA6424D027990"/>
        <xdr:cNvPicPr/>
      </xdr:nvPicPr>
      <xdr:blipFill>
        <a:blip r:link="rId64"/>
        <a:stretch>
          <a:fillRect/>
        </a:stretch>
      </xdr:blipFill>
      <xdr:spPr>
        <a:xfrm>
          <a:off x="0" y="0"/>
          <a:ext cx="7143750" cy="7153275"/>
        </a:xfrm>
        <a:prstGeom prst="rect">
          <a:avLst/>
        </a:prstGeom>
      </xdr:spPr>
    </xdr:pic>
  </etc:cellImage>
  <etc:cellImage>
    <xdr:pic>
      <xdr:nvPicPr>
        <xdr:cNvPr id="66" name="ID_4E1CCA66E504445CA5B7AB8D0FB70FB1"/>
        <xdr:cNvPicPr/>
      </xdr:nvPicPr>
      <xdr:blipFill>
        <a:blip r:link="rId65"/>
        <a:stretch>
          <a:fillRect/>
        </a:stretch>
      </xdr:blipFill>
      <xdr:spPr>
        <a:xfrm>
          <a:off x="0" y="0"/>
          <a:ext cx="7143750" cy="10001250"/>
        </a:xfrm>
        <a:prstGeom prst="rect">
          <a:avLst/>
        </a:prstGeom>
      </xdr:spPr>
    </xdr:pic>
  </etc:cellImage>
  <etc:cellImage>
    <xdr:pic>
      <xdr:nvPicPr>
        <xdr:cNvPr id="67" name="ID_F0D9772787374E2C95921274F505EDAD"/>
        <xdr:cNvPicPr/>
      </xdr:nvPicPr>
      <xdr:blipFill>
        <a:blip r:link="rId66"/>
        <a:stretch>
          <a:fillRect/>
        </a:stretch>
      </xdr:blipFill>
      <xdr:spPr>
        <a:xfrm>
          <a:off x="0" y="0"/>
          <a:ext cx="7143750" cy="9296400"/>
        </a:xfrm>
        <a:prstGeom prst="rect">
          <a:avLst/>
        </a:prstGeom>
      </xdr:spPr>
    </xdr:pic>
  </etc:cellImage>
  <etc:cellImage>
    <xdr:pic>
      <xdr:nvPicPr>
        <xdr:cNvPr id="68" name="ID_F2E1FDE086E6423DAF30A93C1D5DA4A4"/>
        <xdr:cNvPicPr/>
      </xdr:nvPicPr>
      <xdr:blipFill>
        <a:blip r:link="rId67"/>
        <a:stretch>
          <a:fillRect/>
        </a:stretch>
      </xdr:blipFill>
      <xdr:spPr>
        <a:xfrm>
          <a:off x="0" y="0"/>
          <a:ext cx="7143750" cy="10267950"/>
        </a:xfrm>
        <a:prstGeom prst="rect">
          <a:avLst/>
        </a:prstGeom>
      </xdr:spPr>
    </xdr:pic>
  </etc:cellImage>
  <etc:cellImage>
    <xdr:pic>
      <xdr:nvPicPr>
        <xdr:cNvPr id="69" name="ID_81CFC0148DBF4084ADB804B82E5E7200"/>
        <xdr:cNvPicPr/>
      </xdr:nvPicPr>
      <xdr:blipFill>
        <a:blip r:link="rId68"/>
        <a:stretch>
          <a:fillRect/>
        </a:stretch>
      </xdr:blipFill>
      <xdr:spPr>
        <a:xfrm>
          <a:off x="0" y="0"/>
          <a:ext cx="7143750" cy="10001250"/>
        </a:xfrm>
        <a:prstGeom prst="rect">
          <a:avLst/>
        </a:prstGeom>
      </xdr:spPr>
    </xdr:pic>
  </etc:cellImage>
  <etc:cellImage>
    <xdr:pic>
      <xdr:nvPicPr>
        <xdr:cNvPr id="70" name="ID_639B898E1B304FC0A6FA0E13C551BEC4"/>
        <xdr:cNvPicPr/>
      </xdr:nvPicPr>
      <xdr:blipFill>
        <a:blip r:link="rId69"/>
        <a:stretch>
          <a:fillRect/>
        </a:stretch>
      </xdr:blipFill>
      <xdr:spPr>
        <a:xfrm>
          <a:off x="0" y="0"/>
          <a:ext cx="7143750" cy="11125200"/>
        </a:xfrm>
        <a:prstGeom prst="rect">
          <a:avLst/>
        </a:prstGeom>
      </xdr:spPr>
    </xdr:pic>
  </etc:cellImage>
  <etc:cellImage>
    <xdr:pic>
      <xdr:nvPicPr>
        <xdr:cNvPr id="71" name="ID_AEB241E66C41495DBC633E36C32A72C8"/>
        <xdr:cNvPicPr/>
      </xdr:nvPicPr>
      <xdr:blipFill>
        <a:blip r:link="rId70"/>
        <a:stretch>
          <a:fillRect/>
        </a:stretch>
      </xdr:blipFill>
      <xdr:spPr>
        <a:xfrm>
          <a:off x="0" y="0"/>
          <a:ext cx="7143750" cy="9906000"/>
        </a:xfrm>
        <a:prstGeom prst="rect">
          <a:avLst/>
        </a:prstGeom>
      </xdr:spPr>
    </xdr:pic>
  </etc:cellImage>
  <etc:cellImage>
    <xdr:pic>
      <xdr:nvPicPr>
        <xdr:cNvPr id="72" name="ID_5528F9D8BCB3449AB737B926D9AAB949"/>
        <xdr:cNvPicPr/>
      </xdr:nvPicPr>
      <xdr:blipFill>
        <a:blip r:link="rId71"/>
        <a:stretch>
          <a:fillRect/>
        </a:stretch>
      </xdr:blipFill>
      <xdr:spPr>
        <a:xfrm>
          <a:off x="0" y="0"/>
          <a:ext cx="7143750" cy="10001250"/>
        </a:xfrm>
        <a:prstGeom prst="rect">
          <a:avLst/>
        </a:prstGeom>
      </xdr:spPr>
    </xdr:pic>
  </etc:cellImage>
  <etc:cellImage>
    <xdr:pic>
      <xdr:nvPicPr>
        <xdr:cNvPr id="73" name="ID_D94148DE170D425EB66AE2DFFF655A13"/>
        <xdr:cNvPicPr/>
      </xdr:nvPicPr>
      <xdr:blipFill>
        <a:blip r:link="rId72"/>
        <a:stretch>
          <a:fillRect/>
        </a:stretch>
      </xdr:blipFill>
      <xdr:spPr>
        <a:xfrm>
          <a:off x="0" y="0"/>
          <a:ext cx="7143750" cy="9496425"/>
        </a:xfrm>
        <a:prstGeom prst="rect">
          <a:avLst/>
        </a:prstGeom>
      </xdr:spPr>
    </xdr:pic>
  </etc:cellImage>
  <etc:cellImage>
    <xdr:pic>
      <xdr:nvPicPr>
        <xdr:cNvPr id="74" name="ID_8A1A22938F334E1D900FC8311DB2BE9A"/>
        <xdr:cNvPicPr/>
      </xdr:nvPicPr>
      <xdr:blipFill>
        <a:blip r:link="rId73"/>
        <a:stretch>
          <a:fillRect/>
        </a:stretch>
      </xdr:blipFill>
      <xdr:spPr>
        <a:xfrm>
          <a:off x="0" y="0"/>
          <a:ext cx="7143750" cy="9991725"/>
        </a:xfrm>
        <a:prstGeom prst="rect">
          <a:avLst/>
        </a:prstGeom>
      </xdr:spPr>
    </xdr:pic>
  </etc:cellImage>
  <etc:cellImage>
    <xdr:pic>
      <xdr:nvPicPr>
        <xdr:cNvPr id="75" name="ID_89C7FFEC948F45D4B7C91F290C37CCB6"/>
        <xdr:cNvPicPr/>
      </xdr:nvPicPr>
      <xdr:blipFill>
        <a:blip r:link="rId74"/>
        <a:stretch>
          <a:fillRect/>
        </a:stretch>
      </xdr:blipFill>
      <xdr:spPr>
        <a:xfrm>
          <a:off x="0" y="0"/>
          <a:ext cx="7143750" cy="10344150"/>
        </a:xfrm>
        <a:prstGeom prst="rect">
          <a:avLst/>
        </a:prstGeom>
      </xdr:spPr>
    </xdr:pic>
  </etc:cellImage>
  <etc:cellImage>
    <xdr:pic>
      <xdr:nvPicPr>
        <xdr:cNvPr id="76" name="ID_424B9BE152D1418A818313627A199A3A"/>
        <xdr:cNvPicPr/>
      </xdr:nvPicPr>
      <xdr:blipFill>
        <a:blip r:link="rId75"/>
        <a:stretch>
          <a:fillRect/>
        </a:stretch>
      </xdr:blipFill>
      <xdr:spPr>
        <a:xfrm>
          <a:off x="0" y="0"/>
          <a:ext cx="7143750" cy="10315575"/>
        </a:xfrm>
        <a:prstGeom prst="rect">
          <a:avLst/>
        </a:prstGeom>
      </xdr:spPr>
    </xdr:pic>
  </etc:cellImage>
  <etc:cellImage>
    <xdr:pic>
      <xdr:nvPicPr>
        <xdr:cNvPr id="77" name="ID_42372BFB4B414C38BA1598FF5C930944"/>
        <xdr:cNvPicPr/>
      </xdr:nvPicPr>
      <xdr:blipFill>
        <a:blip r:link="rId76"/>
        <a:stretch>
          <a:fillRect/>
        </a:stretch>
      </xdr:blipFill>
      <xdr:spPr>
        <a:xfrm>
          <a:off x="0" y="0"/>
          <a:ext cx="7143750" cy="9858375"/>
        </a:xfrm>
        <a:prstGeom prst="rect">
          <a:avLst/>
        </a:prstGeom>
      </xdr:spPr>
    </xdr:pic>
  </etc:cellImage>
  <etc:cellImage>
    <xdr:pic>
      <xdr:nvPicPr>
        <xdr:cNvPr id="78" name="ID_D74EFBEA1A81482A857D7A1473663067"/>
        <xdr:cNvPicPr/>
      </xdr:nvPicPr>
      <xdr:blipFill>
        <a:blip r:link="rId77"/>
        <a:stretch>
          <a:fillRect/>
        </a:stretch>
      </xdr:blipFill>
      <xdr:spPr>
        <a:xfrm>
          <a:off x="0" y="0"/>
          <a:ext cx="7143750" cy="9525000"/>
        </a:xfrm>
        <a:prstGeom prst="rect">
          <a:avLst/>
        </a:prstGeom>
      </xdr:spPr>
    </xdr:pic>
  </etc:cellImage>
  <etc:cellImage>
    <xdr:pic>
      <xdr:nvPicPr>
        <xdr:cNvPr id="79" name="ID_019B47D80B6342B48EC2873E3CE82AE8"/>
        <xdr:cNvPicPr/>
      </xdr:nvPicPr>
      <xdr:blipFill>
        <a:blip r:link="rId78"/>
        <a:stretch>
          <a:fillRect/>
        </a:stretch>
      </xdr:blipFill>
      <xdr:spPr>
        <a:xfrm>
          <a:off x="0" y="0"/>
          <a:ext cx="7143750" cy="10220325"/>
        </a:xfrm>
        <a:prstGeom prst="rect">
          <a:avLst/>
        </a:prstGeom>
      </xdr:spPr>
    </xdr:pic>
  </etc:cellImage>
  <etc:cellImage>
    <xdr:pic>
      <xdr:nvPicPr>
        <xdr:cNvPr id="80" name="ID_FA24C7A6F2FA44B892B9DF563FC4E960"/>
        <xdr:cNvPicPr/>
      </xdr:nvPicPr>
      <xdr:blipFill>
        <a:blip r:link="rId79"/>
        <a:stretch>
          <a:fillRect/>
        </a:stretch>
      </xdr:blipFill>
      <xdr:spPr>
        <a:xfrm>
          <a:off x="0" y="0"/>
          <a:ext cx="7143750" cy="9525000"/>
        </a:xfrm>
        <a:prstGeom prst="rect">
          <a:avLst/>
        </a:prstGeom>
      </xdr:spPr>
    </xdr:pic>
  </etc:cellImage>
  <etc:cellImage>
    <xdr:pic>
      <xdr:nvPicPr>
        <xdr:cNvPr id="81" name="ID_79374B2C837849A79ABAFBB6FF76D11C"/>
        <xdr:cNvPicPr/>
      </xdr:nvPicPr>
      <xdr:blipFill>
        <a:blip r:link="rId80"/>
        <a:stretch>
          <a:fillRect/>
        </a:stretch>
      </xdr:blipFill>
      <xdr:spPr>
        <a:xfrm>
          <a:off x="0" y="0"/>
          <a:ext cx="7143750" cy="7143750"/>
        </a:xfrm>
        <a:prstGeom prst="rect">
          <a:avLst/>
        </a:prstGeom>
      </xdr:spPr>
    </xdr:pic>
  </etc:cellImage>
  <etc:cellImage>
    <xdr:pic>
      <xdr:nvPicPr>
        <xdr:cNvPr id="82" name="ID_85B3DA5A290A4196889B653600FB42ED"/>
        <xdr:cNvPicPr/>
      </xdr:nvPicPr>
      <xdr:blipFill>
        <a:blip r:link="rId81"/>
        <a:stretch>
          <a:fillRect/>
        </a:stretch>
      </xdr:blipFill>
      <xdr:spPr>
        <a:xfrm>
          <a:off x="0" y="0"/>
          <a:ext cx="7143750" cy="9448800"/>
        </a:xfrm>
        <a:prstGeom prst="rect">
          <a:avLst/>
        </a:prstGeom>
      </xdr:spPr>
    </xdr:pic>
  </etc:cellImage>
  <etc:cellImage>
    <xdr:pic>
      <xdr:nvPicPr>
        <xdr:cNvPr id="83" name="ID_1BFE84DC97BC469ABB3506659F95FD8E"/>
        <xdr:cNvPicPr/>
      </xdr:nvPicPr>
      <xdr:blipFill>
        <a:blip r:link="rId82"/>
        <a:stretch>
          <a:fillRect/>
        </a:stretch>
      </xdr:blipFill>
      <xdr:spPr>
        <a:xfrm>
          <a:off x="0" y="0"/>
          <a:ext cx="7143750" cy="10001250"/>
        </a:xfrm>
        <a:prstGeom prst="rect">
          <a:avLst/>
        </a:prstGeom>
      </xdr:spPr>
    </xdr:pic>
  </etc:cellImage>
  <etc:cellImage>
    <xdr:pic>
      <xdr:nvPicPr>
        <xdr:cNvPr id="84" name="ID_5478E78BEF25454AA0569457DA503AEE"/>
        <xdr:cNvPicPr/>
      </xdr:nvPicPr>
      <xdr:blipFill>
        <a:blip r:link="rId83"/>
        <a:stretch>
          <a:fillRect/>
        </a:stretch>
      </xdr:blipFill>
      <xdr:spPr>
        <a:xfrm>
          <a:off x="0" y="0"/>
          <a:ext cx="7143750" cy="9525000"/>
        </a:xfrm>
        <a:prstGeom prst="rect">
          <a:avLst/>
        </a:prstGeom>
      </xdr:spPr>
    </xdr:pic>
  </etc:cellImage>
  <etc:cellImage>
    <xdr:pic>
      <xdr:nvPicPr>
        <xdr:cNvPr id="85" name="ID_ADE94A403A29454787C6186CC5AA20B8"/>
        <xdr:cNvPicPr/>
      </xdr:nvPicPr>
      <xdr:blipFill>
        <a:blip r:link="rId84"/>
        <a:stretch>
          <a:fillRect/>
        </a:stretch>
      </xdr:blipFill>
      <xdr:spPr>
        <a:xfrm>
          <a:off x="0" y="0"/>
          <a:ext cx="7143750" cy="10001250"/>
        </a:xfrm>
        <a:prstGeom prst="rect">
          <a:avLst/>
        </a:prstGeom>
      </xdr:spPr>
    </xdr:pic>
  </etc:cellImage>
  <etc:cellImage>
    <xdr:pic>
      <xdr:nvPicPr>
        <xdr:cNvPr id="86" name="ID_8862CF8F67E94F49BA25AF43C58A74CB"/>
        <xdr:cNvPicPr/>
      </xdr:nvPicPr>
      <xdr:blipFill>
        <a:blip r:link="rId85"/>
        <a:stretch>
          <a:fillRect/>
        </a:stretch>
      </xdr:blipFill>
      <xdr:spPr>
        <a:xfrm>
          <a:off x="0" y="0"/>
          <a:ext cx="7143750" cy="10153650"/>
        </a:xfrm>
        <a:prstGeom prst="rect">
          <a:avLst/>
        </a:prstGeom>
      </xdr:spPr>
    </xdr:pic>
  </etc:cellImage>
  <etc:cellImage>
    <xdr:pic>
      <xdr:nvPicPr>
        <xdr:cNvPr id="87" name="ID_B0F72DE4E87649C28924E4AA265BAF06"/>
        <xdr:cNvPicPr/>
      </xdr:nvPicPr>
      <xdr:blipFill>
        <a:blip r:link="rId86"/>
        <a:stretch>
          <a:fillRect/>
        </a:stretch>
      </xdr:blipFill>
      <xdr:spPr>
        <a:xfrm>
          <a:off x="0" y="0"/>
          <a:ext cx="7143750" cy="10001250"/>
        </a:xfrm>
        <a:prstGeom prst="rect">
          <a:avLst/>
        </a:prstGeom>
      </xdr:spPr>
    </xdr:pic>
  </etc:cellImage>
  <etc:cellImage>
    <xdr:pic>
      <xdr:nvPicPr>
        <xdr:cNvPr id="88" name="ID_BCCBED5385A54C5D88278A56BF2ABF99"/>
        <xdr:cNvPicPr/>
      </xdr:nvPicPr>
      <xdr:blipFill>
        <a:blip r:link="rId87"/>
        <a:stretch>
          <a:fillRect/>
        </a:stretch>
      </xdr:blipFill>
      <xdr:spPr>
        <a:xfrm>
          <a:off x="0" y="0"/>
          <a:ext cx="7143750" cy="10001250"/>
        </a:xfrm>
        <a:prstGeom prst="rect">
          <a:avLst/>
        </a:prstGeom>
      </xdr:spPr>
    </xdr:pic>
  </etc:cellImage>
  <etc:cellImage>
    <xdr:pic>
      <xdr:nvPicPr>
        <xdr:cNvPr id="89" name="ID_7778BC47A591458DA9EA33FB1000B681"/>
        <xdr:cNvPicPr/>
      </xdr:nvPicPr>
      <xdr:blipFill>
        <a:blip r:link="rId88"/>
        <a:stretch>
          <a:fillRect/>
        </a:stretch>
      </xdr:blipFill>
      <xdr:spPr>
        <a:xfrm>
          <a:off x="0" y="0"/>
          <a:ext cx="7143750" cy="10439400"/>
        </a:xfrm>
        <a:prstGeom prst="rect">
          <a:avLst/>
        </a:prstGeom>
      </xdr:spPr>
    </xdr:pic>
  </etc:cellImage>
  <etc:cellImage>
    <xdr:pic>
      <xdr:nvPicPr>
        <xdr:cNvPr id="90" name="ID_4CCFD0700027401988C293FD5FDA33FE"/>
        <xdr:cNvPicPr/>
      </xdr:nvPicPr>
      <xdr:blipFill>
        <a:blip r:link="rId89"/>
        <a:stretch>
          <a:fillRect/>
        </a:stretch>
      </xdr:blipFill>
      <xdr:spPr>
        <a:xfrm>
          <a:off x="0" y="0"/>
          <a:ext cx="7143750" cy="9972675"/>
        </a:xfrm>
        <a:prstGeom prst="rect">
          <a:avLst/>
        </a:prstGeom>
      </xdr:spPr>
    </xdr:pic>
  </etc:cellImage>
  <etc:cellImage>
    <xdr:pic>
      <xdr:nvPicPr>
        <xdr:cNvPr id="91" name="ID_25A1371DB5D24E7E87AED819AD313075"/>
        <xdr:cNvPicPr/>
      </xdr:nvPicPr>
      <xdr:blipFill>
        <a:blip r:link="rId90"/>
        <a:stretch>
          <a:fillRect/>
        </a:stretch>
      </xdr:blipFill>
      <xdr:spPr>
        <a:xfrm>
          <a:off x="0" y="0"/>
          <a:ext cx="7143750" cy="10001250"/>
        </a:xfrm>
        <a:prstGeom prst="rect">
          <a:avLst/>
        </a:prstGeom>
      </xdr:spPr>
    </xdr:pic>
  </etc:cellImage>
  <etc:cellImage>
    <xdr:pic>
      <xdr:nvPicPr>
        <xdr:cNvPr id="92" name="ID_9AC6BD34E9E244F89B50B29F8EA156DD"/>
        <xdr:cNvPicPr/>
      </xdr:nvPicPr>
      <xdr:blipFill>
        <a:blip r:link="rId91"/>
        <a:stretch>
          <a:fillRect/>
        </a:stretch>
      </xdr:blipFill>
      <xdr:spPr>
        <a:xfrm>
          <a:off x="0" y="0"/>
          <a:ext cx="7143750" cy="10410825"/>
        </a:xfrm>
        <a:prstGeom prst="rect">
          <a:avLst/>
        </a:prstGeom>
      </xdr:spPr>
    </xdr:pic>
  </etc:cellImage>
  <etc:cellImage>
    <xdr:pic>
      <xdr:nvPicPr>
        <xdr:cNvPr id="93" name="ID_10318FA0EB2E4E7ABCD18627E825B2DF"/>
        <xdr:cNvPicPr/>
      </xdr:nvPicPr>
      <xdr:blipFill>
        <a:blip r:link="rId92"/>
        <a:stretch>
          <a:fillRect/>
        </a:stretch>
      </xdr:blipFill>
      <xdr:spPr>
        <a:xfrm>
          <a:off x="0" y="0"/>
          <a:ext cx="7143750" cy="10001250"/>
        </a:xfrm>
        <a:prstGeom prst="rect">
          <a:avLst/>
        </a:prstGeom>
      </xdr:spPr>
    </xdr:pic>
  </etc:cellImage>
  <etc:cellImage>
    <xdr:pic>
      <xdr:nvPicPr>
        <xdr:cNvPr id="94" name="ID_AB18BB501DAF4CA0AB480E453554BF60"/>
        <xdr:cNvPicPr/>
      </xdr:nvPicPr>
      <xdr:blipFill>
        <a:blip r:link="rId93"/>
        <a:stretch>
          <a:fillRect/>
        </a:stretch>
      </xdr:blipFill>
      <xdr:spPr>
        <a:xfrm>
          <a:off x="0" y="0"/>
          <a:ext cx="7143750" cy="9525000"/>
        </a:xfrm>
        <a:prstGeom prst="rect">
          <a:avLst/>
        </a:prstGeom>
      </xdr:spPr>
    </xdr:pic>
  </etc:cellImage>
  <etc:cellImage>
    <xdr:pic>
      <xdr:nvPicPr>
        <xdr:cNvPr id="95" name="ID_723B44C496604BFA92AC4D10BD64E9FC"/>
        <xdr:cNvPicPr/>
      </xdr:nvPicPr>
      <xdr:blipFill>
        <a:blip r:link="rId94"/>
        <a:stretch>
          <a:fillRect/>
        </a:stretch>
      </xdr:blipFill>
      <xdr:spPr>
        <a:xfrm>
          <a:off x="0" y="0"/>
          <a:ext cx="7143750" cy="10287000"/>
        </a:xfrm>
        <a:prstGeom prst="rect">
          <a:avLst/>
        </a:prstGeom>
      </xdr:spPr>
    </xdr:pic>
  </etc:cellImage>
  <etc:cellImage>
    <xdr:pic>
      <xdr:nvPicPr>
        <xdr:cNvPr id="96" name="ID_8ABFE7CB3D4544BB889DAF8FFFAF27BC"/>
        <xdr:cNvPicPr/>
      </xdr:nvPicPr>
      <xdr:blipFill>
        <a:blip r:link="rId95"/>
        <a:stretch>
          <a:fillRect/>
        </a:stretch>
      </xdr:blipFill>
      <xdr:spPr>
        <a:xfrm>
          <a:off x="0" y="0"/>
          <a:ext cx="7143750" cy="10001250"/>
        </a:xfrm>
        <a:prstGeom prst="rect">
          <a:avLst/>
        </a:prstGeom>
      </xdr:spPr>
    </xdr:pic>
  </etc:cellImage>
  <etc:cellImage>
    <xdr:pic>
      <xdr:nvPicPr>
        <xdr:cNvPr id="97" name="ID_1619E0FF3AE04637958459633AD8C1B8"/>
        <xdr:cNvPicPr/>
      </xdr:nvPicPr>
      <xdr:blipFill>
        <a:blip r:link="rId96"/>
        <a:stretch>
          <a:fillRect/>
        </a:stretch>
      </xdr:blipFill>
      <xdr:spPr>
        <a:xfrm>
          <a:off x="0" y="0"/>
          <a:ext cx="7143750" cy="10001250"/>
        </a:xfrm>
        <a:prstGeom prst="rect">
          <a:avLst/>
        </a:prstGeom>
      </xdr:spPr>
    </xdr:pic>
  </etc:cellImage>
  <etc:cellImage>
    <xdr:pic>
      <xdr:nvPicPr>
        <xdr:cNvPr id="98" name="ID_0FA5FFDB4D0442D5AB7C6CB6A0A51E2D"/>
        <xdr:cNvPicPr/>
      </xdr:nvPicPr>
      <xdr:blipFill>
        <a:blip r:link="rId97"/>
        <a:stretch>
          <a:fillRect/>
        </a:stretch>
      </xdr:blipFill>
      <xdr:spPr>
        <a:xfrm>
          <a:off x="0" y="0"/>
          <a:ext cx="7143750" cy="10001250"/>
        </a:xfrm>
        <a:prstGeom prst="rect">
          <a:avLst/>
        </a:prstGeom>
      </xdr:spPr>
    </xdr:pic>
  </etc:cellImage>
  <etc:cellImage>
    <xdr:pic>
      <xdr:nvPicPr>
        <xdr:cNvPr id="99" name="ID_95C77A057E51453F847E60BE7A6D3C93"/>
        <xdr:cNvPicPr/>
      </xdr:nvPicPr>
      <xdr:blipFill>
        <a:blip r:link="rId98"/>
        <a:stretch>
          <a:fillRect/>
        </a:stretch>
      </xdr:blipFill>
      <xdr:spPr>
        <a:xfrm>
          <a:off x="0" y="0"/>
          <a:ext cx="7143750" cy="10706100"/>
        </a:xfrm>
        <a:prstGeom prst="rect">
          <a:avLst/>
        </a:prstGeom>
      </xdr:spPr>
    </xdr:pic>
  </etc:cellImage>
  <etc:cellImage>
    <xdr:pic>
      <xdr:nvPicPr>
        <xdr:cNvPr id="100" name="ID_296B75901486490E98D040532231AC8D"/>
        <xdr:cNvPicPr/>
      </xdr:nvPicPr>
      <xdr:blipFill>
        <a:blip r:link="rId99"/>
        <a:stretch>
          <a:fillRect/>
        </a:stretch>
      </xdr:blipFill>
      <xdr:spPr>
        <a:xfrm>
          <a:off x="0" y="0"/>
          <a:ext cx="7143750" cy="10020300"/>
        </a:xfrm>
        <a:prstGeom prst="rect">
          <a:avLst/>
        </a:prstGeom>
      </xdr:spPr>
    </xdr:pic>
  </etc:cellImage>
  <etc:cellImage>
    <xdr:pic>
      <xdr:nvPicPr>
        <xdr:cNvPr id="101" name="ID_1261702926BF4B91B3BBC8CF57D7C930"/>
        <xdr:cNvPicPr/>
      </xdr:nvPicPr>
      <xdr:blipFill>
        <a:blip r:link="rId100"/>
        <a:stretch>
          <a:fillRect/>
        </a:stretch>
      </xdr:blipFill>
      <xdr:spPr>
        <a:xfrm>
          <a:off x="0" y="0"/>
          <a:ext cx="7143750" cy="10020300"/>
        </a:xfrm>
        <a:prstGeom prst="rect">
          <a:avLst/>
        </a:prstGeom>
      </xdr:spPr>
    </xdr:pic>
  </etc:cellImage>
  <etc:cellImage>
    <xdr:pic>
      <xdr:nvPicPr>
        <xdr:cNvPr id="102" name="ID_9916007E0F6C44BAA2C2DFDD815EDF7E"/>
        <xdr:cNvPicPr/>
      </xdr:nvPicPr>
      <xdr:blipFill>
        <a:blip r:link="rId101"/>
        <a:stretch>
          <a:fillRect/>
        </a:stretch>
      </xdr:blipFill>
      <xdr:spPr>
        <a:xfrm>
          <a:off x="0" y="0"/>
          <a:ext cx="7143750" cy="9363075"/>
        </a:xfrm>
        <a:prstGeom prst="rect">
          <a:avLst/>
        </a:prstGeom>
      </xdr:spPr>
    </xdr:pic>
  </etc:cellImage>
  <etc:cellImage>
    <xdr:pic>
      <xdr:nvPicPr>
        <xdr:cNvPr id="103" name="ID_4AD11122DC4C4D408EA29340CD6689FE"/>
        <xdr:cNvPicPr/>
      </xdr:nvPicPr>
      <xdr:blipFill>
        <a:blip r:link="rId102"/>
        <a:stretch>
          <a:fillRect/>
        </a:stretch>
      </xdr:blipFill>
      <xdr:spPr>
        <a:xfrm>
          <a:off x="0" y="0"/>
          <a:ext cx="7143750" cy="10001250"/>
        </a:xfrm>
        <a:prstGeom prst="rect">
          <a:avLst/>
        </a:prstGeom>
      </xdr:spPr>
    </xdr:pic>
  </etc:cellImage>
  <etc:cellImage>
    <xdr:pic>
      <xdr:nvPicPr>
        <xdr:cNvPr id="104" name="ID_78C412614C7B42A0AA2A4D942DD9F1A2"/>
        <xdr:cNvPicPr/>
      </xdr:nvPicPr>
      <xdr:blipFill>
        <a:blip r:link="rId103"/>
        <a:stretch>
          <a:fillRect/>
        </a:stretch>
      </xdr:blipFill>
      <xdr:spPr>
        <a:xfrm>
          <a:off x="0" y="0"/>
          <a:ext cx="7143750" cy="9525000"/>
        </a:xfrm>
        <a:prstGeom prst="rect">
          <a:avLst/>
        </a:prstGeom>
      </xdr:spPr>
    </xdr:pic>
  </etc:cellImage>
  <etc:cellImage>
    <xdr:pic>
      <xdr:nvPicPr>
        <xdr:cNvPr id="105" name="ID_2B72C85721DF4DA8A46A71B57C490F39"/>
        <xdr:cNvPicPr/>
      </xdr:nvPicPr>
      <xdr:blipFill>
        <a:blip r:link="rId104"/>
        <a:stretch>
          <a:fillRect/>
        </a:stretch>
      </xdr:blipFill>
      <xdr:spPr>
        <a:xfrm>
          <a:off x="0" y="0"/>
          <a:ext cx="7143750" cy="10001250"/>
        </a:xfrm>
        <a:prstGeom prst="rect">
          <a:avLst/>
        </a:prstGeom>
      </xdr:spPr>
    </xdr:pic>
  </etc:cellImage>
  <etc:cellImage>
    <xdr:pic>
      <xdr:nvPicPr>
        <xdr:cNvPr id="106" name="ID_FAFFBB147A2A46E5B294F9119A127E5F"/>
        <xdr:cNvPicPr/>
      </xdr:nvPicPr>
      <xdr:blipFill>
        <a:blip r:link="rId105"/>
        <a:stretch>
          <a:fillRect/>
        </a:stretch>
      </xdr:blipFill>
      <xdr:spPr>
        <a:xfrm>
          <a:off x="0" y="0"/>
          <a:ext cx="7143750" cy="10382250"/>
        </a:xfrm>
        <a:prstGeom prst="rect">
          <a:avLst/>
        </a:prstGeom>
      </xdr:spPr>
    </xdr:pic>
  </etc:cellImage>
  <etc:cellImage>
    <xdr:pic>
      <xdr:nvPicPr>
        <xdr:cNvPr id="107" name="ID_85B66E0F069149898E44BCE57E5EBF40"/>
        <xdr:cNvPicPr/>
      </xdr:nvPicPr>
      <xdr:blipFill>
        <a:blip r:link="rId106"/>
        <a:stretch>
          <a:fillRect/>
        </a:stretch>
      </xdr:blipFill>
      <xdr:spPr>
        <a:xfrm>
          <a:off x="0" y="0"/>
          <a:ext cx="7143750" cy="6248400"/>
        </a:xfrm>
        <a:prstGeom prst="rect">
          <a:avLst/>
        </a:prstGeom>
      </xdr:spPr>
    </xdr:pic>
  </etc:cellImage>
  <etc:cellImage>
    <xdr:pic>
      <xdr:nvPicPr>
        <xdr:cNvPr id="108" name="ID_E90456CE8BF84902B589BDD1B517D38B"/>
        <xdr:cNvPicPr/>
      </xdr:nvPicPr>
      <xdr:blipFill>
        <a:blip r:link="rId107"/>
        <a:stretch>
          <a:fillRect/>
        </a:stretch>
      </xdr:blipFill>
      <xdr:spPr>
        <a:xfrm>
          <a:off x="0" y="0"/>
          <a:ext cx="7143750" cy="10058400"/>
        </a:xfrm>
        <a:prstGeom prst="rect">
          <a:avLst/>
        </a:prstGeom>
      </xdr:spPr>
    </xdr:pic>
  </etc:cellImage>
  <etc:cellImage>
    <xdr:pic>
      <xdr:nvPicPr>
        <xdr:cNvPr id="109" name="ID_FE9003ADDBCE49A4979CC74582466077"/>
        <xdr:cNvPicPr/>
      </xdr:nvPicPr>
      <xdr:blipFill>
        <a:blip r:link="rId108"/>
        <a:stretch>
          <a:fillRect/>
        </a:stretch>
      </xdr:blipFill>
      <xdr:spPr>
        <a:xfrm>
          <a:off x="0" y="0"/>
          <a:ext cx="7143750" cy="9525000"/>
        </a:xfrm>
        <a:prstGeom prst="rect">
          <a:avLst/>
        </a:prstGeom>
      </xdr:spPr>
    </xdr:pic>
  </etc:cellImage>
  <etc:cellImage>
    <xdr:pic>
      <xdr:nvPicPr>
        <xdr:cNvPr id="110" name="ID_18B5B97762B948069F50AE4DD03BA465"/>
        <xdr:cNvPicPr/>
      </xdr:nvPicPr>
      <xdr:blipFill>
        <a:blip r:link="rId109"/>
        <a:stretch>
          <a:fillRect/>
        </a:stretch>
      </xdr:blipFill>
      <xdr:spPr>
        <a:xfrm>
          <a:off x="0" y="0"/>
          <a:ext cx="7143750" cy="10696575"/>
        </a:xfrm>
        <a:prstGeom prst="rect">
          <a:avLst/>
        </a:prstGeom>
      </xdr:spPr>
    </xdr:pic>
  </etc:cellImage>
  <etc:cellImage>
    <xdr:pic>
      <xdr:nvPicPr>
        <xdr:cNvPr id="111" name="ID_0415E10C85C94C988A22FA5D4842DE09"/>
        <xdr:cNvPicPr/>
      </xdr:nvPicPr>
      <xdr:blipFill>
        <a:blip r:link="rId110"/>
        <a:stretch>
          <a:fillRect/>
        </a:stretch>
      </xdr:blipFill>
      <xdr:spPr>
        <a:xfrm>
          <a:off x="0" y="0"/>
          <a:ext cx="7143750" cy="9982200"/>
        </a:xfrm>
        <a:prstGeom prst="rect">
          <a:avLst/>
        </a:prstGeom>
      </xdr:spPr>
    </xdr:pic>
  </etc:cellImage>
  <etc:cellImage>
    <xdr:pic>
      <xdr:nvPicPr>
        <xdr:cNvPr id="112" name="ID_2A6402E44B2C4CB5B00B003CEEB85AA0"/>
        <xdr:cNvPicPr/>
      </xdr:nvPicPr>
      <xdr:blipFill>
        <a:blip r:link="rId111"/>
        <a:stretch>
          <a:fillRect/>
        </a:stretch>
      </xdr:blipFill>
      <xdr:spPr>
        <a:xfrm>
          <a:off x="0" y="0"/>
          <a:ext cx="7143750" cy="10706100"/>
        </a:xfrm>
        <a:prstGeom prst="rect">
          <a:avLst/>
        </a:prstGeom>
      </xdr:spPr>
    </xdr:pic>
  </etc:cellImage>
  <etc:cellImage>
    <xdr:pic>
      <xdr:nvPicPr>
        <xdr:cNvPr id="113" name="ID_AF5F9594083C4D63A9C12F6DBB9E6CAE"/>
        <xdr:cNvPicPr/>
      </xdr:nvPicPr>
      <xdr:blipFill>
        <a:blip r:link="rId112"/>
        <a:stretch>
          <a:fillRect/>
        </a:stretch>
      </xdr:blipFill>
      <xdr:spPr>
        <a:xfrm>
          <a:off x="0" y="0"/>
          <a:ext cx="7143750" cy="10001250"/>
        </a:xfrm>
        <a:prstGeom prst="rect">
          <a:avLst/>
        </a:prstGeom>
      </xdr:spPr>
    </xdr:pic>
  </etc:cellImage>
  <etc:cellImage>
    <xdr:pic>
      <xdr:nvPicPr>
        <xdr:cNvPr id="114" name="ID_A11E1242B6CE401EA988641535D09239"/>
        <xdr:cNvPicPr/>
      </xdr:nvPicPr>
      <xdr:blipFill>
        <a:blip r:link="rId113"/>
        <a:stretch>
          <a:fillRect/>
        </a:stretch>
      </xdr:blipFill>
      <xdr:spPr>
        <a:xfrm>
          <a:off x="0" y="0"/>
          <a:ext cx="7143750" cy="9048750"/>
        </a:xfrm>
        <a:prstGeom prst="rect">
          <a:avLst/>
        </a:prstGeom>
      </xdr:spPr>
    </xdr:pic>
  </etc:cellImage>
  <etc:cellImage>
    <xdr:pic>
      <xdr:nvPicPr>
        <xdr:cNvPr id="115" name="ID_DB5AD54F043740C8B3AEB4879C927DCC"/>
        <xdr:cNvPicPr/>
      </xdr:nvPicPr>
      <xdr:blipFill>
        <a:blip r:link="rId114"/>
        <a:stretch>
          <a:fillRect/>
        </a:stretch>
      </xdr:blipFill>
      <xdr:spPr>
        <a:xfrm>
          <a:off x="0" y="0"/>
          <a:ext cx="7143750" cy="9496425"/>
        </a:xfrm>
        <a:prstGeom prst="rect">
          <a:avLst/>
        </a:prstGeom>
      </xdr:spPr>
    </xdr:pic>
  </etc:cellImage>
  <etc:cellImage>
    <xdr:pic>
      <xdr:nvPicPr>
        <xdr:cNvPr id="116" name="ID_CF1AB7C1F93745BDBA48E23E3B3C5BFF"/>
        <xdr:cNvPicPr/>
      </xdr:nvPicPr>
      <xdr:blipFill>
        <a:blip r:link="rId115"/>
        <a:stretch>
          <a:fillRect/>
        </a:stretch>
      </xdr:blipFill>
      <xdr:spPr>
        <a:xfrm>
          <a:off x="0" y="0"/>
          <a:ext cx="7143750" cy="9334500"/>
        </a:xfrm>
        <a:prstGeom prst="rect">
          <a:avLst/>
        </a:prstGeom>
      </xdr:spPr>
    </xdr:pic>
  </etc:cellImage>
  <etc:cellImage>
    <xdr:pic>
      <xdr:nvPicPr>
        <xdr:cNvPr id="117" name="ID_FBB70D9010F74144B210C02BDB9CE6A1"/>
        <xdr:cNvPicPr/>
      </xdr:nvPicPr>
      <xdr:blipFill>
        <a:blip r:link="rId116"/>
        <a:stretch>
          <a:fillRect/>
        </a:stretch>
      </xdr:blipFill>
      <xdr:spPr>
        <a:xfrm>
          <a:off x="0" y="0"/>
          <a:ext cx="7143750" cy="10001250"/>
        </a:xfrm>
        <a:prstGeom prst="rect">
          <a:avLst/>
        </a:prstGeom>
      </xdr:spPr>
    </xdr:pic>
  </etc:cellImage>
  <etc:cellImage>
    <xdr:pic>
      <xdr:nvPicPr>
        <xdr:cNvPr id="118" name="ID_F7BC6213D6E44840BB6BEB26E73F83E9"/>
        <xdr:cNvPicPr/>
      </xdr:nvPicPr>
      <xdr:blipFill>
        <a:blip r:link="rId117"/>
        <a:stretch>
          <a:fillRect/>
        </a:stretch>
      </xdr:blipFill>
      <xdr:spPr>
        <a:xfrm>
          <a:off x="0" y="0"/>
          <a:ext cx="7143750" cy="10048875"/>
        </a:xfrm>
        <a:prstGeom prst="rect">
          <a:avLst/>
        </a:prstGeom>
      </xdr:spPr>
    </xdr:pic>
  </etc:cellImage>
  <etc:cellImage>
    <xdr:pic>
      <xdr:nvPicPr>
        <xdr:cNvPr id="119" name="ID_BE82B2F060544F05BBDE4FAB7F0C0521"/>
        <xdr:cNvPicPr/>
      </xdr:nvPicPr>
      <xdr:blipFill>
        <a:blip r:link="rId118"/>
        <a:stretch>
          <a:fillRect/>
        </a:stretch>
      </xdr:blipFill>
      <xdr:spPr>
        <a:xfrm>
          <a:off x="0" y="0"/>
          <a:ext cx="7143750" cy="10820400"/>
        </a:xfrm>
        <a:prstGeom prst="rect">
          <a:avLst/>
        </a:prstGeom>
      </xdr:spPr>
    </xdr:pic>
  </etc:cellImage>
  <etc:cellImage>
    <xdr:pic>
      <xdr:nvPicPr>
        <xdr:cNvPr id="120" name="ID_1047B30E34C949B594403C816BBC2C68"/>
        <xdr:cNvPicPr/>
      </xdr:nvPicPr>
      <xdr:blipFill>
        <a:blip r:link="rId119"/>
        <a:stretch>
          <a:fillRect/>
        </a:stretch>
      </xdr:blipFill>
      <xdr:spPr>
        <a:xfrm>
          <a:off x="0" y="0"/>
          <a:ext cx="7143750" cy="10706100"/>
        </a:xfrm>
        <a:prstGeom prst="rect">
          <a:avLst/>
        </a:prstGeom>
      </xdr:spPr>
    </xdr:pic>
  </etc:cellImage>
  <etc:cellImage>
    <xdr:pic>
      <xdr:nvPicPr>
        <xdr:cNvPr id="121" name="ID_42B7E9B54AA84CB08052198053CBAE81"/>
        <xdr:cNvPicPr/>
      </xdr:nvPicPr>
      <xdr:blipFill>
        <a:blip r:link="rId120"/>
        <a:stretch>
          <a:fillRect/>
        </a:stretch>
      </xdr:blipFill>
      <xdr:spPr>
        <a:xfrm>
          <a:off x="0" y="0"/>
          <a:ext cx="7143750" cy="9525000"/>
        </a:xfrm>
        <a:prstGeom prst="rect">
          <a:avLst/>
        </a:prstGeom>
      </xdr:spPr>
    </xdr:pic>
  </etc:cellImage>
  <etc:cellImage>
    <xdr:pic>
      <xdr:nvPicPr>
        <xdr:cNvPr id="122" name="ID_AF9D4A23BC36463DA48841C24B1BEB6F"/>
        <xdr:cNvPicPr/>
      </xdr:nvPicPr>
      <xdr:blipFill>
        <a:blip r:link="rId121"/>
        <a:stretch>
          <a:fillRect/>
        </a:stretch>
      </xdr:blipFill>
      <xdr:spPr>
        <a:xfrm>
          <a:off x="0" y="0"/>
          <a:ext cx="7143750" cy="10010775"/>
        </a:xfrm>
        <a:prstGeom prst="rect">
          <a:avLst/>
        </a:prstGeom>
      </xdr:spPr>
    </xdr:pic>
  </etc:cellImage>
  <etc:cellImage>
    <xdr:pic>
      <xdr:nvPicPr>
        <xdr:cNvPr id="123" name="ID_5DC2209F39824089B70DAE46CB942DD1"/>
        <xdr:cNvPicPr/>
      </xdr:nvPicPr>
      <xdr:blipFill>
        <a:blip r:link="rId122"/>
        <a:stretch>
          <a:fillRect/>
        </a:stretch>
      </xdr:blipFill>
      <xdr:spPr>
        <a:xfrm>
          <a:off x="0" y="0"/>
          <a:ext cx="7143750" cy="10001250"/>
        </a:xfrm>
        <a:prstGeom prst="rect">
          <a:avLst/>
        </a:prstGeom>
      </xdr:spPr>
    </xdr:pic>
  </etc:cellImage>
  <etc:cellImage>
    <xdr:pic>
      <xdr:nvPicPr>
        <xdr:cNvPr id="124" name="ID_DF04DBFB481D40418B898CD7AB20784A"/>
        <xdr:cNvPicPr/>
      </xdr:nvPicPr>
      <xdr:blipFill>
        <a:blip r:link="rId123"/>
        <a:stretch>
          <a:fillRect/>
        </a:stretch>
      </xdr:blipFill>
      <xdr:spPr>
        <a:xfrm>
          <a:off x="0" y="0"/>
          <a:ext cx="7143750" cy="10001250"/>
        </a:xfrm>
        <a:prstGeom prst="rect">
          <a:avLst/>
        </a:prstGeom>
      </xdr:spPr>
    </xdr:pic>
  </etc:cellImage>
  <etc:cellImage>
    <xdr:pic>
      <xdr:nvPicPr>
        <xdr:cNvPr id="125" name="ID_4A5DEA3E498746E9A9AC483CF4ABDF91"/>
        <xdr:cNvPicPr/>
      </xdr:nvPicPr>
      <xdr:blipFill>
        <a:blip r:link="rId124"/>
        <a:stretch>
          <a:fillRect/>
        </a:stretch>
      </xdr:blipFill>
      <xdr:spPr>
        <a:xfrm>
          <a:off x="0" y="0"/>
          <a:ext cx="7143750" cy="10001250"/>
        </a:xfrm>
        <a:prstGeom prst="rect">
          <a:avLst/>
        </a:prstGeom>
      </xdr:spPr>
    </xdr:pic>
  </etc:cellImage>
  <etc:cellImage>
    <xdr:pic>
      <xdr:nvPicPr>
        <xdr:cNvPr id="126" name="ID_7CFB1AF7BB454AE0866D54E1D87E03E1"/>
        <xdr:cNvPicPr/>
      </xdr:nvPicPr>
      <xdr:blipFill>
        <a:blip r:link="rId125"/>
        <a:stretch>
          <a:fillRect/>
        </a:stretch>
      </xdr:blipFill>
      <xdr:spPr>
        <a:xfrm>
          <a:off x="0" y="0"/>
          <a:ext cx="7143750" cy="9486900"/>
        </a:xfrm>
        <a:prstGeom prst="rect">
          <a:avLst/>
        </a:prstGeom>
      </xdr:spPr>
    </xdr:pic>
  </etc:cellImage>
  <etc:cellImage>
    <xdr:pic>
      <xdr:nvPicPr>
        <xdr:cNvPr id="127" name="ID_FACC95E727304010BE372974F21E9256"/>
        <xdr:cNvPicPr/>
      </xdr:nvPicPr>
      <xdr:blipFill>
        <a:blip r:link="rId126"/>
        <a:stretch>
          <a:fillRect/>
        </a:stretch>
      </xdr:blipFill>
      <xdr:spPr>
        <a:xfrm>
          <a:off x="0" y="0"/>
          <a:ext cx="7143750" cy="12687300"/>
        </a:xfrm>
        <a:prstGeom prst="rect">
          <a:avLst/>
        </a:prstGeom>
      </xdr:spPr>
    </xdr:pic>
  </etc:cellImage>
  <etc:cellImage>
    <xdr:pic>
      <xdr:nvPicPr>
        <xdr:cNvPr id="128" name="ID_0467DD9C16B84F62946A6DA8763F5DB1"/>
        <xdr:cNvPicPr/>
      </xdr:nvPicPr>
      <xdr:blipFill>
        <a:blip r:link="rId127"/>
        <a:stretch>
          <a:fillRect/>
        </a:stretch>
      </xdr:blipFill>
      <xdr:spPr>
        <a:xfrm>
          <a:off x="0" y="0"/>
          <a:ext cx="7143750" cy="7620000"/>
        </a:xfrm>
        <a:prstGeom prst="rect">
          <a:avLst/>
        </a:prstGeom>
      </xdr:spPr>
    </xdr:pic>
  </etc:cellImage>
  <etc:cellImage>
    <xdr:pic>
      <xdr:nvPicPr>
        <xdr:cNvPr id="129" name="ID_2E0E8C97ADBC44CDA9BEA81CC587B750"/>
        <xdr:cNvPicPr/>
      </xdr:nvPicPr>
      <xdr:blipFill>
        <a:blip r:link="rId128"/>
        <a:stretch>
          <a:fillRect/>
        </a:stretch>
      </xdr:blipFill>
      <xdr:spPr>
        <a:xfrm>
          <a:off x="0" y="0"/>
          <a:ext cx="7143750" cy="9877425"/>
        </a:xfrm>
        <a:prstGeom prst="rect">
          <a:avLst/>
        </a:prstGeom>
      </xdr:spPr>
    </xdr:pic>
  </etc:cellImage>
  <etc:cellImage>
    <xdr:pic>
      <xdr:nvPicPr>
        <xdr:cNvPr id="130" name="ID_7D2290FD7009470AB45B6E90DB94AE0B"/>
        <xdr:cNvPicPr/>
      </xdr:nvPicPr>
      <xdr:blipFill>
        <a:blip r:link="rId129"/>
        <a:stretch>
          <a:fillRect/>
        </a:stretch>
      </xdr:blipFill>
      <xdr:spPr>
        <a:xfrm>
          <a:off x="0" y="0"/>
          <a:ext cx="7143750" cy="10010775"/>
        </a:xfrm>
        <a:prstGeom prst="rect">
          <a:avLst/>
        </a:prstGeom>
      </xdr:spPr>
    </xdr:pic>
  </etc:cellImage>
  <etc:cellImage>
    <xdr:pic>
      <xdr:nvPicPr>
        <xdr:cNvPr id="131" name="ID_D86A3E1B243D4E47B731958FB3B82FC3"/>
        <xdr:cNvPicPr/>
      </xdr:nvPicPr>
      <xdr:blipFill>
        <a:blip r:link="rId130"/>
        <a:stretch>
          <a:fillRect/>
        </a:stretch>
      </xdr:blipFill>
      <xdr:spPr>
        <a:xfrm>
          <a:off x="0" y="0"/>
          <a:ext cx="7143750" cy="9258300"/>
        </a:xfrm>
        <a:prstGeom prst="rect">
          <a:avLst/>
        </a:prstGeom>
      </xdr:spPr>
    </xdr:pic>
  </etc:cellImage>
  <etc:cellImage>
    <xdr:pic>
      <xdr:nvPicPr>
        <xdr:cNvPr id="132" name="ID_70D76866441740A9BF275A2167F7CB39"/>
        <xdr:cNvPicPr/>
      </xdr:nvPicPr>
      <xdr:blipFill>
        <a:blip r:link="rId131"/>
        <a:stretch>
          <a:fillRect/>
        </a:stretch>
      </xdr:blipFill>
      <xdr:spPr>
        <a:xfrm>
          <a:off x="0" y="0"/>
          <a:ext cx="7143750" cy="10325100"/>
        </a:xfrm>
        <a:prstGeom prst="rect">
          <a:avLst/>
        </a:prstGeom>
      </xdr:spPr>
    </xdr:pic>
  </etc:cellImage>
  <etc:cellImage>
    <xdr:pic>
      <xdr:nvPicPr>
        <xdr:cNvPr id="133" name="ID_59602C342648425A87CF8C12540A5579"/>
        <xdr:cNvPicPr/>
      </xdr:nvPicPr>
      <xdr:blipFill>
        <a:blip r:link="rId132"/>
        <a:stretch>
          <a:fillRect/>
        </a:stretch>
      </xdr:blipFill>
      <xdr:spPr>
        <a:xfrm>
          <a:off x="0" y="0"/>
          <a:ext cx="7143750" cy="10734675"/>
        </a:xfrm>
        <a:prstGeom prst="rect">
          <a:avLst/>
        </a:prstGeom>
      </xdr:spPr>
    </xdr:pic>
  </etc:cellImage>
  <etc:cellImage>
    <xdr:pic>
      <xdr:nvPicPr>
        <xdr:cNvPr id="134" name="ID_F7457C8055E845839E12BBC94DC0151A"/>
        <xdr:cNvPicPr/>
      </xdr:nvPicPr>
      <xdr:blipFill>
        <a:blip r:link="rId133"/>
        <a:stretch>
          <a:fillRect/>
        </a:stretch>
      </xdr:blipFill>
      <xdr:spPr>
        <a:xfrm>
          <a:off x="0" y="0"/>
          <a:ext cx="7143750" cy="9782175"/>
        </a:xfrm>
        <a:prstGeom prst="rect">
          <a:avLst/>
        </a:prstGeom>
      </xdr:spPr>
    </xdr:pic>
  </etc:cellImage>
  <etc:cellImage>
    <xdr:pic>
      <xdr:nvPicPr>
        <xdr:cNvPr id="135" name="ID_70953AC2E42945A88FA3E573D09D6D1B"/>
        <xdr:cNvPicPr/>
      </xdr:nvPicPr>
      <xdr:blipFill>
        <a:blip r:link="rId134"/>
        <a:stretch>
          <a:fillRect/>
        </a:stretch>
      </xdr:blipFill>
      <xdr:spPr>
        <a:xfrm>
          <a:off x="0" y="0"/>
          <a:ext cx="7143750" cy="10001250"/>
        </a:xfrm>
        <a:prstGeom prst="rect">
          <a:avLst/>
        </a:prstGeom>
      </xdr:spPr>
    </xdr:pic>
  </etc:cellImage>
  <etc:cellImage>
    <xdr:pic>
      <xdr:nvPicPr>
        <xdr:cNvPr id="136" name="ID_1776A5AD18184E18978F80ADFFF4A0AF"/>
        <xdr:cNvPicPr/>
      </xdr:nvPicPr>
      <xdr:blipFill>
        <a:blip r:link="rId135"/>
        <a:stretch>
          <a:fillRect/>
        </a:stretch>
      </xdr:blipFill>
      <xdr:spPr>
        <a:xfrm>
          <a:off x="0" y="0"/>
          <a:ext cx="7143750" cy="9182100"/>
        </a:xfrm>
        <a:prstGeom prst="rect">
          <a:avLst/>
        </a:prstGeom>
      </xdr:spPr>
    </xdr:pic>
  </etc:cellImage>
  <etc:cellImage>
    <xdr:pic>
      <xdr:nvPicPr>
        <xdr:cNvPr id="137" name="ID_7AB2E23FEFF940D9992E8955A95BEDD5"/>
        <xdr:cNvPicPr/>
      </xdr:nvPicPr>
      <xdr:blipFill>
        <a:blip r:link="rId136"/>
        <a:stretch>
          <a:fillRect/>
        </a:stretch>
      </xdr:blipFill>
      <xdr:spPr>
        <a:xfrm>
          <a:off x="0" y="0"/>
          <a:ext cx="7143750" cy="10401300"/>
        </a:xfrm>
        <a:prstGeom prst="rect">
          <a:avLst/>
        </a:prstGeom>
      </xdr:spPr>
    </xdr:pic>
  </etc:cellImage>
  <etc:cellImage>
    <xdr:pic>
      <xdr:nvPicPr>
        <xdr:cNvPr id="138" name="ID_F234455BC8F04A26B7C1140CBE7FB1F1"/>
        <xdr:cNvPicPr/>
      </xdr:nvPicPr>
      <xdr:blipFill>
        <a:blip r:link="rId137"/>
        <a:stretch>
          <a:fillRect/>
        </a:stretch>
      </xdr:blipFill>
      <xdr:spPr>
        <a:xfrm>
          <a:off x="0" y="0"/>
          <a:ext cx="7143750" cy="10706100"/>
        </a:xfrm>
        <a:prstGeom prst="rect">
          <a:avLst/>
        </a:prstGeom>
      </xdr:spPr>
    </xdr:pic>
  </etc:cellImage>
  <etc:cellImage>
    <xdr:pic>
      <xdr:nvPicPr>
        <xdr:cNvPr id="139" name="ID_EB5AC667C054437CBFE2486B339F8A77"/>
        <xdr:cNvPicPr/>
      </xdr:nvPicPr>
      <xdr:blipFill>
        <a:blip r:link="rId138"/>
        <a:stretch>
          <a:fillRect/>
        </a:stretch>
      </xdr:blipFill>
      <xdr:spPr>
        <a:xfrm>
          <a:off x="0" y="0"/>
          <a:ext cx="7143750" cy="9544050"/>
        </a:xfrm>
        <a:prstGeom prst="rect">
          <a:avLst/>
        </a:prstGeom>
      </xdr:spPr>
    </xdr:pic>
  </etc:cellImage>
  <etc:cellImage>
    <xdr:pic>
      <xdr:nvPicPr>
        <xdr:cNvPr id="140" name="ID_ECF84772EBB248C2BC2BD56C2C168331"/>
        <xdr:cNvPicPr/>
      </xdr:nvPicPr>
      <xdr:blipFill>
        <a:blip r:link="rId139"/>
        <a:stretch>
          <a:fillRect/>
        </a:stretch>
      </xdr:blipFill>
      <xdr:spPr>
        <a:xfrm>
          <a:off x="0" y="0"/>
          <a:ext cx="7143750" cy="10582275"/>
        </a:xfrm>
        <a:prstGeom prst="rect">
          <a:avLst/>
        </a:prstGeom>
      </xdr:spPr>
    </xdr:pic>
  </etc:cellImage>
  <etc:cellImage>
    <xdr:pic>
      <xdr:nvPicPr>
        <xdr:cNvPr id="141" name="ID_05A4371881E64A5ABCF18AC5C0DCA23F"/>
        <xdr:cNvPicPr/>
      </xdr:nvPicPr>
      <xdr:blipFill>
        <a:blip r:link="rId140"/>
        <a:stretch>
          <a:fillRect/>
        </a:stretch>
      </xdr:blipFill>
      <xdr:spPr>
        <a:xfrm>
          <a:off x="0" y="0"/>
          <a:ext cx="7143750" cy="9639300"/>
        </a:xfrm>
        <a:prstGeom prst="rect">
          <a:avLst/>
        </a:prstGeom>
      </xdr:spPr>
    </xdr:pic>
  </etc:cellImage>
  <etc:cellImage>
    <xdr:pic>
      <xdr:nvPicPr>
        <xdr:cNvPr id="142" name="ID_22A5305EF7CD44458C8E85EF1B5003E3"/>
        <xdr:cNvPicPr/>
      </xdr:nvPicPr>
      <xdr:blipFill>
        <a:blip r:link="rId141"/>
        <a:stretch>
          <a:fillRect/>
        </a:stretch>
      </xdr:blipFill>
      <xdr:spPr>
        <a:xfrm>
          <a:off x="0" y="0"/>
          <a:ext cx="7143750" cy="9982200"/>
        </a:xfrm>
        <a:prstGeom prst="rect">
          <a:avLst/>
        </a:prstGeom>
      </xdr:spPr>
    </xdr:pic>
  </etc:cellImage>
  <etc:cellImage>
    <xdr:pic>
      <xdr:nvPicPr>
        <xdr:cNvPr id="143" name="ID_55E386EEE22A4F28AA3DFCB82607D0EC"/>
        <xdr:cNvPicPr/>
      </xdr:nvPicPr>
      <xdr:blipFill>
        <a:blip r:link="rId142"/>
        <a:stretch>
          <a:fillRect/>
        </a:stretch>
      </xdr:blipFill>
      <xdr:spPr>
        <a:xfrm>
          <a:off x="0" y="0"/>
          <a:ext cx="7143750" cy="9525000"/>
        </a:xfrm>
        <a:prstGeom prst="rect">
          <a:avLst/>
        </a:prstGeom>
      </xdr:spPr>
    </xdr:pic>
  </etc:cellImage>
  <etc:cellImage>
    <xdr:pic>
      <xdr:nvPicPr>
        <xdr:cNvPr id="144" name="ID_FA69E1E4EF8743A583B1A39075AAAF21"/>
        <xdr:cNvPicPr/>
      </xdr:nvPicPr>
      <xdr:blipFill>
        <a:blip r:link="rId143"/>
        <a:stretch>
          <a:fillRect/>
        </a:stretch>
      </xdr:blipFill>
      <xdr:spPr>
        <a:xfrm>
          <a:off x="0" y="0"/>
          <a:ext cx="7143750" cy="10820400"/>
        </a:xfrm>
        <a:prstGeom prst="rect">
          <a:avLst/>
        </a:prstGeom>
      </xdr:spPr>
    </xdr:pic>
  </etc:cellImage>
  <etc:cellImage>
    <xdr:pic>
      <xdr:nvPicPr>
        <xdr:cNvPr id="145" name="ID_7AA3981AEA4B4044958F80E226B55196"/>
        <xdr:cNvPicPr/>
      </xdr:nvPicPr>
      <xdr:blipFill>
        <a:blip r:link="rId144"/>
        <a:stretch>
          <a:fillRect/>
        </a:stretch>
      </xdr:blipFill>
      <xdr:spPr>
        <a:xfrm>
          <a:off x="0" y="0"/>
          <a:ext cx="7143750" cy="8743950"/>
        </a:xfrm>
        <a:prstGeom prst="rect">
          <a:avLst/>
        </a:prstGeom>
      </xdr:spPr>
    </xdr:pic>
  </etc:cellImage>
  <etc:cellImage>
    <xdr:pic>
      <xdr:nvPicPr>
        <xdr:cNvPr id="146" name="ID_042121583D6C4BE29ACF5C4CE545F254"/>
        <xdr:cNvPicPr/>
      </xdr:nvPicPr>
      <xdr:blipFill>
        <a:blip r:link="rId145"/>
        <a:stretch>
          <a:fillRect/>
        </a:stretch>
      </xdr:blipFill>
      <xdr:spPr>
        <a:xfrm>
          <a:off x="0" y="0"/>
          <a:ext cx="7143750" cy="10325100"/>
        </a:xfrm>
        <a:prstGeom prst="rect">
          <a:avLst/>
        </a:prstGeom>
      </xdr:spPr>
    </xdr:pic>
  </etc:cellImage>
  <etc:cellImage>
    <xdr:pic>
      <xdr:nvPicPr>
        <xdr:cNvPr id="147" name="ID_9A5193B60E294BCB8EBBC32356364290"/>
        <xdr:cNvPicPr/>
      </xdr:nvPicPr>
      <xdr:blipFill>
        <a:blip r:link="rId146"/>
        <a:stretch>
          <a:fillRect/>
        </a:stretch>
      </xdr:blipFill>
      <xdr:spPr>
        <a:xfrm>
          <a:off x="0" y="0"/>
          <a:ext cx="7143750" cy="10001250"/>
        </a:xfrm>
        <a:prstGeom prst="rect">
          <a:avLst/>
        </a:prstGeom>
      </xdr:spPr>
    </xdr:pic>
  </etc:cellImage>
  <etc:cellImage>
    <xdr:pic>
      <xdr:nvPicPr>
        <xdr:cNvPr id="148" name="ID_7BA1776B86584064BEC915103F26098C"/>
        <xdr:cNvPicPr/>
      </xdr:nvPicPr>
      <xdr:blipFill>
        <a:blip r:link="rId147"/>
        <a:stretch>
          <a:fillRect/>
        </a:stretch>
      </xdr:blipFill>
      <xdr:spPr>
        <a:xfrm>
          <a:off x="0" y="0"/>
          <a:ext cx="7143750" cy="9525000"/>
        </a:xfrm>
        <a:prstGeom prst="rect">
          <a:avLst/>
        </a:prstGeom>
      </xdr:spPr>
    </xdr:pic>
  </etc:cellImage>
  <etc:cellImage>
    <xdr:pic>
      <xdr:nvPicPr>
        <xdr:cNvPr id="149" name="ID_4F7FAD79CF244D82AC4A116B39238E93"/>
        <xdr:cNvPicPr/>
      </xdr:nvPicPr>
      <xdr:blipFill>
        <a:blip r:link="rId148"/>
        <a:stretch>
          <a:fillRect/>
        </a:stretch>
      </xdr:blipFill>
      <xdr:spPr>
        <a:xfrm>
          <a:off x="0" y="0"/>
          <a:ext cx="7143750" cy="10315575"/>
        </a:xfrm>
        <a:prstGeom prst="rect">
          <a:avLst/>
        </a:prstGeom>
      </xdr:spPr>
    </xdr:pic>
  </etc:cellImage>
  <etc:cellImage>
    <xdr:pic>
      <xdr:nvPicPr>
        <xdr:cNvPr id="150" name="ID_C58710654847468A83F51047999B3A07"/>
        <xdr:cNvPicPr/>
      </xdr:nvPicPr>
      <xdr:blipFill>
        <a:blip r:link="rId149"/>
        <a:stretch>
          <a:fillRect/>
        </a:stretch>
      </xdr:blipFill>
      <xdr:spPr>
        <a:xfrm>
          <a:off x="0" y="0"/>
          <a:ext cx="7143750" cy="10001250"/>
        </a:xfrm>
        <a:prstGeom prst="rect">
          <a:avLst/>
        </a:prstGeom>
      </xdr:spPr>
    </xdr:pic>
  </etc:cellImage>
  <etc:cellImage>
    <xdr:pic>
      <xdr:nvPicPr>
        <xdr:cNvPr id="151" name="ID_B3F35F8B340047F693855C9AE3461262"/>
        <xdr:cNvPicPr/>
      </xdr:nvPicPr>
      <xdr:blipFill>
        <a:blip r:link="rId150"/>
        <a:stretch>
          <a:fillRect/>
        </a:stretch>
      </xdr:blipFill>
      <xdr:spPr>
        <a:xfrm>
          <a:off x="0" y="0"/>
          <a:ext cx="7143750" cy="10287000"/>
        </a:xfrm>
        <a:prstGeom prst="rect">
          <a:avLst/>
        </a:prstGeom>
      </xdr:spPr>
    </xdr:pic>
  </etc:cellImage>
  <etc:cellImage>
    <xdr:pic>
      <xdr:nvPicPr>
        <xdr:cNvPr id="152" name="ID_050656778A6D494197B2CC367B7C8BBA"/>
        <xdr:cNvPicPr/>
      </xdr:nvPicPr>
      <xdr:blipFill>
        <a:blip r:link="rId151"/>
        <a:stretch>
          <a:fillRect/>
        </a:stretch>
      </xdr:blipFill>
      <xdr:spPr>
        <a:xfrm>
          <a:off x="0" y="0"/>
          <a:ext cx="7143750" cy="10001250"/>
        </a:xfrm>
        <a:prstGeom prst="rect">
          <a:avLst/>
        </a:prstGeom>
      </xdr:spPr>
    </xdr:pic>
  </etc:cellImage>
  <etc:cellImage>
    <xdr:pic>
      <xdr:nvPicPr>
        <xdr:cNvPr id="153" name="ID_282C99EDDFB743068B1F4514F99C7126"/>
        <xdr:cNvPicPr/>
      </xdr:nvPicPr>
      <xdr:blipFill>
        <a:blip r:link="rId152"/>
        <a:stretch>
          <a:fillRect/>
        </a:stretch>
      </xdr:blipFill>
      <xdr:spPr>
        <a:xfrm>
          <a:off x="0" y="0"/>
          <a:ext cx="7143750" cy="10001250"/>
        </a:xfrm>
        <a:prstGeom prst="rect">
          <a:avLst/>
        </a:prstGeom>
      </xdr:spPr>
    </xdr:pic>
  </etc:cellImage>
  <etc:cellImage>
    <xdr:pic>
      <xdr:nvPicPr>
        <xdr:cNvPr id="154" name="ID_7EA9DB823A764F28A536B4FEC9EB2A2B"/>
        <xdr:cNvPicPr/>
      </xdr:nvPicPr>
      <xdr:blipFill>
        <a:blip r:link="rId153"/>
        <a:stretch>
          <a:fillRect/>
        </a:stretch>
      </xdr:blipFill>
      <xdr:spPr>
        <a:xfrm>
          <a:off x="0" y="0"/>
          <a:ext cx="7143750" cy="10144125"/>
        </a:xfrm>
        <a:prstGeom prst="rect">
          <a:avLst/>
        </a:prstGeom>
      </xdr:spPr>
    </xdr:pic>
  </etc:cellImage>
  <etc:cellImage>
    <xdr:pic>
      <xdr:nvPicPr>
        <xdr:cNvPr id="155" name="ID_8C3008D7D3C74B79A4E1698AF4E9725F"/>
        <xdr:cNvPicPr/>
      </xdr:nvPicPr>
      <xdr:blipFill>
        <a:blip r:link="rId154"/>
        <a:stretch>
          <a:fillRect/>
        </a:stretch>
      </xdr:blipFill>
      <xdr:spPr>
        <a:xfrm>
          <a:off x="0" y="0"/>
          <a:ext cx="7143750" cy="10296525"/>
        </a:xfrm>
        <a:prstGeom prst="rect">
          <a:avLst/>
        </a:prstGeom>
      </xdr:spPr>
    </xdr:pic>
  </etc:cellImage>
  <etc:cellImage>
    <xdr:pic>
      <xdr:nvPicPr>
        <xdr:cNvPr id="156" name="ID_F699C2D8D57643CC8A99CF3C2C6B152A"/>
        <xdr:cNvPicPr/>
      </xdr:nvPicPr>
      <xdr:blipFill>
        <a:blip r:link="rId155"/>
        <a:stretch>
          <a:fillRect/>
        </a:stretch>
      </xdr:blipFill>
      <xdr:spPr>
        <a:xfrm>
          <a:off x="0" y="0"/>
          <a:ext cx="7143750" cy="10029825"/>
        </a:xfrm>
        <a:prstGeom prst="rect">
          <a:avLst/>
        </a:prstGeom>
      </xdr:spPr>
    </xdr:pic>
  </etc:cellImage>
  <etc:cellImage>
    <xdr:pic>
      <xdr:nvPicPr>
        <xdr:cNvPr id="157" name="ID_ADCECB4C3BFF4D9FA761F0B3617DDB20"/>
        <xdr:cNvPicPr/>
      </xdr:nvPicPr>
      <xdr:blipFill>
        <a:blip r:link="rId156"/>
        <a:stretch>
          <a:fillRect/>
        </a:stretch>
      </xdr:blipFill>
      <xdr:spPr>
        <a:xfrm>
          <a:off x="0" y="0"/>
          <a:ext cx="7143750" cy="9182100"/>
        </a:xfrm>
        <a:prstGeom prst="rect">
          <a:avLst/>
        </a:prstGeom>
      </xdr:spPr>
    </xdr:pic>
  </etc:cellImage>
  <etc:cellImage>
    <xdr:pic>
      <xdr:nvPicPr>
        <xdr:cNvPr id="158" name="ID_0409F7F95EEA403395B315D31E8491E7"/>
        <xdr:cNvPicPr/>
      </xdr:nvPicPr>
      <xdr:blipFill>
        <a:blip r:link="rId157"/>
        <a:stretch>
          <a:fillRect/>
        </a:stretch>
      </xdr:blipFill>
      <xdr:spPr>
        <a:xfrm>
          <a:off x="0" y="0"/>
          <a:ext cx="7143750" cy="10010775"/>
        </a:xfrm>
        <a:prstGeom prst="rect">
          <a:avLst/>
        </a:prstGeom>
      </xdr:spPr>
    </xdr:pic>
  </etc:cellImage>
  <etc:cellImage>
    <xdr:pic>
      <xdr:nvPicPr>
        <xdr:cNvPr id="159" name="ID_289CC567200648A4AB5780D725CC9684"/>
        <xdr:cNvPicPr/>
      </xdr:nvPicPr>
      <xdr:blipFill>
        <a:blip r:link="rId158"/>
        <a:stretch>
          <a:fillRect/>
        </a:stretch>
      </xdr:blipFill>
      <xdr:spPr>
        <a:xfrm>
          <a:off x="0" y="0"/>
          <a:ext cx="7143750" cy="9544050"/>
        </a:xfrm>
        <a:prstGeom prst="rect">
          <a:avLst/>
        </a:prstGeom>
      </xdr:spPr>
    </xdr:pic>
  </etc:cellImage>
  <etc:cellImage>
    <xdr:pic>
      <xdr:nvPicPr>
        <xdr:cNvPr id="160" name="ID_8A933BECC5A94F3D8B394A9689736C52"/>
        <xdr:cNvPicPr/>
      </xdr:nvPicPr>
      <xdr:blipFill>
        <a:blip r:link="rId159"/>
        <a:stretch>
          <a:fillRect/>
        </a:stretch>
      </xdr:blipFill>
      <xdr:spPr>
        <a:xfrm>
          <a:off x="0" y="0"/>
          <a:ext cx="7143750" cy="10001250"/>
        </a:xfrm>
        <a:prstGeom prst="rect">
          <a:avLst/>
        </a:prstGeom>
      </xdr:spPr>
    </xdr:pic>
  </etc:cellImage>
  <etc:cellImage>
    <xdr:pic>
      <xdr:nvPicPr>
        <xdr:cNvPr id="161" name="ID_E53DAA599F9A40239F1135427FCA9C4F"/>
        <xdr:cNvPicPr/>
      </xdr:nvPicPr>
      <xdr:blipFill>
        <a:blip r:link="rId160"/>
        <a:stretch>
          <a:fillRect/>
        </a:stretch>
      </xdr:blipFill>
      <xdr:spPr>
        <a:xfrm>
          <a:off x="0" y="0"/>
          <a:ext cx="7143750" cy="9525000"/>
        </a:xfrm>
        <a:prstGeom prst="rect">
          <a:avLst/>
        </a:prstGeom>
      </xdr:spPr>
    </xdr:pic>
  </etc:cellImage>
  <etc:cellImage>
    <xdr:pic>
      <xdr:nvPicPr>
        <xdr:cNvPr id="162" name="ID_08EA3F14C88D463E8A5342E5A111BC99"/>
        <xdr:cNvPicPr/>
      </xdr:nvPicPr>
      <xdr:blipFill>
        <a:blip r:link="rId161"/>
        <a:stretch>
          <a:fillRect/>
        </a:stretch>
      </xdr:blipFill>
      <xdr:spPr>
        <a:xfrm>
          <a:off x="0" y="0"/>
          <a:ext cx="7143750" cy="9505950"/>
        </a:xfrm>
        <a:prstGeom prst="rect">
          <a:avLst/>
        </a:prstGeom>
      </xdr:spPr>
    </xdr:pic>
  </etc:cellImage>
  <etc:cellImage>
    <xdr:pic>
      <xdr:nvPicPr>
        <xdr:cNvPr id="163" name="ID_3244697DE8F74EF1A671D4FB148CF806"/>
        <xdr:cNvPicPr/>
      </xdr:nvPicPr>
      <xdr:blipFill>
        <a:blip r:link="rId162"/>
        <a:stretch>
          <a:fillRect/>
        </a:stretch>
      </xdr:blipFill>
      <xdr:spPr>
        <a:xfrm>
          <a:off x="0" y="0"/>
          <a:ext cx="7143750" cy="9525000"/>
        </a:xfrm>
        <a:prstGeom prst="rect">
          <a:avLst/>
        </a:prstGeom>
      </xdr:spPr>
    </xdr:pic>
  </etc:cellImage>
  <etc:cellImage>
    <xdr:pic>
      <xdr:nvPicPr>
        <xdr:cNvPr id="164" name="ID_9804FB5AA98E4D44BBA382539FDAF7F0"/>
        <xdr:cNvPicPr/>
      </xdr:nvPicPr>
      <xdr:blipFill>
        <a:blip r:link="rId163"/>
        <a:stretch>
          <a:fillRect/>
        </a:stretch>
      </xdr:blipFill>
      <xdr:spPr>
        <a:xfrm>
          <a:off x="0" y="0"/>
          <a:ext cx="7143750" cy="10058400"/>
        </a:xfrm>
        <a:prstGeom prst="rect">
          <a:avLst/>
        </a:prstGeom>
      </xdr:spPr>
    </xdr:pic>
  </etc:cellImage>
  <etc:cellImage>
    <xdr:pic>
      <xdr:nvPicPr>
        <xdr:cNvPr id="165" name="ID_F9DBEEB152DD4F6D9E9954F28F8B48D4"/>
        <xdr:cNvPicPr/>
      </xdr:nvPicPr>
      <xdr:blipFill>
        <a:blip r:link="rId164"/>
        <a:stretch>
          <a:fillRect/>
        </a:stretch>
      </xdr:blipFill>
      <xdr:spPr>
        <a:xfrm>
          <a:off x="0" y="0"/>
          <a:ext cx="7143750" cy="9601200"/>
        </a:xfrm>
        <a:prstGeom prst="rect">
          <a:avLst/>
        </a:prstGeom>
      </xdr:spPr>
    </xdr:pic>
  </etc:cellImage>
  <etc:cellImage>
    <xdr:pic>
      <xdr:nvPicPr>
        <xdr:cNvPr id="166" name="ID_51EAC44465BA4E14AF8916C1944F215A"/>
        <xdr:cNvPicPr/>
      </xdr:nvPicPr>
      <xdr:blipFill>
        <a:blip r:link="rId165"/>
        <a:stretch>
          <a:fillRect/>
        </a:stretch>
      </xdr:blipFill>
      <xdr:spPr>
        <a:xfrm>
          <a:off x="0" y="0"/>
          <a:ext cx="7143750" cy="3295650"/>
        </a:xfrm>
        <a:prstGeom prst="rect">
          <a:avLst/>
        </a:prstGeom>
      </xdr:spPr>
    </xdr:pic>
  </etc:cellImage>
  <etc:cellImage>
    <xdr:pic>
      <xdr:nvPicPr>
        <xdr:cNvPr id="167" name="ID_E364C79C5CB74A97A356C87CFF697310"/>
        <xdr:cNvPicPr/>
      </xdr:nvPicPr>
      <xdr:blipFill>
        <a:blip r:link="rId166"/>
        <a:stretch>
          <a:fillRect/>
        </a:stretch>
      </xdr:blipFill>
      <xdr:spPr>
        <a:xfrm>
          <a:off x="0" y="0"/>
          <a:ext cx="7143750" cy="10001250"/>
        </a:xfrm>
        <a:prstGeom prst="rect">
          <a:avLst/>
        </a:prstGeom>
      </xdr:spPr>
    </xdr:pic>
  </etc:cellImage>
  <etc:cellImage>
    <xdr:pic>
      <xdr:nvPicPr>
        <xdr:cNvPr id="168" name="ID_A40AE5361B8D44C884FA7CDADC74343E"/>
        <xdr:cNvPicPr/>
      </xdr:nvPicPr>
      <xdr:blipFill>
        <a:blip r:link="rId167"/>
        <a:stretch>
          <a:fillRect/>
        </a:stretch>
      </xdr:blipFill>
      <xdr:spPr>
        <a:xfrm>
          <a:off x="0" y="0"/>
          <a:ext cx="7143750" cy="9591675"/>
        </a:xfrm>
        <a:prstGeom prst="rect">
          <a:avLst/>
        </a:prstGeom>
      </xdr:spPr>
    </xdr:pic>
  </etc:cellImage>
  <etc:cellImage>
    <xdr:pic>
      <xdr:nvPicPr>
        <xdr:cNvPr id="169" name="ID_D4D81D5180FB4698ABF9FADCA15E9025"/>
        <xdr:cNvPicPr/>
      </xdr:nvPicPr>
      <xdr:blipFill>
        <a:blip r:link="rId168"/>
        <a:stretch>
          <a:fillRect/>
        </a:stretch>
      </xdr:blipFill>
      <xdr:spPr>
        <a:xfrm>
          <a:off x="0" y="0"/>
          <a:ext cx="7143750" cy="10820400"/>
        </a:xfrm>
        <a:prstGeom prst="rect">
          <a:avLst/>
        </a:prstGeom>
      </xdr:spPr>
    </xdr:pic>
  </etc:cellImage>
  <etc:cellImage>
    <xdr:pic>
      <xdr:nvPicPr>
        <xdr:cNvPr id="170" name="ID_2062AD8B56DF4C85BF68D2846493F2B2"/>
        <xdr:cNvPicPr/>
      </xdr:nvPicPr>
      <xdr:blipFill>
        <a:blip r:link="rId169"/>
        <a:stretch>
          <a:fillRect/>
        </a:stretch>
      </xdr:blipFill>
      <xdr:spPr>
        <a:xfrm>
          <a:off x="0" y="0"/>
          <a:ext cx="7143750" cy="10001250"/>
        </a:xfrm>
        <a:prstGeom prst="rect">
          <a:avLst/>
        </a:prstGeom>
      </xdr:spPr>
    </xdr:pic>
  </etc:cellImage>
  <etc:cellImage>
    <xdr:pic>
      <xdr:nvPicPr>
        <xdr:cNvPr id="171" name="ID_F5B5B7553FD14A38A3CEAB4A3171FC0C"/>
        <xdr:cNvPicPr/>
      </xdr:nvPicPr>
      <xdr:blipFill>
        <a:blip r:link="rId170"/>
        <a:stretch>
          <a:fillRect/>
        </a:stretch>
      </xdr:blipFill>
      <xdr:spPr>
        <a:xfrm>
          <a:off x="0" y="0"/>
          <a:ext cx="7143750" cy="10001250"/>
        </a:xfrm>
        <a:prstGeom prst="rect">
          <a:avLst/>
        </a:prstGeom>
      </xdr:spPr>
    </xdr:pic>
  </etc:cellImage>
  <etc:cellImage>
    <xdr:pic>
      <xdr:nvPicPr>
        <xdr:cNvPr id="172" name="ID_30389EE5D2254B4693F3D201E2C25479"/>
        <xdr:cNvPicPr/>
      </xdr:nvPicPr>
      <xdr:blipFill>
        <a:blip r:link="rId171"/>
        <a:stretch>
          <a:fillRect/>
        </a:stretch>
      </xdr:blipFill>
      <xdr:spPr>
        <a:xfrm>
          <a:off x="0" y="0"/>
          <a:ext cx="7143750" cy="10001250"/>
        </a:xfrm>
        <a:prstGeom prst="rect">
          <a:avLst/>
        </a:prstGeom>
      </xdr:spPr>
    </xdr:pic>
  </etc:cellImage>
  <etc:cellImage>
    <xdr:pic>
      <xdr:nvPicPr>
        <xdr:cNvPr id="173" name="ID_74FDF0D5FA0548BCA212C8D2C43783F4"/>
        <xdr:cNvPicPr/>
      </xdr:nvPicPr>
      <xdr:blipFill>
        <a:blip r:link="rId172"/>
        <a:stretch>
          <a:fillRect/>
        </a:stretch>
      </xdr:blipFill>
      <xdr:spPr>
        <a:xfrm>
          <a:off x="0" y="0"/>
          <a:ext cx="7143750" cy="10287000"/>
        </a:xfrm>
        <a:prstGeom prst="rect">
          <a:avLst/>
        </a:prstGeom>
      </xdr:spPr>
    </xdr:pic>
  </etc:cellImage>
  <etc:cellImage>
    <xdr:pic>
      <xdr:nvPicPr>
        <xdr:cNvPr id="174" name="ID_B4AD11310DDA4138B05F8034BA3D88DD"/>
        <xdr:cNvPicPr/>
      </xdr:nvPicPr>
      <xdr:blipFill>
        <a:blip r:link="rId173"/>
        <a:stretch>
          <a:fillRect/>
        </a:stretch>
      </xdr:blipFill>
      <xdr:spPr>
        <a:xfrm>
          <a:off x="0" y="0"/>
          <a:ext cx="7143750" cy="10715625"/>
        </a:xfrm>
        <a:prstGeom prst="rect">
          <a:avLst/>
        </a:prstGeom>
      </xdr:spPr>
    </xdr:pic>
  </etc:cellImage>
  <etc:cellImage>
    <xdr:pic>
      <xdr:nvPicPr>
        <xdr:cNvPr id="175" name="ID_3972EE6FED8B40BFAB5CECB7F30981FD"/>
        <xdr:cNvPicPr/>
      </xdr:nvPicPr>
      <xdr:blipFill>
        <a:blip r:link="rId174"/>
        <a:stretch>
          <a:fillRect/>
        </a:stretch>
      </xdr:blipFill>
      <xdr:spPr>
        <a:xfrm>
          <a:off x="0" y="0"/>
          <a:ext cx="7143750" cy="10001250"/>
        </a:xfrm>
        <a:prstGeom prst="rect">
          <a:avLst/>
        </a:prstGeom>
      </xdr:spPr>
    </xdr:pic>
  </etc:cellImage>
  <etc:cellImage>
    <xdr:pic>
      <xdr:nvPicPr>
        <xdr:cNvPr id="176" name="ID_40EE23CAD6BE466D8A6330DBB5734F8E"/>
        <xdr:cNvPicPr/>
      </xdr:nvPicPr>
      <xdr:blipFill>
        <a:blip r:link="rId175"/>
        <a:stretch>
          <a:fillRect/>
        </a:stretch>
      </xdr:blipFill>
      <xdr:spPr>
        <a:xfrm>
          <a:off x="0" y="0"/>
          <a:ext cx="7143750" cy="10001250"/>
        </a:xfrm>
        <a:prstGeom prst="rect">
          <a:avLst/>
        </a:prstGeom>
      </xdr:spPr>
    </xdr:pic>
  </etc:cellImage>
  <etc:cellImage>
    <xdr:pic>
      <xdr:nvPicPr>
        <xdr:cNvPr id="177" name="ID_B5AB63FC8A81490B8ED2FED7AE302A44"/>
        <xdr:cNvPicPr/>
      </xdr:nvPicPr>
      <xdr:blipFill>
        <a:blip r:link="rId176"/>
        <a:stretch>
          <a:fillRect/>
        </a:stretch>
      </xdr:blipFill>
      <xdr:spPr>
        <a:xfrm>
          <a:off x="0" y="0"/>
          <a:ext cx="7143750" cy="9991725"/>
        </a:xfrm>
        <a:prstGeom prst="rect">
          <a:avLst/>
        </a:prstGeom>
      </xdr:spPr>
    </xdr:pic>
  </etc:cellImage>
  <etc:cellImage>
    <xdr:pic>
      <xdr:nvPicPr>
        <xdr:cNvPr id="178" name="ID_834E256FE11F482DB22CD6E09A0E87FD"/>
        <xdr:cNvPicPr/>
      </xdr:nvPicPr>
      <xdr:blipFill>
        <a:blip r:link="rId177"/>
        <a:stretch>
          <a:fillRect/>
        </a:stretch>
      </xdr:blipFill>
      <xdr:spPr>
        <a:xfrm>
          <a:off x="0" y="0"/>
          <a:ext cx="7143750" cy="9525000"/>
        </a:xfrm>
        <a:prstGeom prst="rect">
          <a:avLst/>
        </a:prstGeom>
      </xdr:spPr>
    </xdr:pic>
  </etc:cellImage>
  <etc:cellImage>
    <xdr:pic>
      <xdr:nvPicPr>
        <xdr:cNvPr id="179" name="ID_F515C4DE5D464F10B51159D5558C7D1A"/>
        <xdr:cNvPicPr/>
      </xdr:nvPicPr>
      <xdr:blipFill>
        <a:blip r:link="rId178"/>
        <a:stretch>
          <a:fillRect/>
        </a:stretch>
      </xdr:blipFill>
      <xdr:spPr>
        <a:xfrm>
          <a:off x="0" y="0"/>
          <a:ext cx="7143750" cy="10001250"/>
        </a:xfrm>
        <a:prstGeom prst="rect">
          <a:avLst/>
        </a:prstGeom>
      </xdr:spPr>
    </xdr:pic>
  </etc:cellImage>
  <etc:cellImage>
    <xdr:pic>
      <xdr:nvPicPr>
        <xdr:cNvPr id="180" name="ID_43885BD9A06C404291EA89276C573B8A"/>
        <xdr:cNvPicPr/>
      </xdr:nvPicPr>
      <xdr:blipFill>
        <a:blip r:link="rId179"/>
        <a:stretch>
          <a:fillRect/>
        </a:stretch>
      </xdr:blipFill>
      <xdr:spPr>
        <a:xfrm>
          <a:off x="0" y="0"/>
          <a:ext cx="7143750" cy="10201275"/>
        </a:xfrm>
        <a:prstGeom prst="rect">
          <a:avLst/>
        </a:prstGeom>
      </xdr:spPr>
    </xdr:pic>
  </etc:cellImage>
  <etc:cellImage>
    <xdr:pic>
      <xdr:nvPicPr>
        <xdr:cNvPr id="181" name="ID_9C3AAF7BA09C4626832FC4C49E6F802D"/>
        <xdr:cNvPicPr/>
      </xdr:nvPicPr>
      <xdr:blipFill>
        <a:blip r:link="rId180"/>
        <a:stretch>
          <a:fillRect/>
        </a:stretch>
      </xdr:blipFill>
      <xdr:spPr>
        <a:xfrm>
          <a:off x="0" y="0"/>
          <a:ext cx="7143750" cy="9991725"/>
        </a:xfrm>
        <a:prstGeom prst="rect">
          <a:avLst/>
        </a:prstGeom>
      </xdr:spPr>
    </xdr:pic>
  </etc:cellImage>
  <etc:cellImage>
    <xdr:pic>
      <xdr:nvPicPr>
        <xdr:cNvPr id="182" name="ID_33BA8978EFEE4AA59909527B43B2E1C1"/>
        <xdr:cNvPicPr/>
      </xdr:nvPicPr>
      <xdr:blipFill>
        <a:blip r:link="rId181"/>
        <a:stretch>
          <a:fillRect/>
        </a:stretch>
      </xdr:blipFill>
      <xdr:spPr>
        <a:xfrm>
          <a:off x="0" y="0"/>
          <a:ext cx="7143750" cy="10972800"/>
        </a:xfrm>
        <a:prstGeom prst="rect">
          <a:avLst/>
        </a:prstGeom>
      </xdr:spPr>
    </xdr:pic>
  </etc:cellImage>
  <etc:cellImage>
    <xdr:pic>
      <xdr:nvPicPr>
        <xdr:cNvPr id="183" name="ID_9F3C5B09040D438283C530134A5BD84D"/>
        <xdr:cNvPicPr/>
      </xdr:nvPicPr>
      <xdr:blipFill>
        <a:blip r:link="rId182"/>
        <a:stretch>
          <a:fillRect/>
        </a:stretch>
      </xdr:blipFill>
      <xdr:spPr>
        <a:xfrm>
          <a:off x="0" y="0"/>
          <a:ext cx="7143750" cy="10153650"/>
        </a:xfrm>
        <a:prstGeom prst="rect">
          <a:avLst/>
        </a:prstGeom>
      </xdr:spPr>
    </xdr:pic>
  </etc:cellImage>
  <etc:cellImage>
    <xdr:pic>
      <xdr:nvPicPr>
        <xdr:cNvPr id="184" name="ID_677AC12F255C494892F34EE0AF9DED02"/>
        <xdr:cNvPicPr/>
      </xdr:nvPicPr>
      <xdr:blipFill>
        <a:blip r:link="rId183"/>
        <a:stretch>
          <a:fillRect/>
        </a:stretch>
      </xdr:blipFill>
      <xdr:spPr>
        <a:xfrm>
          <a:off x="0" y="0"/>
          <a:ext cx="7143750" cy="10001250"/>
        </a:xfrm>
        <a:prstGeom prst="rect">
          <a:avLst/>
        </a:prstGeom>
      </xdr:spPr>
    </xdr:pic>
  </etc:cellImage>
  <etc:cellImage>
    <xdr:pic>
      <xdr:nvPicPr>
        <xdr:cNvPr id="185" name="ID_5626D0773278487D84DF299D01619D61"/>
        <xdr:cNvPicPr/>
      </xdr:nvPicPr>
      <xdr:blipFill>
        <a:blip r:link="rId184"/>
        <a:stretch>
          <a:fillRect/>
        </a:stretch>
      </xdr:blipFill>
      <xdr:spPr>
        <a:xfrm>
          <a:off x="0" y="0"/>
          <a:ext cx="7143750" cy="9525000"/>
        </a:xfrm>
        <a:prstGeom prst="rect">
          <a:avLst/>
        </a:prstGeom>
      </xdr:spPr>
    </xdr:pic>
  </etc:cellImage>
  <etc:cellImage>
    <xdr:pic>
      <xdr:nvPicPr>
        <xdr:cNvPr id="186" name="ID_5044DE99F5764C15B715286BE7DA4EE0"/>
        <xdr:cNvPicPr/>
      </xdr:nvPicPr>
      <xdr:blipFill>
        <a:blip r:link="rId185"/>
        <a:stretch>
          <a:fillRect/>
        </a:stretch>
      </xdr:blipFill>
      <xdr:spPr>
        <a:xfrm>
          <a:off x="0" y="0"/>
          <a:ext cx="7143750" cy="10001250"/>
        </a:xfrm>
        <a:prstGeom prst="rect">
          <a:avLst/>
        </a:prstGeom>
      </xdr:spPr>
    </xdr:pic>
  </etc:cellImage>
  <etc:cellImage>
    <xdr:pic>
      <xdr:nvPicPr>
        <xdr:cNvPr id="187" name="ID_11BD6E6070704D3C9E8B19CABEC53565"/>
        <xdr:cNvPicPr/>
      </xdr:nvPicPr>
      <xdr:blipFill>
        <a:blip r:link="rId186"/>
        <a:stretch>
          <a:fillRect/>
        </a:stretch>
      </xdr:blipFill>
      <xdr:spPr>
        <a:xfrm>
          <a:off x="0" y="0"/>
          <a:ext cx="7143750" cy="8943975"/>
        </a:xfrm>
        <a:prstGeom prst="rect">
          <a:avLst/>
        </a:prstGeom>
      </xdr:spPr>
    </xdr:pic>
  </etc:cellImage>
  <etc:cellImage>
    <xdr:pic>
      <xdr:nvPicPr>
        <xdr:cNvPr id="188" name="ID_6061453C50E94D60AD50D7D119779DE5"/>
        <xdr:cNvPicPr/>
      </xdr:nvPicPr>
      <xdr:blipFill>
        <a:blip r:link="rId187"/>
        <a:stretch>
          <a:fillRect/>
        </a:stretch>
      </xdr:blipFill>
      <xdr:spPr>
        <a:xfrm>
          <a:off x="0" y="0"/>
          <a:ext cx="7143750" cy="10001250"/>
        </a:xfrm>
        <a:prstGeom prst="rect">
          <a:avLst/>
        </a:prstGeom>
      </xdr:spPr>
    </xdr:pic>
  </etc:cellImage>
  <etc:cellImage>
    <xdr:pic>
      <xdr:nvPicPr>
        <xdr:cNvPr id="189" name="ID_DCEB7245249347F4A2C197E5AB7C6C11"/>
        <xdr:cNvPicPr/>
      </xdr:nvPicPr>
      <xdr:blipFill>
        <a:blip r:link="rId188"/>
        <a:stretch>
          <a:fillRect/>
        </a:stretch>
      </xdr:blipFill>
      <xdr:spPr>
        <a:xfrm>
          <a:off x="0" y="0"/>
          <a:ext cx="7143750" cy="10001250"/>
        </a:xfrm>
        <a:prstGeom prst="rect">
          <a:avLst/>
        </a:prstGeom>
      </xdr:spPr>
    </xdr:pic>
  </etc:cellImage>
  <etc:cellImage>
    <xdr:pic>
      <xdr:nvPicPr>
        <xdr:cNvPr id="190" name="ID_870E78DB9450493E87561F4FC105D429"/>
        <xdr:cNvPicPr/>
      </xdr:nvPicPr>
      <xdr:blipFill>
        <a:blip r:link="rId189"/>
        <a:stretch>
          <a:fillRect/>
        </a:stretch>
      </xdr:blipFill>
      <xdr:spPr>
        <a:xfrm>
          <a:off x="0" y="0"/>
          <a:ext cx="7143750" cy="10706100"/>
        </a:xfrm>
        <a:prstGeom prst="rect">
          <a:avLst/>
        </a:prstGeom>
      </xdr:spPr>
    </xdr:pic>
  </etc:cellImage>
  <etc:cellImage>
    <xdr:pic>
      <xdr:nvPicPr>
        <xdr:cNvPr id="191" name="ID_FAA9DF7D97144F66A8EC0127C6ABD49F"/>
        <xdr:cNvPicPr/>
      </xdr:nvPicPr>
      <xdr:blipFill>
        <a:blip r:link="rId190"/>
        <a:stretch>
          <a:fillRect/>
        </a:stretch>
      </xdr:blipFill>
      <xdr:spPr>
        <a:xfrm>
          <a:off x="0" y="0"/>
          <a:ext cx="7143750" cy="10001250"/>
        </a:xfrm>
        <a:prstGeom prst="rect">
          <a:avLst/>
        </a:prstGeom>
      </xdr:spPr>
    </xdr:pic>
  </etc:cellImage>
  <etc:cellImage>
    <xdr:pic>
      <xdr:nvPicPr>
        <xdr:cNvPr id="192" name="ID_F2D31DD52A09466996724F8ACF5386A0"/>
        <xdr:cNvPicPr/>
      </xdr:nvPicPr>
      <xdr:blipFill>
        <a:blip r:link="rId191"/>
        <a:stretch>
          <a:fillRect/>
        </a:stretch>
      </xdr:blipFill>
      <xdr:spPr>
        <a:xfrm>
          <a:off x="0" y="0"/>
          <a:ext cx="7143750" cy="7610475"/>
        </a:xfrm>
        <a:prstGeom prst="rect">
          <a:avLst/>
        </a:prstGeom>
      </xdr:spPr>
    </xdr:pic>
  </etc:cellImage>
  <etc:cellImage>
    <xdr:pic>
      <xdr:nvPicPr>
        <xdr:cNvPr id="193" name="ID_054E9F37DEBB4C16973D352603A54499"/>
        <xdr:cNvPicPr/>
      </xdr:nvPicPr>
      <xdr:blipFill>
        <a:blip r:link="rId192"/>
        <a:stretch>
          <a:fillRect/>
        </a:stretch>
      </xdr:blipFill>
      <xdr:spPr>
        <a:xfrm>
          <a:off x="0" y="0"/>
          <a:ext cx="7143750" cy="10001250"/>
        </a:xfrm>
        <a:prstGeom prst="rect">
          <a:avLst/>
        </a:prstGeom>
      </xdr:spPr>
    </xdr:pic>
  </etc:cellImage>
  <etc:cellImage>
    <xdr:pic>
      <xdr:nvPicPr>
        <xdr:cNvPr id="194" name="ID_CF289AF208E247F38051A435A278D00A"/>
        <xdr:cNvPicPr/>
      </xdr:nvPicPr>
      <xdr:blipFill>
        <a:blip r:link="rId193"/>
        <a:stretch>
          <a:fillRect/>
        </a:stretch>
      </xdr:blipFill>
      <xdr:spPr>
        <a:xfrm>
          <a:off x="0" y="0"/>
          <a:ext cx="7143750" cy="8886825"/>
        </a:xfrm>
        <a:prstGeom prst="rect">
          <a:avLst/>
        </a:prstGeom>
      </xdr:spPr>
    </xdr:pic>
  </etc:cellImage>
  <etc:cellImage>
    <xdr:pic>
      <xdr:nvPicPr>
        <xdr:cNvPr id="195" name="ID_6DE4E02A017F4BA2AD59ACE3034B4E4E"/>
        <xdr:cNvPicPr/>
      </xdr:nvPicPr>
      <xdr:blipFill>
        <a:blip r:link="rId194"/>
        <a:stretch>
          <a:fillRect/>
        </a:stretch>
      </xdr:blipFill>
      <xdr:spPr>
        <a:xfrm>
          <a:off x="0" y="0"/>
          <a:ext cx="7143750" cy="5353050"/>
        </a:xfrm>
        <a:prstGeom prst="rect">
          <a:avLst/>
        </a:prstGeom>
      </xdr:spPr>
    </xdr:pic>
  </etc:cellImage>
  <etc:cellImage>
    <xdr:pic>
      <xdr:nvPicPr>
        <xdr:cNvPr id="196" name="ID_DDBA99C80B934FEAA0E6DE75BE0B792D"/>
        <xdr:cNvPicPr/>
      </xdr:nvPicPr>
      <xdr:blipFill>
        <a:blip r:link="rId195"/>
        <a:stretch>
          <a:fillRect/>
        </a:stretch>
      </xdr:blipFill>
      <xdr:spPr>
        <a:xfrm>
          <a:off x="0" y="0"/>
          <a:ext cx="7143750" cy="10001250"/>
        </a:xfrm>
        <a:prstGeom prst="rect">
          <a:avLst/>
        </a:prstGeom>
      </xdr:spPr>
    </xdr:pic>
  </etc:cellImage>
  <etc:cellImage>
    <xdr:pic>
      <xdr:nvPicPr>
        <xdr:cNvPr id="197" name="ID_9C01FBB9DB4A4DB19EA599EA9C699E26"/>
        <xdr:cNvPicPr/>
      </xdr:nvPicPr>
      <xdr:blipFill>
        <a:blip r:link="rId196"/>
        <a:stretch>
          <a:fillRect/>
        </a:stretch>
      </xdr:blipFill>
      <xdr:spPr>
        <a:xfrm>
          <a:off x="0" y="0"/>
          <a:ext cx="7143750" cy="10001250"/>
        </a:xfrm>
        <a:prstGeom prst="rect">
          <a:avLst/>
        </a:prstGeom>
      </xdr:spPr>
    </xdr:pic>
  </etc:cellImage>
  <etc:cellImage>
    <xdr:pic>
      <xdr:nvPicPr>
        <xdr:cNvPr id="198" name="ID_0F8BA8686B8D4F92BF1EF6F4CB55E695"/>
        <xdr:cNvPicPr/>
      </xdr:nvPicPr>
      <xdr:blipFill>
        <a:blip r:link="rId197"/>
        <a:stretch>
          <a:fillRect/>
        </a:stretch>
      </xdr:blipFill>
      <xdr:spPr>
        <a:xfrm>
          <a:off x="0" y="0"/>
          <a:ext cx="7143750" cy="8782050"/>
        </a:xfrm>
        <a:prstGeom prst="rect">
          <a:avLst/>
        </a:prstGeom>
      </xdr:spPr>
    </xdr:pic>
  </etc:cellImage>
  <etc:cellImage>
    <xdr:pic>
      <xdr:nvPicPr>
        <xdr:cNvPr id="199" name="ID_19DBAF911A5F41D795A3B7585DA543D3"/>
        <xdr:cNvPicPr/>
      </xdr:nvPicPr>
      <xdr:blipFill>
        <a:blip r:link="rId198"/>
        <a:stretch>
          <a:fillRect/>
        </a:stretch>
      </xdr:blipFill>
      <xdr:spPr>
        <a:xfrm>
          <a:off x="0" y="0"/>
          <a:ext cx="7143750" cy="9525000"/>
        </a:xfrm>
        <a:prstGeom prst="rect">
          <a:avLst/>
        </a:prstGeom>
      </xdr:spPr>
    </xdr:pic>
  </etc:cellImage>
  <etc:cellImage>
    <xdr:pic>
      <xdr:nvPicPr>
        <xdr:cNvPr id="200" name="ID_8FA08A92AF314DECB56C8C1E101E9B2E"/>
        <xdr:cNvPicPr/>
      </xdr:nvPicPr>
      <xdr:blipFill>
        <a:blip r:link="rId199"/>
        <a:stretch>
          <a:fillRect/>
        </a:stretch>
      </xdr:blipFill>
      <xdr:spPr>
        <a:xfrm>
          <a:off x="0" y="0"/>
          <a:ext cx="7143750" cy="9982200"/>
        </a:xfrm>
        <a:prstGeom prst="rect">
          <a:avLst/>
        </a:prstGeom>
      </xdr:spPr>
    </xdr:pic>
  </etc:cellImage>
  <etc:cellImage>
    <xdr:pic>
      <xdr:nvPicPr>
        <xdr:cNvPr id="201" name="ID_A9F2D09EBA944BE781283812DE974E78"/>
        <xdr:cNvPicPr/>
      </xdr:nvPicPr>
      <xdr:blipFill>
        <a:blip r:link="rId200"/>
        <a:stretch>
          <a:fillRect/>
        </a:stretch>
      </xdr:blipFill>
      <xdr:spPr>
        <a:xfrm>
          <a:off x="0" y="0"/>
          <a:ext cx="7143750" cy="17545050"/>
        </a:xfrm>
        <a:prstGeom prst="rect">
          <a:avLst/>
        </a:prstGeom>
      </xdr:spPr>
    </xdr:pic>
  </etc:cellImage>
  <etc:cellImage>
    <xdr:pic>
      <xdr:nvPicPr>
        <xdr:cNvPr id="202" name="ID_D29EC84107E94871B7B70E677BC40AB8"/>
        <xdr:cNvPicPr/>
      </xdr:nvPicPr>
      <xdr:blipFill>
        <a:blip r:link="rId201"/>
        <a:stretch>
          <a:fillRect/>
        </a:stretch>
      </xdr:blipFill>
      <xdr:spPr>
        <a:xfrm>
          <a:off x="0" y="0"/>
          <a:ext cx="7143750" cy="10001250"/>
        </a:xfrm>
        <a:prstGeom prst="rect">
          <a:avLst/>
        </a:prstGeom>
      </xdr:spPr>
    </xdr:pic>
  </etc:cellImage>
  <etc:cellImage>
    <xdr:pic>
      <xdr:nvPicPr>
        <xdr:cNvPr id="203" name="ID_E3FEEF4304AD40319195B6CB72FAB7DA"/>
        <xdr:cNvPicPr/>
      </xdr:nvPicPr>
      <xdr:blipFill>
        <a:blip r:link="rId202"/>
        <a:stretch>
          <a:fillRect/>
        </a:stretch>
      </xdr:blipFill>
      <xdr:spPr>
        <a:xfrm>
          <a:off x="0" y="0"/>
          <a:ext cx="7143750" cy="10077450"/>
        </a:xfrm>
        <a:prstGeom prst="rect">
          <a:avLst/>
        </a:prstGeom>
      </xdr:spPr>
    </xdr:pic>
  </etc:cellImage>
  <etc:cellImage>
    <xdr:pic>
      <xdr:nvPicPr>
        <xdr:cNvPr id="204" name="ID_02D14B5C83BE4DBBBCAAA0B55D7FE392"/>
        <xdr:cNvPicPr/>
      </xdr:nvPicPr>
      <xdr:blipFill>
        <a:blip r:link="rId203"/>
        <a:stretch>
          <a:fillRect/>
        </a:stretch>
      </xdr:blipFill>
      <xdr:spPr>
        <a:xfrm>
          <a:off x="0" y="0"/>
          <a:ext cx="7143750" cy="9982200"/>
        </a:xfrm>
        <a:prstGeom prst="rect">
          <a:avLst/>
        </a:prstGeom>
      </xdr:spPr>
    </xdr:pic>
  </etc:cellImage>
  <etc:cellImage>
    <xdr:pic>
      <xdr:nvPicPr>
        <xdr:cNvPr id="205" name="ID_845D85CFFC3A4B2FB996A756749DD1B9"/>
        <xdr:cNvPicPr/>
      </xdr:nvPicPr>
      <xdr:blipFill>
        <a:blip r:link="rId204"/>
        <a:stretch>
          <a:fillRect/>
        </a:stretch>
      </xdr:blipFill>
      <xdr:spPr>
        <a:xfrm>
          <a:off x="0" y="0"/>
          <a:ext cx="7143750" cy="9182100"/>
        </a:xfrm>
        <a:prstGeom prst="rect">
          <a:avLst/>
        </a:prstGeom>
      </xdr:spPr>
    </xdr:pic>
  </etc:cellImage>
  <etc:cellImage>
    <xdr:pic>
      <xdr:nvPicPr>
        <xdr:cNvPr id="206" name="ID_A79FF9B64919489DB578A9ECC96B1C96"/>
        <xdr:cNvPicPr/>
      </xdr:nvPicPr>
      <xdr:blipFill>
        <a:blip r:link="rId205"/>
        <a:stretch>
          <a:fillRect/>
        </a:stretch>
      </xdr:blipFill>
      <xdr:spPr>
        <a:xfrm>
          <a:off x="0" y="0"/>
          <a:ext cx="7143750" cy="10010775"/>
        </a:xfrm>
        <a:prstGeom prst="rect">
          <a:avLst/>
        </a:prstGeom>
      </xdr:spPr>
    </xdr:pic>
  </etc:cellImage>
  <etc:cellImage>
    <xdr:pic>
      <xdr:nvPicPr>
        <xdr:cNvPr id="207" name="ID_F763BF131F364181A17D865B8B797D97"/>
        <xdr:cNvPicPr/>
      </xdr:nvPicPr>
      <xdr:blipFill>
        <a:blip r:link="rId206"/>
        <a:stretch>
          <a:fillRect/>
        </a:stretch>
      </xdr:blipFill>
      <xdr:spPr>
        <a:xfrm>
          <a:off x="0" y="0"/>
          <a:ext cx="7143750" cy="10001250"/>
        </a:xfrm>
        <a:prstGeom prst="rect">
          <a:avLst/>
        </a:prstGeom>
      </xdr:spPr>
    </xdr:pic>
  </etc:cellImage>
  <etc:cellImage>
    <xdr:pic>
      <xdr:nvPicPr>
        <xdr:cNvPr id="208" name="ID_4ED50304A31443EC8E946100C168F137"/>
        <xdr:cNvPicPr/>
      </xdr:nvPicPr>
      <xdr:blipFill>
        <a:blip r:link="rId207"/>
        <a:stretch>
          <a:fillRect/>
        </a:stretch>
      </xdr:blipFill>
      <xdr:spPr>
        <a:xfrm>
          <a:off x="0" y="0"/>
          <a:ext cx="7143750" cy="10001250"/>
        </a:xfrm>
        <a:prstGeom prst="rect">
          <a:avLst/>
        </a:prstGeom>
      </xdr:spPr>
    </xdr:pic>
  </etc:cellImage>
  <etc:cellImage>
    <xdr:pic>
      <xdr:nvPicPr>
        <xdr:cNvPr id="209" name="ID_1C58977D34D3459483FD1AF3B2109430"/>
        <xdr:cNvPicPr/>
      </xdr:nvPicPr>
      <xdr:blipFill>
        <a:blip r:link="rId208"/>
        <a:stretch>
          <a:fillRect/>
        </a:stretch>
      </xdr:blipFill>
      <xdr:spPr>
        <a:xfrm>
          <a:off x="0" y="0"/>
          <a:ext cx="7143750" cy="10001250"/>
        </a:xfrm>
        <a:prstGeom prst="rect">
          <a:avLst/>
        </a:prstGeom>
      </xdr:spPr>
    </xdr:pic>
  </etc:cellImage>
  <etc:cellImage>
    <xdr:pic>
      <xdr:nvPicPr>
        <xdr:cNvPr id="210" name="ID_86A99051306F46439DFFA2E8604105B2"/>
        <xdr:cNvPicPr/>
      </xdr:nvPicPr>
      <xdr:blipFill>
        <a:blip r:link="rId209"/>
        <a:stretch>
          <a:fillRect/>
        </a:stretch>
      </xdr:blipFill>
      <xdr:spPr>
        <a:xfrm>
          <a:off x="0" y="0"/>
          <a:ext cx="7143750" cy="10706100"/>
        </a:xfrm>
        <a:prstGeom prst="rect">
          <a:avLst/>
        </a:prstGeom>
      </xdr:spPr>
    </xdr:pic>
  </etc:cellImage>
  <etc:cellImage>
    <xdr:pic>
      <xdr:nvPicPr>
        <xdr:cNvPr id="211" name="ID_2D011236909B4AB48CEACAF4EB3A9013"/>
        <xdr:cNvPicPr/>
      </xdr:nvPicPr>
      <xdr:blipFill>
        <a:blip r:link="rId210"/>
        <a:stretch>
          <a:fillRect/>
        </a:stretch>
      </xdr:blipFill>
      <xdr:spPr>
        <a:xfrm>
          <a:off x="0" y="0"/>
          <a:ext cx="7143750" cy="10287000"/>
        </a:xfrm>
        <a:prstGeom prst="rect">
          <a:avLst/>
        </a:prstGeom>
      </xdr:spPr>
    </xdr:pic>
  </etc:cellImage>
  <etc:cellImage>
    <xdr:pic>
      <xdr:nvPicPr>
        <xdr:cNvPr id="212" name="ID_978F05F9424741AE81F8E8335A7E991E"/>
        <xdr:cNvPicPr/>
      </xdr:nvPicPr>
      <xdr:blipFill>
        <a:blip r:link="rId211"/>
        <a:stretch>
          <a:fillRect/>
        </a:stretch>
      </xdr:blipFill>
      <xdr:spPr>
        <a:xfrm>
          <a:off x="0" y="0"/>
          <a:ext cx="7143750" cy="9525000"/>
        </a:xfrm>
        <a:prstGeom prst="rect">
          <a:avLst/>
        </a:prstGeom>
      </xdr:spPr>
    </xdr:pic>
  </etc:cellImage>
  <etc:cellImage>
    <xdr:pic>
      <xdr:nvPicPr>
        <xdr:cNvPr id="213" name="ID_AAF95BF9A1304A0693E0346D90E4CF2C"/>
        <xdr:cNvPicPr/>
      </xdr:nvPicPr>
      <xdr:blipFill>
        <a:blip r:link="rId212"/>
        <a:stretch>
          <a:fillRect/>
        </a:stretch>
      </xdr:blipFill>
      <xdr:spPr>
        <a:xfrm>
          <a:off x="0" y="0"/>
          <a:ext cx="7143750" cy="10048875"/>
        </a:xfrm>
        <a:prstGeom prst="rect">
          <a:avLst/>
        </a:prstGeom>
      </xdr:spPr>
    </xdr:pic>
  </etc:cellImage>
  <etc:cellImage>
    <xdr:pic>
      <xdr:nvPicPr>
        <xdr:cNvPr id="214" name="ID_4F2775F35FF241D1A9320534AD0F9FD6"/>
        <xdr:cNvPicPr/>
      </xdr:nvPicPr>
      <xdr:blipFill>
        <a:blip r:link="rId213"/>
        <a:stretch>
          <a:fillRect/>
        </a:stretch>
      </xdr:blipFill>
      <xdr:spPr>
        <a:xfrm>
          <a:off x="0" y="0"/>
          <a:ext cx="7143750" cy="10706100"/>
        </a:xfrm>
        <a:prstGeom prst="rect">
          <a:avLst/>
        </a:prstGeom>
      </xdr:spPr>
    </xdr:pic>
  </etc:cellImage>
  <etc:cellImage>
    <xdr:pic>
      <xdr:nvPicPr>
        <xdr:cNvPr id="215" name="ID_88D6D1C166864D0C988B38CB94A18A2D"/>
        <xdr:cNvPicPr/>
      </xdr:nvPicPr>
      <xdr:blipFill>
        <a:blip r:link="rId214"/>
        <a:stretch>
          <a:fillRect/>
        </a:stretch>
      </xdr:blipFill>
      <xdr:spPr>
        <a:xfrm>
          <a:off x="0" y="0"/>
          <a:ext cx="7143750" cy="10706100"/>
        </a:xfrm>
        <a:prstGeom prst="rect">
          <a:avLst/>
        </a:prstGeom>
      </xdr:spPr>
    </xdr:pic>
  </etc:cellImage>
  <etc:cellImage>
    <xdr:pic>
      <xdr:nvPicPr>
        <xdr:cNvPr id="216" name="ID_08685AD380B84575A97C010891A129EA"/>
        <xdr:cNvPicPr/>
      </xdr:nvPicPr>
      <xdr:blipFill>
        <a:blip r:link="rId215"/>
        <a:stretch>
          <a:fillRect/>
        </a:stretch>
      </xdr:blipFill>
      <xdr:spPr>
        <a:xfrm>
          <a:off x="0" y="0"/>
          <a:ext cx="7143750" cy="9525000"/>
        </a:xfrm>
        <a:prstGeom prst="rect">
          <a:avLst/>
        </a:prstGeom>
      </xdr:spPr>
    </xdr:pic>
  </etc:cellImage>
  <etc:cellImage>
    <xdr:pic>
      <xdr:nvPicPr>
        <xdr:cNvPr id="217" name="ID_08A4D05852A0412E805E12227EDF1C33"/>
        <xdr:cNvPicPr/>
      </xdr:nvPicPr>
      <xdr:blipFill>
        <a:blip r:link="rId216"/>
        <a:stretch>
          <a:fillRect/>
        </a:stretch>
      </xdr:blipFill>
      <xdr:spPr>
        <a:xfrm>
          <a:off x="0" y="0"/>
          <a:ext cx="7143750" cy="10001250"/>
        </a:xfrm>
        <a:prstGeom prst="rect">
          <a:avLst/>
        </a:prstGeom>
      </xdr:spPr>
    </xdr:pic>
  </etc:cellImage>
  <etc:cellImage>
    <xdr:pic>
      <xdr:nvPicPr>
        <xdr:cNvPr id="218" name="ID_56BCD58120C9403E8AA33B4C6EF6927A"/>
        <xdr:cNvPicPr/>
      </xdr:nvPicPr>
      <xdr:blipFill>
        <a:blip r:link="rId217"/>
        <a:stretch>
          <a:fillRect/>
        </a:stretch>
      </xdr:blipFill>
      <xdr:spPr>
        <a:xfrm>
          <a:off x="0" y="0"/>
          <a:ext cx="7143750" cy="9496425"/>
        </a:xfrm>
        <a:prstGeom prst="rect">
          <a:avLst/>
        </a:prstGeom>
      </xdr:spPr>
    </xdr:pic>
  </etc:cellImage>
  <etc:cellImage>
    <xdr:pic>
      <xdr:nvPicPr>
        <xdr:cNvPr id="219" name="ID_DBB8A81F2D854EDC847C805211582887"/>
        <xdr:cNvPicPr/>
      </xdr:nvPicPr>
      <xdr:blipFill>
        <a:blip r:link="rId218"/>
        <a:stretch>
          <a:fillRect/>
        </a:stretch>
      </xdr:blipFill>
      <xdr:spPr>
        <a:xfrm>
          <a:off x="0" y="0"/>
          <a:ext cx="7143750" cy="10001250"/>
        </a:xfrm>
        <a:prstGeom prst="rect">
          <a:avLst/>
        </a:prstGeom>
      </xdr:spPr>
    </xdr:pic>
  </etc:cellImage>
  <etc:cellImage>
    <xdr:pic>
      <xdr:nvPicPr>
        <xdr:cNvPr id="220" name="ID_391065F92F2843D5ABEC64E49971BF9B"/>
        <xdr:cNvPicPr/>
      </xdr:nvPicPr>
      <xdr:blipFill>
        <a:blip r:link="rId219"/>
        <a:stretch>
          <a:fillRect/>
        </a:stretch>
      </xdr:blipFill>
      <xdr:spPr>
        <a:xfrm>
          <a:off x="0" y="0"/>
          <a:ext cx="7143750" cy="10001250"/>
        </a:xfrm>
        <a:prstGeom prst="rect">
          <a:avLst/>
        </a:prstGeom>
      </xdr:spPr>
    </xdr:pic>
  </etc:cellImage>
  <etc:cellImage>
    <xdr:pic>
      <xdr:nvPicPr>
        <xdr:cNvPr id="221" name="ID_23D2336FF3CB4EA6B1558E965302CC98"/>
        <xdr:cNvPicPr/>
      </xdr:nvPicPr>
      <xdr:blipFill>
        <a:blip r:link="rId220"/>
        <a:stretch>
          <a:fillRect/>
        </a:stretch>
      </xdr:blipFill>
      <xdr:spPr>
        <a:xfrm>
          <a:off x="0" y="0"/>
          <a:ext cx="7143750" cy="9525000"/>
        </a:xfrm>
        <a:prstGeom prst="rect">
          <a:avLst/>
        </a:prstGeom>
      </xdr:spPr>
    </xdr:pic>
  </etc:cellImage>
  <etc:cellImage>
    <xdr:pic>
      <xdr:nvPicPr>
        <xdr:cNvPr id="222" name="ID_99E16B0934D843998C9152B322CD2339"/>
        <xdr:cNvPicPr/>
      </xdr:nvPicPr>
      <xdr:blipFill>
        <a:blip r:link="rId221"/>
        <a:stretch>
          <a:fillRect/>
        </a:stretch>
      </xdr:blipFill>
      <xdr:spPr>
        <a:xfrm>
          <a:off x="0" y="0"/>
          <a:ext cx="7143750" cy="10715625"/>
        </a:xfrm>
        <a:prstGeom prst="rect">
          <a:avLst/>
        </a:prstGeom>
      </xdr:spPr>
    </xdr:pic>
  </etc:cellImage>
  <etc:cellImage>
    <xdr:pic>
      <xdr:nvPicPr>
        <xdr:cNvPr id="223" name="ID_AA05B8B9BBB64A2C8B2DEFAC2B7912C3"/>
        <xdr:cNvPicPr/>
      </xdr:nvPicPr>
      <xdr:blipFill>
        <a:blip r:link="rId222"/>
        <a:stretch>
          <a:fillRect/>
        </a:stretch>
      </xdr:blipFill>
      <xdr:spPr>
        <a:xfrm>
          <a:off x="0" y="0"/>
          <a:ext cx="7143750" cy="9286875"/>
        </a:xfrm>
        <a:prstGeom prst="rect">
          <a:avLst/>
        </a:prstGeom>
      </xdr:spPr>
    </xdr:pic>
  </etc:cellImage>
  <etc:cellImage>
    <xdr:pic>
      <xdr:nvPicPr>
        <xdr:cNvPr id="224" name="ID_4A26FAD7BD014883BE19E7EBABEADF70"/>
        <xdr:cNvPicPr/>
      </xdr:nvPicPr>
      <xdr:blipFill>
        <a:blip r:link="rId223"/>
        <a:stretch>
          <a:fillRect/>
        </a:stretch>
      </xdr:blipFill>
      <xdr:spPr>
        <a:xfrm>
          <a:off x="0" y="0"/>
          <a:ext cx="7143750" cy="10001250"/>
        </a:xfrm>
        <a:prstGeom prst="rect">
          <a:avLst/>
        </a:prstGeom>
      </xdr:spPr>
    </xdr:pic>
  </etc:cellImage>
  <etc:cellImage>
    <xdr:pic>
      <xdr:nvPicPr>
        <xdr:cNvPr id="225" name="ID_BF9AE392AFDD4458A2909A9A2C941241"/>
        <xdr:cNvPicPr/>
      </xdr:nvPicPr>
      <xdr:blipFill>
        <a:blip r:link="rId224"/>
        <a:stretch>
          <a:fillRect/>
        </a:stretch>
      </xdr:blipFill>
      <xdr:spPr>
        <a:xfrm>
          <a:off x="0" y="0"/>
          <a:ext cx="7143750" cy="7143750"/>
        </a:xfrm>
        <a:prstGeom prst="rect">
          <a:avLst/>
        </a:prstGeom>
      </xdr:spPr>
    </xdr:pic>
  </etc:cellImage>
  <etc:cellImage>
    <xdr:pic>
      <xdr:nvPicPr>
        <xdr:cNvPr id="226" name="ID_55D50712BDA742E9BE089E9AEF5CFD56"/>
        <xdr:cNvPicPr/>
      </xdr:nvPicPr>
      <xdr:blipFill>
        <a:blip r:link="rId225"/>
        <a:stretch>
          <a:fillRect/>
        </a:stretch>
      </xdr:blipFill>
      <xdr:spPr>
        <a:xfrm>
          <a:off x="0" y="0"/>
          <a:ext cx="7143750" cy="8801100"/>
        </a:xfrm>
        <a:prstGeom prst="rect">
          <a:avLst/>
        </a:prstGeom>
      </xdr:spPr>
    </xdr:pic>
  </etc:cellImage>
  <etc:cellImage>
    <xdr:pic>
      <xdr:nvPicPr>
        <xdr:cNvPr id="227" name="ID_B2FD46FB94FD4BE298F143BADCF00B8C"/>
        <xdr:cNvPicPr/>
      </xdr:nvPicPr>
      <xdr:blipFill>
        <a:blip r:link="rId226"/>
        <a:stretch>
          <a:fillRect/>
        </a:stretch>
      </xdr:blipFill>
      <xdr:spPr>
        <a:xfrm>
          <a:off x="0" y="0"/>
          <a:ext cx="7143750" cy="10144125"/>
        </a:xfrm>
        <a:prstGeom prst="rect">
          <a:avLst/>
        </a:prstGeom>
      </xdr:spPr>
    </xdr:pic>
  </etc:cellImage>
  <etc:cellImage>
    <xdr:pic>
      <xdr:nvPicPr>
        <xdr:cNvPr id="228" name="ID_C4F6E9DAFE344DCCAABCAAE0A2F04564"/>
        <xdr:cNvPicPr/>
      </xdr:nvPicPr>
      <xdr:blipFill>
        <a:blip r:link="rId227"/>
        <a:stretch>
          <a:fillRect/>
        </a:stretch>
      </xdr:blipFill>
      <xdr:spPr>
        <a:xfrm>
          <a:off x="0" y="0"/>
          <a:ext cx="7143750" cy="10001250"/>
        </a:xfrm>
        <a:prstGeom prst="rect">
          <a:avLst/>
        </a:prstGeom>
      </xdr:spPr>
    </xdr:pic>
  </etc:cellImage>
  <etc:cellImage>
    <xdr:pic>
      <xdr:nvPicPr>
        <xdr:cNvPr id="229" name="ID_005BE0017F024C98A2D8AF15B9E0DE6A"/>
        <xdr:cNvPicPr/>
      </xdr:nvPicPr>
      <xdr:blipFill>
        <a:blip r:link="rId228"/>
        <a:stretch>
          <a:fillRect/>
        </a:stretch>
      </xdr:blipFill>
      <xdr:spPr>
        <a:xfrm>
          <a:off x="0" y="0"/>
          <a:ext cx="7143750" cy="10001250"/>
        </a:xfrm>
        <a:prstGeom prst="rect">
          <a:avLst/>
        </a:prstGeom>
      </xdr:spPr>
    </xdr:pic>
  </etc:cellImage>
  <etc:cellImage>
    <xdr:pic>
      <xdr:nvPicPr>
        <xdr:cNvPr id="230" name="ID_21FE4349EE994987AC614A279458E356"/>
        <xdr:cNvPicPr/>
      </xdr:nvPicPr>
      <xdr:blipFill>
        <a:blip r:link="rId229"/>
        <a:stretch>
          <a:fillRect/>
        </a:stretch>
      </xdr:blipFill>
      <xdr:spPr>
        <a:xfrm>
          <a:off x="0" y="0"/>
          <a:ext cx="7143750" cy="7143750"/>
        </a:xfrm>
        <a:prstGeom prst="rect">
          <a:avLst/>
        </a:prstGeom>
      </xdr:spPr>
    </xdr:pic>
  </etc:cellImage>
  <etc:cellImage>
    <xdr:pic>
      <xdr:nvPicPr>
        <xdr:cNvPr id="231" name="ID_FD96452CC72B491AA69A0DC966FE8814"/>
        <xdr:cNvPicPr/>
      </xdr:nvPicPr>
      <xdr:blipFill>
        <a:blip r:link="rId230"/>
        <a:stretch>
          <a:fillRect/>
        </a:stretch>
      </xdr:blipFill>
      <xdr:spPr>
        <a:xfrm>
          <a:off x="0" y="0"/>
          <a:ext cx="7143750" cy="10001250"/>
        </a:xfrm>
        <a:prstGeom prst="rect">
          <a:avLst/>
        </a:prstGeom>
      </xdr:spPr>
    </xdr:pic>
  </etc:cellImage>
  <etc:cellImage>
    <xdr:pic>
      <xdr:nvPicPr>
        <xdr:cNvPr id="232" name="ID_BB45129897024B4183D09C0AA547B197"/>
        <xdr:cNvPicPr/>
      </xdr:nvPicPr>
      <xdr:blipFill>
        <a:blip r:link="rId231"/>
        <a:stretch>
          <a:fillRect/>
        </a:stretch>
      </xdr:blipFill>
      <xdr:spPr>
        <a:xfrm>
          <a:off x="0" y="0"/>
          <a:ext cx="7143750" cy="9525000"/>
        </a:xfrm>
        <a:prstGeom prst="rect">
          <a:avLst/>
        </a:prstGeom>
      </xdr:spPr>
    </xdr:pic>
  </etc:cellImage>
  <etc:cellImage>
    <xdr:pic>
      <xdr:nvPicPr>
        <xdr:cNvPr id="233" name="ID_03579C230E4B4D1F94606FFA97C412A2"/>
        <xdr:cNvPicPr/>
      </xdr:nvPicPr>
      <xdr:blipFill>
        <a:blip r:link="rId232"/>
        <a:stretch>
          <a:fillRect/>
        </a:stretch>
      </xdr:blipFill>
      <xdr:spPr>
        <a:xfrm>
          <a:off x="0" y="0"/>
          <a:ext cx="7143750" cy="10715625"/>
        </a:xfrm>
        <a:prstGeom prst="rect">
          <a:avLst/>
        </a:prstGeom>
      </xdr:spPr>
    </xdr:pic>
  </etc:cellImage>
  <etc:cellImage>
    <xdr:pic>
      <xdr:nvPicPr>
        <xdr:cNvPr id="234" name="ID_96FF4E1240E04D98ACBC33F8D3EE9C8F"/>
        <xdr:cNvPicPr/>
      </xdr:nvPicPr>
      <xdr:blipFill>
        <a:blip r:link="rId233"/>
        <a:stretch>
          <a:fillRect/>
        </a:stretch>
      </xdr:blipFill>
      <xdr:spPr>
        <a:xfrm>
          <a:off x="0" y="0"/>
          <a:ext cx="7143750" cy="10001250"/>
        </a:xfrm>
        <a:prstGeom prst="rect">
          <a:avLst/>
        </a:prstGeom>
      </xdr:spPr>
    </xdr:pic>
  </etc:cellImage>
  <etc:cellImage>
    <xdr:pic>
      <xdr:nvPicPr>
        <xdr:cNvPr id="235" name="ID_5B22FFE3C77C4E8C9BD243D72EC649E2"/>
        <xdr:cNvPicPr/>
      </xdr:nvPicPr>
      <xdr:blipFill>
        <a:blip r:link="rId234"/>
        <a:stretch>
          <a:fillRect/>
        </a:stretch>
      </xdr:blipFill>
      <xdr:spPr>
        <a:xfrm>
          <a:off x="0" y="0"/>
          <a:ext cx="7143750" cy="9886950"/>
        </a:xfrm>
        <a:prstGeom prst="rect">
          <a:avLst/>
        </a:prstGeom>
      </xdr:spPr>
    </xdr:pic>
  </etc:cellImage>
  <etc:cellImage>
    <xdr:pic>
      <xdr:nvPicPr>
        <xdr:cNvPr id="236" name="ID_AE861B6E26D2460C9E654A52BE43B6F4"/>
        <xdr:cNvPicPr/>
      </xdr:nvPicPr>
      <xdr:blipFill>
        <a:blip r:link="rId235"/>
        <a:stretch>
          <a:fillRect/>
        </a:stretch>
      </xdr:blipFill>
      <xdr:spPr>
        <a:xfrm>
          <a:off x="0" y="0"/>
          <a:ext cx="7143750" cy="9525000"/>
        </a:xfrm>
        <a:prstGeom prst="rect">
          <a:avLst/>
        </a:prstGeom>
      </xdr:spPr>
    </xdr:pic>
  </etc:cellImage>
  <etc:cellImage>
    <xdr:pic>
      <xdr:nvPicPr>
        <xdr:cNvPr id="237" name="ID_40A8AEA41DF44D5AB3229E18DF729A74"/>
        <xdr:cNvPicPr/>
      </xdr:nvPicPr>
      <xdr:blipFill>
        <a:blip r:link="rId236"/>
        <a:stretch>
          <a:fillRect/>
        </a:stretch>
      </xdr:blipFill>
      <xdr:spPr>
        <a:xfrm>
          <a:off x="0" y="0"/>
          <a:ext cx="7143750" cy="10001250"/>
        </a:xfrm>
        <a:prstGeom prst="rect">
          <a:avLst/>
        </a:prstGeom>
      </xdr:spPr>
    </xdr:pic>
  </etc:cellImage>
  <etc:cellImage>
    <xdr:pic>
      <xdr:nvPicPr>
        <xdr:cNvPr id="238" name="ID_3CABC7DA53ED4401B09BC2C27086B239"/>
        <xdr:cNvPicPr/>
      </xdr:nvPicPr>
      <xdr:blipFill>
        <a:blip r:link="rId237"/>
        <a:stretch>
          <a:fillRect/>
        </a:stretch>
      </xdr:blipFill>
      <xdr:spPr>
        <a:xfrm>
          <a:off x="0" y="0"/>
          <a:ext cx="7143750" cy="8791575"/>
        </a:xfrm>
        <a:prstGeom prst="rect">
          <a:avLst/>
        </a:prstGeom>
      </xdr:spPr>
    </xdr:pic>
  </etc:cellImage>
  <etc:cellImage>
    <xdr:pic>
      <xdr:nvPicPr>
        <xdr:cNvPr id="239" name="ID_164BFB36FB944A6B8D1C179D10EFE455"/>
        <xdr:cNvPicPr/>
      </xdr:nvPicPr>
      <xdr:blipFill>
        <a:blip r:link="rId238"/>
        <a:stretch>
          <a:fillRect/>
        </a:stretch>
      </xdr:blipFill>
      <xdr:spPr>
        <a:xfrm>
          <a:off x="0" y="0"/>
          <a:ext cx="7143750" cy="10058400"/>
        </a:xfrm>
        <a:prstGeom prst="rect">
          <a:avLst/>
        </a:prstGeom>
      </xdr:spPr>
    </xdr:pic>
  </etc:cellImage>
  <etc:cellImage>
    <xdr:pic>
      <xdr:nvPicPr>
        <xdr:cNvPr id="240" name="ID_BBA3CECAB16B45C9B1C4CAAD3056F6EF"/>
        <xdr:cNvPicPr/>
      </xdr:nvPicPr>
      <xdr:blipFill>
        <a:blip r:link="rId239"/>
        <a:stretch>
          <a:fillRect/>
        </a:stretch>
      </xdr:blipFill>
      <xdr:spPr>
        <a:xfrm>
          <a:off x="0" y="0"/>
          <a:ext cx="7143750" cy="7410450"/>
        </a:xfrm>
        <a:prstGeom prst="rect">
          <a:avLst/>
        </a:prstGeom>
      </xdr:spPr>
    </xdr:pic>
  </etc:cellImage>
  <etc:cellImage>
    <xdr:pic>
      <xdr:nvPicPr>
        <xdr:cNvPr id="241" name="ID_D5F43AB9EBAD44A4B07E87AF936A6299"/>
        <xdr:cNvPicPr/>
      </xdr:nvPicPr>
      <xdr:blipFill>
        <a:blip r:link="rId240"/>
        <a:stretch>
          <a:fillRect/>
        </a:stretch>
      </xdr:blipFill>
      <xdr:spPr>
        <a:xfrm>
          <a:off x="0" y="0"/>
          <a:ext cx="7143750" cy="10010775"/>
        </a:xfrm>
        <a:prstGeom prst="rect">
          <a:avLst/>
        </a:prstGeom>
      </xdr:spPr>
    </xdr:pic>
  </etc:cellImage>
  <etc:cellImage>
    <xdr:pic>
      <xdr:nvPicPr>
        <xdr:cNvPr id="242" name="ID_C169A98BEF614A41ADF43CA619535221"/>
        <xdr:cNvPicPr/>
      </xdr:nvPicPr>
      <xdr:blipFill>
        <a:blip r:link="rId241"/>
        <a:stretch>
          <a:fillRect/>
        </a:stretch>
      </xdr:blipFill>
      <xdr:spPr>
        <a:xfrm>
          <a:off x="0" y="0"/>
          <a:ext cx="7143750" cy="8658225"/>
        </a:xfrm>
        <a:prstGeom prst="rect">
          <a:avLst/>
        </a:prstGeom>
      </xdr:spPr>
    </xdr:pic>
  </etc:cellImage>
  <etc:cellImage>
    <xdr:pic>
      <xdr:nvPicPr>
        <xdr:cNvPr id="243" name="ID_06812EDB7CE84D14BCAEC56B86A3FB64"/>
        <xdr:cNvPicPr/>
      </xdr:nvPicPr>
      <xdr:blipFill>
        <a:blip r:link="rId242"/>
        <a:stretch>
          <a:fillRect/>
        </a:stretch>
      </xdr:blipFill>
      <xdr:spPr>
        <a:xfrm>
          <a:off x="0" y="0"/>
          <a:ext cx="7143750" cy="10001250"/>
        </a:xfrm>
        <a:prstGeom prst="rect">
          <a:avLst/>
        </a:prstGeom>
      </xdr:spPr>
    </xdr:pic>
  </etc:cellImage>
  <etc:cellImage>
    <xdr:pic>
      <xdr:nvPicPr>
        <xdr:cNvPr id="244" name="ID_0AC7D7DC948D4142BC7E39C07F0EB7F8"/>
        <xdr:cNvPicPr/>
      </xdr:nvPicPr>
      <xdr:blipFill>
        <a:blip r:link="rId243"/>
        <a:stretch>
          <a:fillRect/>
        </a:stretch>
      </xdr:blipFill>
      <xdr:spPr>
        <a:xfrm>
          <a:off x="0" y="0"/>
          <a:ext cx="7143750" cy="4762500"/>
        </a:xfrm>
        <a:prstGeom prst="rect">
          <a:avLst/>
        </a:prstGeom>
      </xdr:spPr>
    </xdr:pic>
  </etc:cellImage>
  <etc:cellImage>
    <xdr:pic>
      <xdr:nvPicPr>
        <xdr:cNvPr id="245" name="ID_D4DBACC4389B49D6B9C508C515595D5D"/>
        <xdr:cNvPicPr/>
      </xdr:nvPicPr>
      <xdr:blipFill>
        <a:blip r:link="rId244"/>
        <a:stretch>
          <a:fillRect/>
        </a:stretch>
      </xdr:blipFill>
      <xdr:spPr>
        <a:xfrm>
          <a:off x="0" y="0"/>
          <a:ext cx="7143750" cy="10001250"/>
        </a:xfrm>
        <a:prstGeom prst="rect">
          <a:avLst/>
        </a:prstGeom>
      </xdr:spPr>
    </xdr:pic>
  </etc:cellImage>
  <etc:cellImage>
    <xdr:pic>
      <xdr:nvPicPr>
        <xdr:cNvPr id="246" name="ID_D66F2E0905214E97988618639B1556CA"/>
        <xdr:cNvPicPr/>
      </xdr:nvPicPr>
      <xdr:blipFill>
        <a:blip r:link="rId245"/>
        <a:stretch>
          <a:fillRect/>
        </a:stretch>
      </xdr:blipFill>
      <xdr:spPr>
        <a:xfrm>
          <a:off x="0" y="0"/>
          <a:ext cx="7143750" cy="9953625"/>
        </a:xfrm>
        <a:prstGeom prst="rect">
          <a:avLst/>
        </a:prstGeom>
      </xdr:spPr>
    </xdr:pic>
  </etc:cellImage>
  <etc:cellImage>
    <xdr:pic>
      <xdr:nvPicPr>
        <xdr:cNvPr id="247" name="ID_B83409D3E833484EAA2409A5675BAA5D"/>
        <xdr:cNvPicPr/>
      </xdr:nvPicPr>
      <xdr:blipFill>
        <a:blip r:link="rId246"/>
        <a:stretch>
          <a:fillRect/>
        </a:stretch>
      </xdr:blipFill>
      <xdr:spPr>
        <a:xfrm>
          <a:off x="0" y="0"/>
          <a:ext cx="7143750" cy="10001250"/>
        </a:xfrm>
        <a:prstGeom prst="rect">
          <a:avLst/>
        </a:prstGeom>
      </xdr:spPr>
    </xdr:pic>
  </etc:cellImage>
  <etc:cellImage>
    <xdr:pic>
      <xdr:nvPicPr>
        <xdr:cNvPr id="248" name="ID_36DB22886E2542F0B08D8BC7EEC58760"/>
        <xdr:cNvPicPr/>
      </xdr:nvPicPr>
      <xdr:blipFill>
        <a:blip r:link="rId247"/>
        <a:stretch>
          <a:fillRect/>
        </a:stretch>
      </xdr:blipFill>
      <xdr:spPr>
        <a:xfrm>
          <a:off x="0" y="0"/>
          <a:ext cx="7143750" cy="10001250"/>
        </a:xfrm>
        <a:prstGeom prst="rect">
          <a:avLst/>
        </a:prstGeom>
      </xdr:spPr>
    </xdr:pic>
  </etc:cellImage>
  <etc:cellImage>
    <xdr:pic>
      <xdr:nvPicPr>
        <xdr:cNvPr id="249" name="ID_7985CE250554486189D8524B45608623"/>
        <xdr:cNvPicPr/>
      </xdr:nvPicPr>
      <xdr:blipFill>
        <a:blip r:link="rId248"/>
        <a:stretch>
          <a:fillRect/>
        </a:stretch>
      </xdr:blipFill>
      <xdr:spPr>
        <a:xfrm>
          <a:off x="0" y="0"/>
          <a:ext cx="7143750" cy="10125075"/>
        </a:xfrm>
        <a:prstGeom prst="rect">
          <a:avLst/>
        </a:prstGeom>
      </xdr:spPr>
    </xdr:pic>
  </etc:cellImage>
  <etc:cellImage>
    <xdr:pic>
      <xdr:nvPicPr>
        <xdr:cNvPr id="250" name="ID_796E86B7DB7B4E23A74B2B041E7E25B9"/>
        <xdr:cNvPicPr/>
      </xdr:nvPicPr>
      <xdr:blipFill>
        <a:blip r:link="rId249"/>
        <a:stretch>
          <a:fillRect/>
        </a:stretch>
      </xdr:blipFill>
      <xdr:spPr>
        <a:xfrm>
          <a:off x="0" y="0"/>
          <a:ext cx="7143750" cy="9525000"/>
        </a:xfrm>
        <a:prstGeom prst="rect">
          <a:avLst/>
        </a:prstGeom>
      </xdr:spPr>
    </xdr:pic>
  </etc:cellImage>
  <etc:cellImage>
    <xdr:pic>
      <xdr:nvPicPr>
        <xdr:cNvPr id="251" name="ID_61B07218C9EC426CBE977F3567B765DD"/>
        <xdr:cNvPicPr/>
      </xdr:nvPicPr>
      <xdr:blipFill>
        <a:blip r:link="rId250"/>
        <a:stretch>
          <a:fillRect/>
        </a:stretch>
      </xdr:blipFill>
      <xdr:spPr>
        <a:xfrm>
          <a:off x="0" y="0"/>
          <a:ext cx="7143750" cy="9525000"/>
        </a:xfrm>
        <a:prstGeom prst="rect">
          <a:avLst/>
        </a:prstGeom>
      </xdr:spPr>
    </xdr:pic>
  </etc:cellImage>
  <etc:cellImage>
    <xdr:pic>
      <xdr:nvPicPr>
        <xdr:cNvPr id="252" name="ID_89FA20207CD0456DA5278484203F3141"/>
        <xdr:cNvPicPr/>
      </xdr:nvPicPr>
      <xdr:blipFill>
        <a:blip r:link="rId251"/>
        <a:stretch>
          <a:fillRect/>
        </a:stretch>
      </xdr:blipFill>
      <xdr:spPr>
        <a:xfrm>
          <a:off x="0" y="0"/>
          <a:ext cx="7143750" cy="9525000"/>
        </a:xfrm>
        <a:prstGeom prst="rect">
          <a:avLst/>
        </a:prstGeom>
      </xdr:spPr>
    </xdr:pic>
  </etc:cellImage>
  <etc:cellImage>
    <xdr:pic>
      <xdr:nvPicPr>
        <xdr:cNvPr id="253" name="ID_BC3CD3F4A07B4F5DB131E901992815BA"/>
        <xdr:cNvPicPr/>
      </xdr:nvPicPr>
      <xdr:blipFill>
        <a:blip r:link="rId252"/>
        <a:stretch>
          <a:fillRect/>
        </a:stretch>
      </xdr:blipFill>
      <xdr:spPr>
        <a:xfrm>
          <a:off x="0" y="0"/>
          <a:ext cx="7143750" cy="8791575"/>
        </a:xfrm>
        <a:prstGeom prst="rect">
          <a:avLst/>
        </a:prstGeom>
      </xdr:spPr>
    </xdr:pic>
  </etc:cellImage>
  <etc:cellImage>
    <xdr:pic>
      <xdr:nvPicPr>
        <xdr:cNvPr id="254" name="ID_2348B3C3CCB6443B92AD1A08F0A487FA"/>
        <xdr:cNvPicPr/>
      </xdr:nvPicPr>
      <xdr:blipFill>
        <a:blip r:link="rId253"/>
        <a:stretch>
          <a:fillRect/>
        </a:stretch>
      </xdr:blipFill>
      <xdr:spPr>
        <a:xfrm>
          <a:off x="0" y="0"/>
          <a:ext cx="7143750" cy="10001250"/>
        </a:xfrm>
        <a:prstGeom prst="rect">
          <a:avLst/>
        </a:prstGeom>
      </xdr:spPr>
    </xdr:pic>
  </etc:cellImage>
  <etc:cellImage>
    <xdr:pic>
      <xdr:nvPicPr>
        <xdr:cNvPr id="255" name="ID_D3E1E42587914F6EA2229B8441CD1EF2"/>
        <xdr:cNvPicPr/>
      </xdr:nvPicPr>
      <xdr:blipFill>
        <a:blip r:link="rId254"/>
        <a:stretch>
          <a:fillRect/>
        </a:stretch>
      </xdr:blipFill>
      <xdr:spPr>
        <a:xfrm>
          <a:off x="0" y="0"/>
          <a:ext cx="7143750" cy="9525000"/>
        </a:xfrm>
        <a:prstGeom prst="rect">
          <a:avLst/>
        </a:prstGeom>
      </xdr:spPr>
    </xdr:pic>
  </etc:cellImage>
  <etc:cellImage>
    <xdr:pic>
      <xdr:nvPicPr>
        <xdr:cNvPr id="256" name="ID_987FF0FA37F44BD9A4B0BCCB3CF13E1D"/>
        <xdr:cNvPicPr/>
      </xdr:nvPicPr>
      <xdr:blipFill>
        <a:blip r:link="rId255"/>
        <a:stretch>
          <a:fillRect/>
        </a:stretch>
      </xdr:blipFill>
      <xdr:spPr>
        <a:xfrm>
          <a:off x="0" y="0"/>
          <a:ext cx="7143750" cy="9982200"/>
        </a:xfrm>
        <a:prstGeom prst="rect">
          <a:avLst/>
        </a:prstGeom>
      </xdr:spPr>
    </xdr:pic>
  </etc:cellImage>
  <etc:cellImage>
    <xdr:pic>
      <xdr:nvPicPr>
        <xdr:cNvPr id="257" name="ID_CE4D4038789D4DF1AB53AB5B07B379E6"/>
        <xdr:cNvPicPr/>
      </xdr:nvPicPr>
      <xdr:blipFill>
        <a:blip r:link="rId256"/>
        <a:stretch>
          <a:fillRect/>
        </a:stretch>
      </xdr:blipFill>
      <xdr:spPr>
        <a:xfrm>
          <a:off x="0" y="0"/>
          <a:ext cx="7143750" cy="9972675"/>
        </a:xfrm>
        <a:prstGeom prst="rect">
          <a:avLst/>
        </a:prstGeom>
      </xdr:spPr>
    </xdr:pic>
  </etc:cellImage>
  <etc:cellImage>
    <xdr:pic>
      <xdr:nvPicPr>
        <xdr:cNvPr id="258" name="ID_A33976891DCF46C9B1DFAD5ADCC8729D"/>
        <xdr:cNvPicPr/>
      </xdr:nvPicPr>
      <xdr:blipFill>
        <a:blip r:link="rId257"/>
        <a:stretch>
          <a:fillRect/>
        </a:stretch>
      </xdr:blipFill>
      <xdr:spPr>
        <a:xfrm>
          <a:off x="0" y="0"/>
          <a:ext cx="7143750" cy="10001250"/>
        </a:xfrm>
        <a:prstGeom prst="rect">
          <a:avLst/>
        </a:prstGeom>
      </xdr:spPr>
    </xdr:pic>
  </etc:cellImage>
  <etc:cellImage>
    <xdr:pic>
      <xdr:nvPicPr>
        <xdr:cNvPr id="259" name="ID_1491B19669C14541B371C6C8BBB97425"/>
        <xdr:cNvPicPr/>
      </xdr:nvPicPr>
      <xdr:blipFill>
        <a:blip r:link="rId258"/>
        <a:stretch>
          <a:fillRect/>
        </a:stretch>
      </xdr:blipFill>
      <xdr:spPr>
        <a:xfrm>
          <a:off x="0" y="0"/>
          <a:ext cx="7143750" cy="10820400"/>
        </a:xfrm>
        <a:prstGeom prst="rect">
          <a:avLst/>
        </a:prstGeom>
      </xdr:spPr>
    </xdr:pic>
  </etc:cellImage>
  <etc:cellImage>
    <xdr:pic>
      <xdr:nvPicPr>
        <xdr:cNvPr id="260" name="ID_590DFB2A64AB463E915AA57C80368398"/>
        <xdr:cNvPicPr/>
      </xdr:nvPicPr>
      <xdr:blipFill>
        <a:blip r:link="rId259"/>
        <a:stretch>
          <a:fillRect/>
        </a:stretch>
      </xdr:blipFill>
      <xdr:spPr>
        <a:xfrm>
          <a:off x="0" y="0"/>
          <a:ext cx="7143750" cy="9525000"/>
        </a:xfrm>
        <a:prstGeom prst="rect">
          <a:avLst/>
        </a:prstGeom>
      </xdr:spPr>
    </xdr:pic>
  </etc:cellImage>
  <etc:cellImage>
    <xdr:pic>
      <xdr:nvPicPr>
        <xdr:cNvPr id="261" name="ID_5E2BE4A32E0C443299D86A217DB8E55F"/>
        <xdr:cNvPicPr/>
      </xdr:nvPicPr>
      <xdr:blipFill>
        <a:blip r:link="rId260"/>
        <a:stretch>
          <a:fillRect/>
        </a:stretch>
      </xdr:blipFill>
      <xdr:spPr>
        <a:xfrm>
          <a:off x="0" y="0"/>
          <a:ext cx="7143750" cy="10001250"/>
        </a:xfrm>
        <a:prstGeom prst="rect">
          <a:avLst/>
        </a:prstGeom>
      </xdr:spPr>
    </xdr:pic>
  </etc:cellImage>
  <etc:cellImage>
    <xdr:pic>
      <xdr:nvPicPr>
        <xdr:cNvPr id="262" name="ID_1E1BF7CF64ED4C9392E00D748E2CFF78"/>
        <xdr:cNvPicPr/>
      </xdr:nvPicPr>
      <xdr:blipFill>
        <a:blip r:link="rId261"/>
        <a:stretch>
          <a:fillRect/>
        </a:stretch>
      </xdr:blipFill>
      <xdr:spPr>
        <a:xfrm>
          <a:off x="0" y="0"/>
          <a:ext cx="7143750" cy="9525000"/>
        </a:xfrm>
        <a:prstGeom prst="rect">
          <a:avLst/>
        </a:prstGeom>
      </xdr:spPr>
    </xdr:pic>
  </etc:cellImage>
  <etc:cellImage>
    <xdr:pic>
      <xdr:nvPicPr>
        <xdr:cNvPr id="263" name="ID_8367FF7FCE354E85A6B58C07A55F59C4"/>
        <xdr:cNvPicPr/>
      </xdr:nvPicPr>
      <xdr:blipFill>
        <a:blip r:link="rId262"/>
        <a:stretch>
          <a:fillRect/>
        </a:stretch>
      </xdr:blipFill>
      <xdr:spPr>
        <a:xfrm>
          <a:off x="0" y="0"/>
          <a:ext cx="7143750" cy="9925050"/>
        </a:xfrm>
        <a:prstGeom prst="rect">
          <a:avLst/>
        </a:prstGeom>
      </xdr:spPr>
    </xdr:pic>
  </etc:cellImage>
  <etc:cellImage>
    <xdr:pic>
      <xdr:nvPicPr>
        <xdr:cNvPr id="264" name="ID_9499CE74334F4664AC42AD98401CDCF8"/>
        <xdr:cNvPicPr/>
      </xdr:nvPicPr>
      <xdr:blipFill>
        <a:blip r:link="rId263"/>
        <a:stretch>
          <a:fillRect/>
        </a:stretch>
      </xdr:blipFill>
      <xdr:spPr>
        <a:xfrm>
          <a:off x="0" y="0"/>
          <a:ext cx="7143750" cy="10001250"/>
        </a:xfrm>
        <a:prstGeom prst="rect">
          <a:avLst/>
        </a:prstGeom>
      </xdr:spPr>
    </xdr:pic>
  </etc:cellImage>
  <etc:cellImage>
    <xdr:pic>
      <xdr:nvPicPr>
        <xdr:cNvPr id="265" name="ID_8CF817D3A8834773857DA1D47188BF1C"/>
        <xdr:cNvPicPr/>
      </xdr:nvPicPr>
      <xdr:blipFill>
        <a:blip r:link="rId264"/>
        <a:stretch>
          <a:fillRect/>
        </a:stretch>
      </xdr:blipFill>
      <xdr:spPr>
        <a:xfrm>
          <a:off x="0" y="0"/>
          <a:ext cx="7143750" cy="9744075"/>
        </a:xfrm>
        <a:prstGeom prst="rect">
          <a:avLst/>
        </a:prstGeom>
      </xdr:spPr>
    </xdr:pic>
  </etc:cellImage>
  <etc:cellImage>
    <xdr:pic>
      <xdr:nvPicPr>
        <xdr:cNvPr id="266" name="ID_E59FBD148CC0458789196A3F7371E3AC"/>
        <xdr:cNvPicPr/>
      </xdr:nvPicPr>
      <xdr:blipFill>
        <a:blip r:link="rId265"/>
        <a:stretch>
          <a:fillRect/>
        </a:stretch>
      </xdr:blipFill>
      <xdr:spPr>
        <a:xfrm>
          <a:off x="0" y="0"/>
          <a:ext cx="7143750" cy="10448925"/>
        </a:xfrm>
        <a:prstGeom prst="rect">
          <a:avLst/>
        </a:prstGeom>
      </xdr:spPr>
    </xdr:pic>
  </etc:cellImage>
  <etc:cellImage>
    <xdr:pic>
      <xdr:nvPicPr>
        <xdr:cNvPr id="267" name="ID_FE029F69B78E439BA992D666A5ADF87E"/>
        <xdr:cNvPicPr/>
      </xdr:nvPicPr>
      <xdr:blipFill>
        <a:blip r:link="rId266"/>
        <a:stretch>
          <a:fillRect/>
        </a:stretch>
      </xdr:blipFill>
      <xdr:spPr>
        <a:xfrm>
          <a:off x="0" y="0"/>
          <a:ext cx="7143750" cy="9982200"/>
        </a:xfrm>
        <a:prstGeom prst="rect">
          <a:avLst/>
        </a:prstGeom>
      </xdr:spPr>
    </xdr:pic>
  </etc:cellImage>
  <etc:cellImage>
    <xdr:pic>
      <xdr:nvPicPr>
        <xdr:cNvPr id="268" name="ID_AC752CE0DFA24D83A60721AFA892E1C6"/>
        <xdr:cNvPicPr/>
      </xdr:nvPicPr>
      <xdr:blipFill>
        <a:blip r:link="rId267"/>
        <a:stretch>
          <a:fillRect/>
        </a:stretch>
      </xdr:blipFill>
      <xdr:spPr>
        <a:xfrm>
          <a:off x="0" y="0"/>
          <a:ext cx="7143750" cy="10058400"/>
        </a:xfrm>
        <a:prstGeom prst="rect">
          <a:avLst/>
        </a:prstGeom>
      </xdr:spPr>
    </xdr:pic>
  </etc:cellImage>
  <etc:cellImage>
    <xdr:pic>
      <xdr:nvPicPr>
        <xdr:cNvPr id="269" name="ID_CD5C977DBB8D404E885C56F791C17D27"/>
        <xdr:cNvPicPr/>
      </xdr:nvPicPr>
      <xdr:blipFill>
        <a:blip r:link="rId268"/>
        <a:stretch>
          <a:fillRect/>
        </a:stretch>
      </xdr:blipFill>
      <xdr:spPr>
        <a:xfrm>
          <a:off x="0" y="0"/>
          <a:ext cx="7143750" cy="10001250"/>
        </a:xfrm>
        <a:prstGeom prst="rect">
          <a:avLst/>
        </a:prstGeom>
      </xdr:spPr>
    </xdr:pic>
  </etc:cellImage>
  <etc:cellImage>
    <xdr:pic>
      <xdr:nvPicPr>
        <xdr:cNvPr id="270" name="ID_93FC4398D0D24B119D9D1B8E0038C2BD"/>
        <xdr:cNvPicPr/>
      </xdr:nvPicPr>
      <xdr:blipFill>
        <a:blip r:link="rId269"/>
        <a:stretch>
          <a:fillRect/>
        </a:stretch>
      </xdr:blipFill>
      <xdr:spPr>
        <a:xfrm>
          <a:off x="0" y="0"/>
          <a:ext cx="7143750" cy="10001250"/>
        </a:xfrm>
        <a:prstGeom prst="rect">
          <a:avLst/>
        </a:prstGeom>
      </xdr:spPr>
    </xdr:pic>
  </etc:cellImage>
  <etc:cellImage>
    <xdr:pic>
      <xdr:nvPicPr>
        <xdr:cNvPr id="271" name="ID_490114996A5646149508AE2796C7FCA8"/>
        <xdr:cNvPicPr/>
      </xdr:nvPicPr>
      <xdr:blipFill>
        <a:blip r:link="rId270"/>
        <a:stretch>
          <a:fillRect/>
        </a:stretch>
      </xdr:blipFill>
      <xdr:spPr>
        <a:xfrm>
          <a:off x="0" y="0"/>
          <a:ext cx="7143750" cy="10258425"/>
        </a:xfrm>
        <a:prstGeom prst="rect">
          <a:avLst/>
        </a:prstGeom>
      </xdr:spPr>
    </xdr:pic>
  </etc:cellImage>
  <etc:cellImage>
    <xdr:pic>
      <xdr:nvPicPr>
        <xdr:cNvPr id="272" name="ID_840140DEA4BE4280A385428CC67C44E3"/>
        <xdr:cNvPicPr/>
      </xdr:nvPicPr>
      <xdr:blipFill>
        <a:blip r:link="rId271"/>
        <a:stretch>
          <a:fillRect/>
        </a:stretch>
      </xdr:blipFill>
      <xdr:spPr>
        <a:xfrm>
          <a:off x="0" y="0"/>
          <a:ext cx="7143750" cy="10001250"/>
        </a:xfrm>
        <a:prstGeom prst="rect">
          <a:avLst/>
        </a:prstGeom>
      </xdr:spPr>
    </xdr:pic>
  </etc:cellImage>
  <etc:cellImage>
    <xdr:pic>
      <xdr:nvPicPr>
        <xdr:cNvPr id="273" name="ID_5A60F5CEF6FD4D2AB2A12133308D2C7D"/>
        <xdr:cNvPicPr/>
      </xdr:nvPicPr>
      <xdr:blipFill>
        <a:blip r:link="rId272"/>
        <a:stretch>
          <a:fillRect/>
        </a:stretch>
      </xdr:blipFill>
      <xdr:spPr>
        <a:xfrm>
          <a:off x="0" y="0"/>
          <a:ext cx="7143750" cy="10001250"/>
        </a:xfrm>
        <a:prstGeom prst="rect">
          <a:avLst/>
        </a:prstGeom>
      </xdr:spPr>
    </xdr:pic>
  </etc:cellImage>
  <etc:cellImage>
    <xdr:pic>
      <xdr:nvPicPr>
        <xdr:cNvPr id="274" name="ID_FC7219DD86F84BE1856628C95CBE9A35"/>
        <xdr:cNvPicPr/>
      </xdr:nvPicPr>
      <xdr:blipFill>
        <a:blip r:link="rId273"/>
        <a:stretch>
          <a:fillRect/>
        </a:stretch>
      </xdr:blipFill>
      <xdr:spPr>
        <a:xfrm>
          <a:off x="0" y="0"/>
          <a:ext cx="7143750" cy="10201275"/>
        </a:xfrm>
        <a:prstGeom prst="rect">
          <a:avLst/>
        </a:prstGeom>
      </xdr:spPr>
    </xdr:pic>
  </etc:cellImage>
  <etc:cellImage>
    <xdr:pic>
      <xdr:nvPicPr>
        <xdr:cNvPr id="275" name="ID_C162899F9DDD4F8CA771F69FFB2795AD"/>
        <xdr:cNvPicPr/>
      </xdr:nvPicPr>
      <xdr:blipFill>
        <a:blip r:link="rId274"/>
        <a:stretch>
          <a:fillRect/>
        </a:stretch>
      </xdr:blipFill>
      <xdr:spPr>
        <a:xfrm>
          <a:off x="0" y="0"/>
          <a:ext cx="7143750" cy="10248900"/>
        </a:xfrm>
        <a:prstGeom prst="rect">
          <a:avLst/>
        </a:prstGeom>
      </xdr:spPr>
    </xdr:pic>
  </etc:cellImage>
  <etc:cellImage>
    <xdr:pic>
      <xdr:nvPicPr>
        <xdr:cNvPr id="276" name="ID_F16EE101B40044CF89D1DFEEC618BA53"/>
        <xdr:cNvPicPr/>
      </xdr:nvPicPr>
      <xdr:blipFill>
        <a:blip r:link="rId275"/>
        <a:stretch>
          <a:fillRect/>
        </a:stretch>
      </xdr:blipFill>
      <xdr:spPr>
        <a:xfrm>
          <a:off x="0" y="0"/>
          <a:ext cx="7143750" cy="9525000"/>
        </a:xfrm>
        <a:prstGeom prst="rect">
          <a:avLst/>
        </a:prstGeom>
      </xdr:spPr>
    </xdr:pic>
  </etc:cellImage>
  <etc:cellImage>
    <xdr:pic>
      <xdr:nvPicPr>
        <xdr:cNvPr id="277" name="ID_DDCFE953EBFD4779B7FAA3122A1B85C5"/>
        <xdr:cNvPicPr/>
      </xdr:nvPicPr>
      <xdr:blipFill>
        <a:blip r:link="rId276"/>
        <a:stretch>
          <a:fillRect/>
        </a:stretch>
      </xdr:blipFill>
      <xdr:spPr>
        <a:xfrm>
          <a:off x="0" y="0"/>
          <a:ext cx="7143750" cy="10306050"/>
        </a:xfrm>
        <a:prstGeom prst="rect">
          <a:avLst/>
        </a:prstGeom>
      </xdr:spPr>
    </xdr:pic>
  </etc:cellImage>
  <etc:cellImage>
    <xdr:pic>
      <xdr:nvPicPr>
        <xdr:cNvPr id="278" name="ID_6EB4CC10A54B4F2AAD1518F1F500F570"/>
        <xdr:cNvPicPr/>
      </xdr:nvPicPr>
      <xdr:blipFill>
        <a:blip r:link="rId277"/>
        <a:stretch>
          <a:fillRect/>
        </a:stretch>
      </xdr:blipFill>
      <xdr:spPr>
        <a:xfrm>
          <a:off x="0" y="0"/>
          <a:ext cx="7143750" cy="10001250"/>
        </a:xfrm>
        <a:prstGeom prst="rect">
          <a:avLst/>
        </a:prstGeom>
      </xdr:spPr>
    </xdr:pic>
  </etc:cellImage>
  <etc:cellImage>
    <xdr:pic>
      <xdr:nvPicPr>
        <xdr:cNvPr id="279" name="ID_53B9839AEAC4407495ABBD356F420DDD"/>
        <xdr:cNvPicPr/>
      </xdr:nvPicPr>
      <xdr:blipFill>
        <a:blip r:link="rId278"/>
        <a:stretch>
          <a:fillRect/>
        </a:stretch>
      </xdr:blipFill>
      <xdr:spPr>
        <a:xfrm>
          <a:off x="0" y="0"/>
          <a:ext cx="7143750" cy="10001250"/>
        </a:xfrm>
        <a:prstGeom prst="rect">
          <a:avLst/>
        </a:prstGeom>
      </xdr:spPr>
    </xdr:pic>
  </etc:cellImage>
  <etc:cellImage>
    <xdr:pic>
      <xdr:nvPicPr>
        <xdr:cNvPr id="280" name="ID_9517FA682BDD4A72AC67B046C0A956F9"/>
        <xdr:cNvPicPr/>
      </xdr:nvPicPr>
      <xdr:blipFill>
        <a:blip r:link="rId279"/>
        <a:stretch>
          <a:fillRect/>
        </a:stretch>
      </xdr:blipFill>
      <xdr:spPr>
        <a:xfrm>
          <a:off x="0" y="0"/>
          <a:ext cx="7143750" cy="10001250"/>
        </a:xfrm>
        <a:prstGeom prst="rect">
          <a:avLst/>
        </a:prstGeom>
      </xdr:spPr>
    </xdr:pic>
  </etc:cellImage>
  <etc:cellImage>
    <xdr:pic>
      <xdr:nvPicPr>
        <xdr:cNvPr id="281" name="ID_515277FD8D2D40318D429A7BA8ADC69C"/>
        <xdr:cNvPicPr/>
      </xdr:nvPicPr>
      <xdr:blipFill>
        <a:blip r:link="rId280"/>
        <a:stretch>
          <a:fillRect/>
        </a:stretch>
      </xdr:blipFill>
      <xdr:spPr>
        <a:xfrm>
          <a:off x="0" y="0"/>
          <a:ext cx="7143750" cy="10591800"/>
        </a:xfrm>
        <a:prstGeom prst="rect">
          <a:avLst/>
        </a:prstGeom>
      </xdr:spPr>
    </xdr:pic>
  </etc:cellImage>
  <etc:cellImage>
    <xdr:pic>
      <xdr:nvPicPr>
        <xdr:cNvPr id="282" name="ID_7074182E322C4D868E189D169988DEEF"/>
        <xdr:cNvPicPr/>
      </xdr:nvPicPr>
      <xdr:blipFill>
        <a:blip r:link="rId281"/>
        <a:stretch>
          <a:fillRect/>
        </a:stretch>
      </xdr:blipFill>
      <xdr:spPr>
        <a:xfrm>
          <a:off x="0" y="0"/>
          <a:ext cx="7143750" cy="10001250"/>
        </a:xfrm>
        <a:prstGeom prst="rect">
          <a:avLst/>
        </a:prstGeom>
      </xdr:spPr>
    </xdr:pic>
  </etc:cellImage>
  <etc:cellImage>
    <xdr:pic>
      <xdr:nvPicPr>
        <xdr:cNvPr id="283" name="ID_216E9082A77B4B129BF3CB2A7364D002"/>
        <xdr:cNvPicPr/>
      </xdr:nvPicPr>
      <xdr:blipFill>
        <a:blip r:link="rId282"/>
        <a:stretch>
          <a:fillRect/>
        </a:stretch>
      </xdr:blipFill>
      <xdr:spPr>
        <a:xfrm>
          <a:off x="0" y="0"/>
          <a:ext cx="7143750" cy="10001250"/>
        </a:xfrm>
        <a:prstGeom prst="rect">
          <a:avLst/>
        </a:prstGeom>
      </xdr:spPr>
    </xdr:pic>
  </etc:cellImage>
  <etc:cellImage>
    <xdr:pic>
      <xdr:nvPicPr>
        <xdr:cNvPr id="284" name="ID_C8BB1148198145FCA2837FAC9D925FDE"/>
        <xdr:cNvPicPr/>
      </xdr:nvPicPr>
      <xdr:blipFill>
        <a:blip r:link="rId283"/>
        <a:stretch>
          <a:fillRect/>
        </a:stretch>
      </xdr:blipFill>
      <xdr:spPr>
        <a:xfrm>
          <a:off x="0" y="0"/>
          <a:ext cx="7143750" cy="10201275"/>
        </a:xfrm>
        <a:prstGeom prst="rect">
          <a:avLst/>
        </a:prstGeom>
      </xdr:spPr>
    </xdr:pic>
  </etc:cellImage>
  <etc:cellImage>
    <xdr:pic>
      <xdr:nvPicPr>
        <xdr:cNvPr id="285" name="ID_B2A378810E7443059EBD825CE991BFE9"/>
        <xdr:cNvPicPr/>
      </xdr:nvPicPr>
      <xdr:blipFill>
        <a:blip r:link="rId284"/>
        <a:stretch>
          <a:fillRect/>
        </a:stretch>
      </xdr:blipFill>
      <xdr:spPr>
        <a:xfrm>
          <a:off x="0" y="0"/>
          <a:ext cx="7143750" cy="10001250"/>
        </a:xfrm>
        <a:prstGeom prst="rect">
          <a:avLst/>
        </a:prstGeom>
      </xdr:spPr>
    </xdr:pic>
  </etc:cellImage>
  <etc:cellImage>
    <xdr:pic>
      <xdr:nvPicPr>
        <xdr:cNvPr id="286" name="ID_718ACAD550894B0696EED0DE65C7554F"/>
        <xdr:cNvPicPr/>
      </xdr:nvPicPr>
      <xdr:blipFill>
        <a:blip r:link="rId285"/>
        <a:stretch>
          <a:fillRect/>
        </a:stretch>
      </xdr:blipFill>
      <xdr:spPr>
        <a:xfrm>
          <a:off x="0" y="0"/>
          <a:ext cx="7143750" cy="10001250"/>
        </a:xfrm>
        <a:prstGeom prst="rect">
          <a:avLst/>
        </a:prstGeom>
      </xdr:spPr>
    </xdr:pic>
  </etc:cellImage>
  <etc:cellImage>
    <xdr:pic>
      <xdr:nvPicPr>
        <xdr:cNvPr id="287" name="ID_4531DA1F574D4F7CA2AF28BAD514AF1A"/>
        <xdr:cNvPicPr/>
      </xdr:nvPicPr>
      <xdr:blipFill>
        <a:blip r:link="rId286"/>
        <a:stretch>
          <a:fillRect/>
        </a:stretch>
      </xdr:blipFill>
      <xdr:spPr>
        <a:xfrm>
          <a:off x="0" y="0"/>
          <a:ext cx="7143750" cy="10563225"/>
        </a:xfrm>
        <a:prstGeom prst="rect">
          <a:avLst/>
        </a:prstGeom>
      </xdr:spPr>
    </xdr:pic>
  </etc:cellImage>
  <etc:cellImage>
    <xdr:pic>
      <xdr:nvPicPr>
        <xdr:cNvPr id="288" name="ID_BF27FE8641A74810A1152D199B9359D9"/>
        <xdr:cNvPicPr/>
      </xdr:nvPicPr>
      <xdr:blipFill>
        <a:blip r:link="rId287"/>
        <a:stretch>
          <a:fillRect/>
        </a:stretch>
      </xdr:blipFill>
      <xdr:spPr>
        <a:xfrm>
          <a:off x="0" y="0"/>
          <a:ext cx="7143750" cy="10001250"/>
        </a:xfrm>
        <a:prstGeom prst="rect">
          <a:avLst/>
        </a:prstGeom>
      </xdr:spPr>
    </xdr:pic>
  </etc:cellImage>
  <etc:cellImage>
    <xdr:pic>
      <xdr:nvPicPr>
        <xdr:cNvPr id="289" name="ID_DA928F2BE2B24AF3ABF5D40BAC268946"/>
        <xdr:cNvPicPr/>
      </xdr:nvPicPr>
      <xdr:blipFill>
        <a:blip r:link="rId288"/>
        <a:stretch>
          <a:fillRect/>
        </a:stretch>
      </xdr:blipFill>
      <xdr:spPr>
        <a:xfrm>
          <a:off x="0" y="0"/>
          <a:ext cx="7143750" cy="10391775"/>
        </a:xfrm>
        <a:prstGeom prst="rect">
          <a:avLst/>
        </a:prstGeom>
      </xdr:spPr>
    </xdr:pic>
  </etc:cellImage>
  <etc:cellImage>
    <xdr:pic>
      <xdr:nvPicPr>
        <xdr:cNvPr id="290" name="ID_DD633B4B8EE94E4E8FD6FEF2A6CD2D39"/>
        <xdr:cNvPicPr/>
      </xdr:nvPicPr>
      <xdr:blipFill>
        <a:blip r:link="rId289"/>
        <a:stretch>
          <a:fillRect/>
        </a:stretch>
      </xdr:blipFill>
      <xdr:spPr>
        <a:xfrm>
          <a:off x="0" y="0"/>
          <a:ext cx="7143750" cy="9496425"/>
        </a:xfrm>
        <a:prstGeom prst="rect">
          <a:avLst/>
        </a:prstGeom>
      </xdr:spPr>
    </xdr:pic>
  </etc:cellImage>
  <etc:cellImage>
    <xdr:pic>
      <xdr:nvPicPr>
        <xdr:cNvPr id="291" name="ID_1B69D0009E5944278A43199D519E50CB"/>
        <xdr:cNvPicPr/>
      </xdr:nvPicPr>
      <xdr:blipFill>
        <a:blip r:link="rId290"/>
        <a:stretch>
          <a:fillRect/>
        </a:stretch>
      </xdr:blipFill>
      <xdr:spPr>
        <a:xfrm>
          <a:off x="0" y="0"/>
          <a:ext cx="7143750" cy="9525000"/>
        </a:xfrm>
        <a:prstGeom prst="rect">
          <a:avLst/>
        </a:prstGeom>
      </xdr:spPr>
    </xdr:pic>
  </etc:cellImage>
  <etc:cellImage>
    <xdr:pic>
      <xdr:nvPicPr>
        <xdr:cNvPr id="292" name="ID_C226BACFF043492F9C2831E3F2035CBF"/>
        <xdr:cNvPicPr/>
      </xdr:nvPicPr>
      <xdr:blipFill>
        <a:blip r:link="rId291"/>
        <a:stretch>
          <a:fillRect/>
        </a:stretch>
      </xdr:blipFill>
      <xdr:spPr>
        <a:xfrm>
          <a:off x="0" y="0"/>
          <a:ext cx="7143750" cy="9925050"/>
        </a:xfrm>
        <a:prstGeom prst="rect">
          <a:avLst/>
        </a:prstGeom>
      </xdr:spPr>
    </xdr:pic>
  </etc:cellImage>
  <etc:cellImage>
    <xdr:pic>
      <xdr:nvPicPr>
        <xdr:cNvPr id="293" name="ID_4B5E37E946EA4E60BDCBA196E50050B9"/>
        <xdr:cNvPicPr/>
      </xdr:nvPicPr>
      <xdr:blipFill>
        <a:blip r:link="rId292"/>
        <a:stretch>
          <a:fillRect/>
        </a:stretch>
      </xdr:blipFill>
      <xdr:spPr>
        <a:xfrm>
          <a:off x="0" y="0"/>
          <a:ext cx="7143750" cy="10001250"/>
        </a:xfrm>
        <a:prstGeom prst="rect">
          <a:avLst/>
        </a:prstGeom>
      </xdr:spPr>
    </xdr:pic>
  </etc:cellImage>
  <etc:cellImage>
    <xdr:pic>
      <xdr:nvPicPr>
        <xdr:cNvPr id="294" name="ID_6E5E26FD0608404987009AB35A215594"/>
        <xdr:cNvPicPr/>
      </xdr:nvPicPr>
      <xdr:blipFill>
        <a:blip r:link="rId293"/>
        <a:stretch>
          <a:fillRect/>
        </a:stretch>
      </xdr:blipFill>
      <xdr:spPr>
        <a:xfrm>
          <a:off x="0" y="0"/>
          <a:ext cx="7143750" cy="10001250"/>
        </a:xfrm>
        <a:prstGeom prst="rect">
          <a:avLst/>
        </a:prstGeom>
      </xdr:spPr>
    </xdr:pic>
  </etc:cellImage>
  <etc:cellImage>
    <xdr:pic>
      <xdr:nvPicPr>
        <xdr:cNvPr id="295" name="ID_1DA33C1DACDA463582C160858194DE2A"/>
        <xdr:cNvPicPr/>
      </xdr:nvPicPr>
      <xdr:blipFill>
        <a:blip r:link="rId294"/>
        <a:stretch>
          <a:fillRect/>
        </a:stretch>
      </xdr:blipFill>
      <xdr:spPr>
        <a:xfrm>
          <a:off x="0" y="0"/>
          <a:ext cx="7143750" cy="8801100"/>
        </a:xfrm>
        <a:prstGeom prst="rect">
          <a:avLst/>
        </a:prstGeom>
      </xdr:spPr>
    </xdr:pic>
  </etc:cellImage>
  <etc:cellImage>
    <xdr:pic>
      <xdr:nvPicPr>
        <xdr:cNvPr id="296" name="ID_D88361D0AC4F40C29B491840D8C35568"/>
        <xdr:cNvPicPr/>
      </xdr:nvPicPr>
      <xdr:blipFill>
        <a:blip r:link="rId295"/>
        <a:stretch>
          <a:fillRect/>
        </a:stretch>
      </xdr:blipFill>
      <xdr:spPr>
        <a:xfrm>
          <a:off x="0" y="0"/>
          <a:ext cx="7143750" cy="12687300"/>
        </a:xfrm>
        <a:prstGeom prst="rect">
          <a:avLst/>
        </a:prstGeom>
      </xdr:spPr>
    </xdr:pic>
  </etc:cellImage>
  <etc:cellImage>
    <xdr:pic>
      <xdr:nvPicPr>
        <xdr:cNvPr id="297" name="ID_2F48B8B967A44C168C6D69CE2A1FBAF0"/>
        <xdr:cNvPicPr/>
      </xdr:nvPicPr>
      <xdr:blipFill>
        <a:blip r:link="rId296"/>
        <a:stretch>
          <a:fillRect/>
        </a:stretch>
      </xdr:blipFill>
      <xdr:spPr>
        <a:xfrm>
          <a:off x="0" y="0"/>
          <a:ext cx="7143750" cy="10772775"/>
        </a:xfrm>
        <a:prstGeom prst="rect">
          <a:avLst/>
        </a:prstGeom>
      </xdr:spPr>
    </xdr:pic>
  </etc:cellImage>
  <etc:cellImage>
    <xdr:pic>
      <xdr:nvPicPr>
        <xdr:cNvPr id="298" name="ID_CBC3FBFBAE354D589BD3606A77A20D02"/>
        <xdr:cNvPicPr/>
      </xdr:nvPicPr>
      <xdr:blipFill>
        <a:blip r:link="rId297"/>
        <a:stretch>
          <a:fillRect/>
        </a:stretch>
      </xdr:blipFill>
      <xdr:spPr>
        <a:xfrm>
          <a:off x="0" y="0"/>
          <a:ext cx="7143750" cy="9525000"/>
        </a:xfrm>
        <a:prstGeom prst="rect">
          <a:avLst/>
        </a:prstGeom>
      </xdr:spPr>
    </xdr:pic>
  </etc:cellImage>
  <etc:cellImage>
    <xdr:pic>
      <xdr:nvPicPr>
        <xdr:cNvPr id="299" name="ID_E1D95DAB49404461BEFC75E6320DFECC"/>
        <xdr:cNvPicPr/>
      </xdr:nvPicPr>
      <xdr:blipFill>
        <a:blip r:link="rId298"/>
        <a:stretch>
          <a:fillRect/>
        </a:stretch>
      </xdr:blipFill>
      <xdr:spPr>
        <a:xfrm>
          <a:off x="0" y="0"/>
          <a:ext cx="7143750" cy="10287000"/>
        </a:xfrm>
        <a:prstGeom prst="rect">
          <a:avLst/>
        </a:prstGeom>
      </xdr:spPr>
    </xdr:pic>
  </etc:cellImage>
  <etc:cellImage>
    <xdr:pic>
      <xdr:nvPicPr>
        <xdr:cNvPr id="300" name="ID_1078F268CB1D42879EB5D176263AD754"/>
        <xdr:cNvPicPr/>
      </xdr:nvPicPr>
      <xdr:blipFill>
        <a:blip r:link="rId299"/>
        <a:stretch>
          <a:fillRect/>
        </a:stretch>
      </xdr:blipFill>
      <xdr:spPr>
        <a:xfrm>
          <a:off x="0" y="0"/>
          <a:ext cx="7143750" cy="9525000"/>
        </a:xfrm>
        <a:prstGeom prst="rect">
          <a:avLst/>
        </a:prstGeom>
      </xdr:spPr>
    </xdr:pic>
  </etc:cellImage>
  <etc:cellImage>
    <xdr:pic>
      <xdr:nvPicPr>
        <xdr:cNvPr id="301" name="ID_4750BE615CAB4B2790251BC514AE2277"/>
        <xdr:cNvPicPr/>
      </xdr:nvPicPr>
      <xdr:blipFill>
        <a:blip r:link="rId300"/>
        <a:stretch>
          <a:fillRect/>
        </a:stretch>
      </xdr:blipFill>
      <xdr:spPr>
        <a:xfrm>
          <a:off x="0" y="0"/>
          <a:ext cx="7143750" cy="15868650"/>
        </a:xfrm>
        <a:prstGeom prst="rect">
          <a:avLst/>
        </a:prstGeom>
      </xdr:spPr>
    </xdr:pic>
  </etc:cellImage>
  <etc:cellImage>
    <xdr:pic>
      <xdr:nvPicPr>
        <xdr:cNvPr id="302" name="ID_F3E1E6ADC00F4323859304E86EC6B8D9"/>
        <xdr:cNvPicPr/>
      </xdr:nvPicPr>
      <xdr:blipFill>
        <a:blip r:link="rId301"/>
        <a:stretch>
          <a:fillRect/>
        </a:stretch>
      </xdr:blipFill>
      <xdr:spPr>
        <a:xfrm>
          <a:off x="0" y="0"/>
          <a:ext cx="7143750" cy="11925300"/>
        </a:xfrm>
        <a:prstGeom prst="rect">
          <a:avLst/>
        </a:prstGeom>
      </xdr:spPr>
    </xdr:pic>
  </etc:cellImage>
  <etc:cellImage>
    <xdr:pic>
      <xdr:nvPicPr>
        <xdr:cNvPr id="303" name="ID_30671CE1820E4356996F7B0F17F06E4D"/>
        <xdr:cNvPicPr/>
      </xdr:nvPicPr>
      <xdr:blipFill>
        <a:blip r:link="rId302"/>
        <a:stretch>
          <a:fillRect/>
        </a:stretch>
      </xdr:blipFill>
      <xdr:spPr>
        <a:xfrm>
          <a:off x="0" y="0"/>
          <a:ext cx="7143750" cy="10287000"/>
        </a:xfrm>
        <a:prstGeom prst="rect">
          <a:avLst/>
        </a:prstGeom>
      </xdr:spPr>
    </xdr:pic>
  </etc:cellImage>
  <etc:cellImage>
    <xdr:pic>
      <xdr:nvPicPr>
        <xdr:cNvPr id="304" name="ID_59F1EB114240498698BFFAECF0E6DA81"/>
        <xdr:cNvPicPr/>
      </xdr:nvPicPr>
      <xdr:blipFill>
        <a:blip r:link="rId303"/>
        <a:stretch>
          <a:fillRect/>
        </a:stretch>
      </xdr:blipFill>
      <xdr:spPr>
        <a:xfrm>
          <a:off x="0" y="0"/>
          <a:ext cx="7143750" cy="9525000"/>
        </a:xfrm>
        <a:prstGeom prst="rect">
          <a:avLst/>
        </a:prstGeom>
      </xdr:spPr>
    </xdr:pic>
  </etc:cellImage>
  <etc:cellImage>
    <xdr:pic>
      <xdr:nvPicPr>
        <xdr:cNvPr id="305" name="ID_80BD79931C0D4F069B4BB278F0D6EACF"/>
        <xdr:cNvPicPr/>
      </xdr:nvPicPr>
      <xdr:blipFill>
        <a:blip r:link="rId304"/>
        <a:stretch>
          <a:fillRect/>
        </a:stretch>
      </xdr:blipFill>
      <xdr:spPr>
        <a:xfrm>
          <a:off x="0" y="0"/>
          <a:ext cx="7143750" cy="10410825"/>
        </a:xfrm>
        <a:prstGeom prst="rect">
          <a:avLst/>
        </a:prstGeom>
      </xdr:spPr>
    </xdr:pic>
  </etc:cellImage>
  <etc:cellImage>
    <xdr:pic>
      <xdr:nvPicPr>
        <xdr:cNvPr id="306" name="ID_4ECDECBC23404DF3A6E316268C69D43E"/>
        <xdr:cNvPicPr/>
      </xdr:nvPicPr>
      <xdr:blipFill>
        <a:blip r:link="rId305"/>
        <a:stretch>
          <a:fillRect/>
        </a:stretch>
      </xdr:blipFill>
      <xdr:spPr>
        <a:xfrm>
          <a:off x="0" y="0"/>
          <a:ext cx="7143750" cy="7143750"/>
        </a:xfrm>
        <a:prstGeom prst="rect">
          <a:avLst/>
        </a:prstGeom>
      </xdr:spPr>
    </xdr:pic>
  </etc:cellImage>
  <etc:cellImage>
    <xdr:pic>
      <xdr:nvPicPr>
        <xdr:cNvPr id="307" name="ID_8518D0C3018F4000B213F1115E41EEAA"/>
        <xdr:cNvPicPr/>
      </xdr:nvPicPr>
      <xdr:blipFill>
        <a:blip r:link="rId306"/>
        <a:stretch>
          <a:fillRect/>
        </a:stretch>
      </xdr:blipFill>
      <xdr:spPr>
        <a:xfrm>
          <a:off x="0" y="0"/>
          <a:ext cx="7143750" cy="10001250"/>
        </a:xfrm>
        <a:prstGeom prst="rect">
          <a:avLst/>
        </a:prstGeom>
      </xdr:spPr>
    </xdr:pic>
  </etc:cellImage>
  <etc:cellImage>
    <xdr:pic>
      <xdr:nvPicPr>
        <xdr:cNvPr id="308" name="ID_2B62698B077F4147874AB6F7E19938E7"/>
        <xdr:cNvPicPr/>
      </xdr:nvPicPr>
      <xdr:blipFill>
        <a:blip r:link="rId307"/>
        <a:stretch>
          <a:fillRect/>
        </a:stretch>
      </xdr:blipFill>
      <xdr:spPr>
        <a:xfrm>
          <a:off x="0" y="0"/>
          <a:ext cx="7143750" cy="10001250"/>
        </a:xfrm>
        <a:prstGeom prst="rect">
          <a:avLst/>
        </a:prstGeom>
      </xdr:spPr>
    </xdr:pic>
  </etc:cellImage>
  <etc:cellImage>
    <xdr:pic>
      <xdr:nvPicPr>
        <xdr:cNvPr id="309" name="ID_BA1DF7BF960547A0983F8DB11C878B07"/>
        <xdr:cNvPicPr/>
      </xdr:nvPicPr>
      <xdr:blipFill>
        <a:blip r:link="rId308"/>
        <a:stretch>
          <a:fillRect/>
        </a:stretch>
      </xdr:blipFill>
      <xdr:spPr>
        <a:xfrm>
          <a:off x="0" y="0"/>
          <a:ext cx="7143750" cy="10001250"/>
        </a:xfrm>
        <a:prstGeom prst="rect">
          <a:avLst/>
        </a:prstGeom>
      </xdr:spPr>
    </xdr:pic>
  </etc:cellImage>
  <etc:cellImage>
    <xdr:pic>
      <xdr:nvPicPr>
        <xdr:cNvPr id="310" name="ID_8B921756A8224507AE26B26EA7A47E29"/>
        <xdr:cNvPicPr/>
      </xdr:nvPicPr>
      <xdr:blipFill>
        <a:blip r:link="rId309"/>
        <a:stretch>
          <a:fillRect/>
        </a:stretch>
      </xdr:blipFill>
      <xdr:spPr>
        <a:xfrm>
          <a:off x="0" y="0"/>
          <a:ext cx="7143750" cy="10058400"/>
        </a:xfrm>
        <a:prstGeom prst="rect">
          <a:avLst/>
        </a:prstGeom>
      </xdr:spPr>
    </xdr:pic>
  </etc:cellImage>
  <etc:cellImage>
    <xdr:pic>
      <xdr:nvPicPr>
        <xdr:cNvPr id="311" name="ID_DBC66D2ED4394B2EABDB1526C646D9F0"/>
        <xdr:cNvPicPr/>
      </xdr:nvPicPr>
      <xdr:blipFill>
        <a:blip r:link="rId310"/>
        <a:stretch>
          <a:fillRect/>
        </a:stretch>
      </xdr:blipFill>
      <xdr:spPr>
        <a:xfrm>
          <a:off x="0" y="0"/>
          <a:ext cx="7143750" cy="9525000"/>
        </a:xfrm>
        <a:prstGeom prst="rect">
          <a:avLst/>
        </a:prstGeom>
      </xdr:spPr>
    </xdr:pic>
  </etc:cellImage>
  <etc:cellImage>
    <xdr:pic>
      <xdr:nvPicPr>
        <xdr:cNvPr id="312" name="ID_88F87A068C9F46F1A08F32919B53F4F3"/>
        <xdr:cNvPicPr/>
      </xdr:nvPicPr>
      <xdr:blipFill>
        <a:blip r:link="rId311"/>
        <a:stretch>
          <a:fillRect/>
        </a:stretch>
      </xdr:blipFill>
      <xdr:spPr>
        <a:xfrm>
          <a:off x="0" y="0"/>
          <a:ext cx="7143750" cy="10001250"/>
        </a:xfrm>
        <a:prstGeom prst="rect">
          <a:avLst/>
        </a:prstGeom>
      </xdr:spPr>
    </xdr:pic>
  </etc:cellImage>
  <etc:cellImage>
    <xdr:pic>
      <xdr:nvPicPr>
        <xdr:cNvPr id="313" name="ID_2E6C674524F0427FBB4E2C3FFA53D3DF"/>
        <xdr:cNvPicPr/>
      </xdr:nvPicPr>
      <xdr:blipFill>
        <a:blip r:link="rId312"/>
        <a:stretch>
          <a:fillRect/>
        </a:stretch>
      </xdr:blipFill>
      <xdr:spPr>
        <a:xfrm>
          <a:off x="0" y="0"/>
          <a:ext cx="7143750" cy="10001250"/>
        </a:xfrm>
        <a:prstGeom prst="rect">
          <a:avLst/>
        </a:prstGeom>
      </xdr:spPr>
    </xdr:pic>
  </etc:cellImage>
  <etc:cellImage>
    <xdr:pic>
      <xdr:nvPicPr>
        <xdr:cNvPr id="314" name="ID_345E5ECE839B455186CF8C80E701C44C"/>
        <xdr:cNvPicPr/>
      </xdr:nvPicPr>
      <xdr:blipFill>
        <a:blip r:link="rId313"/>
        <a:stretch>
          <a:fillRect/>
        </a:stretch>
      </xdr:blipFill>
      <xdr:spPr>
        <a:xfrm>
          <a:off x="0" y="0"/>
          <a:ext cx="7143750" cy="10001250"/>
        </a:xfrm>
        <a:prstGeom prst="rect">
          <a:avLst/>
        </a:prstGeom>
      </xdr:spPr>
    </xdr:pic>
  </etc:cellImage>
  <etc:cellImage>
    <xdr:pic>
      <xdr:nvPicPr>
        <xdr:cNvPr id="315" name="ID_599781AB8A9B405FA1C45AEDC9F43F4B"/>
        <xdr:cNvPicPr/>
      </xdr:nvPicPr>
      <xdr:blipFill>
        <a:blip r:link="rId314"/>
        <a:stretch>
          <a:fillRect/>
        </a:stretch>
      </xdr:blipFill>
      <xdr:spPr>
        <a:xfrm>
          <a:off x="0" y="0"/>
          <a:ext cx="7143750" cy="10001250"/>
        </a:xfrm>
        <a:prstGeom prst="rect">
          <a:avLst/>
        </a:prstGeom>
      </xdr:spPr>
    </xdr:pic>
  </etc:cellImage>
  <etc:cellImage>
    <xdr:pic>
      <xdr:nvPicPr>
        <xdr:cNvPr id="316" name="ID_88B18CBF153241AE8E07B8EDC59079D6"/>
        <xdr:cNvPicPr/>
      </xdr:nvPicPr>
      <xdr:blipFill>
        <a:blip r:link="rId315"/>
        <a:stretch>
          <a:fillRect/>
        </a:stretch>
      </xdr:blipFill>
      <xdr:spPr>
        <a:xfrm>
          <a:off x="0" y="0"/>
          <a:ext cx="7143750" cy="9525000"/>
        </a:xfrm>
        <a:prstGeom prst="rect">
          <a:avLst/>
        </a:prstGeom>
      </xdr:spPr>
    </xdr:pic>
  </etc:cellImage>
  <etc:cellImage>
    <xdr:pic>
      <xdr:nvPicPr>
        <xdr:cNvPr id="317" name="ID_5273CD0F4AF44426A565D4F4C926815B"/>
        <xdr:cNvPicPr/>
      </xdr:nvPicPr>
      <xdr:blipFill>
        <a:blip r:link="rId316"/>
        <a:stretch>
          <a:fillRect/>
        </a:stretch>
      </xdr:blipFill>
      <xdr:spPr>
        <a:xfrm>
          <a:off x="0" y="0"/>
          <a:ext cx="7143750" cy="9458325"/>
        </a:xfrm>
        <a:prstGeom prst="rect">
          <a:avLst/>
        </a:prstGeom>
      </xdr:spPr>
    </xdr:pic>
  </etc:cellImage>
  <etc:cellImage>
    <xdr:pic>
      <xdr:nvPicPr>
        <xdr:cNvPr id="318" name="ID_F144CD0E4B7B43F08EC41420B132D7BF"/>
        <xdr:cNvPicPr/>
      </xdr:nvPicPr>
      <xdr:blipFill>
        <a:blip r:link="rId317"/>
        <a:stretch>
          <a:fillRect/>
        </a:stretch>
      </xdr:blipFill>
      <xdr:spPr>
        <a:xfrm>
          <a:off x="0" y="0"/>
          <a:ext cx="7143750" cy="9925050"/>
        </a:xfrm>
        <a:prstGeom prst="rect">
          <a:avLst/>
        </a:prstGeom>
      </xdr:spPr>
    </xdr:pic>
  </etc:cellImage>
  <etc:cellImage>
    <xdr:pic>
      <xdr:nvPicPr>
        <xdr:cNvPr id="319" name="ID_CE28F2C62DED40E5A2B6EB31752867C6"/>
        <xdr:cNvPicPr/>
      </xdr:nvPicPr>
      <xdr:blipFill>
        <a:blip r:link="rId318"/>
        <a:stretch>
          <a:fillRect/>
        </a:stretch>
      </xdr:blipFill>
      <xdr:spPr>
        <a:xfrm>
          <a:off x="0" y="0"/>
          <a:ext cx="7143750" cy="9525000"/>
        </a:xfrm>
        <a:prstGeom prst="rect">
          <a:avLst/>
        </a:prstGeom>
      </xdr:spPr>
    </xdr:pic>
  </etc:cellImage>
  <etc:cellImage>
    <xdr:pic>
      <xdr:nvPicPr>
        <xdr:cNvPr id="320" name="ID_7C47A0694F0147EB860DAA1E2F9E87A3"/>
        <xdr:cNvPicPr/>
      </xdr:nvPicPr>
      <xdr:blipFill>
        <a:blip r:link="rId319"/>
        <a:stretch>
          <a:fillRect/>
        </a:stretch>
      </xdr:blipFill>
      <xdr:spPr>
        <a:xfrm>
          <a:off x="0" y="0"/>
          <a:ext cx="7143750" cy="10001250"/>
        </a:xfrm>
        <a:prstGeom prst="rect">
          <a:avLst/>
        </a:prstGeom>
      </xdr:spPr>
    </xdr:pic>
  </etc:cellImage>
  <etc:cellImage>
    <xdr:pic>
      <xdr:nvPicPr>
        <xdr:cNvPr id="321" name="ID_5757AB93890A4F58A4EA7B46206D2416"/>
        <xdr:cNvPicPr/>
      </xdr:nvPicPr>
      <xdr:blipFill>
        <a:blip r:link="rId320"/>
        <a:stretch>
          <a:fillRect/>
        </a:stretch>
      </xdr:blipFill>
      <xdr:spPr>
        <a:xfrm>
          <a:off x="0" y="0"/>
          <a:ext cx="7143750" cy="10001250"/>
        </a:xfrm>
        <a:prstGeom prst="rect">
          <a:avLst/>
        </a:prstGeom>
      </xdr:spPr>
    </xdr:pic>
  </etc:cellImage>
  <etc:cellImage>
    <xdr:pic>
      <xdr:nvPicPr>
        <xdr:cNvPr id="322" name="ID_3C9269A8B40D486AA589E83B191F62F8"/>
        <xdr:cNvPicPr/>
      </xdr:nvPicPr>
      <xdr:blipFill>
        <a:blip r:link="rId321"/>
        <a:stretch>
          <a:fillRect/>
        </a:stretch>
      </xdr:blipFill>
      <xdr:spPr>
        <a:xfrm>
          <a:off x="0" y="0"/>
          <a:ext cx="7143750" cy="10001250"/>
        </a:xfrm>
        <a:prstGeom prst="rect">
          <a:avLst/>
        </a:prstGeom>
      </xdr:spPr>
    </xdr:pic>
  </etc:cellImage>
  <etc:cellImage>
    <xdr:pic>
      <xdr:nvPicPr>
        <xdr:cNvPr id="323" name="ID_F08BB5C3B75D4962A37212B4DDDA960C"/>
        <xdr:cNvPicPr/>
      </xdr:nvPicPr>
      <xdr:blipFill>
        <a:blip r:link="rId322"/>
        <a:stretch>
          <a:fillRect/>
        </a:stretch>
      </xdr:blipFill>
      <xdr:spPr>
        <a:xfrm>
          <a:off x="0" y="0"/>
          <a:ext cx="7143750" cy="10706100"/>
        </a:xfrm>
        <a:prstGeom prst="rect">
          <a:avLst/>
        </a:prstGeom>
      </xdr:spPr>
    </xdr:pic>
  </etc:cellImage>
  <etc:cellImage>
    <xdr:pic>
      <xdr:nvPicPr>
        <xdr:cNvPr id="324" name="ID_012851E191D54E319B75F7300CFFD208"/>
        <xdr:cNvPicPr/>
      </xdr:nvPicPr>
      <xdr:blipFill>
        <a:blip r:link="rId323"/>
        <a:stretch>
          <a:fillRect/>
        </a:stretch>
      </xdr:blipFill>
      <xdr:spPr>
        <a:xfrm>
          <a:off x="0" y="0"/>
          <a:ext cx="7143750" cy="10001250"/>
        </a:xfrm>
        <a:prstGeom prst="rect">
          <a:avLst/>
        </a:prstGeom>
      </xdr:spPr>
    </xdr:pic>
  </etc:cellImage>
  <etc:cellImage>
    <xdr:pic>
      <xdr:nvPicPr>
        <xdr:cNvPr id="325" name="ID_D0E61411E52441859AFE69B7874CA20C"/>
        <xdr:cNvPicPr/>
      </xdr:nvPicPr>
      <xdr:blipFill>
        <a:blip r:link="rId324"/>
        <a:stretch>
          <a:fillRect/>
        </a:stretch>
      </xdr:blipFill>
      <xdr:spPr>
        <a:xfrm>
          <a:off x="0" y="0"/>
          <a:ext cx="7143750" cy="9182100"/>
        </a:xfrm>
        <a:prstGeom prst="rect">
          <a:avLst/>
        </a:prstGeom>
      </xdr:spPr>
    </xdr:pic>
  </etc:cellImage>
  <etc:cellImage>
    <xdr:pic>
      <xdr:nvPicPr>
        <xdr:cNvPr id="326" name="ID_B4574457B7EA4998BCE46939492C25E1"/>
        <xdr:cNvPicPr/>
      </xdr:nvPicPr>
      <xdr:blipFill>
        <a:blip r:link="rId325"/>
        <a:stretch>
          <a:fillRect/>
        </a:stretch>
      </xdr:blipFill>
      <xdr:spPr>
        <a:xfrm>
          <a:off x="0" y="0"/>
          <a:ext cx="7143750" cy="10001250"/>
        </a:xfrm>
        <a:prstGeom prst="rect">
          <a:avLst/>
        </a:prstGeom>
      </xdr:spPr>
    </xdr:pic>
  </etc:cellImage>
  <etc:cellImage>
    <xdr:pic>
      <xdr:nvPicPr>
        <xdr:cNvPr id="327" name="ID_11ED1DBBC626428D97C7101FAED1566F"/>
        <xdr:cNvPicPr/>
      </xdr:nvPicPr>
      <xdr:blipFill>
        <a:blip r:link="rId326"/>
        <a:stretch>
          <a:fillRect/>
        </a:stretch>
      </xdr:blipFill>
      <xdr:spPr>
        <a:xfrm>
          <a:off x="0" y="0"/>
          <a:ext cx="7143750" cy="9744075"/>
        </a:xfrm>
        <a:prstGeom prst="rect">
          <a:avLst/>
        </a:prstGeom>
      </xdr:spPr>
    </xdr:pic>
  </etc:cellImage>
  <etc:cellImage>
    <xdr:pic>
      <xdr:nvPicPr>
        <xdr:cNvPr id="328" name="ID_2A4EA762BC734560A58995F31757BD03"/>
        <xdr:cNvPicPr/>
      </xdr:nvPicPr>
      <xdr:blipFill>
        <a:blip r:link="rId327"/>
        <a:stretch>
          <a:fillRect/>
        </a:stretch>
      </xdr:blipFill>
      <xdr:spPr>
        <a:xfrm>
          <a:off x="0" y="0"/>
          <a:ext cx="7143750" cy="9525000"/>
        </a:xfrm>
        <a:prstGeom prst="rect">
          <a:avLst/>
        </a:prstGeom>
      </xdr:spPr>
    </xdr:pic>
  </etc:cellImage>
  <etc:cellImage>
    <xdr:pic>
      <xdr:nvPicPr>
        <xdr:cNvPr id="329" name="ID_16C7080DFBEB4260AD8944B9B8A16C63"/>
        <xdr:cNvPicPr/>
      </xdr:nvPicPr>
      <xdr:blipFill>
        <a:blip r:link="rId328"/>
        <a:stretch>
          <a:fillRect/>
        </a:stretch>
      </xdr:blipFill>
      <xdr:spPr>
        <a:xfrm>
          <a:off x="0" y="0"/>
          <a:ext cx="7143750" cy="10001250"/>
        </a:xfrm>
        <a:prstGeom prst="rect">
          <a:avLst/>
        </a:prstGeom>
      </xdr:spPr>
    </xdr:pic>
  </etc:cellImage>
  <etc:cellImage>
    <xdr:pic>
      <xdr:nvPicPr>
        <xdr:cNvPr id="330" name="ID_EC7DE1A270244013822D2AF30798D0D0"/>
        <xdr:cNvPicPr/>
      </xdr:nvPicPr>
      <xdr:blipFill>
        <a:blip r:link="rId329"/>
        <a:stretch>
          <a:fillRect/>
        </a:stretch>
      </xdr:blipFill>
      <xdr:spPr>
        <a:xfrm>
          <a:off x="0" y="0"/>
          <a:ext cx="7143750" cy="10001250"/>
        </a:xfrm>
        <a:prstGeom prst="rect">
          <a:avLst/>
        </a:prstGeom>
      </xdr:spPr>
    </xdr:pic>
  </etc:cellImage>
  <etc:cellImage>
    <xdr:pic>
      <xdr:nvPicPr>
        <xdr:cNvPr id="331" name="ID_0C2059A8D9A84C38B1CE4EFB24FA358E"/>
        <xdr:cNvPicPr/>
      </xdr:nvPicPr>
      <xdr:blipFill>
        <a:blip r:link="rId330"/>
        <a:stretch>
          <a:fillRect/>
        </a:stretch>
      </xdr:blipFill>
      <xdr:spPr>
        <a:xfrm>
          <a:off x="0" y="0"/>
          <a:ext cx="7143750" cy="10001250"/>
        </a:xfrm>
        <a:prstGeom prst="rect">
          <a:avLst/>
        </a:prstGeom>
      </xdr:spPr>
    </xdr:pic>
  </etc:cellImage>
  <etc:cellImage>
    <xdr:pic>
      <xdr:nvPicPr>
        <xdr:cNvPr id="332" name="ID_C271EED4B7664E51B0603E12A2C5BA93"/>
        <xdr:cNvPicPr/>
      </xdr:nvPicPr>
      <xdr:blipFill>
        <a:blip r:link="rId331"/>
        <a:stretch>
          <a:fillRect/>
        </a:stretch>
      </xdr:blipFill>
      <xdr:spPr>
        <a:xfrm>
          <a:off x="0" y="0"/>
          <a:ext cx="7143750" cy="10001250"/>
        </a:xfrm>
        <a:prstGeom prst="rect">
          <a:avLst/>
        </a:prstGeom>
      </xdr:spPr>
    </xdr:pic>
  </etc:cellImage>
  <etc:cellImage>
    <xdr:pic>
      <xdr:nvPicPr>
        <xdr:cNvPr id="333" name="ID_C611D78CF3534BF4A6063B88C3B55BD9"/>
        <xdr:cNvPicPr/>
      </xdr:nvPicPr>
      <xdr:blipFill>
        <a:blip r:link="rId332"/>
        <a:stretch>
          <a:fillRect/>
        </a:stretch>
      </xdr:blipFill>
      <xdr:spPr>
        <a:xfrm>
          <a:off x="0" y="0"/>
          <a:ext cx="7143750" cy="10001250"/>
        </a:xfrm>
        <a:prstGeom prst="rect">
          <a:avLst/>
        </a:prstGeom>
      </xdr:spPr>
    </xdr:pic>
  </etc:cellImage>
  <etc:cellImage>
    <xdr:pic>
      <xdr:nvPicPr>
        <xdr:cNvPr id="334" name="ID_2372D216C4084B2F90A1624776C89F44"/>
        <xdr:cNvPicPr/>
      </xdr:nvPicPr>
      <xdr:blipFill>
        <a:blip r:link="rId333"/>
        <a:stretch>
          <a:fillRect/>
        </a:stretch>
      </xdr:blipFill>
      <xdr:spPr>
        <a:xfrm>
          <a:off x="0" y="0"/>
          <a:ext cx="7143750" cy="9982200"/>
        </a:xfrm>
        <a:prstGeom prst="rect">
          <a:avLst/>
        </a:prstGeom>
      </xdr:spPr>
    </xdr:pic>
  </etc:cellImage>
  <etc:cellImage>
    <xdr:pic>
      <xdr:nvPicPr>
        <xdr:cNvPr id="335" name="ID_0C4A3B774E384F888DCC2803C749C7F6"/>
        <xdr:cNvPicPr/>
      </xdr:nvPicPr>
      <xdr:blipFill>
        <a:blip r:link="rId334"/>
        <a:stretch>
          <a:fillRect/>
        </a:stretch>
      </xdr:blipFill>
      <xdr:spPr>
        <a:xfrm>
          <a:off x="0" y="0"/>
          <a:ext cx="7143750" cy="10001250"/>
        </a:xfrm>
        <a:prstGeom prst="rect">
          <a:avLst/>
        </a:prstGeom>
      </xdr:spPr>
    </xdr:pic>
  </etc:cellImage>
  <etc:cellImage>
    <xdr:pic>
      <xdr:nvPicPr>
        <xdr:cNvPr id="336" name="ID_40B4A1C67261465298C744E0F0D93767"/>
        <xdr:cNvPicPr/>
      </xdr:nvPicPr>
      <xdr:blipFill>
        <a:blip r:link="rId335"/>
        <a:stretch>
          <a:fillRect/>
        </a:stretch>
      </xdr:blipFill>
      <xdr:spPr>
        <a:xfrm>
          <a:off x="0" y="0"/>
          <a:ext cx="7143750" cy="9601200"/>
        </a:xfrm>
        <a:prstGeom prst="rect">
          <a:avLst/>
        </a:prstGeom>
      </xdr:spPr>
    </xdr:pic>
  </etc:cellImage>
  <etc:cellImage>
    <xdr:pic>
      <xdr:nvPicPr>
        <xdr:cNvPr id="337" name="ID_0A0A67C0CDBC40CC93D2DB58A0C89339"/>
        <xdr:cNvPicPr/>
      </xdr:nvPicPr>
      <xdr:blipFill>
        <a:blip r:link="rId336"/>
        <a:stretch>
          <a:fillRect/>
        </a:stretch>
      </xdr:blipFill>
      <xdr:spPr>
        <a:xfrm>
          <a:off x="0" y="0"/>
          <a:ext cx="7143750" cy="10001250"/>
        </a:xfrm>
        <a:prstGeom prst="rect">
          <a:avLst/>
        </a:prstGeom>
      </xdr:spPr>
    </xdr:pic>
  </etc:cellImage>
  <etc:cellImage>
    <xdr:pic>
      <xdr:nvPicPr>
        <xdr:cNvPr id="338" name="ID_59BF2512FDA845A780519BF3EE363C98"/>
        <xdr:cNvPicPr/>
      </xdr:nvPicPr>
      <xdr:blipFill>
        <a:blip r:link="rId337"/>
        <a:stretch>
          <a:fillRect/>
        </a:stretch>
      </xdr:blipFill>
      <xdr:spPr>
        <a:xfrm>
          <a:off x="0" y="0"/>
          <a:ext cx="7143750" cy="10001250"/>
        </a:xfrm>
        <a:prstGeom prst="rect">
          <a:avLst/>
        </a:prstGeom>
      </xdr:spPr>
    </xdr:pic>
  </etc:cellImage>
  <etc:cellImage>
    <xdr:pic>
      <xdr:nvPicPr>
        <xdr:cNvPr id="339" name="ID_03E1DAA8D63B4AFF99883CCD0E6E65E6"/>
        <xdr:cNvPicPr/>
      </xdr:nvPicPr>
      <xdr:blipFill>
        <a:blip r:link="rId338"/>
        <a:stretch>
          <a:fillRect/>
        </a:stretch>
      </xdr:blipFill>
      <xdr:spPr>
        <a:xfrm>
          <a:off x="0" y="0"/>
          <a:ext cx="7143750" cy="10287000"/>
        </a:xfrm>
        <a:prstGeom prst="rect">
          <a:avLst/>
        </a:prstGeom>
      </xdr:spPr>
    </xdr:pic>
  </etc:cellImage>
  <etc:cellImage>
    <xdr:pic>
      <xdr:nvPicPr>
        <xdr:cNvPr id="340" name="ID_63C75D62D3BC4F35AC4FD3D224F21D03"/>
        <xdr:cNvPicPr/>
      </xdr:nvPicPr>
      <xdr:blipFill>
        <a:blip r:link="rId339"/>
        <a:stretch>
          <a:fillRect/>
        </a:stretch>
      </xdr:blipFill>
      <xdr:spPr>
        <a:xfrm>
          <a:off x="0" y="0"/>
          <a:ext cx="7143750" cy="10201275"/>
        </a:xfrm>
        <a:prstGeom prst="rect">
          <a:avLst/>
        </a:prstGeom>
      </xdr:spPr>
    </xdr:pic>
  </etc:cellImage>
  <etc:cellImage>
    <xdr:pic>
      <xdr:nvPicPr>
        <xdr:cNvPr id="341" name="ID_5CF4EBD7502F4485844CA64AA4EECF8E"/>
        <xdr:cNvPicPr/>
      </xdr:nvPicPr>
      <xdr:blipFill>
        <a:blip r:link="rId340"/>
        <a:stretch>
          <a:fillRect/>
        </a:stretch>
      </xdr:blipFill>
      <xdr:spPr>
        <a:xfrm>
          <a:off x="0" y="0"/>
          <a:ext cx="7143750" cy="9429750"/>
        </a:xfrm>
        <a:prstGeom prst="rect">
          <a:avLst/>
        </a:prstGeom>
      </xdr:spPr>
    </xdr:pic>
  </etc:cellImage>
  <etc:cellImage>
    <xdr:pic>
      <xdr:nvPicPr>
        <xdr:cNvPr id="342" name="ID_6DA92F60F38D4176A8885E139DCAD5AE"/>
        <xdr:cNvPicPr/>
      </xdr:nvPicPr>
      <xdr:blipFill>
        <a:blip r:link="rId341"/>
        <a:stretch>
          <a:fillRect/>
        </a:stretch>
      </xdr:blipFill>
      <xdr:spPr>
        <a:xfrm>
          <a:off x="0" y="0"/>
          <a:ext cx="7143750" cy="15392400"/>
        </a:xfrm>
        <a:prstGeom prst="rect">
          <a:avLst/>
        </a:prstGeom>
      </xdr:spPr>
    </xdr:pic>
  </etc:cellImage>
  <etc:cellImage>
    <xdr:pic>
      <xdr:nvPicPr>
        <xdr:cNvPr id="343" name="ID_2ABFF7AF1BF04D95953E32E5250DE953"/>
        <xdr:cNvPicPr/>
      </xdr:nvPicPr>
      <xdr:blipFill>
        <a:blip r:link="rId342"/>
        <a:stretch>
          <a:fillRect/>
        </a:stretch>
      </xdr:blipFill>
      <xdr:spPr>
        <a:xfrm>
          <a:off x="0" y="0"/>
          <a:ext cx="7143750" cy="10382250"/>
        </a:xfrm>
        <a:prstGeom prst="rect">
          <a:avLst/>
        </a:prstGeom>
      </xdr:spPr>
    </xdr:pic>
  </etc:cellImage>
  <etc:cellImage>
    <xdr:pic>
      <xdr:nvPicPr>
        <xdr:cNvPr id="344" name="ID_249FF3C1A0EA4CE88757DD6F52651ECC"/>
        <xdr:cNvPicPr/>
      </xdr:nvPicPr>
      <xdr:blipFill>
        <a:blip r:link="rId343"/>
        <a:stretch>
          <a:fillRect/>
        </a:stretch>
      </xdr:blipFill>
      <xdr:spPr>
        <a:xfrm>
          <a:off x="0" y="0"/>
          <a:ext cx="7143750" cy="10001250"/>
        </a:xfrm>
        <a:prstGeom prst="rect">
          <a:avLst/>
        </a:prstGeom>
      </xdr:spPr>
    </xdr:pic>
  </etc:cellImage>
  <etc:cellImage>
    <xdr:pic>
      <xdr:nvPicPr>
        <xdr:cNvPr id="345" name="ID_E78F3BF41C5D43B8884910B23D8EE46A"/>
        <xdr:cNvPicPr/>
      </xdr:nvPicPr>
      <xdr:blipFill>
        <a:blip r:link="rId344"/>
        <a:stretch>
          <a:fillRect/>
        </a:stretch>
      </xdr:blipFill>
      <xdr:spPr>
        <a:xfrm>
          <a:off x="0" y="0"/>
          <a:ext cx="7143750" cy="10001250"/>
        </a:xfrm>
        <a:prstGeom prst="rect">
          <a:avLst/>
        </a:prstGeom>
      </xdr:spPr>
    </xdr:pic>
  </etc:cellImage>
  <etc:cellImage>
    <xdr:pic>
      <xdr:nvPicPr>
        <xdr:cNvPr id="346" name="ID_2E8A5FF2C7EA4CF3BCF137C2FDB07272"/>
        <xdr:cNvPicPr/>
      </xdr:nvPicPr>
      <xdr:blipFill>
        <a:blip r:link="rId345"/>
        <a:stretch>
          <a:fillRect/>
        </a:stretch>
      </xdr:blipFill>
      <xdr:spPr>
        <a:xfrm>
          <a:off x="0" y="0"/>
          <a:ext cx="7143750" cy="10715625"/>
        </a:xfrm>
        <a:prstGeom prst="rect">
          <a:avLst/>
        </a:prstGeom>
      </xdr:spPr>
    </xdr:pic>
  </etc:cellImage>
  <etc:cellImage>
    <xdr:pic>
      <xdr:nvPicPr>
        <xdr:cNvPr id="347" name="ID_017E111E073649D082B1F8432485C7B9"/>
        <xdr:cNvPicPr/>
      </xdr:nvPicPr>
      <xdr:blipFill>
        <a:blip r:link="rId346"/>
        <a:stretch>
          <a:fillRect/>
        </a:stretch>
      </xdr:blipFill>
      <xdr:spPr>
        <a:xfrm>
          <a:off x="0" y="0"/>
          <a:ext cx="7143750" cy="5353050"/>
        </a:xfrm>
        <a:prstGeom prst="rect">
          <a:avLst/>
        </a:prstGeom>
      </xdr:spPr>
    </xdr:pic>
  </etc:cellImage>
  <etc:cellImage>
    <xdr:pic>
      <xdr:nvPicPr>
        <xdr:cNvPr id="348" name="ID_427E6301FF984C74BA8E87820A04494C"/>
        <xdr:cNvPicPr/>
      </xdr:nvPicPr>
      <xdr:blipFill>
        <a:blip r:link="rId347"/>
        <a:stretch>
          <a:fillRect/>
        </a:stretch>
      </xdr:blipFill>
      <xdr:spPr>
        <a:xfrm>
          <a:off x="0" y="0"/>
          <a:ext cx="7143750" cy="4648200"/>
        </a:xfrm>
        <a:prstGeom prst="rect">
          <a:avLst/>
        </a:prstGeom>
      </xdr:spPr>
    </xdr:pic>
  </etc:cellImage>
  <etc:cellImage>
    <xdr:pic>
      <xdr:nvPicPr>
        <xdr:cNvPr id="349" name="ID_53C3410979BA49538F1410917AAC183C"/>
        <xdr:cNvPicPr/>
      </xdr:nvPicPr>
      <xdr:blipFill>
        <a:blip r:link="rId348"/>
        <a:stretch>
          <a:fillRect/>
        </a:stretch>
      </xdr:blipFill>
      <xdr:spPr>
        <a:xfrm>
          <a:off x="0" y="0"/>
          <a:ext cx="7143750" cy="8753475"/>
        </a:xfrm>
        <a:prstGeom prst="rect">
          <a:avLst/>
        </a:prstGeom>
      </xdr:spPr>
    </xdr:pic>
  </etc:cellImage>
  <etc:cellImage>
    <xdr:pic>
      <xdr:nvPicPr>
        <xdr:cNvPr id="350" name="ID_89E1C4B49DA543108DA428FD2BB17935"/>
        <xdr:cNvPicPr/>
      </xdr:nvPicPr>
      <xdr:blipFill>
        <a:blip r:link="rId349"/>
        <a:stretch>
          <a:fillRect/>
        </a:stretch>
      </xdr:blipFill>
      <xdr:spPr>
        <a:xfrm>
          <a:off x="0" y="0"/>
          <a:ext cx="7143750" cy="7143750"/>
        </a:xfrm>
        <a:prstGeom prst="rect">
          <a:avLst/>
        </a:prstGeom>
      </xdr:spPr>
    </xdr:pic>
  </etc:cellImage>
  <etc:cellImage>
    <xdr:pic>
      <xdr:nvPicPr>
        <xdr:cNvPr id="351" name="ID_7E33BA02CEC345A989E0186D8EADFECF"/>
        <xdr:cNvPicPr/>
      </xdr:nvPicPr>
      <xdr:blipFill>
        <a:blip r:link="rId350"/>
        <a:stretch>
          <a:fillRect/>
        </a:stretch>
      </xdr:blipFill>
      <xdr:spPr>
        <a:xfrm>
          <a:off x="0" y="0"/>
          <a:ext cx="7143750" cy="10201275"/>
        </a:xfrm>
        <a:prstGeom prst="rect">
          <a:avLst/>
        </a:prstGeom>
      </xdr:spPr>
    </xdr:pic>
  </etc:cellImage>
  <etc:cellImage>
    <xdr:pic>
      <xdr:nvPicPr>
        <xdr:cNvPr id="352" name="ID_99E38CC0E4B2437A8E74F9D976F948B9"/>
        <xdr:cNvPicPr/>
      </xdr:nvPicPr>
      <xdr:blipFill>
        <a:blip r:link="rId351"/>
        <a:stretch>
          <a:fillRect/>
        </a:stretch>
      </xdr:blipFill>
      <xdr:spPr>
        <a:xfrm>
          <a:off x="0" y="0"/>
          <a:ext cx="7143750" cy="10382250"/>
        </a:xfrm>
        <a:prstGeom prst="rect">
          <a:avLst/>
        </a:prstGeom>
      </xdr:spPr>
    </xdr:pic>
  </etc:cellImage>
  <etc:cellImage>
    <xdr:pic>
      <xdr:nvPicPr>
        <xdr:cNvPr id="353" name="ID_4F34FA9D170F4006AB964A8F2850EA2E"/>
        <xdr:cNvPicPr/>
      </xdr:nvPicPr>
      <xdr:blipFill>
        <a:blip r:link="rId352"/>
        <a:stretch>
          <a:fillRect/>
        </a:stretch>
      </xdr:blipFill>
      <xdr:spPr>
        <a:xfrm>
          <a:off x="0" y="0"/>
          <a:ext cx="7143750" cy="9525000"/>
        </a:xfrm>
        <a:prstGeom prst="rect">
          <a:avLst/>
        </a:prstGeom>
      </xdr:spPr>
    </xdr:pic>
  </etc:cellImage>
  <etc:cellImage>
    <xdr:pic>
      <xdr:nvPicPr>
        <xdr:cNvPr id="354" name="ID_60E91D8703D740D9A8AE531BE158A22D"/>
        <xdr:cNvPicPr/>
      </xdr:nvPicPr>
      <xdr:blipFill>
        <a:blip r:link="rId353"/>
        <a:stretch>
          <a:fillRect/>
        </a:stretch>
      </xdr:blipFill>
      <xdr:spPr>
        <a:xfrm>
          <a:off x="0" y="0"/>
          <a:ext cx="7143750" cy="9991725"/>
        </a:xfrm>
        <a:prstGeom prst="rect">
          <a:avLst/>
        </a:prstGeom>
      </xdr:spPr>
    </xdr:pic>
  </etc:cellImage>
  <etc:cellImage>
    <xdr:pic>
      <xdr:nvPicPr>
        <xdr:cNvPr id="355" name="ID_AFAEC7F47E5847F688912010DE531FF7"/>
        <xdr:cNvPicPr/>
      </xdr:nvPicPr>
      <xdr:blipFill>
        <a:blip r:link="rId354"/>
        <a:stretch>
          <a:fillRect/>
        </a:stretch>
      </xdr:blipFill>
      <xdr:spPr>
        <a:xfrm>
          <a:off x="0" y="0"/>
          <a:ext cx="7143750" cy="8791575"/>
        </a:xfrm>
        <a:prstGeom prst="rect">
          <a:avLst/>
        </a:prstGeom>
      </xdr:spPr>
    </xdr:pic>
  </etc:cellImage>
  <etc:cellImage>
    <xdr:pic>
      <xdr:nvPicPr>
        <xdr:cNvPr id="356" name="ID_A119020A43A6495588BAFB55CB082F01"/>
        <xdr:cNvPicPr/>
      </xdr:nvPicPr>
      <xdr:blipFill>
        <a:blip r:link="rId355"/>
        <a:stretch>
          <a:fillRect/>
        </a:stretch>
      </xdr:blipFill>
      <xdr:spPr>
        <a:xfrm>
          <a:off x="0" y="0"/>
          <a:ext cx="7143750" cy="10001250"/>
        </a:xfrm>
        <a:prstGeom prst="rect">
          <a:avLst/>
        </a:prstGeom>
      </xdr:spPr>
    </xdr:pic>
  </etc:cellImage>
  <etc:cellImage>
    <xdr:pic>
      <xdr:nvPicPr>
        <xdr:cNvPr id="357" name="ID_4E0EBDB804BA45EB8B4195F5A93DFBBD"/>
        <xdr:cNvPicPr/>
      </xdr:nvPicPr>
      <xdr:blipFill>
        <a:blip r:link="rId356"/>
        <a:stretch>
          <a:fillRect/>
        </a:stretch>
      </xdr:blipFill>
      <xdr:spPr>
        <a:xfrm>
          <a:off x="0" y="0"/>
          <a:ext cx="7143750" cy="10001250"/>
        </a:xfrm>
        <a:prstGeom prst="rect">
          <a:avLst/>
        </a:prstGeom>
      </xdr:spPr>
    </xdr:pic>
  </etc:cellImage>
  <etc:cellImage>
    <xdr:pic>
      <xdr:nvPicPr>
        <xdr:cNvPr id="358" name="ID_81E01CE746794A43971E9E864E9A0098"/>
        <xdr:cNvPicPr/>
      </xdr:nvPicPr>
      <xdr:blipFill>
        <a:blip r:link="rId357"/>
        <a:stretch>
          <a:fillRect/>
        </a:stretch>
      </xdr:blipFill>
      <xdr:spPr>
        <a:xfrm>
          <a:off x="0" y="0"/>
          <a:ext cx="7143750" cy="11106150"/>
        </a:xfrm>
        <a:prstGeom prst="rect">
          <a:avLst/>
        </a:prstGeom>
      </xdr:spPr>
    </xdr:pic>
  </etc:cellImage>
  <etc:cellImage>
    <xdr:pic>
      <xdr:nvPicPr>
        <xdr:cNvPr id="359" name="ID_DC860A7FCB384FE48AFC2F135021FF6F"/>
        <xdr:cNvPicPr/>
      </xdr:nvPicPr>
      <xdr:blipFill>
        <a:blip r:link="rId358"/>
        <a:stretch>
          <a:fillRect/>
        </a:stretch>
      </xdr:blipFill>
      <xdr:spPr>
        <a:xfrm>
          <a:off x="0" y="0"/>
          <a:ext cx="7143750" cy="10201275"/>
        </a:xfrm>
        <a:prstGeom prst="rect">
          <a:avLst/>
        </a:prstGeom>
      </xdr:spPr>
    </xdr:pic>
  </etc:cellImage>
  <etc:cellImage>
    <xdr:pic>
      <xdr:nvPicPr>
        <xdr:cNvPr id="360" name="ID_5D71807FA9B14D55B579AC354805CDFB"/>
        <xdr:cNvPicPr/>
      </xdr:nvPicPr>
      <xdr:blipFill>
        <a:blip r:link="rId359"/>
        <a:stretch>
          <a:fillRect/>
        </a:stretch>
      </xdr:blipFill>
      <xdr:spPr>
        <a:xfrm>
          <a:off x="0" y="0"/>
          <a:ext cx="7143750" cy="9953625"/>
        </a:xfrm>
        <a:prstGeom prst="rect">
          <a:avLst/>
        </a:prstGeom>
      </xdr:spPr>
    </xdr:pic>
  </etc:cellImage>
  <etc:cellImage>
    <xdr:pic>
      <xdr:nvPicPr>
        <xdr:cNvPr id="361" name="ID_1303693E3214444387A1C4F2C9CF9D25"/>
        <xdr:cNvPicPr/>
      </xdr:nvPicPr>
      <xdr:blipFill>
        <a:blip r:link="rId360"/>
        <a:stretch>
          <a:fillRect/>
        </a:stretch>
      </xdr:blipFill>
      <xdr:spPr>
        <a:xfrm>
          <a:off x="0" y="0"/>
          <a:ext cx="7143750" cy="9525000"/>
        </a:xfrm>
        <a:prstGeom prst="rect">
          <a:avLst/>
        </a:prstGeom>
      </xdr:spPr>
    </xdr:pic>
  </etc:cellImage>
  <etc:cellImage>
    <xdr:pic>
      <xdr:nvPicPr>
        <xdr:cNvPr id="362" name="ID_2065FB2DB1EB4190B94172D3F2A5E8E8"/>
        <xdr:cNvPicPr/>
      </xdr:nvPicPr>
      <xdr:blipFill>
        <a:blip r:link="rId361"/>
        <a:stretch>
          <a:fillRect/>
        </a:stretch>
      </xdr:blipFill>
      <xdr:spPr>
        <a:xfrm>
          <a:off x="0" y="0"/>
          <a:ext cx="7143750" cy="10001250"/>
        </a:xfrm>
        <a:prstGeom prst="rect">
          <a:avLst/>
        </a:prstGeom>
      </xdr:spPr>
    </xdr:pic>
  </etc:cellImage>
  <etc:cellImage>
    <xdr:pic>
      <xdr:nvPicPr>
        <xdr:cNvPr id="363" name="ID_BCD8D492551D473299BE1D3404EC1A74"/>
        <xdr:cNvPicPr/>
      </xdr:nvPicPr>
      <xdr:blipFill>
        <a:blip r:link="rId362"/>
        <a:stretch>
          <a:fillRect/>
        </a:stretch>
      </xdr:blipFill>
      <xdr:spPr>
        <a:xfrm>
          <a:off x="0" y="0"/>
          <a:ext cx="7143750" cy="10287000"/>
        </a:xfrm>
        <a:prstGeom prst="rect">
          <a:avLst/>
        </a:prstGeom>
      </xdr:spPr>
    </xdr:pic>
  </etc:cellImage>
  <etc:cellImage>
    <xdr:pic>
      <xdr:nvPicPr>
        <xdr:cNvPr id="364" name="ID_FA7CA8E8B8074253ACA743E7DE4282F0"/>
        <xdr:cNvPicPr/>
      </xdr:nvPicPr>
      <xdr:blipFill>
        <a:blip r:link="rId363"/>
        <a:stretch>
          <a:fillRect/>
        </a:stretch>
      </xdr:blipFill>
      <xdr:spPr>
        <a:xfrm>
          <a:off x="0" y="0"/>
          <a:ext cx="7143750" cy="10001250"/>
        </a:xfrm>
        <a:prstGeom prst="rect">
          <a:avLst/>
        </a:prstGeom>
      </xdr:spPr>
    </xdr:pic>
  </etc:cellImage>
  <etc:cellImage>
    <xdr:pic>
      <xdr:nvPicPr>
        <xdr:cNvPr id="365" name="ID_030DD5A3CEBA48E5AA84D6300BCE898E"/>
        <xdr:cNvPicPr/>
      </xdr:nvPicPr>
      <xdr:blipFill>
        <a:blip r:link="rId364"/>
        <a:stretch>
          <a:fillRect/>
        </a:stretch>
      </xdr:blipFill>
      <xdr:spPr>
        <a:xfrm>
          <a:off x="0" y="0"/>
          <a:ext cx="7143750" cy="10182225"/>
        </a:xfrm>
        <a:prstGeom prst="rect">
          <a:avLst/>
        </a:prstGeom>
      </xdr:spPr>
    </xdr:pic>
  </etc:cellImage>
  <etc:cellImage>
    <xdr:pic>
      <xdr:nvPicPr>
        <xdr:cNvPr id="366" name="ID_2CCF9645E24E4A3B81BAE72B8AED314D"/>
        <xdr:cNvPicPr/>
      </xdr:nvPicPr>
      <xdr:blipFill>
        <a:blip r:link="rId365"/>
        <a:stretch>
          <a:fillRect/>
        </a:stretch>
      </xdr:blipFill>
      <xdr:spPr>
        <a:xfrm>
          <a:off x="0" y="0"/>
          <a:ext cx="7143750" cy="10001250"/>
        </a:xfrm>
        <a:prstGeom prst="rect">
          <a:avLst/>
        </a:prstGeom>
      </xdr:spPr>
    </xdr:pic>
  </etc:cellImage>
  <etc:cellImage>
    <xdr:pic>
      <xdr:nvPicPr>
        <xdr:cNvPr id="367" name="ID_0C5BA3A4E8B245D6AB6AE82F368BFF6A"/>
        <xdr:cNvPicPr/>
      </xdr:nvPicPr>
      <xdr:blipFill>
        <a:blip r:link="rId366"/>
        <a:stretch>
          <a:fillRect/>
        </a:stretch>
      </xdr:blipFill>
      <xdr:spPr>
        <a:xfrm>
          <a:off x="0" y="0"/>
          <a:ext cx="7143750" cy="9525000"/>
        </a:xfrm>
        <a:prstGeom prst="rect">
          <a:avLst/>
        </a:prstGeom>
      </xdr:spPr>
    </xdr:pic>
  </etc:cellImage>
  <etc:cellImage>
    <xdr:pic>
      <xdr:nvPicPr>
        <xdr:cNvPr id="368" name="ID_FE0A8F210AE74D2ABEA83714575A775F"/>
        <xdr:cNvPicPr/>
      </xdr:nvPicPr>
      <xdr:blipFill>
        <a:blip r:link="rId367"/>
        <a:stretch>
          <a:fillRect/>
        </a:stretch>
      </xdr:blipFill>
      <xdr:spPr>
        <a:xfrm>
          <a:off x="0" y="0"/>
          <a:ext cx="7143750" cy="10001250"/>
        </a:xfrm>
        <a:prstGeom prst="rect">
          <a:avLst/>
        </a:prstGeom>
      </xdr:spPr>
    </xdr:pic>
  </etc:cellImage>
  <etc:cellImage>
    <xdr:pic>
      <xdr:nvPicPr>
        <xdr:cNvPr id="369" name="ID_26230D3A7A254FB387523A67FAC705F7"/>
        <xdr:cNvPicPr/>
      </xdr:nvPicPr>
      <xdr:blipFill>
        <a:blip r:link="rId368"/>
        <a:stretch>
          <a:fillRect/>
        </a:stretch>
      </xdr:blipFill>
      <xdr:spPr>
        <a:xfrm>
          <a:off x="0" y="0"/>
          <a:ext cx="7143750" cy="10001250"/>
        </a:xfrm>
        <a:prstGeom prst="rect">
          <a:avLst/>
        </a:prstGeom>
      </xdr:spPr>
    </xdr:pic>
  </etc:cellImage>
  <etc:cellImage>
    <xdr:pic>
      <xdr:nvPicPr>
        <xdr:cNvPr id="370" name="ID_FEEAA5237B6C4B708D314FC0E0560DA3"/>
        <xdr:cNvPicPr/>
      </xdr:nvPicPr>
      <xdr:blipFill>
        <a:blip r:link="rId369"/>
        <a:stretch>
          <a:fillRect/>
        </a:stretch>
      </xdr:blipFill>
      <xdr:spPr>
        <a:xfrm>
          <a:off x="0" y="0"/>
          <a:ext cx="7143750" cy="10001250"/>
        </a:xfrm>
        <a:prstGeom prst="rect">
          <a:avLst/>
        </a:prstGeom>
      </xdr:spPr>
    </xdr:pic>
  </etc:cellImage>
  <etc:cellImage>
    <xdr:pic>
      <xdr:nvPicPr>
        <xdr:cNvPr id="371" name="ID_865FFCD2F6414202A972206BA39BAB94"/>
        <xdr:cNvPicPr/>
      </xdr:nvPicPr>
      <xdr:blipFill>
        <a:blip r:link="rId370"/>
        <a:stretch>
          <a:fillRect/>
        </a:stretch>
      </xdr:blipFill>
      <xdr:spPr>
        <a:xfrm>
          <a:off x="0" y="0"/>
          <a:ext cx="7143750" cy="7143750"/>
        </a:xfrm>
        <a:prstGeom prst="rect">
          <a:avLst/>
        </a:prstGeom>
      </xdr:spPr>
    </xdr:pic>
  </etc:cellImage>
  <etc:cellImage>
    <xdr:pic>
      <xdr:nvPicPr>
        <xdr:cNvPr id="372" name="ID_BC4D6E67EBDF472A876E1598CD3DE965"/>
        <xdr:cNvPicPr/>
      </xdr:nvPicPr>
      <xdr:blipFill>
        <a:blip r:link="rId371"/>
        <a:stretch>
          <a:fillRect/>
        </a:stretch>
      </xdr:blipFill>
      <xdr:spPr>
        <a:xfrm>
          <a:off x="0" y="0"/>
          <a:ext cx="7143750" cy="10001250"/>
        </a:xfrm>
        <a:prstGeom prst="rect">
          <a:avLst/>
        </a:prstGeom>
      </xdr:spPr>
    </xdr:pic>
  </etc:cellImage>
  <etc:cellImage>
    <xdr:pic>
      <xdr:nvPicPr>
        <xdr:cNvPr id="373" name="ID_05F523224C924653A8F56CD5737A4E8C"/>
        <xdr:cNvPicPr/>
      </xdr:nvPicPr>
      <xdr:blipFill>
        <a:blip r:link="rId372"/>
        <a:stretch>
          <a:fillRect/>
        </a:stretch>
      </xdr:blipFill>
      <xdr:spPr>
        <a:xfrm>
          <a:off x="0" y="0"/>
          <a:ext cx="7143750" cy="9715500"/>
        </a:xfrm>
        <a:prstGeom prst="rect">
          <a:avLst/>
        </a:prstGeom>
      </xdr:spPr>
    </xdr:pic>
  </etc:cellImage>
  <etc:cellImage>
    <xdr:pic>
      <xdr:nvPicPr>
        <xdr:cNvPr id="374" name="ID_21AE3772EA6B45FAA68CF356346534B7"/>
        <xdr:cNvPicPr/>
      </xdr:nvPicPr>
      <xdr:blipFill>
        <a:blip r:link="rId373"/>
        <a:stretch>
          <a:fillRect/>
        </a:stretch>
      </xdr:blipFill>
      <xdr:spPr>
        <a:xfrm>
          <a:off x="0" y="0"/>
          <a:ext cx="7143750" cy="10001250"/>
        </a:xfrm>
        <a:prstGeom prst="rect">
          <a:avLst/>
        </a:prstGeom>
      </xdr:spPr>
    </xdr:pic>
  </etc:cellImage>
  <etc:cellImage>
    <xdr:pic>
      <xdr:nvPicPr>
        <xdr:cNvPr id="375" name="ID_A2488CA19AE844B4BBFD68619FFEAA1D"/>
        <xdr:cNvPicPr/>
      </xdr:nvPicPr>
      <xdr:blipFill>
        <a:blip r:link="rId374"/>
        <a:stretch>
          <a:fillRect/>
        </a:stretch>
      </xdr:blipFill>
      <xdr:spPr>
        <a:xfrm>
          <a:off x="0" y="0"/>
          <a:ext cx="7143750" cy="10248900"/>
        </a:xfrm>
        <a:prstGeom prst="rect">
          <a:avLst/>
        </a:prstGeom>
      </xdr:spPr>
    </xdr:pic>
  </etc:cellImage>
  <etc:cellImage>
    <xdr:pic>
      <xdr:nvPicPr>
        <xdr:cNvPr id="376" name="ID_DD2B22793A5D42C5A4C202130135D188"/>
        <xdr:cNvPicPr/>
      </xdr:nvPicPr>
      <xdr:blipFill>
        <a:blip r:link="rId375"/>
        <a:stretch>
          <a:fillRect/>
        </a:stretch>
      </xdr:blipFill>
      <xdr:spPr>
        <a:xfrm>
          <a:off x="0" y="0"/>
          <a:ext cx="7143750" cy="10001250"/>
        </a:xfrm>
        <a:prstGeom prst="rect">
          <a:avLst/>
        </a:prstGeom>
      </xdr:spPr>
    </xdr:pic>
  </etc:cellImage>
  <etc:cellImage>
    <xdr:pic>
      <xdr:nvPicPr>
        <xdr:cNvPr id="377" name="ID_5DD0D632EE9F43A696BEAC7A2AD60F9E"/>
        <xdr:cNvPicPr/>
      </xdr:nvPicPr>
      <xdr:blipFill>
        <a:blip r:link="rId376"/>
        <a:stretch>
          <a:fillRect/>
        </a:stretch>
      </xdr:blipFill>
      <xdr:spPr>
        <a:xfrm>
          <a:off x="0" y="0"/>
          <a:ext cx="7143750" cy="7143750"/>
        </a:xfrm>
        <a:prstGeom prst="rect">
          <a:avLst/>
        </a:prstGeom>
      </xdr:spPr>
    </xdr:pic>
  </etc:cellImage>
  <etc:cellImage>
    <xdr:pic>
      <xdr:nvPicPr>
        <xdr:cNvPr id="378" name="ID_9D5D5082709049DE9F85EE45C9D21765"/>
        <xdr:cNvPicPr/>
      </xdr:nvPicPr>
      <xdr:blipFill>
        <a:blip r:link="rId377"/>
        <a:stretch>
          <a:fillRect/>
        </a:stretch>
      </xdr:blipFill>
      <xdr:spPr>
        <a:xfrm>
          <a:off x="0" y="0"/>
          <a:ext cx="7143750" cy="9982200"/>
        </a:xfrm>
        <a:prstGeom prst="rect">
          <a:avLst/>
        </a:prstGeom>
      </xdr:spPr>
    </xdr:pic>
  </etc:cellImage>
  <etc:cellImage>
    <xdr:pic>
      <xdr:nvPicPr>
        <xdr:cNvPr id="379" name="ID_A94A4E6038894CA88A82184D1877D675"/>
        <xdr:cNvPicPr/>
      </xdr:nvPicPr>
      <xdr:blipFill>
        <a:blip r:link="rId378"/>
        <a:stretch>
          <a:fillRect/>
        </a:stretch>
      </xdr:blipFill>
      <xdr:spPr>
        <a:xfrm>
          <a:off x="0" y="0"/>
          <a:ext cx="7143750" cy="10010775"/>
        </a:xfrm>
        <a:prstGeom prst="rect">
          <a:avLst/>
        </a:prstGeom>
      </xdr:spPr>
    </xdr:pic>
  </etc:cellImage>
  <etc:cellImage>
    <xdr:pic>
      <xdr:nvPicPr>
        <xdr:cNvPr id="380" name="ID_2AA0C0867EDA4E25AC1B455524935955"/>
        <xdr:cNvPicPr/>
      </xdr:nvPicPr>
      <xdr:blipFill>
        <a:blip r:link="rId379"/>
        <a:stretch>
          <a:fillRect/>
        </a:stretch>
      </xdr:blipFill>
      <xdr:spPr>
        <a:xfrm>
          <a:off x="0" y="0"/>
          <a:ext cx="7143750" cy="9886950"/>
        </a:xfrm>
        <a:prstGeom prst="rect">
          <a:avLst/>
        </a:prstGeom>
      </xdr:spPr>
    </xdr:pic>
  </etc:cellImage>
  <etc:cellImage>
    <xdr:pic>
      <xdr:nvPicPr>
        <xdr:cNvPr id="381" name="ID_2F448B7CE8524D1AA48554771DC3D4AB"/>
        <xdr:cNvPicPr/>
      </xdr:nvPicPr>
      <xdr:blipFill>
        <a:blip r:link="rId380"/>
        <a:stretch>
          <a:fillRect/>
        </a:stretch>
      </xdr:blipFill>
      <xdr:spPr>
        <a:xfrm>
          <a:off x="0" y="0"/>
          <a:ext cx="7143750" cy="10067925"/>
        </a:xfrm>
        <a:prstGeom prst="rect">
          <a:avLst/>
        </a:prstGeom>
      </xdr:spPr>
    </xdr:pic>
  </etc:cellImage>
  <etc:cellImage>
    <xdr:pic>
      <xdr:nvPicPr>
        <xdr:cNvPr id="382" name="ID_F2E559AD12664A6E81B51441D537B134"/>
        <xdr:cNvPicPr/>
      </xdr:nvPicPr>
      <xdr:blipFill>
        <a:blip r:link="rId381"/>
        <a:stretch>
          <a:fillRect/>
        </a:stretch>
      </xdr:blipFill>
      <xdr:spPr>
        <a:xfrm>
          <a:off x="0" y="0"/>
          <a:ext cx="7143750" cy="10001250"/>
        </a:xfrm>
        <a:prstGeom prst="rect">
          <a:avLst/>
        </a:prstGeom>
      </xdr:spPr>
    </xdr:pic>
  </etc:cellImage>
  <etc:cellImage>
    <xdr:pic>
      <xdr:nvPicPr>
        <xdr:cNvPr id="383" name="ID_0094E289D6FF483F911D447623CD2A7B"/>
        <xdr:cNvPicPr/>
      </xdr:nvPicPr>
      <xdr:blipFill>
        <a:blip r:link="rId382"/>
        <a:stretch>
          <a:fillRect/>
        </a:stretch>
      </xdr:blipFill>
      <xdr:spPr>
        <a:xfrm>
          <a:off x="0" y="0"/>
          <a:ext cx="7143750" cy="10782300"/>
        </a:xfrm>
        <a:prstGeom prst="rect">
          <a:avLst/>
        </a:prstGeom>
      </xdr:spPr>
    </xdr:pic>
  </etc:cellImage>
  <etc:cellImage>
    <xdr:pic>
      <xdr:nvPicPr>
        <xdr:cNvPr id="384" name="ID_D70CF13D201844A6B6408BAB9F88D034"/>
        <xdr:cNvPicPr/>
      </xdr:nvPicPr>
      <xdr:blipFill>
        <a:blip r:link="rId383"/>
        <a:stretch>
          <a:fillRect/>
        </a:stretch>
      </xdr:blipFill>
      <xdr:spPr>
        <a:xfrm>
          <a:off x="0" y="0"/>
          <a:ext cx="7143750" cy="9525000"/>
        </a:xfrm>
        <a:prstGeom prst="rect">
          <a:avLst/>
        </a:prstGeom>
      </xdr:spPr>
    </xdr:pic>
  </etc:cellImage>
  <etc:cellImage>
    <xdr:pic>
      <xdr:nvPicPr>
        <xdr:cNvPr id="385" name="ID_76C776A08E8241118AA436F440F434C8"/>
        <xdr:cNvPicPr/>
      </xdr:nvPicPr>
      <xdr:blipFill>
        <a:blip r:link="rId384"/>
        <a:stretch>
          <a:fillRect/>
        </a:stretch>
      </xdr:blipFill>
      <xdr:spPr>
        <a:xfrm>
          <a:off x="0" y="0"/>
          <a:ext cx="7143750" cy="9772650"/>
        </a:xfrm>
        <a:prstGeom prst="rect">
          <a:avLst/>
        </a:prstGeom>
      </xdr:spPr>
    </xdr:pic>
  </etc:cellImage>
  <etc:cellImage>
    <xdr:pic>
      <xdr:nvPicPr>
        <xdr:cNvPr id="386" name="ID_F0B384F7F2BD4ECB81B75D08A62A8621"/>
        <xdr:cNvPicPr/>
      </xdr:nvPicPr>
      <xdr:blipFill>
        <a:blip r:link="rId385"/>
        <a:stretch>
          <a:fillRect/>
        </a:stretch>
      </xdr:blipFill>
      <xdr:spPr>
        <a:xfrm>
          <a:off x="0" y="0"/>
          <a:ext cx="7143750" cy="10001250"/>
        </a:xfrm>
        <a:prstGeom prst="rect">
          <a:avLst/>
        </a:prstGeom>
      </xdr:spPr>
    </xdr:pic>
  </etc:cellImage>
  <etc:cellImage>
    <xdr:pic>
      <xdr:nvPicPr>
        <xdr:cNvPr id="387" name="ID_6FA15DDD4AA745CAA44305EB8A7C29E0"/>
        <xdr:cNvPicPr/>
      </xdr:nvPicPr>
      <xdr:blipFill>
        <a:blip r:link="rId386"/>
        <a:stretch>
          <a:fillRect/>
        </a:stretch>
      </xdr:blipFill>
      <xdr:spPr>
        <a:xfrm>
          <a:off x="0" y="0"/>
          <a:ext cx="7143750" cy="9991725"/>
        </a:xfrm>
        <a:prstGeom prst="rect">
          <a:avLst/>
        </a:prstGeom>
      </xdr:spPr>
    </xdr:pic>
  </etc:cellImage>
  <etc:cellImage>
    <xdr:pic>
      <xdr:nvPicPr>
        <xdr:cNvPr id="388" name="ID_51BC672EACDF4F87BCFEE4B4000126C2"/>
        <xdr:cNvPicPr/>
      </xdr:nvPicPr>
      <xdr:blipFill>
        <a:blip r:link="rId387"/>
        <a:stretch>
          <a:fillRect/>
        </a:stretch>
      </xdr:blipFill>
      <xdr:spPr>
        <a:xfrm>
          <a:off x="0" y="0"/>
          <a:ext cx="7143750" cy="10001250"/>
        </a:xfrm>
        <a:prstGeom prst="rect">
          <a:avLst/>
        </a:prstGeom>
      </xdr:spPr>
    </xdr:pic>
  </etc:cellImage>
  <etc:cellImage>
    <xdr:pic>
      <xdr:nvPicPr>
        <xdr:cNvPr id="389" name="ID_C6192F8F8B3E4D2CBC3C30A06AF40B6E"/>
        <xdr:cNvPicPr/>
      </xdr:nvPicPr>
      <xdr:blipFill>
        <a:blip r:link="rId388"/>
        <a:stretch>
          <a:fillRect/>
        </a:stretch>
      </xdr:blipFill>
      <xdr:spPr>
        <a:xfrm>
          <a:off x="0" y="0"/>
          <a:ext cx="7143750" cy="10306050"/>
        </a:xfrm>
        <a:prstGeom prst="rect">
          <a:avLst/>
        </a:prstGeom>
      </xdr:spPr>
    </xdr:pic>
  </etc:cellImage>
  <etc:cellImage>
    <xdr:pic>
      <xdr:nvPicPr>
        <xdr:cNvPr id="390" name="ID_E38CE29681DB4326A5DB290E49AD4AFC"/>
        <xdr:cNvPicPr/>
      </xdr:nvPicPr>
      <xdr:blipFill>
        <a:blip r:link="rId389"/>
        <a:stretch>
          <a:fillRect/>
        </a:stretch>
      </xdr:blipFill>
      <xdr:spPr>
        <a:xfrm>
          <a:off x="0" y="0"/>
          <a:ext cx="7143750" cy="10001250"/>
        </a:xfrm>
        <a:prstGeom prst="rect">
          <a:avLst/>
        </a:prstGeom>
      </xdr:spPr>
    </xdr:pic>
  </etc:cellImage>
  <etc:cellImage>
    <xdr:pic>
      <xdr:nvPicPr>
        <xdr:cNvPr id="391" name="ID_6E77F2441F654B1DACC44E4FDEC025B1"/>
        <xdr:cNvPicPr/>
      </xdr:nvPicPr>
      <xdr:blipFill>
        <a:blip r:link="rId390"/>
        <a:stretch>
          <a:fillRect/>
        </a:stretch>
      </xdr:blipFill>
      <xdr:spPr>
        <a:xfrm>
          <a:off x="0" y="0"/>
          <a:ext cx="7143750" cy="10001250"/>
        </a:xfrm>
        <a:prstGeom prst="rect">
          <a:avLst/>
        </a:prstGeom>
      </xdr:spPr>
    </xdr:pic>
  </etc:cellImage>
  <etc:cellImage>
    <xdr:pic>
      <xdr:nvPicPr>
        <xdr:cNvPr id="392" name="ID_AED07D8F3E8D4336A7B785D8FBC52BF4"/>
        <xdr:cNvPicPr/>
      </xdr:nvPicPr>
      <xdr:blipFill>
        <a:blip r:link="rId391"/>
        <a:stretch>
          <a:fillRect/>
        </a:stretch>
      </xdr:blipFill>
      <xdr:spPr>
        <a:xfrm>
          <a:off x="0" y="0"/>
          <a:ext cx="7143750" cy="10001250"/>
        </a:xfrm>
        <a:prstGeom prst="rect">
          <a:avLst/>
        </a:prstGeom>
      </xdr:spPr>
    </xdr:pic>
  </etc:cellImage>
  <etc:cellImage>
    <xdr:pic>
      <xdr:nvPicPr>
        <xdr:cNvPr id="393" name="ID_80F22CEDB358451BB7235F67F99FD33D"/>
        <xdr:cNvPicPr/>
      </xdr:nvPicPr>
      <xdr:blipFill>
        <a:blip r:link="rId392"/>
        <a:stretch>
          <a:fillRect/>
        </a:stretch>
      </xdr:blipFill>
      <xdr:spPr>
        <a:xfrm>
          <a:off x="0" y="0"/>
          <a:ext cx="7143750" cy="9525000"/>
        </a:xfrm>
        <a:prstGeom prst="rect">
          <a:avLst/>
        </a:prstGeom>
      </xdr:spPr>
    </xdr:pic>
  </etc:cellImage>
  <etc:cellImage>
    <xdr:pic>
      <xdr:nvPicPr>
        <xdr:cNvPr id="394" name="ID_E2A16755D9294F19AC6C5724406D1776"/>
        <xdr:cNvPicPr/>
      </xdr:nvPicPr>
      <xdr:blipFill>
        <a:blip r:link="rId393"/>
        <a:stretch>
          <a:fillRect/>
        </a:stretch>
      </xdr:blipFill>
      <xdr:spPr>
        <a:xfrm>
          <a:off x="0" y="0"/>
          <a:ext cx="7143750" cy="10010775"/>
        </a:xfrm>
        <a:prstGeom prst="rect">
          <a:avLst/>
        </a:prstGeom>
      </xdr:spPr>
    </xdr:pic>
  </etc:cellImage>
  <etc:cellImage>
    <xdr:pic>
      <xdr:nvPicPr>
        <xdr:cNvPr id="395" name="ID_A7E75D79E714426086202D465053808C"/>
        <xdr:cNvPicPr/>
      </xdr:nvPicPr>
      <xdr:blipFill>
        <a:blip r:link="rId394"/>
        <a:stretch>
          <a:fillRect/>
        </a:stretch>
      </xdr:blipFill>
      <xdr:spPr>
        <a:xfrm>
          <a:off x="0" y="0"/>
          <a:ext cx="7143750" cy="10001250"/>
        </a:xfrm>
        <a:prstGeom prst="rect">
          <a:avLst/>
        </a:prstGeom>
      </xdr:spPr>
    </xdr:pic>
  </etc:cellImage>
  <etc:cellImage>
    <xdr:pic>
      <xdr:nvPicPr>
        <xdr:cNvPr id="396" name="ID_CA7F81D47ACB4FA38E0278F330AEC9F9"/>
        <xdr:cNvPicPr/>
      </xdr:nvPicPr>
      <xdr:blipFill>
        <a:blip r:link="rId395"/>
        <a:stretch>
          <a:fillRect/>
        </a:stretch>
      </xdr:blipFill>
      <xdr:spPr>
        <a:xfrm>
          <a:off x="0" y="0"/>
          <a:ext cx="7143750" cy="10115550"/>
        </a:xfrm>
        <a:prstGeom prst="rect">
          <a:avLst/>
        </a:prstGeom>
      </xdr:spPr>
    </xdr:pic>
  </etc:cellImage>
  <etc:cellImage>
    <xdr:pic>
      <xdr:nvPicPr>
        <xdr:cNvPr id="397" name="ID_E400268117C94B978EF7C7DD2C8C326E"/>
        <xdr:cNvPicPr/>
      </xdr:nvPicPr>
      <xdr:blipFill>
        <a:blip r:link="rId396"/>
        <a:stretch>
          <a:fillRect/>
        </a:stretch>
      </xdr:blipFill>
      <xdr:spPr>
        <a:xfrm>
          <a:off x="0" y="0"/>
          <a:ext cx="7143750" cy="9934575"/>
        </a:xfrm>
        <a:prstGeom prst="rect">
          <a:avLst/>
        </a:prstGeom>
      </xdr:spPr>
    </xdr:pic>
  </etc:cellImage>
  <etc:cellImage>
    <xdr:pic>
      <xdr:nvPicPr>
        <xdr:cNvPr id="398" name="ID_B71153A1EE7A48CF8E15967732B6C043"/>
        <xdr:cNvPicPr/>
      </xdr:nvPicPr>
      <xdr:blipFill>
        <a:blip r:link="rId397"/>
        <a:stretch>
          <a:fillRect/>
        </a:stretch>
      </xdr:blipFill>
      <xdr:spPr>
        <a:xfrm>
          <a:off x="0" y="0"/>
          <a:ext cx="7143750" cy="9934575"/>
        </a:xfrm>
        <a:prstGeom prst="rect">
          <a:avLst/>
        </a:prstGeom>
      </xdr:spPr>
    </xdr:pic>
  </etc:cellImage>
  <etc:cellImage>
    <xdr:pic>
      <xdr:nvPicPr>
        <xdr:cNvPr id="399" name="ID_CEC6054CEEDC4B7EB64CEFDE8D077DB1"/>
        <xdr:cNvPicPr/>
      </xdr:nvPicPr>
      <xdr:blipFill>
        <a:blip r:link="rId398"/>
        <a:stretch>
          <a:fillRect/>
        </a:stretch>
      </xdr:blipFill>
      <xdr:spPr>
        <a:xfrm>
          <a:off x="0" y="0"/>
          <a:ext cx="7143750" cy="9525000"/>
        </a:xfrm>
        <a:prstGeom prst="rect">
          <a:avLst/>
        </a:prstGeom>
      </xdr:spPr>
    </xdr:pic>
  </etc:cellImage>
  <etc:cellImage>
    <xdr:pic>
      <xdr:nvPicPr>
        <xdr:cNvPr id="400" name="ID_DD8D706699DA435AABD3242B003A06E3"/>
        <xdr:cNvPicPr/>
      </xdr:nvPicPr>
      <xdr:blipFill>
        <a:blip r:link="rId399"/>
        <a:stretch>
          <a:fillRect/>
        </a:stretch>
      </xdr:blipFill>
      <xdr:spPr>
        <a:xfrm>
          <a:off x="0" y="0"/>
          <a:ext cx="7143750" cy="10467975"/>
        </a:xfrm>
        <a:prstGeom prst="rect">
          <a:avLst/>
        </a:prstGeom>
      </xdr:spPr>
    </xdr:pic>
  </etc:cellImage>
  <etc:cellImage>
    <xdr:pic>
      <xdr:nvPicPr>
        <xdr:cNvPr id="401" name="ID_354EF343CD5243F482E0D228CE19598F"/>
        <xdr:cNvPicPr/>
      </xdr:nvPicPr>
      <xdr:blipFill>
        <a:blip r:link="rId400"/>
        <a:stretch>
          <a:fillRect/>
        </a:stretch>
      </xdr:blipFill>
      <xdr:spPr>
        <a:xfrm>
          <a:off x="0" y="0"/>
          <a:ext cx="7143750" cy="5276850"/>
        </a:xfrm>
        <a:prstGeom prst="rect">
          <a:avLst/>
        </a:prstGeom>
      </xdr:spPr>
    </xdr:pic>
  </etc:cellImage>
  <etc:cellImage>
    <xdr:pic>
      <xdr:nvPicPr>
        <xdr:cNvPr id="402" name="ID_395A3D0BD71445EA85EA2ACA292A2801"/>
        <xdr:cNvPicPr/>
      </xdr:nvPicPr>
      <xdr:blipFill>
        <a:blip r:link="rId401"/>
        <a:stretch>
          <a:fillRect/>
        </a:stretch>
      </xdr:blipFill>
      <xdr:spPr>
        <a:xfrm>
          <a:off x="0" y="0"/>
          <a:ext cx="7143750" cy="10001250"/>
        </a:xfrm>
        <a:prstGeom prst="rect">
          <a:avLst/>
        </a:prstGeom>
      </xdr:spPr>
    </xdr:pic>
  </etc:cellImage>
  <etc:cellImage>
    <xdr:pic>
      <xdr:nvPicPr>
        <xdr:cNvPr id="403" name="ID_98A98A82D5AD4E03ADF0E8FE54980276"/>
        <xdr:cNvPicPr/>
      </xdr:nvPicPr>
      <xdr:blipFill>
        <a:blip r:link="rId402"/>
        <a:stretch>
          <a:fillRect/>
        </a:stretch>
      </xdr:blipFill>
      <xdr:spPr>
        <a:xfrm>
          <a:off x="0" y="0"/>
          <a:ext cx="7143750" cy="10010775"/>
        </a:xfrm>
        <a:prstGeom prst="rect">
          <a:avLst/>
        </a:prstGeom>
      </xdr:spPr>
    </xdr:pic>
  </etc:cellImage>
  <etc:cellImage>
    <xdr:pic>
      <xdr:nvPicPr>
        <xdr:cNvPr id="404" name="ID_5B48971EF1B54F2AA5263A5C67E87781"/>
        <xdr:cNvPicPr/>
      </xdr:nvPicPr>
      <xdr:blipFill>
        <a:blip r:link="rId403"/>
        <a:stretch>
          <a:fillRect/>
        </a:stretch>
      </xdr:blipFill>
      <xdr:spPr>
        <a:xfrm>
          <a:off x="0" y="0"/>
          <a:ext cx="7143750" cy="10001250"/>
        </a:xfrm>
        <a:prstGeom prst="rect">
          <a:avLst/>
        </a:prstGeom>
      </xdr:spPr>
    </xdr:pic>
  </etc:cellImage>
  <etc:cellImage>
    <xdr:pic>
      <xdr:nvPicPr>
        <xdr:cNvPr id="405" name="ID_1086188647994FC4A050F44FE33ED3AF"/>
        <xdr:cNvPicPr/>
      </xdr:nvPicPr>
      <xdr:blipFill>
        <a:blip r:link="rId404"/>
        <a:stretch>
          <a:fillRect/>
        </a:stretch>
      </xdr:blipFill>
      <xdr:spPr>
        <a:xfrm>
          <a:off x="0" y="0"/>
          <a:ext cx="7143750" cy="10106025"/>
        </a:xfrm>
        <a:prstGeom prst="rect">
          <a:avLst/>
        </a:prstGeom>
      </xdr:spPr>
    </xdr:pic>
  </etc:cellImage>
  <etc:cellImage>
    <xdr:pic>
      <xdr:nvPicPr>
        <xdr:cNvPr id="406" name="ID_E18EEBC59F6A4BD3BA9929CD3773910D"/>
        <xdr:cNvPicPr/>
      </xdr:nvPicPr>
      <xdr:blipFill>
        <a:blip r:link="rId405"/>
        <a:stretch>
          <a:fillRect/>
        </a:stretch>
      </xdr:blipFill>
      <xdr:spPr>
        <a:xfrm>
          <a:off x="0" y="0"/>
          <a:ext cx="7143750" cy="9525000"/>
        </a:xfrm>
        <a:prstGeom prst="rect">
          <a:avLst/>
        </a:prstGeom>
      </xdr:spPr>
    </xdr:pic>
  </etc:cellImage>
  <etc:cellImage>
    <xdr:pic>
      <xdr:nvPicPr>
        <xdr:cNvPr id="407" name="ID_0C966700704E44E6A4C50F763206BC81"/>
        <xdr:cNvPicPr/>
      </xdr:nvPicPr>
      <xdr:blipFill>
        <a:blip r:link="rId406"/>
        <a:stretch>
          <a:fillRect/>
        </a:stretch>
      </xdr:blipFill>
      <xdr:spPr>
        <a:xfrm>
          <a:off x="0" y="0"/>
          <a:ext cx="7143750" cy="10848975"/>
        </a:xfrm>
        <a:prstGeom prst="rect">
          <a:avLst/>
        </a:prstGeom>
      </xdr:spPr>
    </xdr:pic>
  </etc:cellImage>
  <etc:cellImage>
    <xdr:pic>
      <xdr:nvPicPr>
        <xdr:cNvPr id="408" name="ID_0F24A07024DD4EC28C638A81C28E0099"/>
        <xdr:cNvPicPr/>
      </xdr:nvPicPr>
      <xdr:blipFill>
        <a:blip r:link="rId407"/>
        <a:stretch>
          <a:fillRect/>
        </a:stretch>
      </xdr:blipFill>
      <xdr:spPr>
        <a:xfrm>
          <a:off x="0" y="0"/>
          <a:ext cx="7143750" cy="10001250"/>
        </a:xfrm>
        <a:prstGeom prst="rect">
          <a:avLst/>
        </a:prstGeom>
      </xdr:spPr>
    </xdr:pic>
  </etc:cellImage>
  <etc:cellImage>
    <xdr:pic>
      <xdr:nvPicPr>
        <xdr:cNvPr id="409" name="ID_74A8F2037BB844E7BAC2F04950084CD2"/>
        <xdr:cNvPicPr/>
      </xdr:nvPicPr>
      <xdr:blipFill>
        <a:blip r:link="rId408"/>
        <a:stretch>
          <a:fillRect/>
        </a:stretch>
      </xdr:blipFill>
      <xdr:spPr>
        <a:xfrm>
          <a:off x="0" y="0"/>
          <a:ext cx="7143750" cy="5353050"/>
        </a:xfrm>
        <a:prstGeom prst="rect">
          <a:avLst/>
        </a:prstGeom>
      </xdr:spPr>
    </xdr:pic>
  </etc:cellImage>
  <etc:cellImage>
    <xdr:pic>
      <xdr:nvPicPr>
        <xdr:cNvPr id="410" name="ID_8997E37C597A4A678DEC3DE2B773630A"/>
        <xdr:cNvPicPr/>
      </xdr:nvPicPr>
      <xdr:blipFill>
        <a:blip r:link="rId409"/>
        <a:stretch>
          <a:fillRect/>
        </a:stretch>
      </xdr:blipFill>
      <xdr:spPr>
        <a:xfrm>
          <a:off x="0" y="0"/>
          <a:ext cx="7143750" cy="9563100"/>
        </a:xfrm>
        <a:prstGeom prst="rect">
          <a:avLst/>
        </a:prstGeom>
      </xdr:spPr>
    </xdr:pic>
  </etc:cellImage>
  <etc:cellImage>
    <xdr:pic>
      <xdr:nvPicPr>
        <xdr:cNvPr id="411" name="ID_5C988A3540504C69ADD9A8ABF15446E0"/>
        <xdr:cNvPicPr/>
      </xdr:nvPicPr>
      <xdr:blipFill>
        <a:blip r:link="rId410"/>
        <a:stretch>
          <a:fillRect/>
        </a:stretch>
      </xdr:blipFill>
      <xdr:spPr>
        <a:xfrm>
          <a:off x="0" y="0"/>
          <a:ext cx="7143750" cy="10315575"/>
        </a:xfrm>
        <a:prstGeom prst="rect">
          <a:avLst/>
        </a:prstGeom>
      </xdr:spPr>
    </xdr:pic>
  </etc:cellImage>
  <etc:cellImage>
    <xdr:pic>
      <xdr:nvPicPr>
        <xdr:cNvPr id="412" name="ID_A4F86B02E8AC4C77B083B94B4997B486"/>
        <xdr:cNvPicPr/>
      </xdr:nvPicPr>
      <xdr:blipFill>
        <a:blip r:link="rId411"/>
        <a:stretch>
          <a:fillRect/>
        </a:stretch>
      </xdr:blipFill>
      <xdr:spPr>
        <a:xfrm>
          <a:off x="0" y="0"/>
          <a:ext cx="7143750" cy="10572750"/>
        </a:xfrm>
        <a:prstGeom prst="rect">
          <a:avLst/>
        </a:prstGeom>
      </xdr:spPr>
    </xdr:pic>
  </etc:cellImage>
  <etc:cellImage>
    <xdr:pic>
      <xdr:nvPicPr>
        <xdr:cNvPr id="413" name="ID_755EB9C887424753BE38DCDA04F5D53F"/>
        <xdr:cNvPicPr/>
      </xdr:nvPicPr>
      <xdr:blipFill>
        <a:blip r:link="rId412"/>
        <a:stretch>
          <a:fillRect/>
        </a:stretch>
      </xdr:blipFill>
      <xdr:spPr>
        <a:xfrm>
          <a:off x="0" y="0"/>
          <a:ext cx="7143750" cy="10401300"/>
        </a:xfrm>
        <a:prstGeom prst="rect">
          <a:avLst/>
        </a:prstGeom>
      </xdr:spPr>
    </xdr:pic>
  </etc:cellImage>
  <etc:cellImage>
    <xdr:pic>
      <xdr:nvPicPr>
        <xdr:cNvPr id="414" name="ID_E7900D53DC2C42DFA545534A1C33490B"/>
        <xdr:cNvPicPr/>
      </xdr:nvPicPr>
      <xdr:blipFill>
        <a:blip r:link="rId413"/>
        <a:stretch>
          <a:fillRect/>
        </a:stretch>
      </xdr:blipFill>
      <xdr:spPr>
        <a:xfrm>
          <a:off x="0" y="0"/>
          <a:ext cx="7143750" cy="10001250"/>
        </a:xfrm>
        <a:prstGeom prst="rect">
          <a:avLst/>
        </a:prstGeom>
      </xdr:spPr>
    </xdr:pic>
  </etc:cellImage>
  <etc:cellImage>
    <xdr:pic>
      <xdr:nvPicPr>
        <xdr:cNvPr id="415" name="ID_7B9E4020F2C94CC099858598DA5339A8"/>
        <xdr:cNvPicPr/>
      </xdr:nvPicPr>
      <xdr:blipFill>
        <a:blip r:link="rId414"/>
        <a:stretch>
          <a:fillRect/>
        </a:stretch>
      </xdr:blipFill>
      <xdr:spPr>
        <a:xfrm>
          <a:off x="0" y="0"/>
          <a:ext cx="7143750" cy="7143750"/>
        </a:xfrm>
        <a:prstGeom prst="rect">
          <a:avLst/>
        </a:prstGeom>
      </xdr:spPr>
    </xdr:pic>
  </etc:cellImage>
  <etc:cellImage>
    <xdr:pic>
      <xdr:nvPicPr>
        <xdr:cNvPr id="416" name="ID_7EFAC0679406489199323C08AE652767"/>
        <xdr:cNvPicPr/>
      </xdr:nvPicPr>
      <xdr:blipFill>
        <a:blip r:link="rId415"/>
        <a:stretch>
          <a:fillRect/>
        </a:stretch>
      </xdr:blipFill>
      <xdr:spPr>
        <a:xfrm>
          <a:off x="0" y="0"/>
          <a:ext cx="7143750" cy="9525000"/>
        </a:xfrm>
        <a:prstGeom prst="rect">
          <a:avLst/>
        </a:prstGeom>
      </xdr:spPr>
    </xdr:pic>
  </etc:cellImage>
  <etc:cellImage>
    <xdr:pic>
      <xdr:nvPicPr>
        <xdr:cNvPr id="417" name="ID_36F8A707A81B40EC83CC116E77C5C07D"/>
        <xdr:cNvPicPr/>
      </xdr:nvPicPr>
      <xdr:blipFill>
        <a:blip r:link="rId416"/>
        <a:stretch>
          <a:fillRect/>
        </a:stretch>
      </xdr:blipFill>
      <xdr:spPr>
        <a:xfrm>
          <a:off x="0" y="0"/>
          <a:ext cx="7143750" cy="10725150"/>
        </a:xfrm>
        <a:prstGeom prst="rect">
          <a:avLst/>
        </a:prstGeom>
      </xdr:spPr>
    </xdr:pic>
  </etc:cellImage>
  <etc:cellImage>
    <xdr:pic>
      <xdr:nvPicPr>
        <xdr:cNvPr id="418" name="ID_7663A71771F44500AC5AF2DBC8366CB5"/>
        <xdr:cNvPicPr/>
      </xdr:nvPicPr>
      <xdr:blipFill>
        <a:blip r:link="rId417"/>
        <a:stretch>
          <a:fillRect/>
        </a:stretch>
      </xdr:blipFill>
      <xdr:spPr>
        <a:xfrm>
          <a:off x="0" y="0"/>
          <a:ext cx="7143750" cy="10001250"/>
        </a:xfrm>
        <a:prstGeom prst="rect">
          <a:avLst/>
        </a:prstGeom>
      </xdr:spPr>
    </xdr:pic>
  </etc:cellImage>
  <etc:cellImage>
    <xdr:pic>
      <xdr:nvPicPr>
        <xdr:cNvPr id="419" name="ID_F35EB404C32C41B8B6B9DFFF6A73D9A8"/>
        <xdr:cNvPicPr/>
      </xdr:nvPicPr>
      <xdr:blipFill>
        <a:blip r:link="rId418"/>
        <a:stretch>
          <a:fillRect/>
        </a:stretch>
      </xdr:blipFill>
      <xdr:spPr>
        <a:xfrm>
          <a:off x="0" y="0"/>
          <a:ext cx="7143750" cy="10048875"/>
        </a:xfrm>
        <a:prstGeom prst="rect">
          <a:avLst/>
        </a:prstGeom>
      </xdr:spPr>
    </xdr:pic>
  </etc:cellImage>
  <etc:cellImage>
    <xdr:pic>
      <xdr:nvPicPr>
        <xdr:cNvPr id="420" name="ID_E1216B8DC47A44DFAB6AC1BAFDBCD62B"/>
        <xdr:cNvPicPr/>
      </xdr:nvPicPr>
      <xdr:blipFill>
        <a:blip r:link="rId419"/>
        <a:stretch>
          <a:fillRect/>
        </a:stretch>
      </xdr:blipFill>
      <xdr:spPr>
        <a:xfrm>
          <a:off x="0" y="0"/>
          <a:ext cx="7143750" cy="10001250"/>
        </a:xfrm>
        <a:prstGeom prst="rect">
          <a:avLst/>
        </a:prstGeom>
      </xdr:spPr>
    </xdr:pic>
  </etc:cellImage>
  <etc:cellImage>
    <xdr:pic>
      <xdr:nvPicPr>
        <xdr:cNvPr id="421" name="ID_82244367FBEE45C5B0219468F4CFBAF4"/>
        <xdr:cNvPicPr/>
      </xdr:nvPicPr>
      <xdr:blipFill>
        <a:blip r:link="rId420"/>
        <a:stretch>
          <a:fillRect/>
        </a:stretch>
      </xdr:blipFill>
      <xdr:spPr>
        <a:xfrm>
          <a:off x="0" y="0"/>
          <a:ext cx="7143750" cy="10001250"/>
        </a:xfrm>
        <a:prstGeom prst="rect">
          <a:avLst/>
        </a:prstGeom>
      </xdr:spPr>
    </xdr:pic>
  </etc:cellImage>
  <etc:cellImage>
    <xdr:pic>
      <xdr:nvPicPr>
        <xdr:cNvPr id="422" name="ID_BD52B8A2C60C41F6B5F6C165401F5CB1"/>
        <xdr:cNvPicPr/>
      </xdr:nvPicPr>
      <xdr:blipFill>
        <a:blip r:link="rId421"/>
        <a:stretch>
          <a:fillRect/>
        </a:stretch>
      </xdr:blipFill>
      <xdr:spPr>
        <a:xfrm>
          <a:off x="0" y="0"/>
          <a:ext cx="7143750" cy="10010775"/>
        </a:xfrm>
        <a:prstGeom prst="rect">
          <a:avLst/>
        </a:prstGeom>
      </xdr:spPr>
    </xdr:pic>
  </etc:cellImage>
  <etc:cellImage>
    <xdr:pic>
      <xdr:nvPicPr>
        <xdr:cNvPr id="423" name="ID_75AF34168E0448D4A462EFA2E90CB632"/>
        <xdr:cNvPicPr/>
      </xdr:nvPicPr>
      <xdr:blipFill>
        <a:blip r:link="rId422"/>
        <a:stretch>
          <a:fillRect/>
        </a:stretch>
      </xdr:blipFill>
      <xdr:spPr>
        <a:xfrm>
          <a:off x="0" y="0"/>
          <a:ext cx="7143750" cy="9591675"/>
        </a:xfrm>
        <a:prstGeom prst="rect">
          <a:avLst/>
        </a:prstGeom>
      </xdr:spPr>
    </xdr:pic>
  </etc:cellImage>
  <etc:cellImage>
    <xdr:pic>
      <xdr:nvPicPr>
        <xdr:cNvPr id="424" name="ID_D2C4D691F93F4717949BB5BBCD3994DD"/>
        <xdr:cNvPicPr/>
      </xdr:nvPicPr>
      <xdr:blipFill>
        <a:blip r:link="rId423"/>
        <a:stretch>
          <a:fillRect/>
        </a:stretch>
      </xdr:blipFill>
      <xdr:spPr>
        <a:xfrm>
          <a:off x="0" y="0"/>
          <a:ext cx="7143750" cy="10391775"/>
        </a:xfrm>
        <a:prstGeom prst="rect">
          <a:avLst/>
        </a:prstGeom>
      </xdr:spPr>
    </xdr:pic>
  </etc:cellImage>
  <etc:cellImage>
    <xdr:pic>
      <xdr:nvPicPr>
        <xdr:cNvPr id="425" name="ID_F4E1B2AC46944606B0ACE14F8CC9918C"/>
        <xdr:cNvPicPr/>
      </xdr:nvPicPr>
      <xdr:blipFill>
        <a:blip r:link="rId424"/>
        <a:stretch>
          <a:fillRect/>
        </a:stretch>
      </xdr:blipFill>
      <xdr:spPr>
        <a:xfrm>
          <a:off x="0" y="0"/>
          <a:ext cx="7143750" cy="9525000"/>
        </a:xfrm>
        <a:prstGeom prst="rect">
          <a:avLst/>
        </a:prstGeom>
      </xdr:spPr>
    </xdr:pic>
  </etc:cellImage>
  <etc:cellImage>
    <xdr:pic>
      <xdr:nvPicPr>
        <xdr:cNvPr id="426" name="ID_BFF35F7767BD4AFE8B2C782755AFDE14"/>
        <xdr:cNvPicPr/>
      </xdr:nvPicPr>
      <xdr:blipFill>
        <a:blip r:link="rId425"/>
        <a:stretch>
          <a:fillRect/>
        </a:stretch>
      </xdr:blipFill>
      <xdr:spPr>
        <a:xfrm>
          <a:off x="0" y="0"/>
          <a:ext cx="7143750" cy="10058400"/>
        </a:xfrm>
        <a:prstGeom prst="rect">
          <a:avLst/>
        </a:prstGeom>
      </xdr:spPr>
    </xdr:pic>
  </etc:cellImage>
  <etc:cellImage>
    <xdr:pic>
      <xdr:nvPicPr>
        <xdr:cNvPr id="427" name="ID_9C9702A9D71D49F4A0D4283BE0B57A8D"/>
        <xdr:cNvPicPr/>
      </xdr:nvPicPr>
      <xdr:blipFill>
        <a:blip r:link="rId426"/>
        <a:stretch>
          <a:fillRect/>
        </a:stretch>
      </xdr:blipFill>
      <xdr:spPr>
        <a:xfrm>
          <a:off x="0" y="0"/>
          <a:ext cx="7143750" cy="9525000"/>
        </a:xfrm>
        <a:prstGeom prst="rect">
          <a:avLst/>
        </a:prstGeom>
      </xdr:spPr>
    </xdr:pic>
  </etc:cellImage>
  <etc:cellImage>
    <xdr:pic>
      <xdr:nvPicPr>
        <xdr:cNvPr id="428" name="ID_6A8C51914B494C9CBD5F245F39A2E519"/>
        <xdr:cNvPicPr/>
      </xdr:nvPicPr>
      <xdr:blipFill>
        <a:blip r:link="rId427"/>
        <a:stretch>
          <a:fillRect/>
        </a:stretch>
      </xdr:blipFill>
      <xdr:spPr>
        <a:xfrm>
          <a:off x="0" y="0"/>
          <a:ext cx="7143750" cy="10715625"/>
        </a:xfrm>
        <a:prstGeom prst="rect">
          <a:avLst/>
        </a:prstGeom>
      </xdr:spPr>
    </xdr:pic>
  </etc:cellImage>
  <etc:cellImage>
    <xdr:pic>
      <xdr:nvPicPr>
        <xdr:cNvPr id="429" name="ID_92399A40D7B44F3B89AA85711A99D812"/>
        <xdr:cNvPicPr/>
      </xdr:nvPicPr>
      <xdr:blipFill>
        <a:blip r:link="rId428"/>
        <a:stretch>
          <a:fillRect/>
        </a:stretch>
      </xdr:blipFill>
      <xdr:spPr>
        <a:xfrm>
          <a:off x="0" y="0"/>
          <a:ext cx="7143750" cy="10001250"/>
        </a:xfrm>
        <a:prstGeom prst="rect">
          <a:avLst/>
        </a:prstGeom>
      </xdr:spPr>
    </xdr:pic>
  </etc:cellImage>
  <etc:cellImage>
    <xdr:pic>
      <xdr:nvPicPr>
        <xdr:cNvPr id="430" name="ID_582DA32893494A1CB2F261C9DF30C5FF"/>
        <xdr:cNvPicPr/>
      </xdr:nvPicPr>
      <xdr:blipFill>
        <a:blip r:link="rId429"/>
        <a:stretch>
          <a:fillRect/>
        </a:stretch>
      </xdr:blipFill>
      <xdr:spPr>
        <a:xfrm>
          <a:off x="0" y="0"/>
          <a:ext cx="7143750" cy="9525000"/>
        </a:xfrm>
        <a:prstGeom prst="rect">
          <a:avLst/>
        </a:prstGeom>
      </xdr:spPr>
    </xdr:pic>
  </etc:cellImage>
  <etc:cellImage>
    <xdr:pic>
      <xdr:nvPicPr>
        <xdr:cNvPr id="431" name="ID_C27F6D3FCFCA466FA5407A989BCF50C5"/>
        <xdr:cNvPicPr/>
      </xdr:nvPicPr>
      <xdr:blipFill>
        <a:blip r:link="rId430"/>
        <a:stretch>
          <a:fillRect/>
        </a:stretch>
      </xdr:blipFill>
      <xdr:spPr>
        <a:xfrm>
          <a:off x="0" y="0"/>
          <a:ext cx="7143750" cy="10868025"/>
        </a:xfrm>
        <a:prstGeom prst="rect">
          <a:avLst/>
        </a:prstGeom>
      </xdr:spPr>
    </xdr:pic>
  </etc:cellImage>
  <etc:cellImage>
    <xdr:pic>
      <xdr:nvPicPr>
        <xdr:cNvPr id="432" name="ID_F203C9D79BED4D608F3184BA9064F545"/>
        <xdr:cNvPicPr/>
      </xdr:nvPicPr>
      <xdr:blipFill>
        <a:blip r:link="rId431"/>
        <a:stretch>
          <a:fillRect/>
        </a:stretch>
      </xdr:blipFill>
      <xdr:spPr>
        <a:xfrm>
          <a:off x="0" y="0"/>
          <a:ext cx="7143750" cy="10868025"/>
        </a:xfrm>
        <a:prstGeom prst="rect">
          <a:avLst/>
        </a:prstGeom>
      </xdr:spPr>
    </xdr:pic>
  </etc:cellImage>
  <etc:cellImage>
    <xdr:pic>
      <xdr:nvPicPr>
        <xdr:cNvPr id="433" name="ID_C58F0E7AF40D45868F2F2F76C4EDE485"/>
        <xdr:cNvPicPr/>
      </xdr:nvPicPr>
      <xdr:blipFill>
        <a:blip r:link="rId432"/>
        <a:stretch>
          <a:fillRect/>
        </a:stretch>
      </xdr:blipFill>
      <xdr:spPr>
        <a:xfrm>
          <a:off x="0" y="0"/>
          <a:ext cx="7143750" cy="5353050"/>
        </a:xfrm>
        <a:prstGeom prst="rect">
          <a:avLst/>
        </a:prstGeom>
      </xdr:spPr>
    </xdr:pic>
  </etc:cellImage>
  <etc:cellImage>
    <xdr:pic>
      <xdr:nvPicPr>
        <xdr:cNvPr id="434" name="ID_2B34C9518EA342159A61ABFA1DC3CE83"/>
        <xdr:cNvPicPr/>
      </xdr:nvPicPr>
      <xdr:blipFill>
        <a:blip r:link="rId433"/>
        <a:stretch>
          <a:fillRect/>
        </a:stretch>
      </xdr:blipFill>
      <xdr:spPr>
        <a:xfrm>
          <a:off x="0" y="0"/>
          <a:ext cx="7143750" cy="7181850"/>
        </a:xfrm>
        <a:prstGeom prst="rect">
          <a:avLst/>
        </a:prstGeom>
      </xdr:spPr>
    </xdr:pic>
  </etc:cellImage>
  <etc:cellImage>
    <xdr:pic>
      <xdr:nvPicPr>
        <xdr:cNvPr id="435" name="ID_B9B540B424394A6290A83DEC0AB8F385"/>
        <xdr:cNvPicPr/>
      </xdr:nvPicPr>
      <xdr:blipFill>
        <a:blip r:link="rId434"/>
        <a:stretch>
          <a:fillRect/>
        </a:stretch>
      </xdr:blipFill>
      <xdr:spPr>
        <a:xfrm>
          <a:off x="0" y="0"/>
          <a:ext cx="7143750" cy="10001250"/>
        </a:xfrm>
        <a:prstGeom prst="rect">
          <a:avLst/>
        </a:prstGeom>
      </xdr:spPr>
    </xdr:pic>
  </etc:cellImage>
  <etc:cellImage>
    <xdr:pic>
      <xdr:nvPicPr>
        <xdr:cNvPr id="436" name="ID_0BCC1778ACA14DBF957E729E6605C713"/>
        <xdr:cNvPicPr/>
      </xdr:nvPicPr>
      <xdr:blipFill>
        <a:blip r:link="rId435"/>
        <a:stretch>
          <a:fillRect/>
        </a:stretch>
      </xdr:blipFill>
      <xdr:spPr>
        <a:xfrm>
          <a:off x="0" y="0"/>
          <a:ext cx="7143750" cy="9525000"/>
        </a:xfrm>
        <a:prstGeom prst="rect">
          <a:avLst/>
        </a:prstGeom>
      </xdr:spPr>
    </xdr:pic>
  </etc:cellImage>
  <etc:cellImage>
    <xdr:pic>
      <xdr:nvPicPr>
        <xdr:cNvPr id="437" name="ID_2D99CEE979EF4ECAAD8A877BAF74FBA6"/>
        <xdr:cNvPicPr/>
      </xdr:nvPicPr>
      <xdr:blipFill>
        <a:blip r:link="rId436"/>
        <a:stretch>
          <a:fillRect/>
        </a:stretch>
      </xdr:blipFill>
      <xdr:spPr>
        <a:xfrm>
          <a:off x="0" y="0"/>
          <a:ext cx="7143750" cy="10201275"/>
        </a:xfrm>
        <a:prstGeom prst="rect">
          <a:avLst/>
        </a:prstGeom>
      </xdr:spPr>
    </xdr:pic>
  </etc:cellImage>
  <etc:cellImage>
    <xdr:pic>
      <xdr:nvPicPr>
        <xdr:cNvPr id="438" name="ID_DB61A8C4A58C4CD3A7E5339498EDC8D8"/>
        <xdr:cNvPicPr/>
      </xdr:nvPicPr>
      <xdr:blipFill>
        <a:blip r:link="rId437"/>
        <a:stretch>
          <a:fillRect/>
        </a:stretch>
      </xdr:blipFill>
      <xdr:spPr>
        <a:xfrm>
          <a:off x="0" y="0"/>
          <a:ext cx="7143750" cy="10010775"/>
        </a:xfrm>
        <a:prstGeom prst="rect">
          <a:avLst/>
        </a:prstGeom>
      </xdr:spPr>
    </xdr:pic>
  </etc:cellImage>
  <etc:cellImage>
    <xdr:pic>
      <xdr:nvPicPr>
        <xdr:cNvPr id="439" name="ID_21EB11AFC3FB431C8DEC9B4C05162E66"/>
        <xdr:cNvPicPr/>
      </xdr:nvPicPr>
      <xdr:blipFill>
        <a:blip r:link="rId438"/>
        <a:stretch>
          <a:fillRect/>
        </a:stretch>
      </xdr:blipFill>
      <xdr:spPr>
        <a:xfrm>
          <a:off x="0" y="0"/>
          <a:ext cx="7143750" cy="7134225"/>
        </a:xfrm>
        <a:prstGeom prst="rect">
          <a:avLst/>
        </a:prstGeom>
      </xdr:spPr>
    </xdr:pic>
  </etc:cellImage>
  <etc:cellImage>
    <xdr:pic>
      <xdr:nvPicPr>
        <xdr:cNvPr id="440" name="ID_3C6447D057EF4BF7AE9ECFE35CBC5ECF"/>
        <xdr:cNvPicPr/>
      </xdr:nvPicPr>
      <xdr:blipFill>
        <a:blip r:link="rId439"/>
        <a:stretch>
          <a:fillRect/>
        </a:stretch>
      </xdr:blipFill>
      <xdr:spPr>
        <a:xfrm>
          <a:off x="0" y="0"/>
          <a:ext cx="7143750" cy="8382000"/>
        </a:xfrm>
        <a:prstGeom prst="rect">
          <a:avLst/>
        </a:prstGeom>
      </xdr:spPr>
    </xdr:pic>
  </etc:cellImage>
  <etc:cellImage>
    <xdr:pic>
      <xdr:nvPicPr>
        <xdr:cNvPr id="441" name="ID_4E9B8A157E55446AAA9BAC9D6541DF67"/>
        <xdr:cNvPicPr/>
      </xdr:nvPicPr>
      <xdr:blipFill>
        <a:blip r:link="rId440"/>
        <a:stretch>
          <a:fillRect/>
        </a:stretch>
      </xdr:blipFill>
      <xdr:spPr>
        <a:xfrm>
          <a:off x="0" y="0"/>
          <a:ext cx="7143750" cy="9525000"/>
        </a:xfrm>
        <a:prstGeom prst="rect">
          <a:avLst/>
        </a:prstGeom>
      </xdr:spPr>
    </xdr:pic>
  </etc:cellImage>
  <etc:cellImage>
    <xdr:pic>
      <xdr:nvPicPr>
        <xdr:cNvPr id="442" name="ID_10B7637016814F53B0B0689821F0D756"/>
        <xdr:cNvPicPr/>
      </xdr:nvPicPr>
      <xdr:blipFill>
        <a:blip r:link="rId441"/>
        <a:stretch>
          <a:fillRect/>
        </a:stretch>
      </xdr:blipFill>
      <xdr:spPr>
        <a:xfrm>
          <a:off x="0" y="0"/>
          <a:ext cx="7143750" cy="10001250"/>
        </a:xfrm>
        <a:prstGeom prst="rect">
          <a:avLst/>
        </a:prstGeom>
      </xdr:spPr>
    </xdr:pic>
  </etc:cellImage>
  <etc:cellImage>
    <xdr:pic>
      <xdr:nvPicPr>
        <xdr:cNvPr id="443" name="ID_1E4E55AF2274433A8809E53B95627C78"/>
        <xdr:cNvPicPr/>
      </xdr:nvPicPr>
      <xdr:blipFill>
        <a:blip r:link="rId442"/>
        <a:stretch>
          <a:fillRect/>
        </a:stretch>
      </xdr:blipFill>
      <xdr:spPr>
        <a:xfrm>
          <a:off x="0" y="0"/>
          <a:ext cx="7143750" cy="10001250"/>
        </a:xfrm>
        <a:prstGeom prst="rect">
          <a:avLst/>
        </a:prstGeom>
      </xdr:spPr>
    </xdr:pic>
  </etc:cellImage>
  <etc:cellImage>
    <xdr:pic>
      <xdr:nvPicPr>
        <xdr:cNvPr id="444" name="ID_DB80027A676342B6B8178A0E756378C3"/>
        <xdr:cNvPicPr/>
      </xdr:nvPicPr>
      <xdr:blipFill>
        <a:blip r:link="rId443"/>
        <a:stretch>
          <a:fillRect/>
        </a:stretch>
      </xdr:blipFill>
      <xdr:spPr>
        <a:xfrm>
          <a:off x="0" y="0"/>
          <a:ext cx="7143750" cy="10001250"/>
        </a:xfrm>
        <a:prstGeom prst="rect">
          <a:avLst/>
        </a:prstGeom>
      </xdr:spPr>
    </xdr:pic>
  </etc:cellImage>
  <etc:cellImage>
    <xdr:pic>
      <xdr:nvPicPr>
        <xdr:cNvPr id="445" name="ID_ADF263347E1B436A9E9869CDB170C299"/>
        <xdr:cNvPicPr/>
      </xdr:nvPicPr>
      <xdr:blipFill>
        <a:blip r:link="rId444"/>
        <a:stretch>
          <a:fillRect/>
        </a:stretch>
      </xdr:blipFill>
      <xdr:spPr>
        <a:xfrm>
          <a:off x="0" y="0"/>
          <a:ext cx="7143750" cy="8820150"/>
        </a:xfrm>
        <a:prstGeom prst="rect">
          <a:avLst/>
        </a:prstGeom>
      </xdr:spPr>
    </xdr:pic>
  </etc:cellImage>
  <etc:cellImage>
    <xdr:pic>
      <xdr:nvPicPr>
        <xdr:cNvPr id="446" name="ID_39BF594A37E3442B8E4FFF60E8863D45"/>
        <xdr:cNvPicPr/>
      </xdr:nvPicPr>
      <xdr:blipFill>
        <a:blip r:link="rId445"/>
        <a:stretch>
          <a:fillRect/>
        </a:stretch>
      </xdr:blipFill>
      <xdr:spPr>
        <a:xfrm>
          <a:off x="0" y="0"/>
          <a:ext cx="7143750" cy="9658350"/>
        </a:xfrm>
        <a:prstGeom prst="rect">
          <a:avLst/>
        </a:prstGeom>
      </xdr:spPr>
    </xdr:pic>
  </etc:cellImage>
  <etc:cellImage>
    <xdr:pic>
      <xdr:nvPicPr>
        <xdr:cNvPr id="447" name="ID_33D1BE3856DC4BDE83B623418C60EC26"/>
        <xdr:cNvPicPr/>
      </xdr:nvPicPr>
      <xdr:blipFill>
        <a:blip r:link="rId446"/>
        <a:stretch>
          <a:fillRect/>
        </a:stretch>
      </xdr:blipFill>
      <xdr:spPr>
        <a:xfrm>
          <a:off x="0" y="0"/>
          <a:ext cx="7143750" cy="9525000"/>
        </a:xfrm>
        <a:prstGeom prst="rect">
          <a:avLst/>
        </a:prstGeom>
      </xdr:spPr>
    </xdr:pic>
  </etc:cellImage>
  <etc:cellImage>
    <xdr:pic>
      <xdr:nvPicPr>
        <xdr:cNvPr id="448" name="ID_892B76E7BF3A4E06A1CCC00A4DBCC4C6"/>
        <xdr:cNvPicPr/>
      </xdr:nvPicPr>
      <xdr:blipFill>
        <a:blip r:link="rId447"/>
        <a:stretch>
          <a:fillRect/>
        </a:stretch>
      </xdr:blipFill>
      <xdr:spPr>
        <a:xfrm>
          <a:off x="0" y="0"/>
          <a:ext cx="7143750" cy="10001250"/>
        </a:xfrm>
        <a:prstGeom prst="rect">
          <a:avLst/>
        </a:prstGeom>
      </xdr:spPr>
    </xdr:pic>
  </etc:cellImage>
  <etc:cellImage>
    <xdr:pic>
      <xdr:nvPicPr>
        <xdr:cNvPr id="449" name="ID_7CE83E02BD574BEF88ED6441327C41EF"/>
        <xdr:cNvPicPr/>
      </xdr:nvPicPr>
      <xdr:blipFill>
        <a:blip r:link="rId448"/>
        <a:stretch>
          <a:fillRect/>
        </a:stretch>
      </xdr:blipFill>
      <xdr:spPr>
        <a:xfrm>
          <a:off x="0" y="0"/>
          <a:ext cx="7143750" cy="9982200"/>
        </a:xfrm>
        <a:prstGeom prst="rect">
          <a:avLst/>
        </a:prstGeom>
      </xdr:spPr>
    </xdr:pic>
  </etc:cellImage>
  <etc:cellImage>
    <xdr:pic>
      <xdr:nvPicPr>
        <xdr:cNvPr id="450" name="ID_E6B64D542CF24756B648DE72B52C0790"/>
        <xdr:cNvPicPr/>
      </xdr:nvPicPr>
      <xdr:blipFill>
        <a:blip r:link="rId449"/>
        <a:stretch>
          <a:fillRect/>
        </a:stretch>
      </xdr:blipFill>
      <xdr:spPr>
        <a:xfrm>
          <a:off x="0" y="0"/>
          <a:ext cx="7143750" cy="10001250"/>
        </a:xfrm>
        <a:prstGeom prst="rect">
          <a:avLst/>
        </a:prstGeom>
      </xdr:spPr>
    </xdr:pic>
  </etc:cellImage>
  <etc:cellImage>
    <xdr:pic>
      <xdr:nvPicPr>
        <xdr:cNvPr id="451" name="ID_5444703683DB4591A53B76ECB3D8FAE4"/>
        <xdr:cNvPicPr/>
      </xdr:nvPicPr>
      <xdr:blipFill>
        <a:blip r:link="rId450"/>
        <a:stretch>
          <a:fillRect/>
        </a:stretch>
      </xdr:blipFill>
      <xdr:spPr>
        <a:xfrm>
          <a:off x="0" y="0"/>
          <a:ext cx="7143750" cy="9972675"/>
        </a:xfrm>
        <a:prstGeom prst="rect">
          <a:avLst/>
        </a:prstGeom>
      </xdr:spPr>
    </xdr:pic>
  </etc:cellImage>
  <etc:cellImage>
    <xdr:pic>
      <xdr:nvPicPr>
        <xdr:cNvPr id="452" name="ID_711901E3E72645DEB928FFCE78C71328"/>
        <xdr:cNvPicPr/>
      </xdr:nvPicPr>
      <xdr:blipFill>
        <a:blip r:link="rId451"/>
        <a:stretch>
          <a:fillRect/>
        </a:stretch>
      </xdr:blipFill>
      <xdr:spPr>
        <a:xfrm>
          <a:off x="0" y="0"/>
          <a:ext cx="7143750" cy="9525000"/>
        </a:xfrm>
        <a:prstGeom prst="rect">
          <a:avLst/>
        </a:prstGeom>
      </xdr:spPr>
    </xdr:pic>
  </etc:cellImage>
  <etc:cellImage>
    <xdr:pic>
      <xdr:nvPicPr>
        <xdr:cNvPr id="453" name="ID_5D17E050202348DFAA14EEF8D985F66D"/>
        <xdr:cNvPicPr/>
      </xdr:nvPicPr>
      <xdr:blipFill>
        <a:blip r:link="rId452"/>
        <a:stretch>
          <a:fillRect/>
        </a:stretch>
      </xdr:blipFill>
      <xdr:spPr>
        <a:xfrm>
          <a:off x="0" y="0"/>
          <a:ext cx="7143750" cy="10001250"/>
        </a:xfrm>
        <a:prstGeom prst="rect">
          <a:avLst/>
        </a:prstGeom>
      </xdr:spPr>
    </xdr:pic>
  </etc:cellImage>
  <etc:cellImage>
    <xdr:pic>
      <xdr:nvPicPr>
        <xdr:cNvPr id="454" name="ID_252B07FFDA0E4134A421E2449004C504"/>
        <xdr:cNvPicPr/>
      </xdr:nvPicPr>
      <xdr:blipFill>
        <a:blip r:link="rId453"/>
        <a:stretch>
          <a:fillRect/>
        </a:stretch>
      </xdr:blipFill>
      <xdr:spPr>
        <a:xfrm>
          <a:off x="0" y="0"/>
          <a:ext cx="7143750" cy="10001250"/>
        </a:xfrm>
        <a:prstGeom prst="rect">
          <a:avLst/>
        </a:prstGeom>
      </xdr:spPr>
    </xdr:pic>
  </etc:cellImage>
  <etc:cellImage>
    <xdr:pic>
      <xdr:nvPicPr>
        <xdr:cNvPr id="455" name="ID_2A9E22A9ABC949F8A9FA9AA3239D48CC"/>
        <xdr:cNvPicPr/>
      </xdr:nvPicPr>
      <xdr:blipFill>
        <a:blip r:link="rId454"/>
        <a:stretch>
          <a:fillRect/>
        </a:stretch>
      </xdr:blipFill>
      <xdr:spPr>
        <a:xfrm>
          <a:off x="0" y="0"/>
          <a:ext cx="7143750" cy="10001250"/>
        </a:xfrm>
        <a:prstGeom prst="rect">
          <a:avLst/>
        </a:prstGeom>
      </xdr:spPr>
    </xdr:pic>
  </etc:cellImage>
  <etc:cellImage>
    <xdr:pic>
      <xdr:nvPicPr>
        <xdr:cNvPr id="456" name="ID_FBBE15C9E10944F892C3BCC99A8EDA31"/>
        <xdr:cNvPicPr/>
      </xdr:nvPicPr>
      <xdr:blipFill>
        <a:blip r:link="rId455"/>
        <a:stretch>
          <a:fillRect/>
        </a:stretch>
      </xdr:blipFill>
      <xdr:spPr>
        <a:xfrm>
          <a:off x="0" y="0"/>
          <a:ext cx="7143750" cy="10001250"/>
        </a:xfrm>
        <a:prstGeom prst="rect">
          <a:avLst/>
        </a:prstGeom>
      </xdr:spPr>
    </xdr:pic>
  </etc:cellImage>
  <etc:cellImage>
    <xdr:pic>
      <xdr:nvPicPr>
        <xdr:cNvPr id="457" name="ID_B6A72806890947DEB45EA914FD393A84"/>
        <xdr:cNvPicPr/>
      </xdr:nvPicPr>
      <xdr:blipFill>
        <a:blip r:link="rId456"/>
        <a:stretch>
          <a:fillRect/>
        </a:stretch>
      </xdr:blipFill>
      <xdr:spPr>
        <a:xfrm>
          <a:off x="0" y="0"/>
          <a:ext cx="7143750" cy="10287000"/>
        </a:xfrm>
        <a:prstGeom prst="rect">
          <a:avLst/>
        </a:prstGeom>
      </xdr:spPr>
    </xdr:pic>
  </etc:cellImage>
  <etc:cellImage>
    <xdr:pic>
      <xdr:nvPicPr>
        <xdr:cNvPr id="458" name="ID_E15A59AE3AB3482DA375DB6FC21D8F4C"/>
        <xdr:cNvPicPr/>
      </xdr:nvPicPr>
      <xdr:blipFill>
        <a:blip r:link="rId457"/>
        <a:stretch>
          <a:fillRect/>
        </a:stretch>
      </xdr:blipFill>
      <xdr:spPr>
        <a:xfrm>
          <a:off x="0" y="0"/>
          <a:ext cx="7143750" cy="8582025"/>
        </a:xfrm>
        <a:prstGeom prst="rect">
          <a:avLst/>
        </a:prstGeom>
      </xdr:spPr>
    </xdr:pic>
  </etc:cellImage>
  <etc:cellImage>
    <xdr:pic>
      <xdr:nvPicPr>
        <xdr:cNvPr id="459" name="ID_57DB6C2F5BCD45498E344599D2C7D1D8"/>
        <xdr:cNvPicPr/>
      </xdr:nvPicPr>
      <xdr:blipFill>
        <a:blip r:link="rId458"/>
        <a:stretch>
          <a:fillRect/>
        </a:stretch>
      </xdr:blipFill>
      <xdr:spPr>
        <a:xfrm>
          <a:off x="0" y="0"/>
          <a:ext cx="7143750" cy="9963150"/>
        </a:xfrm>
        <a:prstGeom prst="rect">
          <a:avLst/>
        </a:prstGeom>
      </xdr:spPr>
    </xdr:pic>
  </etc:cellImage>
  <etc:cellImage>
    <xdr:pic>
      <xdr:nvPicPr>
        <xdr:cNvPr id="460" name="ID_4AE3C77D21184B118F491A1655043931"/>
        <xdr:cNvPicPr/>
      </xdr:nvPicPr>
      <xdr:blipFill>
        <a:blip r:link="rId459"/>
        <a:stretch>
          <a:fillRect/>
        </a:stretch>
      </xdr:blipFill>
      <xdr:spPr>
        <a:xfrm>
          <a:off x="0" y="0"/>
          <a:ext cx="7143750" cy="10001250"/>
        </a:xfrm>
        <a:prstGeom prst="rect">
          <a:avLst/>
        </a:prstGeom>
      </xdr:spPr>
    </xdr:pic>
  </etc:cellImage>
  <etc:cellImage>
    <xdr:pic>
      <xdr:nvPicPr>
        <xdr:cNvPr id="461" name="ID_AE7BFEF114344F24954EA3AA4FC71BD8"/>
        <xdr:cNvPicPr/>
      </xdr:nvPicPr>
      <xdr:blipFill>
        <a:blip r:link="rId460"/>
        <a:stretch>
          <a:fillRect/>
        </a:stretch>
      </xdr:blipFill>
      <xdr:spPr>
        <a:xfrm>
          <a:off x="0" y="0"/>
          <a:ext cx="7143750" cy="10001250"/>
        </a:xfrm>
        <a:prstGeom prst="rect">
          <a:avLst/>
        </a:prstGeom>
      </xdr:spPr>
    </xdr:pic>
  </etc:cellImage>
  <etc:cellImage>
    <xdr:pic>
      <xdr:nvPicPr>
        <xdr:cNvPr id="462" name="ID_9FF2F7CED6DC40CB89E306847985BA44"/>
        <xdr:cNvPicPr/>
      </xdr:nvPicPr>
      <xdr:blipFill>
        <a:blip r:link="rId461"/>
        <a:stretch>
          <a:fillRect/>
        </a:stretch>
      </xdr:blipFill>
      <xdr:spPr>
        <a:xfrm>
          <a:off x="0" y="0"/>
          <a:ext cx="7143750" cy="10001250"/>
        </a:xfrm>
        <a:prstGeom prst="rect">
          <a:avLst/>
        </a:prstGeom>
      </xdr:spPr>
    </xdr:pic>
  </etc:cellImage>
  <etc:cellImage>
    <xdr:pic>
      <xdr:nvPicPr>
        <xdr:cNvPr id="463" name="ID_677BA8871B344518950747C60527229E"/>
        <xdr:cNvPicPr/>
      </xdr:nvPicPr>
      <xdr:blipFill>
        <a:blip r:link="rId462"/>
        <a:stretch>
          <a:fillRect/>
        </a:stretch>
      </xdr:blipFill>
      <xdr:spPr>
        <a:xfrm>
          <a:off x="0" y="0"/>
          <a:ext cx="7143750" cy="10001250"/>
        </a:xfrm>
        <a:prstGeom prst="rect">
          <a:avLst/>
        </a:prstGeom>
      </xdr:spPr>
    </xdr:pic>
  </etc:cellImage>
  <etc:cellImage>
    <xdr:pic>
      <xdr:nvPicPr>
        <xdr:cNvPr id="464" name="ID_1A8F20F988244300AFCAF70BDC1F337C"/>
        <xdr:cNvPicPr/>
      </xdr:nvPicPr>
      <xdr:blipFill>
        <a:blip r:link="rId463"/>
        <a:stretch>
          <a:fillRect/>
        </a:stretch>
      </xdr:blipFill>
      <xdr:spPr>
        <a:xfrm>
          <a:off x="0" y="0"/>
          <a:ext cx="7143750" cy="10382250"/>
        </a:xfrm>
        <a:prstGeom prst="rect">
          <a:avLst/>
        </a:prstGeom>
      </xdr:spPr>
    </xdr:pic>
  </etc:cellImage>
  <etc:cellImage>
    <xdr:pic>
      <xdr:nvPicPr>
        <xdr:cNvPr id="465" name="ID_E2F022B7DBF04DECBE980BB970833FC7"/>
        <xdr:cNvPicPr/>
      </xdr:nvPicPr>
      <xdr:blipFill>
        <a:blip r:link="rId464"/>
        <a:stretch>
          <a:fillRect/>
        </a:stretch>
      </xdr:blipFill>
      <xdr:spPr>
        <a:xfrm>
          <a:off x="0" y="0"/>
          <a:ext cx="7143750" cy="9525000"/>
        </a:xfrm>
        <a:prstGeom prst="rect">
          <a:avLst/>
        </a:prstGeom>
      </xdr:spPr>
    </xdr:pic>
  </etc:cellImage>
  <etc:cellImage>
    <xdr:pic>
      <xdr:nvPicPr>
        <xdr:cNvPr id="466" name="ID_BF7D6285C9C043E7887E7AA2FA4C62A7"/>
        <xdr:cNvPicPr/>
      </xdr:nvPicPr>
      <xdr:blipFill>
        <a:blip r:link="rId465"/>
        <a:stretch>
          <a:fillRect/>
        </a:stretch>
      </xdr:blipFill>
      <xdr:spPr>
        <a:xfrm>
          <a:off x="0" y="0"/>
          <a:ext cx="7143750" cy="10001250"/>
        </a:xfrm>
        <a:prstGeom prst="rect">
          <a:avLst/>
        </a:prstGeom>
      </xdr:spPr>
    </xdr:pic>
  </etc:cellImage>
  <etc:cellImage>
    <xdr:pic>
      <xdr:nvPicPr>
        <xdr:cNvPr id="467" name="ID_059DAEED1F3E457C93C0A1610046F2A5"/>
        <xdr:cNvPicPr/>
      </xdr:nvPicPr>
      <xdr:blipFill>
        <a:blip r:link="rId466"/>
        <a:stretch>
          <a:fillRect/>
        </a:stretch>
      </xdr:blipFill>
      <xdr:spPr>
        <a:xfrm>
          <a:off x="0" y="0"/>
          <a:ext cx="7143750" cy="9525000"/>
        </a:xfrm>
        <a:prstGeom prst="rect">
          <a:avLst/>
        </a:prstGeom>
      </xdr:spPr>
    </xdr:pic>
  </etc:cellImage>
  <etc:cellImage>
    <xdr:pic>
      <xdr:nvPicPr>
        <xdr:cNvPr id="468" name="ID_38A4C94876C044A5A6F3E884E1CD36B4"/>
        <xdr:cNvPicPr/>
      </xdr:nvPicPr>
      <xdr:blipFill>
        <a:blip r:link="rId467"/>
        <a:stretch>
          <a:fillRect/>
        </a:stretch>
      </xdr:blipFill>
      <xdr:spPr>
        <a:xfrm>
          <a:off x="0" y="0"/>
          <a:ext cx="7143750" cy="10753725"/>
        </a:xfrm>
        <a:prstGeom prst="rect">
          <a:avLst/>
        </a:prstGeom>
      </xdr:spPr>
    </xdr:pic>
  </etc:cellImage>
  <etc:cellImage>
    <xdr:pic>
      <xdr:nvPicPr>
        <xdr:cNvPr id="469" name="ID_9A8E5B0A21704ED9ACFE9C7380F006F7"/>
        <xdr:cNvPicPr/>
      </xdr:nvPicPr>
      <xdr:blipFill>
        <a:blip r:link="rId468"/>
        <a:stretch>
          <a:fillRect/>
        </a:stretch>
      </xdr:blipFill>
      <xdr:spPr>
        <a:xfrm>
          <a:off x="0" y="0"/>
          <a:ext cx="7143750" cy="9848850"/>
        </a:xfrm>
        <a:prstGeom prst="rect">
          <a:avLst/>
        </a:prstGeom>
      </xdr:spPr>
    </xdr:pic>
  </etc:cellImage>
  <etc:cellImage>
    <xdr:pic>
      <xdr:nvPicPr>
        <xdr:cNvPr id="470" name="ID_B7F470084B4940CBBF67BF60A043E6F0"/>
        <xdr:cNvPicPr/>
      </xdr:nvPicPr>
      <xdr:blipFill>
        <a:blip r:link="rId469"/>
        <a:stretch>
          <a:fillRect/>
        </a:stretch>
      </xdr:blipFill>
      <xdr:spPr>
        <a:xfrm>
          <a:off x="0" y="0"/>
          <a:ext cx="7143750" cy="10287000"/>
        </a:xfrm>
        <a:prstGeom prst="rect">
          <a:avLst/>
        </a:prstGeom>
      </xdr:spPr>
    </xdr:pic>
  </etc:cellImage>
  <etc:cellImage>
    <xdr:pic>
      <xdr:nvPicPr>
        <xdr:cNvPr id="471" name="ID_B41ADE81115D4115B428E62357BC8F70"/>
        <xdr:cNvPicPr/>
      </xdr:nvPicPr>
      <xdr:blipFill>
        <a:blip r:link="rId470"/>
        <a:stretch>
          <a:fillRect/>
        </a:stretch>
      </xdr:blipFill>
      <xdr:spPr>
        <a:xfrm>
          <a:off x="0" y="0"/>
          <a:ext cx="7143750" cy="9372600"/>
        </a:xfrm>
        <a:prstGeom prst="rect">
          <a:avLst/>
        </a:prstGeom>
      </xdr:spPr>
    </xdr:pic>
  </etc:cellImage>
  <etc:cellImage>
    <xdr:pic>
      <xdr:nvPicPr>
        <xdr:cNvPr id="472" name="ID_0C4C873C986C4E8A8DE913748576F208"/>
        <xdr:cNvPicPr/>
      </xdr:nvPicPr>
      <xdr:blipFill>
        <a:blip r:link="rId471"/>
        <a:stretch>
          <a:fillRect/>
        </a:stretch>
      </xdr:blipFill>
      <xdr:spPr>
        <a:xfrm>
          <a:off x="0" y="0"/>
          <a:ext cx="7143750" cy="10001250"/>
        </a:xfrm>
        <a:prstGeom prst="rect">
          <a:avLst/>
        </a:prstGeom>
      </xdr:spPr>
    </xdr:pic>
  </etc:cellImage>
  <etc:cellImage>
    <xdr:pic>
      <xdr:nvPicPr>
        <xdr:cNvPr id="473" name="ID_C2F02D4F7B2D4545A16075F83680F752"/>
        <xdr:cNvPicPr/>
      </xdr:nvPicPr>
      <xdr:blipFill>
        <a:blip r:link="rId472"/>
        <a:stretch>
          <a:fillRect/>
        </a:stretch>
      </xdr:blipFill>
      <xdr:spPr>
        <a:xfrm>
          <a:off x="0" y="0"/>
          <a:ext cx="7143750" cy="9839325"/>
        </a:xfrm>
        <a:prstGeom prst="rect">
          <a:avLst/>
        </a:prstGeom>
      </xdr:spPr>
    </xdr:pic>
  </etc:cellImage>
  <etc:cellImage>
    <xdr:pic>
      <xdr:nvPicPr>
        <xdr:cNvPr id="474" name="ID_2E7FF83B7D12427491B1BA1300A2CD7A"/>
        <xdr:cNvPicPr/>
      </xdr:nvPicPr>
      <xdr:blipFill>
        <a:blip r:link="rId473"/>
        <a:stretch>
          <a:fillRect/>
        </a:stretch>
      </xdr:blipFill>
      <xdr:spPr>
        <a:xfrm>
          <a:off x="0" y="0"/>
          <a:ext cx="7143750" cy="10382250"/>
        </a:xfrm>
        <a:prstGeom prst="rect">
          <a:avLst/>
        </a:prstGeom>
      </xdr:spPr>
    </xdr:pic>
  </etc:cellImage>
  <etc:cellImage>
    <xdr:pic>
      <xdr:nvPicPr>
        <xdr:cNvPr id="475" name="ID_CF1C1431032D4C21956EAEFBC2630095"/>
        <xdr:cNvPicPr/>
      </xdr:nvPicPr>
      <xdr:blipFill>
        <a:blip r:link="rId474"/>
        <a:stretch>
          <a:fillRect/>
        </a:stretch>
      </xdr:blipFill>
      <xdr:spPr>
        <a:xfrm>
          <a:off x="0" y="0"/>
          <a:ext cx="7143750" cy="9982200"/>
        </a:xfrm>
        <a:prstGeom prst="rect">
          <a:avLst/>
        </a:prstGeom>
      </xdr:spPr>
    </xdr:pic>
  </etc:cellImage>
  <etc:cellImage>
    <xdr:pic>
      <xdr:nvPicPr>
        <xdr:cNvPr id="476" name="ID_D2BC3DB6B6B24D07A1729D0ECE731594"/>
        <xdr:cNvPicPr/>
      </xdr:nvPicPr>
      <xdr:blipFill>
        <a:blip r:link="rId475"/>
        <a:stretch>
          <a:fillRect/>
        </a:stretch>
      </xdr:blipFill>
      <xdr:spPr>
        <a:xfrm>
          <a:off x="0" y="0"/>
          <a:ext cx="7143750" cy="10001250"/>
        </a:xfrm>
        <a:prstGeom prst="rect">
          <a:avLst/>
        </a:prstGeom>
      </xdr:spPr>
    </xdr:pic>
  </etc:cellImage>
  <etc:cellImage>
    <xdr:pic>
      <xdr:nvPicPr>
        <xdr:cNvPr id="477" name="ID_7E3A3C48C46B4922B18A5C2AD1587AC0"/>
        <xdr:cNvPicPr/>
      </xdr:nvPicPr>
      <xdr:blipFill>
        <a:blip r:link="rId476"/>
        <a:stretch>
          <a:fillRect/>
        </a:stretch>
      </xdr:blipFill>
      <xdr:spPr>
        <a:xfrm>
          <a:off x="0" y="0"/>
          <a:ext cx="7143750" cy="7143750"/>
        </a:xfrm>
        <a:prstGeom prst="rect">
          <a:avLst/>
        </a:prstGeom>
      </xdr:spPr>
    </xdr:pic>
  </etc:cellImage>
  <etc:cellImage>
    <xdr:pic>
      <xdr:nvPicPr>
        <xdr:cNvPr id="478" name="ID_B80DCC3A028B4FB2A6977287EC2BFAD8"/>
        <xdr:cNvPicPr/>
      </xdr:nvPicPr>
      <xdr:blipFill>
        <a:blip r:link="rId477"/>
        <a:stretch>
          <a:fillRect/>
        </a:stretch>
      </xdr:blipFill>
      <xdr:spPr>
        <a:xfrm>
          <a:off x="0" y="0"/>
          <a:ext cx="7143750" cy="10001250"/>
        </a:xfrm>
        <a:prstGeom prst="rect">
          <a:avLst/>
        </a:prstGeom>
      </xdr:spPr>
    </xdr:pic>
  </etc:cellImage>
  <etc:cellImage>
    <xdr:pic>
      <xdr:nvPicPr>
        <xdr:cNvPr id="479" name="ID_958C237DE20E4119882FD97115456597"/>
        <xdr:cNvPicPr/>
      </xdr:nvPicPr>
      <xdr:blipFill>
        <a:blip r:link="rId478"/>
        <a:stretch>
          <a:fillRect/>
        </a:stretch>
      </xdr:blipFill>
      <xdr:spPr>
        <a:xfrm>
          <a:off x="0" y="0"/>
          <a:ext cx="7143750" cy="7143750"/>
        </a:xfrm>
        <a:prstGeom prst="rect">
          <a:avLst/>
        </a:prstGeom>
      </xdr:spPr>
    </xdr:pic>
  </etc:cellImage>
  <etc:cellImage>
    <xdr:pic>
      <xdr:nvPicPr>
        <xdr:cNvPr id="480" name="ID_E15E0A7D91AC4C3983241BCD063880D6"/>
        <xdr:cNvPicPr/>
      </xdr:nvPicPr>
      <xdr:blipFill>
        <a:blip r:link="rId479"/>
        <a:stretch>
          <a:fillRect/>
        </a:stretch>
      </xdr:blipFill>
      <xdr:spPr>
        <a:xfrm>
          <a:off x="0" y="0"/>
          <a:ext cx="7143750" cy="9610725"/>
        </a:xfrm>
        <a:prstGeom prst="rect">
          <a:avLst/>
        </a:prstGeom>
      </xdr:spPr>
    </xdr:pic>
  </etc:cellImage>
  <etc:cellImage>
    <xdr:pic>
      <xdr:nvPicPr>
        <xdr:cNvPr id="481" name="ID_F12BD6FEE7C74060A499738E5A967A51"/>
        <xdr:cNvPicPr/>
      </xdr:nvPicPr>
      <xdr:blipFill>
        <a:blip r:link="rId480"/>
        <a:stretch>
          <a:fillRect/>
        </a:stretch>
      </xdr:blipFill>
      <xdr:spPr>
        <a:xfrm>
          <a:off x="0" y="0"/>
          <a:ext cx="7143750" cy="10001250"/>
        </a:xfrm>
        <a:prstGeom prst="rect">
          <a:avLst/>
        </a:prstGeom>
      </xdr:spPr>
    </xdr:pic>
  </etc:cellImage>
  <etc:cellImage>
    <xdr:pic>
      <xdr:nvPicPr>
        <xdr:cNvPr id="482" name="ID_0F27C17184DB40E4ADCCEAF2E242F8D5"/>
        <xdr:cNvPicPr/>
      </xdr:nvPicPr>
      <xdr:blipFill>
        <a:blip r:link="rId481"/>
        <a:stretch>
          <a:fillRect/>
        </a:stretch>
      </xdr:blipFill>
      <xdr:spPr>
        <a:xfrm>
          <a:off x="0" y="0"/>
          <a:ext cx="7143750" cy="10001250"/>
        </a:xfrm>
        <a:prstGeom prst="rect">
          <a:avLst/>
        </a:prstGeom>
      </xdr:spPr>
    </xdr:pic>
  </etc:cellImage>
  <etc:cellImage>
    <xdr:pic>
      <xdr:nvPicPr>
        <xdr:cNvPr id="483" name="ID_34928AEB616641BE854DC3D58FC2EECD"/>
        <xdr:cNvPicPr/>
      </xdr:nvPicPr>
      <xdr:blipFill>
        <a:blip r:link="rId482"/>
        <a:stretch>
          <a:fillRect/>
        </a:stretch>
      </xdr:blipFill>
      <xdr:spPr>
        <a:xfrm>
          <a:off x="0" y="0"/>
          <a:ext cx="7143750" cy="9525000"/>
        </a:xfrm>
        <a:prstGeom prst="rect">
          <a:avLst/>
        </a:prstGeom>
      </xdr:spPr>
    </xdr:pic>
  </etc:cellImage>
  <etc:cellImage>
    <xdr:pic>
      <xdr:nvPicPr>
        <xdr:cNvPr id="484" name="ID_0D39E07DE3FA4F1EAFE382357648332E"/>
        <xdr:cNvPicPr/>
      </xdr:nvPicPr>
      <xdr:blipFill>
        <a:blip r:link="rId483"/>
        <a:stretch>
          <a:fillRect/>
        </a:stretch>
      </xdr:blipFill>
      <xdr:spPr>
        <a:xfrm>
          <a:off x="0" y="0"/>
          <a:ext cx="7143750" cy="10001250"/>
        </a:xfrm>
        <a:prstGeom prst="rect">
          <a:avLst/>
        </a:prstGeom>
      </xdr:spPr>
    </xdr:pic>
  </etc:cellImage>
  <etc:cellImage>
    <xdr:pic>
      <xdr:nvPicPr>
        <xdr:cNvPr id="485" name="ID_84872379004C4F22BC15C75702A4DBC9"/>
        <xdr:cNvPicPr/>
      </xdr:nvPicPr>
      <xdr:blipFill>
        <a:blip r:link="rId484"/>
        <a:stretch>
          <a:fillRect/>
        </a:stretch>
      </xdr:blipFill>
      <xdr:spPr>
        <a:xfrm>
          <a:off x="0" y="0"/>
          <a:ext cx="7143750" cy="10782300"/>
        </a:xfrm>
        <a:prstGeom prst="rect">
          <a:avLst/>
        </a:prstGeom>
      </xdr:spPr>
    </xdr:pic>
  </etc:cellImage>
  <etc:cellImage>
    <xdr:pic>
      <xdr:nvPicPr>
        <xdr:cNvPr id="486" name="ID_8CF8C6C0A559454996AB6FB606BDA1DD"/>
        <xdr:cNvPicPr/>
      </xdr:nvPicPr>
      <xdr:blipFill>
        <a:blip r:link="rId485"/>
        <a:stretch>
          <a:fillRect/>
        </a:stretch>
      </xdr:blipFill>
      <xdr:spPr>
        <a:xfrm>
          <a:off x="0" y="0"/>
          <a:ext cx="7143750" cy="10001250"/>
        </a:xfrm>
        <a:prstGeom prst="rect">
          <a:avLst/>
        </a:prstGeom>
      </xdr:spPr>
    </xdr:pic>
  </etc:cellImage>
  <etc:cellImage>
    <xdr:pic>
      <xdr:nvPicPr>
        <xdr:cNvPr id="487" name="ID_60BA691C89BB46A3A629500DC48B1B82"/>
        <xdr:cNvPicPr/>
      </xdr:nvPicPr>
      <xdr:blipFill>
        <a:blip r:link="rId486"/>
        <a:stretch>
          <a:fillRect/>
        </a:stretch>
      </xdr:blipFill>
      <xdr:spPr>
        <a:xfrm>
          <a:off x="0" y="0"/>
          <a:ext cx="7143750" cy="10706100"/>
        </a:xfrm>
        <a:prstGeom prst="rect">
          <a:avLst/>
        </a:prstGeom>
      </xdr:spPr>
    </xdr:pic>
  </etc:cellImage>
  <etc:cellImage>
    <xdr:pic>
      <xdr:nvPicPr>
        <xdr:cNvPr id="488" name="ID_707B86616C5E4D0A96852FA2ECC7652E"/>
        <xdr:cNvPicPr/>
      </xdr:nvPicPr>
      <xdr:blipFill>
        <a:blip r:link="rId487"/>
        <a:stretch>
          <a:fillRect/>
        </a:stretch>
      </xdr:blipFill>
      <xdr:spPr>
        <a:xfrm>
          <a:off x="0" y="0"/>
          <a:ext cx="7143750" cy="9525000"/>
        </a:xfrm>
        <a:prstGeom prst="rect">
          <a:avLst/>
        </a:prstGeom>
      </xdr:spPr>
    </xdr:pic>
  </etc:cellImage>
  <etc:cellImage>
    <xdr:pic>
      <xdr:nvPicPr>
        <xdr:cNvPr id="489" name="ID_3C6B462D1CF047DC951D0874F80418DC"/>
        <xdr:cNvPicPr/>
      </xdr:nvPicPr>
      <xdr:blipFill>
        <a:blip r:link="rId488"/>
        <a:stretch>
          <a:fillRect/>
        </a:stretch>
      </xdr:blipFill>
      <xdr:spPr>
        <a:xfrm>
          <a:off x="0" y="0"/>
          <a:ext cx="7143750" cy="10001250"/>
        </a:xfrm>
        <a:prstGeom prst="rect">
          <a:avLst/>
        </a:prstGeom>
      </xdr:spPr>
    </xdr:pic>
  </etc:cellImage>
  <etc:cellImage>
    <xdr:pic>
      <xdr:nvPicPr>
        <xdr:cNvPr id="490" name="ID_2410E866E9B946F380BB65E1492A0355"/>
        <xdr:cNvPicPr/>
      </xdr:nvPicPr>
      <xdr:blipFill>
        <a:blip r:link="rId489"/>
        <a:stretch>
          <a:fillRect/>
        </a:stretch>
      </xdr:blipFill>
      <xdr:spPr>
        <a:xfrm>
          <a:off x="0" y="0"/>
          <a:ext cx="7143750" cy="9525000"/>
        </a:xfrm>
        <a:prstGeom prst="rect">
          <a:avLst/>
        </a:prstGeom>
      </xdr:spPr>
    </xdr:pic>
  </etc:cellImage>
  <etc:cellImage>
    <xdr:pic>
      <xdr:nvPicPr>
        <xdr:cNvPr id="491" name="ID_BC241117C250469C89F85CEC4B64E8AA"/>
        <xdr:cNvPicPr/>
      </xdr:nvPicPr>
      <xdr:blipFill>
        <a:blip r:link="rId490"/>
        <a:stretch>
          <a:fillRect/>
        </a:stretch>
      </xdr:blipFill>
      <xdr:spPr>
        <a:xfrm>
          <a:off x="0" y="0"/>
          <a:ext cx="7143750" cy="10001250"/>
        </a:xfrm>
        <a:prstGeom prst="rect">
          <a:avLst/>
        </a:prstGeom>
      </xdr:spPr>
    </xdr:pic>
  </etc:cellImage>
  <etc:cellImage>
    <xdr:pic>
      <xdr:nvPicPr>
        <xdr:cNvPr id="492" name="ID_9F8C123E434549AABE94648B98FC4902"/>
        <xdr:cNvPicPr/>
      </xdr:nvPicPr>
      <xdr:blipFill>
        <a:blip r:link="rId491"/>
        <a:stretch>
          <a:fillRect/>
        </a:stretch>
      </xdr:blipFill>
      <xdr:spPr>
        <a:xfrm>
          <a:off x="0" y="0"/>
          <a:ext cx="7143750" cy="10001250"/>
        </a:xfrm>
        <a:prstGeom prst="rect">
          <a:avLst/>
        </a:prstGeom>
      </xdr:spPr>
    </xdr:pic>
  </etc:cellImage>
  <etc:cellImage>
    <xdr:pic>
      <xdr:nvPicPr>
        <xdr:cNvPr id="493" name="ID_2CCA277749F14624BD11838DCC078340"/>
        <xdr:cNvPicPr/>
      </xdr:nvPicPr>
      <xdr:blipFill>
        <a:blip r:link="rId492"/>
        <a:stretch>
          <a:fillRect/>
        </a:stretch>
      </xdr:blipFill>
      <xdr:spPr>
        <a:xfrm>
          <a:off x="0" y="0"/>
          <a:ext cx="7143750" cy="11353800"/>
        </a:xfrm>
        <a:prstGeom prst="rect">
          <a:avLst/>
        </a:prstGeom>
      </xdr:spPr>
    </xdr:pic>
  </etc:cellImage>
  <etc:cellImage>
    <xdr:pic>
      <xdr:nvPicPr>
        <xdr:cNvPr id="494" name="ID_64C458B5785C4AE8B3EB4D932C0866CC"/>
        <xdr:cNvPicPr/>
      </xdr:nvPicPr>
      <xdr:blipFill>
        <a:blip r:link="rId493"/>
        <a:stretch>
          <a:fillRect/>
        </a:stretch>
      </xdr:blipFill>
      <xdr:spPr>
        <a:xfrm>
          <a:off x="0" y="0"/>
          <a:ext cx="7143750" cy="10001250"/>
        </a:xfrm>
        <a:prstGeom prst="rect">
          <a:avLst/>
        </a:prstGeom>
      </xdr:spPr>
    </xdr:pic>
  </etc:cellImage>
  <etc:cellImage>
    <xdr:pic>
      <xdr:nvPicPr>
        <xdr:cNvPr id="495" name="ID_514B3145E6BD4A2498C42CFECAEF98E2"/>
        <xdr:cNvPicPr/>
      </xdr:nvPicPr>
      <xdr:blipFill>
        <a:blip r:link="rId494"/>
        <a:stretch>
          <a:fillRect/>
        </a:stretch>
      </xdr:blipFill>
      <xdr:spPr>
        <a:xfrm>
          <a:off x="0" y="0"/>
          <a:ext cx="7143750" cy="9886950"/>
        </a:xfrm>
        <a:prstGeom prst="rect">
          <a:avLst/>
        </a:prstGeom>
      </xdr:spPr>
    </xdr:pic>
  </etc:cellImage>
  <etc:cellImage>
    <xdr:pic>
      <xdr:nvPicPr>
        <xdr:cNvPr id="496" name="ID_FD6A12B7DDFB4497A1625AEB18B6C93E"/>
        <xdr:cNvPicPr/>
      </xdr:nvPicPr>
      <xdr:blipFill>
        <a:blip r:link="rId495"/>
        <a:stretch>
          <a:fillRect/>
        </a:stretch>
      </xdr:blipFill>
      <xdr:spPr>
        <a:xfrm>
          <a:off x="0" y="0"/>
          <a:ext cx="7143750" cy="10001250"/>
        </a:xfrm>
        <a:prstGeom prst="rect">
          <a:avLst/>
        </a:prstGeom>
      </xdr:spPr>
    </xdr:pic>
  </etc:cellImage>
  <etc:cellImage>
    <xdr:pic>
      <xdr:nvPicPr>
        <xdr:cNvPr id="497" name="ID_5F49521312D540BAA0750C7E0D3B723B"/>
        <xdr:cNvPicPr/>
      </xdr:nvPicPr>
      <xdr:blipFill>
        <a:blip r:link="rId496"/>
        <a:stretch>
          <a:fillRect/>
        </a:stretch>
      </xdr:blipFill>
      <xdr:spPr>
        <a:xfrm>
          <a:off x="0" y="0"/>
          <a:ext cx="7143750" cy="10058400"/>
        </a:xfrm>
        <a:prstGeom prst="rect">
          <a:avLst/>
        </a:prstGeom>
      </xdr:spPr>
    </xdr:pic>
  </etc:cellImage>
  <etc:cellImage>
    <xdr:pic>
      <xdr:nvPicPr>
        <xdr:cNvPr id="498" name="ID_997BB006A29449FB8D35751C6152A872"/>
        <xdr:cNvPicPr/>
      </xdr:nvPicPr>
      <xdr:blipFill>
        <a:blip r:link="rId497"/>
        <a:stretch>
          <a:fillRect/>
        </a:stretch>
      </xdr:blipFill>
      <xdr:spPr>
        <a:xfrm>
          <a:off x="0" y="0"/>
          <a:ext cx="7143750" cy="10001250"/>
        </a:xfrm>
        <a:prstGeom prst="rect">
          <a:avLst/>
        </a:prstGeom>
      </xdr:spPr>
    </xdr:pic>
  </etc:cellImage>
  <etc:cellImage>
    <xdr:pic>
      <xdr:nvPicPr>
        <xdr:cNvPr id="499" name="ID_C25C6B154C2847C9934F6981B40FCD0C"/>
        <xdr:cNvPicPr/>
      </xdr:nvPicPr>
      <xdr:blipFill>
        <a:blip r:link="rId498"/>
        <a:stretch>
          <a:fillRect/>
        </a:stretch>
      </xdr:blipFill>
      <xdr:spPr>
        <a:xfrm>
          <a:off x="0" y="0"/>
          <a:ext cx="7143750" cy="7972425"/>
        </a:xfrm>
        <a:prstGeom prst="rect">
          <a:avLst/>
        </a:prstGeom>
      </xdr:spPr>
    </xdr:pic>
  </etc:cellImage>
  <etc:cellImage>
    <xdr:pic>
      <xdr:nvPicPr>
        <xdr:cNvPr id="500" name="ID_B16A7073492C47F799EB61B1BAB98F3E"/>
        <xdr:cNvPicPr/>
      </xdr:nvPicPr>
      <xdr:blipFill>
        <a:blip r:link="rId499"/>
        <a:stretch>
          <a:fillRect/>
        </a:stretch>
      </xdr:blipFill>
      <xdr:spPr>
        <a:xfrm>
          <a:off x="0" y="0"/>
          <a:ext cx="7143750" cy="9982200"/>
        </a:xfrm>
        <a:prstGeom prst="rect">
          <a:avLst/>
        </a:prstGeom>
      </xdr:spPr>
    </xdr:pic>
  </etc:cellImage>
  <etc:cellImage>
    <xdr:pic>
      <xdr:nvPicPr>
        <xdr:cNvPr id="501" name="ID_41FDB18DF8F04859BBDC981BC12AE5F4"/>
        <xdr:cNvPicPr/>
      </xdr:nvPicPr>
      <xdr:blipFill>
        <a:blip r:link="rId500"/>
        <a:stretch>
          <a:fillRect/>
        </a:stretch>
      </xdr:blipFill>
      <xdr:spPr>
        <a:xfrm>
          <a:off x="0" y="0"/>
          <a:ext cx="7143750" cy="10706100"/>
        </a:xfrm>
        <a:prstGeom prst="rect">
          <a:avLst/>
        </a:prstGeom>
      </xdr:spPr>
    </xdr:pic>
  </etc:cellImage>
  <etc:cellImage>
    <xdr:pic>
      <xdr:nvPicPr>
        <xdr:cNvPr id="502" name="ID_78A88502741143D5850B496E71BE5DA0"/>
        <xdr:cNvPicPr/>
      </xdr:nvPicPr>
      <xdr:blipFill>
        <a:blip r:link="rId501"/>
        <a:stretch>
          <a:fillRect/>
        </a:stretch>
      </xdr:blipFill>
      <xdr:spPr>
        <a:xfrm>
          <a:off x="0" y="0"/>
          <a:ext cx="7143750" cy="9525000"/>
        </a:xfrm>
        <a:prstGeom prst="rect">
          <a:avLst/>
        </a:prstGeom>
      </xdr:spPr>
    </xdr:pic>
  </etc:cellImage>
  <etc:cellImage>
    <xdr:pic>
      <xdr:nvPicPr>
        <xdr:cNvPr id="503" name="ID_8B0AF6F7619941E4B32785C8E970DA4D"/>
        <xdr:cNvPicPr/>
      </xdr:nvPicPr>
      <xdr:blipFill>
        <a:blip r:link="rId502"/>
        <a:stretch>
          <a:fillRect/>
        </a:stretch>
      </xdr:blipFill>
      <xdr:spPr>
        <a:xfrm>
          <a:off x="0" y="0"/>
          <a:ext cx="7143750" cy="9648825"/>
        </a:xfrm>
        <a:prstGeom prst="rect">
          <a:avLst/>
        </a:prstGeom>
      </xdr:spPr>
    </xdr:pic>
  </etc:cellImage>
  <etc:cellImage>
    <xdr:pic>
      <xdr:nvPicPr>
        <xdr:cNvPr id="504" name="ID_B3E8781AF7454377842FD7EC53A6E781"/>
        <xdr:cNvPicPr/>
      </xdr:nvPicPr>
      <xdr:blipFill>
        <a:blip r:link="rId503"/>
        <a:stretch>
          <a:fillRect/>
        </a:stretch>
      </xdr:blipFill>
      <xdr:spPr>
        <a:xfrm>
          <a:off x="0" y="0"/>
          <a:ext cx="7143750" cy="10210800"/>
        </a:xfrm>
        <a:prstGeom prst="rect">
          <a:avLst/>
        </a:prstGeom>
      </xdr:spPr>
    </xdr:pic>
  </etc:cellImage>
  <etc:cellImage>
    <xdr:pic>
      <xdr:nvPicPr>
        <xdr:cNvPr id="505" name="ID_31DA0D5E67EC49E4A7DA2145DC608874"/>
        <xdr:cNvPicPr/>
      </xdr:nvPicPr>
      <xdr:blipFill>
        <a:blip r:link="rId504"/>
        <a:stretch>
          <a:fillRect/>
        </a:stretch>
      </xdr:blipFill>
      <xdr:spPr>
        <a:xfrm>
          <a:off x="0" y="0"/>
          <a:ext cx="7143750" cy="10001250"/>
        </a:xfrm>
        <a:prstGeom prst="rect">
          <a:avLst/>
        </a:prstGeom>
      </xdr:spPr>
    </xdr:pic>
  </etc:cellImage>
  <etc:cellImage>
    <xdr:pic>
      <xdr:nvPicPr>
        <xdr:cNvPr id="506" name="ID_35E61F5727C7442282FC0637F60D57FC"/>
        <xdr:cNvPicPr/>
      </xdr:nvPicPr>
      <xdr:blipFill>
        <a:blip r:link="rId505"/>
        <a:stretch>
          <a:fillRect/>
        </a:stretch>
      </xdr:blipFill>
      <xdr:spPr>
        <a:xfrm>
          <a:off x="0" y="0"/>
          <a:ext cx="7143750" cy="9848850"/>
        </a:xfrm>
        <a:prstGeom prst="rect">
          <a:avLst/>
        </a:prstGeom>
      </xdr:spPr>
    </xdr:pic>
  </etc:cellImage>
  <etc:cellImage>
    <xdr:pic>
      <xdr:nvPicPr>
        <xdr:cNvPr id="507" name="ID_B1F0BA2C377444B08B7692E1B53E42C5"/>
        <xdr:cNvPicPr/>
      </xdr:nvPicPr>
      <xdr:blipFill>
        <a:blip r:link="rId506"/>
        <a:stretch>
          <a:fillRect/>
        </a:stretch>
      </xdr:blipFill>
      <xdr:spPr>
        <a:xfrm>
          <a:off x="0" y="0"/>
          <a:ext cx="7143750" cy="10001250"/>
        </a:xfrm>
        <a:prstGeom prst="rect">
          <a:avLst/>
        </a:prstGeom>
      </xdr:spPr>
    </xdr:pic>
  </etc:cellImage>
  <etc:cellImage>
    <xdr:pic>
      <xdr:nvPicPr>
        <xdr:cNvPr id="508" name="ID_410BA329CDB34577BE3D2E13C6D8589F"/>
        <xdr:cNvPicPr/>
      </xdr:nvPicPr>
      <xdr:blipFill>
        <a:blip r:link="rId507"/>
        <a:stretch>
          <a:fillRect/>
        </a:stretch>
      </xdr:blipFill>
      <xdr:spPr>
        <a:xfrm>
          <a:off x="0" y="0"/>
          <a:ext cx="7143750" cy="10001250"/>
        </a:xfrm>
        <a:prstGeom prst="rect">
          <a:avLst/>
        </a:prstGeom>
      </xdr:spPr>
    </xdr:pic>
  </etc:cellImage>
  <etc:cellImage>
    <xdr:pic>
      <xdr:nvPicPr>
        <xdr:cNvPr id="509" name="ID_4B6C2F7765194334A42FC9F1088827FE"/>
        <xdr:cNvPicPr/>
      </xdr:nvPicPr>
      <xdr:blipFill>
        <a:blip r:link="rId508"/>
        <a:stretch>
          <a:fillRect/>
        </a:stretch>
      </xdr:blipFill>
      <xdr:spPr>
        <a:xfrm>
          <a:off x="0" y="0"/>
          <a:ext cx="7143750" cy="9982200"/>
        </a:xfrm>
        <a:prstGeom prst="rect">
          <a:avLst/>
        </a:prstGeom>
      </xdr:spPr>
    </xdr:pic>
  </etc:cellImage>
  <etc:cellImage>
    <xdr:pic>
      <xdr:nvPicPr>
        <xdr:cNvPr id="510" name="ID_678965A481D64CEABA15E59CA2B84698"/>
        <xdr:cNvPicPr/>
      </xdr:nvPicPr>
      <xdr:blipFill>
        <a:blip r:link="rId509"/>
        <a:stretch>
          <a:fillRect/>
        </a:stretch>
      </xdr:blipFill>
      <xdr:spPr>
        <a:xfrm>
          <a:off x="0" y="0"/>
          <a:ext cx="7143750" cy="9525000"/>
        </a:xfrm>
        <a:prstGeom prst="rect">
          <a:avLst/>
        </a:prstGeom>
      </xdr:spPr>
    </xdr:pic>
  </etc:cellImage>
  <etc:cellImage>
    <xdr:pic>
      <xdr:nvPicPr>
        <xdr:cNvPr id="511" name="ID_4D845800D3864A2B99D106DDD9FD3F5D"/>
        <xdr:cNvPicPr/>
      </xdr:nvPicPr>
      <xdr:blipFill>
        <a:blip r:link="rId510"/>
        <a:stretch>
          <a:fillRect/>
        </a:stretch>
      </xdr:blipFill>
      <xdr:spPr>
        <a:xfrm>
          <a:off x="0" y="0"/>
          <a:ext cx="7143750" cy="9705975"/>
        </a:xfrm>
        <a:prstGeom prst="rect">
          <a:avLst/>
        </a:prstGeom>
      </xdr:spPr>
    </xdr:pic>
  </etc:cellImage>
  <etc:cellImage>
    <xdr:pic>
      <xdr:nvPicPr>
        <xdr:cNvPr id="512" name="ID_25A2772C2A4349D4AAD4F2B8F942612C"/>
        <xdr:cNvPicPr/>
      </xdr:nvPicPr>
      <xdr:blipFill>
        <a:blip r:link="rId511"/>
        <a:stretch>
          <a:fillRect/>
        </a:stretch>
      </xdr:blipFill>
      <xdr:spPr>
        <a:xfrm>
          <a:off x="0" y="0"/>
          <a:ext cx="7143750" cy="10001250"/>
        </a:xfrm>
        <a:prstGeom prst="rect">
          <a:avLst/>
        </a:prstGeom>
      </xdr:spPr>
    </xdr:pic>
  </etc:cellImage>
  <etc:cellImage>
    <xdr:pic>
      <xdr:nvPicPr>
        <xdr:cNvPr id="513" name="ID_5DC4628448F54176A5FF91EC25B128F5"/>
        <xdr:cNvPicPr/>
      </xdr:nvPicPr>
      <xdr:blipFill>
        <a:blip r:link="rId512"/>
        <a:stretch>
          <a:fillRect/>
        </a:stretch>
      </xdr:blipFill>
      <xdr:spPr>
        <a:xfrm>
          <a:off x="0" y="0"/>
          <a:ext cx="7143750" cy="9525000"/>
        </a:xfrm>
        <a:prstGeom prst="rect">
          <a:avLst/>
        </a:prstGeom>
      </xdr:spPr>
    </xdr:pic>
  </etc:cellImage>
  <etc:cellImage>
    <xdr:pic>
      <xdr:nvPicPr>
        <xdr:cNvPr id="514" name="ID_D924765B597248FDA57FB5DFF006BD17"/>
        <xdr:cNvPicPr/>
      </xdr:nvPicPr>
      <xdr:blipFill>
        <a:blip r:link="rId513"/>
        <a:stretch>
          <a:fillRect/>
        </a:stretch>
      </xdr:blipFill>
      <xdr:spPr>
        <a:xfrm>
          <a:off x="0" y="0"/>
          <a:ext cx="7143750" cy="10706100"/>
        </a:xfrm>
        <a:prstGeom prst="rect">
          <a:avLst/>
        </a:prstGeom>
      </xdr:spPr>
    </xdr:pic>
  </etc:cellImage>
  <etc:cellImage>
    <xdr:pic>
      <xdr:nvPicPr>
        <xdr:cNvPr id="515" name="ID_9ECCE1798899427AA809C16B6659E359"/>
        <xdr:cNvPicPr/>
      </xdr:nvPicPr>
      <xdr:blipFill>
        <a:blip r:link="rId514"/>
        <a:stretch>
          <a:fillRect/>
        </a:stretch>
      </xdr:blipFill>
      <xdr:spPr>
        <a:xfrm>
          <a:off x="0" y="0"/>
          <a:ext cx="7143750" cy="10001250"/>
        </a:xfrm>
        <a:prstGeom prst="rect">
          <a:avLst/>
        </a:prstGeom>
      </xdr:spPr>
    </xdr:pic>
  </etc:cellImage>
  <etc:cellImage>
    <xdr:pic>
      <xdr:nvPicPr>
        <xdr:cNvPr id="516" name="ID_699B420D06BD4D209FB40A52E07C758F"/>
        <xdr:cNvPicPr/>
      </xdr:nvPicPr>
      <xdr:blipFill>
        <a:blip r:link="rId515"/>
        <a:stretch>
          <a:fillRect/>
        </a:stretch>
      </xdr:blipFill>
      <xdr:spPr>
        <a:xfrm>
          <a:off x="0" y="0"/>
          <a:ext cx="7143750" cy="9391650"/>
        </a:xfrm>
        <a:prstGeom prst="rect">
          <a:avLst/>
        </a:prstGeom>
      </xdr:spPr>
    </xdr:pic>
  </etc:cellImage>
  <etc:cellImage>
    <xdr:pic>
      <xdr:nvPicPr>
        <xdr:cNvPr id="517" name="ID_5240EB7A8E6D4B1A8B52378BBD0117F8"/>
        <xdr:cNvPicPr/>
      </xdr:nvPicPr>
      <xdr:blipFill>
        <a:blip r:link="rId516"/>
        <a:stretch>
          <a:fillRect/>
        </a:stretch>
      </xdr:blipFill>
      <xdr:spPr>
        <a:xfrm>
          <a:off x="0" y="0"/>
          <a:ext cx="7143750" cy="10001250"/>
        </a:xfrm>
        <a:prstGeom prst="rect">
          <a:avLst/>
        </a:prstGeom>
      </xdr:spPr>
    </xdr:pic>
  </etc:cellImage>
  <etc:cellImage>
    <xdr:pic>
      <xdr:nvPicPr>
        <xdr:cNvPr id="518" name="ID_C5311387C2FF404D8FA717D4979E175B"/>
        <xdr:cNvPicPr/>
      </xdr:nvPicPr>
      <xdr:blipFill>
        <a:blip r:link="rId517"/>
        <a:stretch>
          <a:fillRect/>
        </a:stretch>
      </xdr:blipFill>
      <xdr:spPr>
        <a:xfrm>
          <a:off x="0" y="0"/>
          <a:ext cx="7143750" cy="10715625"/>
        </a:xfrm>
        <a:prstGeom prst="rect">
          <a:avLst/>
        </a:prstGeom>
      </xdr:spPr>
    </xdr:pic>
  </etc:cellImage>
  <etc:cellImage>
    <xdr:pic>
      <xdr:nvPicPr>
        <xdr:cNvPr id="519" name="ID_9B43E41106094708AAB8E2C3D51BAF21"/>
        <xdr:cNvPicPr/>
      </xdr:nvPicPr>
      <xdr:blipFill>
        <a:blip r:link="rId518"/>
        <a:stretch>
          <a:fillRect/>
        </a:stretch>
      </xdr:blipFill>
      <xdr:spPr>
        <a:xfrm>
          <a:off x="0" y="0"/>
          <a:ext cx="7143750" cy="10182225"/>
        </a:xfrm>
        <a:prstGeom prst="rect">
          <a:avLst/>
        </a:prstGeom>
      </xdr:spPr>
    </xdr:pic>
  </etc:cellImage>
  <etc:cellImage>
    <xdr:pic>
      <xdr:nvPicPr>
        <xdr:cNvPr id="520" name="ID_AF2EA5B71B5B4904B17F83B386FDD8B5"/>
        <xdr:cNvPicPr/>
      </xdr:nvPicPr>
      <xdr:blipFill>
        <a:blip r:link="rId519"/>
        <a:stretch>
          <a:fillRect/>
        </a:stretch>
      </xdr:blipFill>
      <xdr:spPr>
        <a:xfrm>
          <a:off x="0" y="0"/>
          <a:ext cx="7143750" cy="10058400"/>
        </a:xfrm>
        <a:prstGeom prst="rect">
          <a:avLst/>
        </a:prstGeom>
      </xdr:spPr>
    </xdr:pic>
  </etc:cellImage>
  <etc:cellImage>
    <xdr:pic>
      <xdr:nvPicPr>
        <xdr:cNvPr id="521" name="ID_EDE9A315C64A4BE2AC2F986557EA53FC"/>
        <xdr:cNvPicPr/>
      </xdr:nvPicPr>
      <xdr:blipFill>
        <a:blip r:link="rId520"/>
        <a:stretch>
          <a:fillRect/>
        </a:stretch>
      </xdr:blipFill>
      <xdr:spPr>
        <a:xfrm>
          <a:off x="0" y="0"/>
          <a:ext cx="7143750" cy="10448925"/>
        </a:xfrm>
        <a:prstGeom prst="rect">
          <a:avLst/>
        </a:prstGeom>
      </xdr:spPr>
    </xdr:pic>
  </etc:cellImage>
  <etc:cellImage>
    <xdr:pic>
      <xdr:nvPicPr>
        <xdr:cNvPr id="522" name="ID_AB3A7CA2D44F41A18DEECB4F4C161234"/>
        <xdr:cNvPicPr/>
      </xdr:nvPicPr>
      <xdr:blipFill>
        <a:blip r:link="rId521"/>
        <a:stretch>
          <a:fillRect/>
        </a:stretch>
      </xdr:blipFill>
      <xdr:spPr>
        <a:xfrm>
          <a:off x="0" y="0"/>
          <a:ext cx="7143750" cy="10001250"/>
        </a:xfrm>
        <a:prstGeom prst="rect">
          <a:avLst/>
        </a:prstGeom>
      </xdr:spPr>
    </xdr:pic>
  </etc:cellImage>
  <etc:cellImage>
    <xdr:pic>
      <xdr:nvPicPr>
        <xdr:cNvPr id="523" name="ID_E27C6548F4194D02B9DC397724E0FA4F"/>
        <xdr:cNvPicPr/>
      </xdr:nvPicPr>
      <xdr:blipFill>
        <a:blip r:link="rId522"/>
        <a:stretch>
          <a:fillRect/>
        </a:stretch>
      </xdr:blipFill>
      <xdr:spPr>
        <a:xfrm>
          <a:off x="0" y="0"/>
          <a:ext cx="7143750" cy="10001250"/>
        </a:xfrm>
        <a:prstGeom prst="rect">
          <a:avLst/>
        </a:prstGeom>
      </xdr:spPr>
    </xdr:pic>
  </etc:cellImage>
  <etc:cellImage>
    <xdr:pic>
      <xdr:nvPicPr>
        <xdr:cNvPr id="524" name="ID_135AA7394FE044C981CB1DCD13A764A0"/>
        <xdr:cNvPicPr/>
      </xdr:nvPicPr>
      <xdr:blipFill>
        <a:blip r:link="rId523"/>
        <a:stretch>
          <a:fillRect/>
        </a:stretch>
      </xdr:blipFill>
      <xdr:spPr>
        <a:xfrm>
          <a:off x="0" y="0"/>
          <a:ext cx="7143750" cy="10001250"/>
        </a:xfrm>
        <a:prstGeom prst="rect">
          <a:avLst/>
        </a:prstGeom>
      </xdr:spPr>
    </xdr:pic>
  </etc:cellImage>
  <etc:cellImage>
    <xdr:pic>
      <xdr:nvPicPr>
        <xdr:cNvPr id="525" name="ID_28A32B60C96343E48DA79AC0817DB8B2"/>
        <xdr:cNvPicPr/>
      </xdr:nvPicPr>
      <xdr:blipFill>
        <a:blip r:link="rId524"/>
        <a:stretch>
          <a:fillRect/>
        </a:stretch>
      </xdr:blipFill>
      <xdr:spPr>
        <a:xfrm>
          <a:off x="0" y="0"/>
          <a:ext cx="7143750" cy="9801225"/>
        </a:xfrm>
        <a:prstGeom prst="rect">
          <a:avLst/>
        </a:prstGeom>
      </xdr:spPr>
    </xdr:pic>
  </etc:cellImage>
  <etc:cellImage>
    <xdr:pic>
      <xdr:nvPicPr>
        <xdr:cNvPr id="526" name="ID_7BA4E5E144144DF79E326679F08F6F4B"/>
        <xdr:cNvPicPr/>
      </xdr:nvPicPr>
      <xdr:blipFill>
        <a:blip r:link="rId525"/>
        <a:stretch>
          <a:fillRect/>
        </a:stretch>
      </xdr:blipFill>
      <xdr:spPr>
        <a:xfrm>
          <a:off x="0" y="0"/>
          <a:ext cx="7143750" cy="10001250"/>
        </a:xfrm>
        <a:prstGeom prst="rect">
          <a:avLst/>
        </a:prstGeom>
      </xdr:spPr>
    </xdr:pic>
  </etc:cellImage>
  <etc:cellImage>
    <xdr:pic>
      <xdr:nvPicPr>
        <xdr:cNvPr id="527" name="ID_07DCBF9A6CCC43E7BDA66377D7B2A516"/>
        <xdr:cNvPicPr/>
      </xdr:nvPicPr>
      <xdr:blipFill>
        <a:blip r:link="rId526"/>
        <a:stretch>
          <a:fillRect/>
        </a:stretch>
      </xdr:blipFill>
      <xdr:spPr>
        <a:xfrm>
          <a:off x="0" y="0"/>
          <a:ext cx="7143750" cy="7877175"/>
        </a:xfrm>
        <a:prstGeom prst="rect">
          <a:avLst/>
        </a:prstGeom>
      </xdr:spPr>
    </xdr:pic>
  </etc:cellImage>
  <etc:cellImage>
    <xdr:pic>
      <xdr:nvPicPr>
        <xdr:cNvPr id="528" name="ID_73D56986F7DE44CDB5B00B7AF01CF017"/>
        <xdr:cNvPicPr/>
      </xdr:nvPicPr>
      <xdr:blipFill>
        <a:blip r:link="rId527"/>
        <a:stretch>
          <a:fillRect/>
        </a:stretch>
      </xdr:blipFill>
      <xdr:spPr>
        <a:xfrm>
          <a:off x="0" y="0"/>
          <a:ext cx="7143750" cy="10201275"/>
        </a:xfrm>
        <a:prstGeom prst="rect">
          <a:avLst/>
        </a:prstGeom>
      </xdr:spPr>
    </xdr:pic>
  </etc:cellImage>
  <etc:cellImage>
    <xdr:pic>
      <xdr:nvPicPr>
        <xdr:cNvPr id="529" name="ID_9640DE1808F9498F8612547EA44506E8"/>
        <xdr:cNvPicPr/>
      </xdr:nvPicPr>
      <xdr:blipFill>
        <a:blip r:link="rId528"/>
        <a:stretch>
          <a:fillRect/>
        </a:stretch>
      </xdr:blipFill>
      <xdr:spPr>
        <a:xfrm>
          <a:off x="0" y="0"/>
          <a:ext cx="7143750" cy="10410825"/>
        </a:xfrm>
        <a:prstGeom prst="rect">
          <a:avLst/>
        </a:prstGeom>
      </xdr:spPr>
    </xdr:pic>
  </etc:cellImage>
  <etc:cellImage>
    <xdr:pic>
      <xdr:nvPicPr>
        <xdr:cNvPr id="530" name="ID_FF960F7406E14486AD9AB0EFE51B3C2E"/>
        <xdr:cNvPicPr/>
      </xdr:nvPicPr>
      <xdr:blipFill>
        <a:blip r:link="rId529"/>
        <a:stretch>
          <a:fillRect/>
        </a:stretch>
      </xdr:blipFill>
      <xdr:spPr>
        <a:xfrm>
          <a:off x="0" y="0"/>
          <a:ext cx="7143750" cy="9525000"/>
        </a:xfrm>
        <a:prstGeom prst="rect">
          <a:avLst/>
        </a:prstGeom>
      </xdr:spPr>
    </xdr:pic>
  </etc:cellImage>
  <etc:cellImage>
    <xdr:pic>
      <xdr:nvPicPr>
        <xdr:cNvPr id="531" name="ID_911EFC838815489D872B9030D6735741"/>
        <xdr:cNvPicPr/>
      </xdr:nvPicPr>
      <xdr:blipFill>
        <a:blip r:link="rId530"/>
        <a:stretch>
          <a:fillRect/>
        </a:stretch>
      </xdr:blipFill>
      <xdr:spPr>
        <a:xfrm>
          <a:off x="0" y="0"/>
          <a:ext cx="7143750" cy="10001250"/>
        </a:xfrm>
        <a:prstGeom prst="rect">
          <a:avLst/>
        </a:prstGeom>
      </xdr:spPr>
    </xdr:pic>
  </etc:cellImage>
  <etc:cellImage>
    <xdr:pic>
      <xdr:nvPicPr>
        <xdr:cNvPr id="532" name="ID_0FB1CC236BB0441E8D7B28856D597318"/>
        <xdr:cNvPicPr/>
      </xdr:nvPicPr>
      <xdr:blipFill>
        <a:blip r:link="rId531"/>
        <a:stretch>
          <a:fillRect/>
        </a:stretch>
      </xdr:blipFill>
      <xdr:spPr>
        <a:xfrm>
          <a:off x="0" y="0"/>
          <a:ext cx="7143750" cy="10001250"/>
        </a:xfrm>
        <a:prstGeom prst="rect">
          <a:avLst/>
        </a:prstGeom>
      </xdr:spPr>
    </xdr:pic>
  </etc:cellImage>
  <etc:cellImage>
    <xdr:pic>
      <xdr:nvPicPr>
        <xdr:cNvPr id="533" name="ID_5B6CA2E5A2044344BC4069C94E27DF22"/>
        <xdr:cNvPicPr/>
      </xdr:nvPicPr>
      <xdr:blipFill>
        <a:blip r:link="rId532"/>
        <a:stretch>
          <a:fillRect/>
        </a:stretch>
      </xdr:blipFill>
      <xdr:spPr>
        <a:xfrm>
          <a:off x="0" y="0"/>
          <a:ext cx="7143750" cy="9525000"/>
        </a:xfrm>
        <a:prstGeom prst="rect">
          <a:avLst/>
        </a:prstGeom>
      </xdr:spPr>
    </xdr:pic>
  </etc:cellImage>
  <etc:cellImage>
    <xdr:pic>
      <xdr:nvPicPr>
        <xdr:cNvPr id="534" name="ID_E9338F1098B64D83A2AE0E9576D18B92"/>
        <xdr:cNvPicPr/>
      </xdr:nvPicPr>
      <xdr:blipFill>
        <a:blip r:link="rId533"/>
        <a:stretch>
          <a:fillRect/>
        </a:stretch>
      </xdr:blipFill>
      <xdr:spPr>
        <a:xfrm>
          <a:off x="0" y="0"/>
          <a:ext cx="7143750" cy="10001250"/>
        </a:xfrm>
        <a:prstGeom prst="rect">
          <a:avLst/>
        </a:prstGeom>
      </xdr:spPr>
    </xdr:pic>
  </etc:cellImage>
  <etc:cellImage>
    <xdr:pic>
      <xdr:nvPicPr>
        <xdr:cNvPr id="535" name="ID_CB7789B563324522805F1ED9D1BFD221"/>
        <xdr:cNvPicPr/>
      </xdr:nvPicPr>
      <xdr:blipFill>
        <a:blip r:link="rId534"/>
        <a:stretch>
          <a:fillRect/>
        </a:stretch>
      </xdr:blipFill>
      <xdr:spPr>
        <a:xfrm>
          <a:off x="0" y="0"/>
          <a:ext cx="7143750" cy="9525000"/>
        </a:xfrm>
        <a:prstGeom prst="rect">
          <a:avLst/>
        </a:prstGeom>
      </xdr:spPr>
    </xdr:pic>
  </etc:cellImage>
  <etc:cellImage>
    <xdr:pic>
      <xdr:nvPicPr>
        <xdr:cNvPr id="536" name="ID_0D01E0F1A35045CF8FA47A6F17C3312E"/>
        <xdr:cNvPicPr/>
      </xdr:nvPicPr>
      <xdr:blipFill>
        <a:blip r:link="rId535"/>
        <a:stretch>
          <a:fillRect/>
        </a:stretch>
      </xdr:blipFill>
      <xdr:spPr>
        <a:xfrm>
          <a:off x="0" y="0"/>
          <a:ext cx="7143750" cy="10039350"/>
        </a:xfrm>
        <a:prstGeom prst="rect">
          <a:avLst/>
        </a:prstGeom>
      </xdr:spPr>
    </xdr:pic>
  </etc:cellImage>
  <etc:cellImage>
    <xdr:pic>
      <xdr:nvPicPr>
        <xdr:cNvPr id="537" name="ID_85E134BF0AB1468FAAB0CB1A9F9C4F34"/>
        <xdr:cNvPicPr/>
      </xdr:nvPicPr>
      <xdr:blipFill>
        <a:blip r:link="rId536"/>
        <a:stretch>
          <a:fillRect/>
        </a:stretch>
      </xdr:blipFill>
      <xdr:spPr>
        <a:xfrm>
          <a:off x="0" y="0"/>
          <a:ext cx="7143750" cy="10001250"/>
        </a:xfrm>
        <a:prstGeom prst="rect">
          <a:avLst/>
        </a:prstGeom>
      </xdr:spPr>
    </xdr:pic>
  </etc:cellImage>
  <etc:cellImage>
    <xdr:pic>
      <xdr:nvPicPr>
        <xdr:cNvPr id="538" name="ID_7372970AEB0B4E9DBEDB39C293267296"/>
        <xdr:cNvPicPr/>
      </xdr:nvPicPr>
      <xdr:blipFill>
        <a:blip r:link="rId537"/>
        <a:stretch>
          <a:fillRect/>
        </a:stretch>
      </xdr:blipFill>
      <xdr:spPr>
        <a:xfrm>
          <a:off x="0" y="0"/>
          <a:ext cx="7143750" cy="15459075"/>
        </a:xfrm>
        <a:prstGeom prst="rect">
          <a:avLst/>
        </a:prstGeom>
      </xdr:spPr>
    </xdr:pic>
  </etc:cellImage>
  <etc:cellImage>
    <xdr:pic>
      <xdr:nvPicPr>
        <xdr:cNvPr id="539" name="ID_458825B7ED724C7B8EAA7308C4517BC8"/>
        <xdr:cNvPicPr/>
      </xdr:nvPicPr>
      <xdr:blipFill>
        <a:blip r:link="rId538"/>
        <a:stretch>
          <a:fillRect/>
        </a:stretch>
      </xdr:blipFill>
      <xdr:spPr>
        <a:xfrm>
          <a:off x="0" y="0"/>
          <a:ext cx="7143750" cy="10382250"/>
        </a:xfrm>
        <a:prstGeom prst="rect">
          <a:avLst/>
        </a:prstGeom>
      </xdr:spPr>
    </xdr:pic>
  </etc:cellImage>
  <etc:cellImage>
    <xdr:pic>
      <xdr:nvPicPr>
        <xdr:cNvPr id="540" name="ID_6A583EA485744871AED4CEE0D95D9DC4"/>
        <xdr:cNvPicPr/>
      </xdr:nvPicPr>
      <xdr:blipFill>
        <a:blip r:link="rId539"/>
        <a:stretch>
          <a:fillRect/>
        </a:stretch>
      </xdr:blipFill>
      <xdr:spPr>
        <a:xfrm>
          <a:off x="0" y="0"/>
          <a:ext cx="7143750" cy="9515475"/>
        </a:xfrm>
        <a:prstGeom prst="rect">
          <a:avLst/>
        </a:prstGeom>
      </xdr:spPr>
    </xdr:pic>
  </etc:cellImage>
  <etc:cellImage>
    <xdr:pic>
      <xdr:nvPicPr>
        <xdr:cNvPr id="541" name="ID_866D1667729041288352BAC0C5E9F611"/>
        <xdr:cNvPicPr/>
      </xdr:nvPicPr>
      <xdr:blipFill>
        <a:blip r:link="rId540"/>
        <a:stretch>
          <a:fillRect/>
        </a:stretch>
      </xdr:blipFill>
      <xdr:spPr>
        <a:xfrm>
          <a:off x="0" y="0"/>
          <a:ext cx="7143750" cy="9877425"/>
        </a:xfrm>
        <a:prstGeom prst="rect">
          <a:avLst/>
        </a:prstGeom>
      </xdr:spPr>
    </xdr:pic>
  </etc:cellImage>
  <etc:cellImage>
    <xdr:pic>
      <xdr:nvPicPr>
        <xdr:cNvPr id="542" name="ID_7116E6EB313E4CDBB6AEC2C13A4D6810"/>
        <xdr:cNvPicPr/>
      </xdr:nvPicPr>
      <xdr:blipFill>
        <a:blip r:link="rId541"/>
        <a:stretch>
          <a:fillRect/>
        </a:stretch>
      </xdr:blipFill>
      <xdr:spPr>
        <a:xfrm>
          <a:off x="0" y="0"/>
          <a:ext cx="7143750" cy="9096375"/>
        </a:xfrm>
        <a:prstGeom prst="rect">
          <a:avLst/>
        </a:prstGeom>
      </xdr:spPr>
    </xdr:pic>
  </etc:cellImage>
  <etc:cellImage>
    <xdr:pic>
      <xdr:nvPicPr>
        <xdr:cNvPr id="543" name="ID_36DA19808F4346CB8F6359485B7E0248"/>
        <xdr:cNvPicPr/>
      </xdr:nvPicPr>
      <xdr:blipFill>
        <a:blip r:link="rId542"/>
        <a:stretch>
          <a:fillRect/>
        </a:stretch>
      </xdr:blipFill>
      <xdr:spPr>
        <a:xfrm>
          <a:off x="0" y="0"/>
          <a:ext cx="7143750" cy="10001250"/>
        </a:xfrm>
        <a:prstGeom prst="rect">
          <a:avLst/>
        </a:prstGeom>
      </xdr:spPr>
    </xdr:pic>
  </etc:cellImage>
  <etc:cellImage>
    <xdr:pic>
      <xdr:nvPicPr>
        <xdr:cNvPr id="544" name="ID_7B994A5EE1894E46909466AD8B994299"/>
        <xdr:cNvPicPr/>
      </xdr:nvPicPr>
      <xdr:blipFill>
        <a:blip r:link="rId543"/>
        <a:stretch>
          <a:fillRect/>
        </a:stretch>
      </xdr:blipFill>
      <xdr:spPr>
        <a:xfrm>
          <a:off x="0" y="0"/>
          <a:ext cx="7143750" cy="9982200"/>
        </a:xfrm>
        <a:prstGeom prst="rect">
          <a:avLst/>
        </a:prstGeom>
      </xdr:spPr>
    </xdr:pic>
  </etc:cellImage>
  <etc:cellImage>
    <xdr:pic>
      <xdr:nvPicPr>
        <xdr:cNvPr id="545" name="ID_7ED866D6DEDB4511B970FE38712BEDF5"/>
        <xdr:cNvPicPr/>
      </xdr:nvPicPr>
      <xdr:blipFill>
        <a:blip r:link="rId544"/>
        <a:stretch>
          <a:fillRect/>
        </a:stretch>
      </xdr:blipFill>
      <xdr:spPr>
        <a:xfrm>
          <a:off x="0" y="0"/>
          <a:ext cx="7143750" cy="10001250"/>
        </a:xfrm>
        <a:prstGeom prst="rect">
          <a:avLst/>
        </a:prstGeom>
      </xdr:spPr>
    </xdr:pic>
  </etc:cellImage>
  <etc:cellImage>
    <xdr:pic>
      <xdr:nvPicPr>
        <xdr:cNvPr id="546" name="ID_6B663AA29D5341758E4C0EAB0E013B9E"/>
        <xdr:cNvPicPr/>
      </xdr:nvPicPr>
      <xdr:blipFill>
        <a:blip r:link="rId545"/>
        <a:stretch>
          <a:fillRect/>
        </a:stretch>
      </xdr:blipFill>
      <xdr:spPr>
        <a:xfrm>
          <a:off x="0" y="0"/>
          <a:ext cx="7143750" cy="10001250"/>
        </a:xfrm>
        <a:prstGeom prst="rect">
          <a:avLst/>
        </a:prstGeom>
      </xdr:spPr>
    </xdr:pic>
  </etc:cellImage>
  <etc:cellImage>
    <xdr:pic>
      <xdr:nvPicPr>
        <xdr:cNvPr id="547" name="ID_BFA48D3AEAE641428A104A2BB93F50F8"/>
        <xdr:cNvPicPr/>
      </xdr:nvPicPr>
      <xdr:blipFill>
        <a:blip r:link="rId546"/>
        <a:stretch>
          <a:fillRect/>
        </a:stretch>
      </xdr:blipFill>
      <xdr:spPr>
        <a:xfrm>
          <a:off x="0" y="0"/>
          <a:ext cx="7143750" cy="10001250"/>
        </a:xfrm>
        <a:prstGeom prst="rect">
          <a:avLst/>
        </a:prstGeom>
      </xdr:spPr>
    </xdr:pic>
  </etc:cellImage>
  <etc:cellImage>
    <xdr:pic>
      <xdr:nvPicPr>
        <xdr:cNvPr id="548" name="ID_0A7C024448EB4671A840FBA92AB35983"/>
        <xdr:cNvPicPr/>
      </xdr:nvPicPr>
      <xdr:blipFill>
        <a:blip r:link="rId547"/>
        <a:stretch>
          <a:fillRect/>
        </a:stretch>
      </xdr:blipFill>
      <xdr:spPr>
        <a:xfrm>
          <a:off x="0" y="0"/>
          <a:ext cx="7143750" cy="9925050"/>
        </a:xfrm>
        <a:prstGeom prst="rect">
          <a:avLst/>
        </a:prstGeom>
      </xdr:spPr>
    </xdr:pic>
  </etc:cellImage>
  <etc:cellImage>
    <xdr:pic>
      <xdr:nvPicPr>
        <xdr:cNvPr id="549" name="ID_722A9A1419ED4209B5078EB200B4615A"/>
        <xdr:cNvPicPr/>
      </xdr:nvPicPr>
      <xdr:blipFill>
        <a:blip r:link="rId548"/>
        <a:stretch>
          <a:fillRect/>
        </a:stretch>
      </xdr:blipFill>
      <xdr:spPr>
        <a:xfrm>
          <a:off x="0" y="0"/>
          <a:ext cx="7143750" cy="9525000"/>
        </a:xfrm>
        <a:prstGeom prst="rect">
          <a:avLst/>
        </a:prstGeom>
      </xdr:spPr>
    </xdr:pic>
  </etc:cellImage>
  <etc:cellImage>
    <xdr:pic>
      <xdr:nvPicPr>
        <xdr:cNvPr id="550" name="ID_AB63EA744ECF442183CACE9AA5A6EA85"/>
        <xdr:cNvPicPr/>
      </xdr:nvPicPr>
      <xdr:blipFill>
        <a:blip r:link="rId549"/>
        <a:stretch>
          <a:fillRect/>
        </a:stretch>
      </xdr:blipFill>
      <xdr:spPr>
        <a:xfrm>
          <a:off x="0" y="0"/>
          <a:ext cx="7143750" cy="10820400"/>
        </a:xfrm>
        <a:prstGeom prst="rect">
          <a:avLst/>
        </a:prstGeom>
      </xdr:spPr>
    </xdr:pic>
  </etc:cellImage>
  <etc:cellImage>
    <xdr:pic>
      <xdr:nvPicPr>
        <xdr:cNvPr id="551" name="ID_E6307ECF32B442B8A8FC80EADAF6E26D"/>
        <xdr:cNvPicPr/>
      </xdr:nvPicPr>
      <xdr:blipFill>
        <a:blip r:link="rId550"/>
        <a:stretch>
          <a:fillRect/>
        </a:stretch>
      </xdr:blipFill>
      <xdr:spPr>
        <a:xfrm>
          <a:off x="0" y="0"/>
          <a:ext cx="7143750" cy="15868650"/>
        </a:xfrm>
        <a:prstGeom prst="rect">
          <a:avLst/>
        </a:prstGeom>
      </xdr:spPr>
    </xdr:pic>
  </etc:cellImage>
  <etc:cellImage>
    <xdr:pic>
      <xdr:nvPicPr>
        <xdr:cNvPr id="552" name="ID_2F1FB7C94C004C5BAD8EEBBBB9C7D0C9"/>
        <xdr:cNvPicPr/>
      </xdr:nvPicPr>
      <xdr:blipFill>
        <a:blip r:link="rId551"/>
        <a:stretch>
          <a:fillRect/>
        </a:stretch>
      </xdr:blipFill>
      <xdr:spPr>
        <a:xfrm>
          <a:off x="0" y="0"/>
          <a:ext cx="7143750" cy="10687050"/>
        </a:xfrm>
        <a:prstGeom prst="rect">
          <a:avLst/>
        </a:prstGeom>
      </xdr:spPr>
    </xdr:pic>
  </etc:cellImage>
</etc:cellImages>
</file>

<file path=xl/sharedStrings.xml><?xml version="1.0" encoding="utf-8"?>
<sst xmlns="http://schemas.openxmlformats.org/spreadsheetml/2006/main" count="88273" uniqueCount="5127">
  <si>
    <t>编外有效报名信息</t>
  </si>
  <si>
    <t>报考学科</t>
  </si>
  <si>
    <t>计数</t>
  </si>
  <si>
    <t>初中地理</t>
  </si>
  <si>
    <t>初中化学</t>
  </si>
  <si>
    <t>初中历史</t>
  </si>
  <si>
    <t>初中美术</t>
  </si>
  <si>
    <t>初中生物</t>
  </si>
  <si>
    <t>初中数学</t>
  </si>
  <si>
    <t>初中体育</t>
  </si>
  <si>
    <t>初中物理</t>
  </si>
  <si>
    <t>初中信息技术</t>
  </si>
  <si>
    <t>初中音乐</t>
  </si>
  <si>
    <t>初中英语</t>
  </si>
  <si>
    <t>初中语文</t>
  </si>
  <si>
    <t>初中政治</t>
  </si>
  <si>
    <t>高中化学</t>
  </si>
  <si>
    <t>高中历史</t>
  </si>
  <si>
    <t>高中美术</t>
  </si>
  <si>
    <t>高中生物</t>
  </si>
  <si>
    <t>高中数学</t>
  </si>
  <si>
    <t>高中体育</t>
  </si>
  <si>
    <t>高中物理</t>
  </si>
  <si>
    <t>高中信息技术</t>
  </si>
  <si>
    <t>高中音乐</t>
  </si>
  <si>
    <t>高中英语</t>
  </si>
  <si>
    <t>高中语文</t>
  </si>
  <si>
    <t>高中政治</t>
  </si>
  <si>
    <t>幼儿园教师</t>
  </si>
  <si>
    <t>中专电子商务</t>
  </si>
  <si>
    <t>中专汽车运用与维修</t>
  </si>
  <si>
    <t>编外招聘考场统计表</t>
  </si>
  <si>
    <t>考场号</t>
  </si>
  <si>
    <t>学科及人数</t>
  </si>
  <si>
    <t>人数</t>
  </si>
  <si>
    <t>合计</t>
  </si>
  <si>
    <t>第一考场</t>
  </si>
  <si>
    <t>幼儿园教师30人</t>
  </si>
  <si>
    <t>第二考场</t>
  </si>
  <si>
    <t>第三考场</t>
  </si>
  <si>
    <t>第四考场</t>
  </si>
  <si>
    <t>幼儿园教师9人</t>
  </si>
  <si>
    <t>初中语文5人</t>
  </si>
  <si>
    <t>第五考场</t>
  </si>
  <si>
    <t>初中语文30人</t>
  </si>
  <si>
    <t>第六考场</t>
  </si>
  <si>
    <t>第七考场</t>
  </si>
  <si>
    <t>初中数学30人</t>
  </si>
  <si>
    <t>第八考场</t>
  </si>
  <si>
    <t>初中数学26人</t>
  </si>
  <si>
    <t>高中政治2人</t>
  </si>
  <si>
    <t>中专电子商务1人</t>
  </si>
  <si>
    <t>第九考场</t>
  </si>
  <si>
    <t>初中英语30人</t>
  </si>
  <si>
    <t>第十考场</t>
  </si>
  <si>
    <t>第十一考场</t>
  </si>
  <si>
    <t>第十二考场</t>
  </si>
  <si>
    <t>初中英语6人</t>
  </si>
  <si>
    <t>初中音乐9人</t>
  </si>
  <si>
    <t>初中历史8人</t>
  </si>
  <si>
    <t>第十三考场</t>
  </si>
  <si>
    <t>初中美术30人</t>
  </si>
  <si>
    <t>第十四考场</t>
  </si>
  <si>
    <t>初中美术6人</t>
  </si>
  <si>
    <t>初中化学12人</t>
  </si>
  <si>
    <t>初中政治10人</t>
  </si>
  <si>
    <t>第十五考场</t>
  </si>
  <si>
    <t>初中生物6人</t>
  </si>
  <si>
    <t>初中体育11人</t>
  </si>
  <si>
    <t>初中信息技术2人</t>
  </si>
  <si>
    <t>第十六考场</t>
  </si>
  <si>
    <t>高中英语30人</t>
  </si>
  <si>
    <t>第十七考场</t>
  </si>
  <si>
    <t>高中数学12人</t>
  </si>
  <si>
    <t>高中生物3人</t>
  </si>
  <si>
    <t>初中物理2人</t>
  </si>
  <si>
    <t>第十八考场</t>
  </si>
  <si>
    <t>高中化学11人</t>
  </si>
  <si>
    <t>高中历史5人</t>
  </si>
  <si>
    <t>高中美术4人</t>
  </si>
  <si>
    <t>第十九考场</t>
  </si>
  <si>
    <t>高中语文9人</t>
  </si>
  <si>
    <t>初中地理6人</t>
  </si>
  <si>
    <t>高中物理1人</t>
  </si>
  <si>
    <t>第二十考场</t>
  </si>
  <si>
    <t>高中体育14人</t>
  </si>
  <si>
    <t>高中信息技术4人</t>
  </si>
  <si>
    <t>中专汽车运用与维修1人</t>
  </si>
  <si>
    <t>编外招聘试卷分配一览表</t>
  </si>
  <si>
    <t>30份装</t>
  </si>
  <si>
    <t>15份装</t>
  </si>
  <si>
    <t>幼儿园教师1袋</t>
  </si>
  <si>
    <t>幼儿园教师1袋
初中语文1袋</t>
  </si>
  <si>
    <t>初中语文1袋</t>
  </si>
  <si>
    <t>初中数学1袋</t>
  </si>
  <si>
    <t>高中政治1袋
中专电子商务1袋</t>
  </si>
  <si>
    <t>初中英语1袋</t>
  </si>
  <si>
    <t>初中英语1袋
初中音乐1袋
初中历史1袋</t>
  </si>
  <si>
    <t>初中美术1袋</t>
  </si>
  <si>
    <t>初中美术1袋
初中化学1袋
初中政治1袋</t>
  </si>
  <si>
    <t>初中生物1袋
初中体育1袋
初中信息技术1袋</t>
  </si>
  <si>
    <t>高中英语1袋</t>
  </si>
  <si>
    <t>高中英语1袋（备用）</t>
  </si>
  <si>
    <t>高中数学1袋
高中生物1袋
初中物理1袋</t>
  </si>
  <si>
    <t>高中化学1袋
高中历史1袋
高中美术1袋</t>
  </si>
  <si>
    <t>高中语文1袋
初中地理1袋
高中物理1袋</t>
  </si>
  <si>
    <t>高中体育1袋
高中信息技术1袋
中专汽车运用与维修1袋</t>
  </si>
  <si>
    <t>学科</t>
  </si>
  <si>
    <t>分袋情况</t>
  </si>
  <si>
    <t>涉及考场</t>
  </si>
  <si>
    <t>第一、二、三、四考场</t>
  </si>
  <si>
    <t>第四、五、六考场</t>
  </si>
  <si>
    <t>第七、八考场</t>
  </si>
  <si>
    <t>第九、十、十一、十二考场</t>
  </si>
  <si>
    <t>第十三、十四考场</t>
  </si>
  <si>
    <t>阅卷老师选派安排表</t>
  </si>
  <si>
    <t>序号</t>
  </si>
  <si>
    <t>编外考生</t>
  </si>
  <si>
    <t>分流考生</t>
  </si>
  <si>
    <t>备注</t>
  </si>
  <si>
    <t>小计</t>
  </si>
  <si>
    <t>小学语文</t>
  </si>
  <si>
    <t>小学数学</t>
  </si>
  <si>
    <t>小学英语</t>
  </si>
  <si>
    <t>小学音乐</t>
  </si>
  <si>
    <t>小学体育</t>
  </si>
  <si>
    <t>小学美术</t>
  </si>
  <si>
    <t>试卷明细表</t>
  </si>
  <si>
    <t>招聘考试</t>
  </si>
  <si>
    <t>分流考试</t>
  </si>
  <si>
    <t>提交时间</t>
  </si>
  <si>
    <t>填写ID</t>
  </si>
  <si>
    <t>昵称</t>
  </si>
  <si>
    <t>姓名</t>
  </si>
  <si>
    <t>性别</t>
  </si>
  <si>
    <t>身份证号</t>
  </si>
  <si>
    <t>手机号</t>
  </si>
  <si>
    <t>家庭住址</t>
  </si>
  <si>
    <t>报考学校</t>
  </si>
  <si>
    <t>招聘岗位代码</t>
  </si>
  <si>
    <t>最高学历</t>
  </si>
  <si>
    <t>毕业院校</t>
  </si>
  <si>
    <t>所学专业</t>
  </si>
  <si>
    <t>是否师范类专业</t>
  </si>
  <si>
    <t>毕业时间</t>
  </si>
  <si>
    <t>教师资格证的层次及学科</t>
  </si>
  <si>
    <t>教师资格证号码</t>
  </si>
  <si>
    <t>准考证照片:图片</t>
  </si>
  <si>
    <t>照片</t>
  </si>
  <si>
    <t>原始行号</t>
  </si>
  <si>
    <t>5629fac1eb1d4d8c93529b0abe2f778b</t>
  </si>
  <si>
    <t>旧林</t>
  </si>
  <si>
    <t>徐礼龙</t>
  </si>
  <si>
    <t>男</t>
  </si>
  <si>
    <t>360425199806281115</t>
  </si>
  <si>
    <t>江西省九江市永修县九合乡淳湖村</t>
  </si>
  <si>
    <t>县城初中</t>
  </si>
  <si>
    <t>本科</t>
  </si>
  <si>
    <t>九江学院</t>
  </si>
  <si>
    <t>生物技术</t>
  </si>
  <si>
    <t>否</t>
  </si>
  <si>
    <t>2020年7月</t>
  </si>
  <si>
    <t>徐礼龙.jpg</t>
  </si>
  <si>
    <t>d1bf66a5d35241d187a2939fe7bc3cc6</t>
  </si>
  <si>
    <t>汤留云</t>
  </si>
  <si>
    <t>女</t>
  </si>
  <si>
    <t>360429199610142725</t>
  </si>
  <si>
    <t>江西省九江市濂溪区虞家河乡郭桥村怡芳苑一期</t>
  </si>
  <si>
    <t>景德镇学院</t>
  </si>
  <si>
    <t>小学教育</t>
  </si>
  <si>
    <t>是</t>
  </si>
  <si>
    <t>2019年7月</t>
  </si>
  <si>
    <t>汤留云.jpg</t>
  </si>
  <si>
    <t>37c9851aa84747409a6a101661dfa1d1</t>
  </si>
  <si>
    <t>Judy·C</t>
  </si>
  <si>
    <t>朱迪</t>
  </si>
  <si>
    <t>360425199201132029</t>
  </si>
  <si>
    <t>江西省九江市永修县龙庭花园</t>
  </si>
  <si>
    <t>南昌师范学院</t>
  </si>
  <si>
    <t>英语</t>
  </si>
  <si>
    <t>2018年7月</t>
  </si>
  <si>
    <t>朱迪.jpg</t>
  </si>
  <si>
    <t>1eb032e64b6a450fbd99451b534ada15</t>
  </si>
  <si>
    <t>WPS_1623287096</t>
  </si>
  <si>
    <t>胡世焱</t>
  </si>
  <si>
    <t>360425198608030230</t>
  </si>
  <si>
    <t>江西省九江市永修县滨湖半岛3栋3单元901</t>
  </si>
  <si>
    <t>中南民族大学</t>
  </si>
  <si>
    <t>艺术设计</t>
  </si>
  <si>
    <t>2011年6月</t>
  </si>
  <si>
    <t>拟取得教师资格证的层次及学科</t>
  </si>
  <si>
    <t>胡世焱.jpg</t>
  </si>
  <si>
    <t>3503b0610d3b43088e11c5d51d5a4c19</t>
  </si>
  <si>
    <t>你怎么这么可爱</t>
  </si>
  <si>
    <t>吕雨欣</t>
  </si>
  <si>
    <t>360425199701194349</t>
  </si>
  <si>
    <t>江西省九江市永修县垒旺公园一号一单元1102</t>
  </si>
  <si>
    <t>南昌大学科学技术学院</t>
  </si>
  <si>
    <t>过程装备与控制工程</t>
  </si>
  <si>
    <t>2018年6月</t>
  </si>
  <si>
    <t>吕雨欣.jpg</t>
  </si>
  <si>
    <t>ef18b91fc8ad46808d64d0722de69645</t>
  </si>
  <si>
    <t>馮倩</t>
  </si>
  <si>
    <t>冯倩</t>
  </si>
  <si>
    <t>421127199510190867</t>
  </si>
  <si>
    <t>江西省九江市浔阳区九江市联泰万泰城</t>
  </si>
  <si>
    <t>淮海工学院(江苏海洋大学)</t>
  </si>
  <si>
    <t>环境艺术设计</t>
  </si>
  <si>
    <t>20193615332000017</t>
  </si>
  <si>
    <t>冯倩.jpg</t>
  </si>
  <si>
    <t>9bf3d95dab794b9cb0a51e27f01a12c1</t>
  </si>
  <si>
    <t>WEIRDO_LUONA</t>
  </si>
  <si>
    <t>罗娜</t>
  </si>
  <si>
    <t>360425199411170242</t>
  </si>
  <si>
    <t>江西省九江市永修县莲花苑</t>
  </si>
  <si>
    <t>思想政治教育</t>
  </si>
  <si>
    <t>2016年7月</t>
  </si>
  <si>
    <t>罗娜.jpg</t>
  </si>
  <si>
    <t>df05fa115c634971b876c4f9dd17f526</t>
  </si>
  <si>
    <t>小花</t>
  </si>
  <si>
    <t>李根花</t>
  </si>
  <si>
    <t>362425198910205224</t>
  </si>
  <si>
    <t>江西省南昌市新建区江西省南昌市昌北经济开发区榆林路乐活公元城一期</t>
  </si>
  <si>
    <t>英语教育</t>
  </si>
  <si>
    <t>2013年7月</t>
  </si>
  <si>
    <t>初级中学英语教师资格证</t>
  </si>
  <si>
    <t>20133610232000780</t>
  </si>
  <si>
    <t>李根花.jpg</t>
  </si>
  <si>
    <t>290c57b8a3654be6b9eee1a8e0d6e106</t>
  </si>
  <si>
    <t>山姆大叔英语Alena</t>
  </si>
  <si>
    <t>周安琴</t>
  </si>
  <si>
    <t>360481199609292027</t>
  </si>
  <si>
    <t xml:space="preserve">江西省九江市瑞昌市南义镇
</t>
  </si>
  <si>
    <t>江西师范大学</t>
  </si>
  <si>
    <t>小学教育综合方向</t>
  </si>
  <si>
    <t>2019年6月</t>
  </si>
  <si>
    <t>20203602332000277</t>
  </si>
  <si>
    <t>周安琴.jpg</t>
  </si>
  <si>
    <t>a6a59988512c49faa58903f76aca3a65</t>
  </si>
  <si>
    <t>徐淑珍</t>
  </si>
  <si>
    <t>362330199710062409</t>
  </si>
  <si>
    <t>江西省南昌市东湖区求实路学府公馆五栋</t>
  </si>
  <si>
    <t>景德镇陶瓷大学科技艺术学院</t>
  </si>
  <si>
    <t>国际经济与贸易</t>
  </si>
  <si>
    <t>徐淑珍.jpg</t>
  </si>
  <si>
    <t>255af324d06a4c4b8c39e96779075594</t>
  </si>
  <si>
    <t>沉沦</t>
  </si>
  <si>
    <t>陈伟鸿</t>
  </si>
  <si>
    <t>360726199806035224</t>
  </si>
  <si>
    <t>江西省赣州市安远县重石乡共和村134号附5号</t>
  </si>
  <si>
    <t>兰州财经大学</t>
  </si>
  <si>
    <t>公共艺术</t>
  </si>
  <si>
    <t>2020年6月</t>
  </si>
  <si>
    <t>高级中学教师资格（美术）</t>
  </si>
  <si>
    <t>20203630142003329</t>
  </si>
  <si>
    <t>陈伟鸿.jpg</t>
  </si>
  <si>
    <t>e6ea396c88a045b98f43aa7ef93cc72f</t>
  </si>
  <si>
    <t>HELIÖ</t>
  </si>
  <si>
    <t>宋润冰</t>
  </si>
  <si>
    <t>360425200005110223</t>
  </si>
  <si>
    <t>江西省九江市永修县开发大道移动公司对面早教中心楼上502</t>
  </si>
  <si>
    <t>2021年7月</t>
  </si>
  <si>
    <t>宋润冰.jpg</t>
  </si>
  <si>
    <t>641eed56d71646b5b7459afe53e95cd6</t>
  </si>
  <si>
    <t>小先生</t>
  </si>
  <si>
    <t>罗涛</t>
  </si>
  <si>
    <t>360425199709300214</t>
  </si>
  <si>
    <t>江西省九江市永修县涂埠镇白莲公园生活区15-2号</t>
  </si>
  <si>
    <t>县一中</t>
  </si>
  <si>
    <t>上饶师范学院</t>
  </si>
  <si>
    <t>数学与应用数学</t>
  </si>
  <si>
    <t>2019364079481</t>
  </si>
  <si>
    <t>罗涛.jpg</t>
  </si>
  <si>
    <t>5c6e9b3026304481949f923157a2f95a</t>
  </si>
  <si>
    <t>白茶</t>
  </si>
  <si>
    <t>蔡芷妍</t>
  </si>
  <si>
    <t>360423199510274028</t>
  </si>
  <si>
    <t>江西省九江市武宁县朝阳湖西路8号楼南门市场(人民路)</t>
  </si>
  <si>
    <t>农村幼儿园</t>
  </si>
  <si>
    <t>大专</t>
  </si>
  <si>
    <t>学前教育</t>
  </si>
  <si>
    <t>2016年6月</t>
  </si>
  <si>
    <t>20153613312000806</t>
  </si>
  <si>
    <t>蔡芷妍.jpg</t>
  </si>
  <si>
    <t>df4a2dbc15614640b575c4c555834d3a</t>
  </si>
  <si>
    <t>WPS_1623291127</t>
  </si>
  <si>
    <t>姚金华</t>
  </si>
  <si>
    <t>340826199610173416</t>
  </si>
  <si>
    <t>安徽省安庆市宿松县高龄乡姚圩村姚前组15号</t>
  </si>
  <si>
    <t>池州学院</t>
  </si>
  <si>
    <t>历史学</t>
  </si>
  <si>
    <t>姚金华.jpg</t>
  </si>
  <si>
    <t>e18a106a54834739ac70c08faad1881d</t>
  </si>
  <si>
    <t>搁浅(•ิ_•ิ)似是而非✺</t>
  </si>
  <si>
    <t>彭雪梅</t>
  </si>
  <si>
    <t>360782199701285420</t>
  </si>
  <si>
    <t>江西省九江市永修县老城丁香苑</t>
  </si>
  <si>
    <t>县中专</t>
  </si>
  <si>
    <t>商务英语</t>
  </si>
  <si>
    <t>彭雪梅.jpg</t>
  </si>
  <si>
    <t>05325948c8004e3fa47155c087fa94dc</t>
  </si>
  <si>
    <t>我们的话</t>
  </si>
  <si>
    <t>吕野兰</t>
  </si>
  <si>
    <t>360425199309090027</t>
  </si>
  <si>
    <t>江西省九江市永修县蓝天大道永尚福邸</t>
  </si>
  <si>
    <t>赣南师范学校科技学院</t>
  </si>
  <si>
    <t>2015年7月</t>
  </si>
  <si>
    <t>高级中学教师资格 英语</t>
  </si>
  <si>
    <t>20153630142000489</t>
  </si>
  <si>
    <t>吕野兰.jpg</t>
  </si>
  <si>
    <t>80809c9805a947888b69adaebca1235e</t>
  </si>
  <si>
    <t>JUAN</t>
  </si>
  <si>
    <t>徐娟</t>
  </si>
  <si>
    <t>360425199209160024</t>
  </si>
  <si>
    <t>江西省九江市永修县新城嘉诚佳苑小区</t>
  </si>
  <si>
    <t>高级中学教师资格证-英语</t>
  </si>
  <si>
    <t>20153600342000568</t>
  </si>
  <si>
    <t>徐娟.jpg</t>
  </si>
  <si>
    <t>c31d8450330a4858b9817b16b9fc0e2e</t>
  </si>
  <si>
    <t>陈岚</t>
  </si>
  <si>
    <t>360425199408053723</t>
  </si>
  <si>
    <t>江西省九江市永修县兴隆街</t>
  </si>
  <si>
    <t>长春师范大学</t>
  </si>
  <si>
    <t>美术学</t>
  </si>
  <si>
    <t>高级中学教师资格证</t>
  </si>
  <si>
    <t>20182210042005322</t>
  </si>
  <si>
    <t>陈岚.jpg</t>
  </si>
  <si>
    <t>01125b90dd604e8199904c8eeee1cc75</t>
  </si>
  <si>
    <t>蝶蝶以蝶以蝶蝶</t>
  </si>
  <si>
    <t>葛梦蝶</t>
  </si>
  <si>
    <t>360421199411253843</t>
  </si>
  <si>
    <t>江西省九江市浔阳区浔海领域10栋</t>
  </si>
  <si>
    <t>南京财经大学红山学院</t>
  </si>
  <si>
    <t>审计学</t>
  </si>
  <si>
    <t>葛梦蝶.jpg</t>
  </si>
  <si>
    <t>b63507a19b41475996f7529f6a0fbb4d</t>
  </si>
  <si>
    <t>周金金</t>
  </si>
  <si>
    <t>360481199705260041</t>
  </si>
  <si>
    <t>江西省九江市浔阳区长虹西大道金鹏城</t>
  </si>
  <si>
    <t>南昌教育学院</t>
  </si>
  <si>
    <t>幼儿园教师资格证</t>
  </si>
  <si>
    <t>20183604212000290</t>
  </si>
  <si>
    <t>周金金.jpg</t>
  </si>
  <si>
    <t>fcb9094600204d268d6b21fa3d5f3b98</t>
  </si>
  <si>
    <t>梅子</t>
  </si>
  <si>
    <t>梅慧</t>
  </si>
  <si>
    <t>360421198904105246</t>
  </si>
  <si>
    <t>江西省九江市濂溪区新五中东方紫薇城</t>
  </si>
  <si>
    <t>语文教育</t>
  </si>
  <si>
    <t>2011年7月</t>
  </si>
  <si>
    <t>初级中学语文教师资格证</t>
  </si>
  <si>
    <t>20113613332001096</t>
  </si>
  <si>
    <t>梅慧.jpg</t>
  </si>
  <si>
    <t>d733d66a48ea4caaa4bcad881d887076</t>
  </si>
  <si>
    <t>Karry W</t>
  </si>
  <si>
    <t>吴亚男</t>
  </si>
  <si>
    <t>360425199310131762</t>
  </si>
  <si>
    <t>江西省九江市永修县凯旋城</t>
  </si>
  <si>
    <t>赣南医学院</t>
  </si>
  <si>
    <t>高级教师资格证</t>
  </si>
  <si>
    <t>20153630142000310</t>
  </si>
  <si>
    <t>吴亚男.jpg</t>
  </si>
  <si>
    <t>b715ea37c654466aa639fc910ab16fa3</t>
  </si>
  <si>
    <t>伊方</t>
  </si>
  <si>
    <t>卢思帆</t>
  </si>
  <si>
    <t>360425199510285512</t>
  </si>
  <si>
    <t>江西省九江市永修县马口镇新丰村新基组新基组56号</t>
  </si>
  <si>
    <t>九江职业大学</t>
  </si>
  <si>
    <t>2017年7月</t>
  </si>
  <si>
    <t>20173611331002104</t>
  </si>
  <si>
    <t>卢思帆.jpg</t>
  </si>
  <si>
    <t>902699e34ce644b38e928091166ba20b</t>
  </si>
  <si>
    <t>小师妹</t>
  </si>
  <si>
    <t>郝岑</t>
  </si>
  <si>
    <t>360425199502264922</t>
  </si>
  <si>
    <t>江西省九江市永修县华龙莱茵美郡</t>
  </si>
  <si>
    <t>幼儿园</t>
  </si>
  <si>
    <t>20133605312000080</t>
  </si>
  <si>
    <t>郝岑.jpg</t>
  </si>
  <si>
    <t>01432aac41a442a9a4425b0ab9b1bc19</t>
  </si>
  <si>
    <t>Sofia</t>
  </si>
  <si>
    <t>张莹</t>
  </si>
  <si>
    <t>360425199406090029</t>
  </si>
  <si>
    <t>江西省九江市永修县富民小区</t>
  </si>
  <si>
    <t>县二中</t>
  </si>
  <si>
    <t>江西科技师范大学</t>
  </si>
  <si>
    <t>英语（师范）</t>
  </si>
  <si>
    <t>20163600242003919</t>
  </si>
  <si>
    <t>张莹.jpg</t>
  </si>
  <si>
    <t>abea907da77c408a8fa0f476c248b1ea</t>
  </si>
  <si>
    <t>Joy  双人余</t>
  </si>
  <si>
    <t>徐媛媛</t>
  </si>
  <si>
    <t>360425199408280221</t>
  </si>
  <si>
    <t>江西省九江市永修县永丰垦殖场白莲南路</t>
  </si>
  <si>
    <t>湖南工程学院</t>
  </si>
  <si>
    <t>广告学</t>
  </si>
  <si>
    <t>2017年6月</t>
  </si>
  <si>
    <t>徐媛媛.jpg</t>
  </si>
  <si>
    <t>0f90a5d383c14bc988e6b1ddc9e1ed50</t>
  </si>
  <si>
    <t>天真如我</t>
  </si>
  <si>
    <t>闵齐齐</t>
  </si>
  <si>
    <t>360425199605285224</t>
  </si>
  <si>
    <t>江西省九江市永修县嘉诚天地</t>
  </si>
  <si>
    <t>郑州轻工业大学</t>
  </si>
  <si>
    <t>视觉传达设计</t>
  </si>
  <si>
    <t>20203605332000020</t>
  </si>
  <si>
    <t>闵齐齐.jpg</t>
  </si>
  <si>
    <t>d60f6e65ddd94a57a67508c9a4640cae</t>
  </si>
  <si>
    <t>£鹏</t>
  </si>
  <si>
    <t>魏必鹏</t>
  </si>
  <si>
    <t>360425199703073110</t>
  </si>
  <si>
    <t>江西省九江市永修县西一路棉麻宿舍路口</t>
  </si>
  <si>
    <t>南阳师范学院</t>
  </si>
  <si>
    <t>高级中学美术</t>
  </si>
  <si>
    <t>2020364023201</t>
  </si>
  <si>
    <t>魏必鹏.jpg</t>
  </si>
  <si>
    <t>f62f60566c904d24860f5ce0303bf050</t>
  </si>
  <si>
    <t>Sick</t>
  </si>
  <si>
    <t>淦红针</t>
  </si>
  <si>
    <t>36042519951205112X</t>
  </si>
  <si>
    <t>江西省九江市永修县江西省九江市永修县双喜花园10栋3单元</t>
  </si>
  <si>
    <t>20133605312000083</t>
  </si>
  <si>
    <t>淦红针.jpg</t>
  </si>
  <si>
    <t>74b28dbdff3f440c82fd690a3f3f22af</t>
  </si>
  <si>
    <t>F 。</t>
  </si>
  <si>
    <t>封慧慧</t>
  </si>
  <si>
    <t>450821199610244046</t>
  </si>
  <si>
    <t>江西省九江市柴桑区学府壹号1栋301</t>
  </si>
  <si>
    <t>贺州学院</t>
  </si>
  <si>
    <t>物联网工程</t>
  </si>
  <si>
    <t>中专计算机应用</t>
  </si>
  <si>
    <t>封慧慧.jpg</t>
  </si>
  <si>
    <t>c4526220038d4ff08595a9085ed4f31d</t>
  </si>
  <si>
    <t>AOI!</t>
  </si>
  <si>
    <t>赵文雪</t>
  </si>
  <si>
    <t>360425199809213425</t>
  </si>
  <si>
    <t>江西省九江市永修县涂埠镇龙庭花园</t>
  </si>
  <si>
    <t>景德镇陶瓷大学</t>
  </si>
  <si>
    <t>20203605332000089</t>
  </si>
  <si>
    <t>赵文雪.jpg</t>
  </si>
  <si>
    <t>046d7ffdeea94d30b806f1c501fb1ce9</t>
  </si>
  <si>
    <t>熊晨熹</t>
  </si>
  <si>
    <t>360423199812260027</t>
  </si>
  <si>
    <t>江西省九江市浔阳区环城路锦湖豪庭A栋907</t>
  </si>
  <si>
    <t>武汉音乐学院</t>
  </si>
  <si>
    <t>音乐学</t>
  </si>
  <si>
    <t>高中教师资格证（音乐学科）</t>
  </si>
  <si>
    <t>20204200242003190</t>
  </si>
  <si>
    <t>熊晨熹.jpg</t>
  </si>
  <si>
    <t>8723ca4e980d4a149835388804774397</t>
  </si>
  <si>
    <t>WPS_1623294669</t>
  </si>
  <si>
    <t>万佳</t>
  </si>
  <si>
    <t>360426199905160622</t>
  </si>
  <si>
    <t>江西省九江市德安县德安县吴山镇</t>
  </si>
  <si>
    <t>汉语言文学</t>
  </si>
  <si>
    <t>2021年6月</t>
  </si>
  <si>
    <t>万佳.jpg</t>
  </si>
  <si>
    <t>f82344fff77c4cac8692c4f9e71b93b5</t>
  </si>
  <si>
    <t>Voices</t>
  </si>
  <si>
    <t>曾祥雨</t>
  </si>
  <si>
    <t>360425199803220210</t>
  </si>
  <si>
    <t>江西省九江市濂溪区九江市浔南大道远洲九悦廷c1栋1405号</t>
  </si>
  <si>
    <t>广州体育学院</t>
  </si>
  <si>
    <t>运动训练</t>
  </si>
  <si>
    <t>体育与健康（高级中学）</t>
  </si>
  <si>
    <t>曾祥雨.jpg</t>
  </si>
  <si>
    <t>103bbdd251f24c11b38d576eeab9706a</t>
  </si>
  <si>
    <t>理想三旬</t>
  </si>
  <si>
    <t>刘尹</t>
  </si>
  <si>
    <t>36242919990320002X</t>
  </si>
  <si>
    <t>江西省吉安市安福县平都镇学府春天</t>
  </si>
  <si>
    <t>江西警察学院</t>
  </si>
  <si>
    <t>社会体育指导与管理</t>
  </si>
  <si>
    <t>初中体育与健康</t>
  </si>
  <si>
    <t>2020363008926</t>
  </si>
  <si>
    <t>刘尹.jpg</t>
  </si>
  <si>
    <t>45cc7d87488c4c0cb91d2fd438fa656c</t>
  </si>
  <si>
    <t>张金芳</t>
  </si>
  <si>
    <t>360423199506114021</t>
  </si>
  <si>
    <t>江西省九江市武宁县中国农业发展银行对面</t>
  </si>
  <si>
    <t>20163613312002208</t>
  </si>
  <si>
    <t>张金芳.jpg</t>
  </si>
  <si>
    <t>42e753fdea674c41873c08eac8f0860b</t>
  </si>
  <si>
    <t>不一样的烟火</t>
  </si>
  <si>
    <t>王雅丹</t>
  </si>
  <si>
    <t>36042519970720312X</t>
  </si>
  <si>
    <t>江西省九江市永修县涂埠镇永兴南津窑生活区652号</t>
  </si>
  <si>
    <t>初级中学英语</t>
  </si>
  <si>
    <t>20183610232001268</t>
  </si>
  <si>
    <t>王雅丹.jpg</t>
  </si>
  <si>
    <t>c481de3852104b3fa544748899e4bc99</t>
  </si>
  <si>
    <t>刘尹จุ๊บ</t>
  </si>
  <si>
    <t>3c4ec8a097bc4b8eaffd4e71ecd6bdf0</t>
  </si>
  <si>
    <t>A深秋</t>
  </si>
  <si>
    <t>罗荟</t>
  </si>
  <si>
    <t>360425199709094924</t>
  </si>
  <si>
    <t>江西省九江市永修县白鹤小区</t>
  </si>
  <si>
    <t>数学教育</t>
  </si>
  <si>
    <t>初级中学教师资格</t>
  </si>
  <si>
    <t>20183611332001370</t>
  </si>
  <si>
    <t>罗荟.jpg</t>
  </si>
  <si>
    <t>a9002349bea5453f937509d22568722f</t>
  </si>
  <si>
    <t>freedom</t>
  </si>
  <si>
    <t>刘小姣</t>
  </si>
  <si>
    <t>360425199604173722</t>
  </si>
  <si>
    <t>江西省九江市永修县316国道附近三溪桥学校</t>
  </si>
  <si>
    <t>农村初中</t>
  </si>
  <si>
    <t>井冈山大学</t>
  </si>
  <si>
    <t>20203671532000088</t>
  </si>
  <si>
    <t>刘小姣.jpg</t>
  </si>
  <si>
    <t>afaed323fa1c42fc89c847e107ee0c44</t>
  </si>
  <si>
    <t>wanwan</t>
  </si>
  <si>
    <t>万姝玥</t>
  </si>
  <si>
    <t>360425199407170223</t>
  </si>
  <si>
    <t>江西省九江市永修县书香门第</t>
  </si>
  <si>
    <t>南昌师范高等专科学校</t>
  </si>
  <si>
    <t>2015年6月</t>
  </si>
  <si>
    <t>幼儿园教师资格</t>
  </si>
  <si>
    <t>20153612212001239</t>
  </si>
  <si>
    <t>万姝玥.jpg</t>
  </si>
  <si>
    <t>2fe98254d17b4a58a737d8c6284c499b</t>
  </si>
  <si>
    <t>青稚</t>
  </si>
  <si>
    <t>胡颖</t>
  </si>
  <si>
    <t>360425199708154921</t>
  </si>
  <si>
    <t>江西省九江市永修县马口镇马口街</t>
  </si>
  <si>
    <t>数学与应用数学（师范）</t>
  </si>
  <si>
    <t>胡颖.jpg</t>
  </si>
  <si>
    <t>8672df43cea4425eab3d6d7694c6f0cd</t>
  </si>
  <si>
    <t>瑶瑶瑶</t>
  </si>
  <si>
    <t>杨玉瑶</t>
  </si>
  <si>
    <t>36012319930926004X</t>
  </si>
  <si>
    <t>江西省南昌市安义县龙津镇上河路44号</t>
  </si>
  <si>
    <t>四川音乐学院</t>
  </si>
  <si>
    <t>播音与主持艺术</t>
  </si>
  <si>
    <t>杨玉瑶.jpg</t>
  </si>
  <si>
    <t>9a7c884849be4f4aa34e7446a3b270e7</t>
  </si>
  <si>
    <t>WPS_1623299070</t>
  </si>
  <si>
    <t>赵冰晶</t>
  </si>
  <si>
    <t>36042519910501142X</t>
  </si>
  <si>
    <t xml:space="preserve">江西省九江市永修县新城大道
兴隆街68号
</t>
  </si>
  <si>
    <t>江西财经大学</t>
  </si>
  <si>
    <t>2013年6月</t>
  </si>
  <si>
    <t>赵冰晶.jpg</t>
  </si>
  <si>
    <t>9221633dfa184b149152e928ea6cea31</t>
  </si>
  <si>
    <t>叶子 (Emma)</t>
  </si>
  <si>
    <t>徐月</t>
  </si>
  <si>
    <t>360425199010062048</t>
  </si>
  <si>
    <t>江西省九江市永修县涂埠镇白鹤世纪花园B3栋2单元201</t>
  </si>
  <si>
    <t>2014年7月</t>
  </si>
  <si>
    <t>高级中学，英语</t>
  </si>
  <si>
    <t>20143600342000171</t>
  </si>
  <si>
    <t>徐月.jpg</t>
  </si>
  <si>
    <t>654355546a4445bdae920b9fdda8d0a5</t>
  </si>
  <si>
    <t>匕禾页子</t>
  </si>
  <si>
    <t>李颖</t>
  </si>
  <si>
    <t>360425199606093726</t>
  </si>
  <si>
    <t>江西省九江市永修县山水美地</t>
  </si>
  <si>
    <t>海南师范大学</t>
  </si>
  <si>
    <t>英语师范专业</t>
  </si>
  <si>
    <t>2018年8月</t>
  </si>
  <si>
    <t>高中英语资格证</t>
  </si>
  <si>
    <t>20184600242001367</t>
  </si>
  <si>
    <t>李颖.jpg</t>
  </si>
  <si>
    <t>fbf050157a3a4e15943c2d46225fa864</t>
  </si>
  <si>
    <t>围笑</t>
  </si>
  <si>
    <t>周玲</t>
  </si>
  <si>
    <t>360102199605130029</t>
  </si>
  <si>
    <t>江西省南昌市青云谱区解放西路计算机厂宿舍</t>
  </si>
  <si>
    <t>初级中学数学教师资格证</t>
  </si>
  <si>
    <t>20173610232001506</t>
  </si>
  <si>
    <t>周玲.jpg</t>
  </si>
  <si>
    <t>0bab602c61e14eb6855c423c05eeb521</t>
  </si>
  <si>
    <t>敏敏</t>
  </si>
  <si>
    <t>熊敏</t>
  </si>
  <si>
    <t>360425199209091743</t>
  </si>
  <si>
    <t>江西省九江市永修县涂埠镇蓝天大道21栋</t>
  </si>
  <si>
    <t>景德镇高等专科学校</t>
  </si>
  <si>
    <t>2012年7月</t>
  </si>
  <si>
    <t>20123605312000014</t>
  </si>
  <si>
    <t>熊敏.jpg</t>
  </si>
  <si>
    <t>a8831eac7019489bacce143b1351ed63</t>
  </si>
  <si>
    <t>薄荷蓝</t>
  </si>
  <si>
    <t>熊检兰</t>
  </si>
  <si>
    <t>360425198210262824</t>
  </si>
  <si>
    <t>江西省九江市永修县柘林镇司马村</t>
  </si>
  <si>
    <t>中专</t>
  </si>
  <si>
    <t>幼师</t>
  </si>
  <si>
    <t>2010年7月</t>
  </si>
  <si>
    <t>幼儿园   社会</t>
  </si>
  <si>
    <t>20103605312000147</t>
  </si>
  <si>
    <t>熊检兰.jpg</t>
  </si>
  <si>
    <t>c0ce1317b8394537ad892a4fa6be1d60</t>
  </si>
  <si>
    <t>张倩</t>
  </si>
  <si>
    <t>360425199710115227</t>
  </si>
  <si>
    <t>江西省九江市永修县白鹤山庄A3栋</t>
  </si>
  <si>
    <t>江西省中等师范学校</t>
  </si>
  <si>
    <t>20163604412000583</t>
  </si>
  <si>
    <t>张倩.jpg</t>
  </si>
  <si>
    <t>0ec4d108919c41f29167fb8325d245cf</t>
  </si>
  <si>
    <t>M</t>
  </si>
  <si>
    <t>冯梦云</t>
  </si>
  <si>
    <t>360421199311184027</t>
  </si>
  <si>
    <t>江西省九江市柴桑区港口街镇生机林村</t>
  </si>
  <si>
    <t>东华理工大学长江学院</t>
  </si>
  <si>
    <t>20173601332000037</t>
  </si>
  <si>
    <t>冯梦云.jpg</t>
  </si>
  <si>
    <t>e064116e532b470d8821509def49afea</t>
  </si>
  <si>
    <t>Demon</t>
  </si>
  <si>
    <t>邹祖祺</t>
  </si>
  <si>
    <t>360425199912305221</t>
  </si>
  <si>
    <t>江西省九江市永修县垒旺地中海5栋2单元</t>
  </si>
  <si>
    <t>南昌大学共青学院</t>
  </si>
  <si>
    <t>邹祖祺.jpg</t>
  </si>
  <si>
    <t>b04f7fe9702449b5b28fe3715c178c0a</t>
  </si>
  <si>
    <t>夏银珍</t>
  </si>
  <si>
    <t>360425199811282526</t>
  </si>
  <si>
    <t>江西省九江市永修县建昌大道美神楼上五楼</t>
  </si>
  <si>
    <t>20163604412000670</t>
  </si>
  <si>
    <t>夏银珍.jpg</t>
  </si>
  <si>
    <t>522ab477d47f4e7698cf412d40cdd86f</t>
  </si>
  <si>
    <t>胡慧</t>
  </si>
  <si>
    <t>360425199811151120</t>
  </si>
  <si>
    <t>江西省九江市永修县中梁首府</t>
  </si>
  <si>
    <t>20173611312001093</t>
  </si>
  <si>
    <t>胡慧.jpg</t>
  </si>
  <si>
    <t>00b305a91f254a1aa66672defbeed2cf</t>
  </si>
  <si>
    <t>流年</t>
  </si>
  <si>
    <t>李丽丽</t>
  </si>
  <si>
    <t>360202199210120040</t>
  </si>
  <si>
    <t>江西省九江市永修县永修县白鹤山庄</t>
  </si>
  <si>
    <t>西南交通大学</t>
  </si>
  <si>
    <t>20193600342000911</t>
  </si>
  <si>
    <t>李丽丽.jpg</t>
  </si>
  <si>
    <t>a0a109479d5a4203af74ad340cf41ae3</t>
  </si>
  <si>
    <t>PING</t>
  </si>
  <si>
    <t>王玉萍</t>
  </si>
  <si>
    <t>360425199310240221</t>
  </si>
  <si>
    <t>江西省九江市永修县西二路 垒旺公寓旁</t>
  </si>
  <si>
    <t>初级中学语文</t>
  </si>
  <si>
    <t>20143613332000629</t>
  </si>
  <si>
    <t>王玉萍.jpg</t>
  </si>
  <si>
    <t>b58a779e1ec744879a91874838511be3</t>
  </si>
  <si>
    <t>WPS_1623301836</t>
  </si>
  <si>
    <t>彭孟华</t>
  </si>
  <si>
    <t>360427199001211526</t>
  </si>
  <si>
    <t>江西省九江市庐山市柳絮北路</t>
  </si>
  <si>
    <t>江西科技师范大学理工学院</t>
  </si>
  <si>
    <t>20133612232001488</t>
  </si>
  <si>
    <t>彭孟华.jpg</t>
  </si>
  <si>
    <t>25948b2f58944b838f25f3acf58f101a</t>
  </si>
  <si>
    <t>美少女壮士</t>
  </si>
  <si>
    <t>徐嘉鑫</t>
  </si>
  <si>
    <t>360124199701182425</t>
  </si>
  <si>
    <t>江西省南昌市青山湖区南京东路和苑小区</t>
  </si>
  <si>
    <t>初级中学、语文</t>
  </si>
  <si>
    <t>20193604232000389</t>
  </si>
  <si>
    <t>徐嘉鑫.jpg</t>
  </si>
  <si>
    <t>e2debfcfcadd414fa11f9d9c6a6f3c7b</t>
  </si>
  <si>
    <t>杳然</t>
  </si>
  <si>
    <t>余玉美</t>
  </si>
  <si>
    <t>360425199602034024</t>
  </si>
  <si>
    <t>江西省九江市永修县白槎镇</t>
  </si>
  <si>
    <t>豫章师范学院</t>
  </si>
  <si>
    <t>层次:幼儿园教师资格证  学科:幼儿园</t>
  </si>
  <si>
    <t>20173612212001393</t>
  </si>
  <si>
    <t>余玉美.jpg</t>
  </si>
  <si>
    <t>8aa5ff48c6144ebb8dbc6da2dcb68814</t>
  </si>
  <si>
    <t>勿忘初心</t>
  </si>
  <si>
    <t>黄燕</t>
  </si>
  <si>
    <t>360425198404120824</t>
  </si>
  <si>
    <t>江西省九江市永修县亲水山庄兔喜快递超市</t>
  </si>
  <si>
    <t>江西制造职业技术学院</t>
  </si>
  <si>
    <t>会计电算化</t>
  </si>
  <si>
    <t>2007年7月</t>
  </si>
  <si>
    <t>小学教师资格数学</t>
  </si>
  <si>
    <t>20113605322000006</t>
  </si>
  <si>
    <t>黄燕.jpg</t>
  </si>
  <si>
    <t>dae9349abdcc400a919c8b3b6b5894df</t>
  </si>
  <si>
    <t>qzuser</t>
  </si>
  <si>
    <t>陈红君</t>
  </si>
  <si>
    <t>360425199911212023</t>
  </si>
  <si>
    <t>江西省九江市永修县江西省九江市永修县云山镇</t>
  </si>
  <si>
    <t>体育教育</t>
  </si>
  <si>
    <t>高级中学教师资格证、体育与健康</t>
  </si>
  <si>
    <t>陈红君.jpg</t>
  </si>
  <si>
    <t>1c617550d59a4d8cba048cba1fb34be7</t>
  </si>
  <si>
    <t>い在乎是稳重而非轻浮</t>
  </si>
  <si>
    <t>龙少青</t>
  </si>
  <si>
    <t>360425199501015211</t>
  </si>
  <si>
    <t>语文初级中学教师资格证</t>
  </si>
  <si>
    <t>20163613331000329</t>
  </si>
  <si>
    <t>龙少青.jpg</t>
  </si>
  <si>
    <t>093556390e3647519d26b4ec8170869e</t>
  </si>
  <si>
    <t>G_zzzzzpa</t>
  </si>
  <si>
    <t>淦紫萍</t>
  </si>
  <si>
    <t>360425199802282823</t>
  </si>
  <si>
    <t>江西省九江市永修县新城诺德国际</t>
  </si>
  <si>
    <t>江西科技学院</t>
  </si>
  <si>
    <t>20193605312000102</t>
  </si>
  <si>
    <t>淦紫萍.jpg</t>
  </si>
  <si>
    <t>c765916d0ce14850b18030856e352478</t>
  </si>
  <si>
    <t>诗</t>
  </si>
  <si>
    <t>李侨诗</t>
  </si>
  <si>
    <t>360402199507014960</t>
  </si>
  <si>
    <t>江西省九江市濂溪区青年南路369号中国中铁四局五公司大院2栋</t>
  </si>
  <si>
    <t>硕士研究生</t>
  </si>
  <si>
    <t>教育学原理</t>
  </si>
  <si>
    <t>高级中学语文</t>
  </si>
  <si>
    <t>20203600342000020</t>
  </si>
  <si>
    <t>李侨诗.jpg</t>
  </si>
  <si>
    <t>c11d802221cd43ab8e5ab10977a7290e</t>
  </si>
  <si>
    <t>zhu薇</t>
  </si>
  <si>
    <t>朱薇</t>
  </si>
  <si>
    <t>360425199703083423</t>
  </si>
  <si>
    <t>江西省九江市永修县艾城镇朱村</t>
  </si>
  <si>
    <t xml:space="preserve">幼儿园 </t>
  </si>
  <si>
    <t>20183604412000677</t>
  </si>
  <si>
    <t>朱薇.jpg</t>
  </si>
  <si>
    <t>5b756eb3ccfe4eaa82e516cb767b92bd</t>
  </si>
  <si>
    <t>阳阳</t>
  </si>
  <si>
    <t>阳莉</t>
  </si>
  <si>
    <t>430281198704101324</t>
  </si>
  <si>
    <t>江西省九江市柴桑区沙河街江南熙园</t>
  </si>
  <si>
    <t>吉首大学</t>
  </si>
  <si>
    <t>英语 高级中学教师资格</t>
  </si>
  <si>
    <t>20104301242000109</t>
  </si>
  <si>
    <t>阳莉.jpg</t>
  </si>
  <si>
    <t>b615d527dbfe4debbda894f6a960bdf2</t>
  </si>
  <si>
    <t>WPS_1583980166</t>
  </si>
  <si>
    <t>张雨</t>
  </si>
  <si>
    <t>36042519911125142X</t>
  </si>
  <si>
    <t>江西省九江市永修县山湖湾</t>
  </si>
  <si>
    <t>中央广播电视大学</t>
  </si>
  <si>
    <t>2013年1月</t>
  </si>
  <si>
    <t>20093605312000036</t>
  </si>
  <si>
    <t>张雨.jpg</t>
  </si>
  <si>
    <t>a1da936f57a74a54a9a22bbcea161aa1</t>
  </si>
  <si>
    <t>麦芽</t>
  </si>
  <si>
    <t>丁亚琼</t>
  </si>
  <si>
    <t>360425199307030223</t>
  </si>
  <si>
    <t>江西省九江市永修县白鹤世纪花园c12栋二单元</t>
  </si>
  <si>
    <t>初级中学教师语文</t>
  </si>
  <si>
    <t>20133604432000818</t>
  </si>
  <si>
    <t>丁亚琼.jpg</t>
  </si>
  <si>
    <t>85421e75ae994184b44de7ac3ce17db5</t>
  </si>
  <si>
    <t>半半</t>
  </si>
  <si>
    <t>胡天烨</t>
  </si>
  <si>
    <t>360425199809130224</t>
  </si>
  <si>
    <t>江西省九江市永修县文化新村8栋3号</t>
  </si>
  <si>
    <t>辽东学院</t>
  </si>
  <si>
    <t>动画</t>
  </si>
  <si>
    <t>胡天烨.jpg</t>
  </si>
  <si>
    <t>f8bc41fcf31645e08a244732c522c669</t>
  </si>
  <si>
    <t>小豆子</t>
  </si>
  <si>
    <t>彭芝</t>
  </si>
  <si>
    <t>36042519840524372X</t>
  </si>
  <si>
    <t>江西省九江市永修县山水美地17栋</t>
  </si>
  <si>
    <t>幼师教育</t>
  </si>
  <si>
    <t>20133605312000039</t>
  </si>
  <si>
    <t>彭芝.jpg</t>
  </si>
  <si>
    <t>6e86c5550a33486cbfb6bcebdc6ad33b</t>
  </si>
  <si>
    <t>雨晨呐</t>
  </si>
  <si>
    <t>江雨晨</t>
  </si>
  <si>
    <t>360425199906082025</t>
  </si>
  <si>
    <t>江西省九江市永修县云山经济开发区军山中学</t>
  </si>
  <si>
    <t>宜春幼儿师范高等专科学校</t>
  </si>
  <si>
    <t>20193640512001041</t>
  </si>
  <si>
    <t>江雨晨.jpg</t>
  </si>
  <si>
    <t>8fa6caa1a6f24a86a3c03e3009b43b24</t>
  </si>
  <si>
    <t>去吧 皮卡丘 =☞</t>
  </si>
  <si>
    <t>蔡倩琪</t>
  </si>
  <si>
    <t>360403199409160928</t>
  </si>
  <si>
    <t>江西省南昌市南昌县莲安西路莲垦社区</t>
  </si>
  <si>
    <t>湖南工业大学</t>
  </si>
  <si>
    <t>高等学校教师资格证 --服装设计</t>
  </si>
  <si>
    <t>20163600172000885</t>
  </si>
  <si>
    <t>蔡倩琪.jpg</t>
  </si>
  <si>
    <t>7bde3725ae7d4daea113ec6fbc93a7b9</t>
  </si>
  <si>
    <t>岁月蹉跎不再。</t>
  </si>
  <si>
    <t>唐晨璇</t>
  </si>
  <si>
    <t>360124199910220029</t>
  </si>
  <si>
    <t>江西省南昌市进贤县岚湖路168号</t>
  </si>
  <si>
    <t>20203609232000083</t>
  </si>
  <si>
    <t>唐晨璇.jpg</t>
  </si>
  <si>
    <t>88ca002fe63c46119117a36cf6c52d3c</t>
  </si>
  <si>
    <t>Micky</t>
  </si>
  <si>
    <t>洪琼琼</t>
  </si>
  <si>
    <t>360428199511274363</t>
  </si>
  <si>
    <t>江西省九江市濂溪区新湖庐山国际</t>
  </si>
  <si>
    <t>江西理工大学</t>
  </si>
  <si>
    <t>英语笔译</t>
  </si>
  <si>
    <t>20173600342000647</t>
  </si>
  <si>
    <t>洪琼琼.jpg</t>
  </si>
  <si>
    <t>23862e2646db43828ec08a14df9faa4f</t>
  </si>
  <si>
    <t>黄宁</t>
  </si>
  <si>
    <t>360425199301280248</t>
  </si>
  <si>
    <t>江西省九江市永修县湖东经济适用房8栋一单元402</t>
  </si>
  <si>
    <t>20153613312001169</t>
  </si>
  <si>
    <t>黄宁.jpg</t>
  </si>
  <si>
    <t>dd243a98b28b49609ddbfa3ac50228ae</t>
  </si>
  <si>
    <t>淡季</t>
  </si>
  <si>
    <t>丁晓娇</t>
  </si>
  <si>
    <t>360425198505093722</t>
  </si>
  <si>
    <t>江西省九江市永修县三溪桥镇</t>
  </si>
  <si>
    <t>九江师范学校</t>
  </si>
  <si>
    <t>2003年7月</t>
  </si>
  <si>
    <t>20033613311000138</t>
  </si>
  <si>
    <t>丁晓娇.jpg</t>
  </si>
  <si>
    <t>b68abdbcad834f2f8d52bca5eacb1edd</t>
  </si>
  <si>
    <t>徐wx</t>
  </si>
  <si>
    <t>徐文清</t>
  </si>
  <si>
    <t>360425199808222821</t>
  </si>
  <si>
    <t>江西省九江市永修县康瑞山湖湾</t>
  </si>
  <si>
    <t>旅游管理</t>
  </si>
  <si>
    <t>徐文清.jpg</t>
  </si>
  <si>
    <t>1530cc54055542a5bb5b466072936fb3</t>
  </si>
  <si>
    <t xml:space="preserve">  陈情</t>
  </si>
  <si>
    <t>范兰兰</t>
  </si>
  <si>
    <t>360425199611162845</t>
  </si>
  <si>
    <t>江西省九江市永修县三角乡永丰村范家组41号</t>
  </si>
  <si>
    <t>荆楚理工学院</t>
  </si>
  <si>
    <t>范兰兰.jpg</t>
  </si>
  <si>
    <t>4060e93d607149b09644ec3d390446ac</t>
  </si>
  <si>
    <t>yogurt</t>
  </si>
  <si>
    <t>王佳佳</t>
  </si>
  <si>
    <t>360121199408130563</t>
  </si>
  <si>
    <t>江西省景德镇市浮梁县峙滩中学</t>
  </si>
  <si>
    <t>江西师范大学科学技术学院</t>
  </si>
  <si>
    <t>英语师范</t>
  </si>
  <si>
    <t>20173600242004031</t>
  </si>
  <si>
    <t>王佳佳.jpg</t>
  </si>
  <si>
    <t>cec42822da4b4cc69b7d17f2f230920c</t>
  </si>
  <si>
    <t>李婷Alisa</t>
  </si>
  <si>
    <t>李婷婷</t>
  </si>
  <si>
    <t>36042519920311342X</t>
  </si>
  <si>
    <t>江西省九江市永修县滨湖华廷</t>
  </si>
  <si>
    <t>20133601232000362</t>
  </si>
  <si>
    <t>李婷婷.jpg</t>
  </si>
  <si>
    <t>88e3cbb9c1d74428820d1b2e09b69e9c</t>
  </si>
  <si>
    <t>WPS_1623288050</t>
  </si>
  <si>
    <t>付逑逑</t>
  </si>
  <si>
    <t>360425199604233449</t>
  </si>
  <si>
    <t>江西省九江市永修县艾城三叉路口</t>
  </si>
  <si>
    <t>2017年1月</t>
  </si>
  <si>
    <t>20173605312000088</t>
  </si>
  <si>
    <t>付逑逑.jpg</t>
  </si>
  <si>
    <t>d4bb45c105fb4327b0dcc41cb26fe637</t>
  </si>
  <si>
    <t>芳芳</t>
  </si>
  <si>
    <t>张芳</t>
  </si>
  <si>
    <t>360425199903252826</t>
  </si>
  <si>
    <t>江西省九江市永修县江西省九江市永修县三角乡建华村</t>
  </si>
  <si>
    <t>宜春幼儿高等专科学院</t>
  </si>
  <si>
    <t>20193640512001121</t>
  </si>
  <si>
    <t>张芳.jpg</t>
  </si>
  <si>
    <t>6f90bb8cf298428fafbb6d5f933cf688</t>
  </si>
  <si>
    <t>WPS_1598929221</t>
  </si>
  <si>
    <t>龙珍</t>
  </si>
  <si>
    <t>362432199502131527</t>
  </si>
  <si>
    <t>江西省九江市庐山市南康镇星光大道和谐小区</t>
  </si>
  <si>
    <t>初级中学思想品德</t>
  </si>
  <si>
    <t>20163610232001124</t>
  </si>
  <si>
    <t>龙珍.jpg</t>
  </si>
  <si>
    <t>47de609578224970ad5101a0dbf0df21</t>
  </si>
  <si>
    <t>范小饭</t>
  </si>
  <si>
    <t>范志峰</t>
  </si>
  <si>
    <t>360425198911281745</t>
  </si>
  <si>
    <t>江西省九江市永修县江西省九江市永修县吴城镇</t>
  </si>
  <si>
    <t>景德镇陶瓷学院</t>
  </si>
  <si>
    <t>材料化学</t>
  </si>
  <si>
    <t>20193605332000114</t>
  </si>
  <si>
    <t>范志峰.jpg</t>
  </si>
  <si>
    <t>bea6f4173d8d44ddbf7b92ea19c55e01</t>
  </si>
  <si>
    <t>哆来A梦</t>
  </si>
  <si>
    <t>张聪媚</t>
  </si>
  <si>
    <t>362528199812100022</t>
  </si>
  <si>
    <t>江西省抚州市金溪县秀谷镇廉租房A栋3单元201</t>
  </si>
  <si>
    <t>东华理工大学</t>
  </si>
  <si>
    <t>20183660312000577</t>
  </si>
  <si>
    <t>张聪媚.jpg</t>
  </si>
  <si>
    <t>abbf20dee07447998e41f62f58303723</t>
  </si>
  <si>
    <t xml:space="preserve">\   好姑娘 </t>
  </si>
  <si>
    <t>胡琪</t>
  </si>
  <si>
    <t>36042519920824252X</t>
  </si>
  <si>
    <t>江西省九江市永修县嘉诚天地小区</t>
  </si>
  <si>
    <t>江西科技师范学院</t>
  </si>
  <si>
    <t>小学教师资格</t>
  </si>
  <si>
    <t>20113605322000009</t>
  </si>
  <si>
    <t>胡琪.jpg</t>
  </si>
  <si>
    <t>c7556d648e0c41a087be3a6fd907d09f</t>
  </si>
  <si>
    <t>圆滚滚の小燕砸</t>
  </si>
  <si>
    <t>邓红燕</t>
  </si>
  <si>
    <t>360425199901063124</t>
  </si>
  <si>
    <t>江西省九江市永修县涂埠镇</t>
  </si>
  <si>
    <t>早教专业</t>
  </si>
  <si>
    <t>20203640512000330</t>
  </si>
  <si>
    <t>邓红燕.jpg</t>
  </si>
  <si>
    <t>a9f3f135225d485fadfbba4d9c4c04f8</t>
  </si>
  <si>
    <t>易明菁（微微w）</t>
  </si>
  <si>
    <t>易明菁</t>
  </si>
  <si>
    <t>360425199708165823</t>
  </si>
  <si>
    <t>江西省九江市永修县虬津镇麻洲村</t>
  </si>
  <si>
    <t>湖北师范大学</t>
  </si>
  <si>
    <t>20194201842000837</t>
  </si>
  <si>
    <t>易明菁.jpg</t>
  </si>
  <si>
    <t>378f0fd4c31a434fbc95463a5165a420</t>
  </si>
  <si>
    <t>茉莉</t>
  </si>
  <si>
    <t>杨艳</t>
  </si>
  <si>
    <t>360425198809180227</t>
  </si>
  <si>
    <t>江西省九江市永修县莲花苑17栋2单元501</t>
  </si>
  <si>
    <t>长江大学</t>
  </si>
  <si>
    <t>2010年6月</t>
  </si>
  <si>
    <t>音乐 高级中学教师资格证</t>
  </si>
  <si>
    <t>20104203542000913</t>
  </si>
  <si>
    <t>杨艳.jpg</t>
  </si>
  <si>
    <t>d7663c83a747438a8d1ac6b478c07a2c</t>
  </si>
  <si>
    <t>蓦然回首</t>
  </si>
  <si>
    <t>胡蓉</t>
  </si>
  <si>
    <t>362401198912114069</t>
  </si>
  <si>
    <t>江西省南昌市南昌县东新乡新力象湖湾</t>
  </si>
  <si>
    <t>2012年6月</t>
  </si>
  <si>
    <t>20193606232000191</t>
  </si>
  <si>
    <t>胡蓉.jpg</t>
  </si>
  <si>
    <t>a0a794de71f0492fb5699c11280f2ead</t>
  </si>
  <si>
    <t> 文</t>
  </si>
  <si>
    <t>文青竹</t>
  </si>
  <si>
    <t>360425199108070628</t>
  </si>
  <si>
    <t>江西省九江市永修县恒丰企业集团</t>
  </si>
  <si>
    <t>南昌市第一中等专业学校</t>
  </si>
  <si>
    <t>幼儿师范</t>
  </si>
  <si>
    <t>20113610212000318</t>
  </si>
  <si>
    <t>文青竹.jpg</t>
  </si>
  <si>
    <t>d2e4a46e1dfb4ef88d2db51fb4667ec8</t>
  </si>
  <si>
    <t>高云秋</t>
  </si>
  <si>
    <t>360105199711171229</t>
  </si>
  <si>
    <t>江西省南昌市新建区长堎镇新建职高对面</t>
  </si>
  <si>
    <t>河北师范大学</t>
  </si>
  <si>
    <t>汉语言文学（师范类）</t>
  </si>
  <si>
    <t>20203600242003124</t>
  </si>
  <si>
    <t>高云秋.jpg</t>
  </si>
  <si>
    <t>a61433e889bd4b56be0f65166bf96b88</t>
  </si>
  <si>
    <t>粥粥</t>
  </si>
  <si>
    <t>周清</t>
  </si>
  <si>
    <t>362522199807079021</t>
  </si>
  <si>
    <t>江西省抚州市南城县盛世尊品</t>
  </si>
  <si>
    <t>物理学</t>
  </si>
  <si>
    <t>初中数学教师资格证(认定中)</t>
  </si>
  <si>
    <t>周清.jpg</t>
  </si>
  <si>
    <t>b748fd3ec4a8454f866b585e7ee251ae</t>
  </si>
  <si>
    <t>Angela</t>
  </si>
  <si>
    <t>梁艳梅</t>
  </si>
  <si>
    <t>360731199502193427</t>
  </si>
  <si>
    <t>江西省赣州市于都县罗江乡太坪村</t>
  </si>
  <si>
    <t>高级中学英语教师资格</t>
  </si>
  <si>
    <t>20193650142001165</t>
  </si>
  <si>
    <t>梁艳梅.jpg</t>
  </si>
  <si>
    <t>3d9080d7a1174ea38257a2bd5501ff9e</t>
  </si>
  <si>
    <t>nn</t>
  </si>
  <si>
    <t>张娜</t>
  </si>
  <si>
    <t>360425200107255247</t>
  </si>
  <si>
    <t>江西省九江市永修县白鹤山庄</t>
  </si>
  <si>
    <t>学前教育专业</t>
  </si>
  <si>
    <t>幼儿园—保育知识与能力—综合素质</t>
  </si>
  <si>
    <t>张娜.jpg</t>
  </si>
  <si>
    <t>af3f814c9c364e32924ed35222c1efca</t>
  </si>
  <si>
    <t>小扣柴扉</t>
  </si>
  <si>
    <t>刘升霞</t>
  </si>
  <si>
    <t>620523199303204704</t>
  </si>
  <si>
    <t>江西省九江市修水县太阳升镇城坳村4组</t>
  </si>
  <si>
    <t>人文地理与城乡规划</t>
  </si>
  <si>
    <t>初级中学地理教师资格</t>
  </si>
  <si>
    <t>20153613332002643</t>
  </si>
  <si>
    <t>刘升霞.jpg</t>
  </si>
  <si>
    <t>b01b92c049534d8c845361e39f80b6ac</t>
  </si>
  <si>
    <t>非主流</t>
  </si>
  <si>
    <t>王学文</t>
  </si>
  <si>
    <t>360222199509274218</t>
  </si>
  <si>
    <t>江西省景德镇市浮梁县鹅湖镇张村占阴组</t>
  </si>
  <si>
    <t>化学</t>
  </si>
  <si>
    <t>高级中学化学教师资格</t>
  </si>
  <si>
    <t>20193600241004699</t>
  </si>
  <si>
    <t>王学文.jpg</t>
  </si>
  <si>
    <t>9a4338af72e34465ad6baf32f35d5e14</t>
  </si>
  <si>
    <t>师大心理学院-王老师</t>
  </si>
  <si>
    <t>郝倩倩</t>
  </si>
  <si>
    <t>360425199207224928</t>
  </si>
  <si>
    <t>江西省九江市永修县屋场村杨家组</t>
  </si>
  <si>
    <t>河南中医院大学</t>
  </si>
  <si>
    <t>健康保险</t>
  </si>
  <si>
    <t>2016年9月</t>
  </si>
  <si>
    <t>初级中学数学</t>
  </si>
  <si>
    <t>20183605332000060</t>
  </si>
  <si>
    <t>郝倩倩.jpg</t>
  </si>
  <si>
    <t>a5e2a546082c417786a3ab4974abe1ad</t>
  </si>
  <si>
    <t>爱健身的魔兽</t>
  </si>
  <si>
    <t>杨雨露</t>
  </si>
  <si>
    <t>360425199612025228</t>
  </si>
  <si>
    <t>江西省九江市永修县立新乡车溪村车溪中心组16号</t>
  </si>
  <si>
    <t xml:space="preserve">初中英语教师资格证 </t>
  </si>
  <si>
    <t>20183605232000418</t>
  </si>
  <si>
    <t>杨雨露.jpg</t>
  </si>
  <si>
    <t>119d6d75797645419a16608ee63247a4</t>
  </si>
  <si>
    <t>梦新</t>
  </si>
  <si>
    <t>李梦新</t>
  </si>
  <si>
    <t>360425199609285520</t>
  </si>
  <si>
    <t>江西省九江市永修县马口镇和丰村</t>
  </si>
  <si>
    <t>小学教育(数学方向)</t>
  </si>
  <si>
    <t>20193605332000026</t>
  </si>
  <si>
    <t>李梦新.jpg</t>
  </si>
  <si>
    <t>d389eade08264b9b8b6e823734dc839f</t>
  </si>
  <si>
    <t>ㅤ</t>
  </si>
  <si>
    <t>何佳琪</t>
  </si>
  <si>
    <t>360102200006131244</t>
  </si>
  <si>
    <t>江西省南昌市西湖区八一大道59号</t>
  </si>
  <si>
    <t>幼儿教师资格证</t>
  </si>
  <si>
    <t>20203612212000146</t>
  </si>
  <si>
    <t>何佳琪.jpg</t>
  </si>
  <si>
    <t>b79c964b946b47b594c6a70e4463ce91</t>
  </si>
  <si>
    <t>君君</t>
  </si>
  <si>
    <t>詹敏君</t>
  </si>
  <si>
    <t>360425199305142029</t>
  </si>
  <si>
    <t>江西省九江市永修县湖滨半岛1栋1单元</t>
  </si>
  <si>
    <t>英语国际金融</t>
  </si>
  <si>
    <t>高级中学教师资格  英语</t>
  </si>
  <si>
    <t>20173600342000635</t>
  </si>
  <si>
    <t>詹敏君.jpg</t>
  </si>
  <si>
    <t>a9d83e30c02541fba762f73d6efdaa78</t>
  </si>
  <si>
    <t>超然物外</t>
  </si>
  <si>
    <t>周慧</t>
  </si>
  <si>
    <t>360123199911080025</t>
  </si>
  <si>
    <t>江西省南昌市安义县龙津镇前进东路新河湾</t>
  </si>
  <si>
    <t>20203612212001715</t>
  </si>
  <si>
    <t>周慧.jpg</t>
  </si>
  <si>
    <t>bd4e0d8a592b4d6aac554c3ee09b8b19</t>
  </si>
  <si>
    <t>better</t>
  </si>
  <si>
    <t>吴星宇</t>
  </si>
  <si>
    <t>360425199810215268</t>
  </si>
  <si>
    <t>江西省九江市永修县永修县嘉和首府</t>
  </si>
  <si>
    <t>音乐教育</t>
  </si>
  <si>
    <t>高级中学教师资格（音乐）</t>
  </si>
  <si>
    <t>20203600242001294</t>
  </si>
  <si>
    <t>吴星宇.jpg</t>
  </si>
  <si>
    <t>8e00c0e601ab4c82b76752da470fc8f1</t>
  </si>
  <si>
    <t></t>
  </si>
  <si>
    <t>胡雅倩</t>
  </si>
  <si>
    <t>360425199512210223</t>
  </si>
  <si>
    <t>江西省九江市永修县新城大道</t>
  </si>
  <si>
    <t>20163612212002334</t>
  </si>
  <si>
    <t>胡雅倩.jpg</t>
  </si>
  <si>
    <t>65c8e73f1cb34ec6a12cbd99939d93c6</t>
  </si>
  <si>
    <t>迷鹿</t>
  </si>
  <si>
    <t>袁荧荧</t>
  </si>
  <si>
    <t>360425199809022821</t>
  </si>
  <si>
    <t>袁荧荧.jpg</t>
  </si>
  <si>
    <t>a7a0e38116be42f684363c320b35c81b</t>
  </si>
  <si>
    <t>WPS_1623327843</t>
  </si>
  <si>
    <t>龙梅芳</t>
  </si>
  <si>
    <t>360481199812014823</t>
  </si>
  <si>
    <t>江西省九江市瑞昌市龙泉路新金鸡铺</t>
  </si>
  <si>
    <t>龙梅芳.jpg</t>
  </si>
  <si>
    <t>b815c4c709b64d1e8c4206f96b80a6f8</t>
  </si>
  <si>
    <t>伞轻摇</t>
  </si>
  <si>
    <t>吴春燕</t>
  </si>
  <si>
    <t>360402199904190028</t>
  </si>
  <si>
    <t>江西省九江市濂溪区十里街道前进西路浔海花园</t>
  </si>
  <si>
    <t>高中历史教师资格证</t>
  </si>
  <si>
    <t>吴春燕.jpg</t>
  </si>
  <si>
    <t>be572f61f4354c5fbc7df70adf262b66</t>
  </si>
  <si>
    <t>夏末，秋初。</t>
  </si>
  <si>
    <t>吴淑慧</t>
  </si>
  <si>
    <t>360423199311092643</t>
  </si>
  <si>
    <t>江西省九江市武宁县鸿安小区33栋1单元101室</t>
  </si>
  <si>
    <t>江西广播电视大学</t>
  </si>
  <si>
    <t>20203600342000629</t>
  </si>
  <si>
    <t>吴淑慧.jpg</t>
  </si>
  <si>
    <t>a4668fb0520949b5a30f900075d9e62c</t>
  </si>
  <si>
    <t>张奕奕^O^</t>
  </si>
  <si>
    <t>张奕</t>
  </si>
  <si>
    <t>360425199804290229</t>
  </si>
  <si>
    <t>江西省九江市永修县康瑞山湖湾小区</t>
  </si>
  <si>
    <t>贵州大学</t>
  </si>
  <si>
    <t>雕塑</t>
  </si>
  <si>
    <t>20195210042005225</t>
  </si>
  <si>
    <t>张奕.jpg</t>
  </si>
  <si>
    <t>3b91a08f6eab4faba5ee49f3e306d775</t>
  </si>
  <si>
    <t>d</t>
  </si>
  <si>
    <t>吴丹丹</t>
  </si>
  <si>
    <t>360425198711103469</t>
  </si>
  <si>
    <t>江西省九江市永修县艾城镇</t>
  </si>
  <si>
    <t>化学教育</t>
  </si>
  <si>
    <t>2009年7月</t>
  </si>
  <si>
    <t>20093613332000382</t>
  </si>
  <si>
    <t>吴丹丹.jpg</t>
  </si>
  <si>
    <t>e4e1ddc62e74451e933a2cae28581753</t>
  </si>
  <si>
    <t>郄</t>
  </si>
  <si>
    <t>吴娟</t>
  </si>
  <si>
    <t>360425200001074325</t>
  </si>
  <si>
    <t>江西省九江市永修县梅棠镇中心村燕山组34号</t>
  </si>
  <si>
    <t>宜春职业技术学院</t>
  </si>
  <si>
    <t>大学  幼儿园</t>
  </si>
  <si>
    <t>吴娟.jpg</t>
  </si>
  <si>
    <t>c675121964db4340941ea7caaeb5097c</t>
  </si>
  <si>
    <t>BJzero</t>
  </si>
  <si>
    <t>姜文杏</t>
  </si>
  <si>
    <t>430221199803247829</t>
  </si>
  <si>
    <t>江西省九江市永修县广隆滨湖华庭18栋2单元</t>
  </si>
  <si>
    <t>长沙学院</t>
  </si>
  <si>
    <t>姜文杏.jpg</t>
  </si>
  <si>
    <t>ebd5eb59c820407b8832470332869a32</t>
  </si>
  <si>
    <t>POI</t>
  </si>
  <si>
    <t>樊康睿</t>
  </si>
  <si>
    <t>36042519951013022X</t>
  </si>
  <si>
    <t>江西省九江市永修县建昌花园</t>
  </si>
  <si>
    <t>江西农业大学</t>
  </si>
  <si>
    <t>软件工程、英语</t>
  </si>
  <si>
    <t>20193605332000126</t>
  </si>
  <si>
    <t>樊康睿.jpg</t>
  </si>
  <si>
    <t>f8d300c9a9b6436fb97c778356c66d31</t>
  </si>
  <si>
    <t>Lenka万二宝</t>
  </si>
  <si>
    <t>万慧</t>
  </si>
  <si>
    <t>360403198901170023</t>
  </si>
  <si>
    <t>江西省南昌市青山湖区昌北经济开发区双港西大道万科金域国际</t>
  </si>
  <si>
    <t>江西农业大学南昌商学院</t>
  </si>
  <si>
    <t>新闻学</t>
  </si>
  <si>
    <t>0，已取得初中英语教师资格考试合格证，待领证</t>
  </si>
  <si>
    <t>万慧.jpg</t>
  </si>
  <si>
    <t>54ce7e7c1b934e1595a2f36a1de587d6</t>
  </si>
  <si>
    <t>段</t>
  </si>
  <si>
    <t>段海波</t>
  </si>
  <si>
    <t>360428199401262513</t>
  </si>
  <si>
    <t>江西省九江市永修县县委大院</t>
  </si>
  <si>
    <t>高级中学教师资格证、数学</t>
  </si>
  <si>
    <t>20143600341000422</t>
  </si>
  <si>
    <t>段海波.jpg</t>
  </si>
  <si>
    <t>11a8e47b6f4244369824cf66c53be8b9</t>
  </si>
  <si>
    <t>向日葵</t>
  </si>
  <si>
    <t>李卉</t>
  </si>
  <si>
    <t>360425198401280021</t>
  </si>
  <si>
    <t>江西省九江市永修县新城大道预防控制中心对面</t>
  </si>
  <si>
    <t>美术教育</t>
  </si>
  <si>
    <t>20073600331001362</t>
  </si>
  <si>
    <t>李卉.jpg</t>
  </si>
  <si>
    <t>263fabb52c7d4cb981084677c9d5b6d4</t>
  </si>
  <si>
    <t xml:space="preserve"> 徐大大 </t>
  </si>
  <si>
    <t>徐玉婷</t>
  </si>
  <si>
    <t>360281199905045425</t>
  </si>
  <si>
    <t>江西省景德镇市乐平市众埠镇尚濂咀村</t>
  </si>
  <si>
    <t>南宁师范大学</t>
  </si>
  <si>
    <t>计算机科学与技术</t>
  </si>
  <si>
    <t>高中信息技术教师资格证</t>
  </si>
  <si>
    <t>2020454021055</t>
  </si>
  <si>
    <t>徐玉婷.jpg</t>
  </si>
  <si>
    <t>721373904902444486ff0bfa98868935</t>
  </si>
  <si>
    <t>Minminmin</t>
  </si>
  <si>
    <t>胡敏</t>
  </si>
  <si>
    <t>360425199607230227</t>
  </si>
  <si>
    <t>江西省九江市永修县湖东莲花苑小区五栋501</t>
  </si>
  <si>
    <t>高中</t>
  </si>
  <si>
    <t>20193600342000712</t>
  </si>
  <si>
    <t>胡敏.jpg</t>
  </si>
  <si>
    <t>b38737fe3d5d4e8b9af84e903e1e93fc</t>
  </si>
  <si>
    <t>木里</t>
  </si>
  <si>
    <t>肖奕帆</t>
  </si>
  <si>
    <t>36220219950627282X</t>
  </si>
  <si>
    <t>江西省南昌市南昌县丰源淳和14栋二单元1901室</t>
  </si>
  <si>
    <t>环境科学</t>
  </si>
  <si>
    <t>肖奕帆.jpg</t>
  </si>
  <si>
    <t>b4b205842b1c4eac89599c327b3ac92a</t>
  </si>
  <si>
    <t>林贤强</t>
  </si>
  <si>
    <t>360403198203170915</t>
  </si>
  <si>
    <t>江西省九江市浔阳区九江市姚家洼新8栋701室</t>
  </si>
  <si>
    <t>2004年6月</t>
  </si>
  <si>
    <t>体育初级中学</t>
  </si>
  <si>
    <t>20043613330000405</t>
  </si>
  <si>
    <t>林贤强.jpg</t>
  </si>
  <si>
    <t>bcdc14ca81714f45b43020cd6d6bd8d0</t>
  </si>
  <si>
    <t>L  Y  R</t>
  </si>
  <si>
    <t>罗一茹</t>
  </si>
  <si>
    <t>411526199604173543</t>
  </si>
  <si>
    <t>江西省南昌市青山湖区经开区下罗九三一九厂</t>
  </si>
  <si>
    <t>信阳学院</t>
  </si>
  <si>
    <t>20194117232000373</t>
  </si>
  <si>
    <t>罗一茹.jpg</t>
  </si>
  <si>
    <t>85e5182e51e54b5b9614888b8c1e010e</t>
  </si>
  <si>
    <t>WPS_1623331632</t>
  </si>
  <si>
    <t>吴芳</t>
  </si>
  <si>
    <t>360428198906190063</t>
  </si>
  <si>
    <t>江西省宜春市丰城市剑邑大道凤凰花园</t>
  </si>
  <si>
    <t>高中英语教师资格证</t>
  </si>
  <si>
    <t>20203600242000025</t>
  </si>
  <si>
    <t>吴芳.jpg</t>
  </si>
  <si>
    <t>037bdadbcb0b4944b4536069adc24ccf</t>
  </si>
  <si>
    <t>~晓~</t>
  </si>
  <si>
    <t>李晓</t>
  </si>
  <si>
    <t>360425198907215526</t>
  </si>
  <si>
    <t>江西省九江市永修县诺德国际8栋1单元</t>
  </si>
  <si>
    <t>教育学</t>
  </si>
  <si>
    <t>20103613332000440</t>
  </si>
  <si>
    <t>李晓.jpg</t>
  </si>
  <si>
    <t>7fcd7752bf834b2691882fdde990e4e3</t>
  </si>
  <si>
    <t>summer</t>
  </si>
  <si>
    <t>蔡响玲</t>
  </si>
  <si>
    <t>360421198603105242</t>
  </si>
  <si>
    <t>江西省九江市柴桑区柴桑区鑫盛公园一号一期9栋1单元</t>
  </si>
  <si>
    <t>赣南师范学院</t>
  </si>
  <si>
    <t>信息与计算科学</t>
  </si>
  <si>
    <t>高级中学教师资格，数学</t>
  </si>
  <si>
    <t>20103600342000426</t>
  </si>
  <si>
    <t>蔡响玲.jpg</t>
  </si>
  <si>
    <t>8dc4f31a707641ba93e1b8db0ca5fb45</t>
  </si>
  <si>
    <t>潇湘仙子</t>
  </si>
  <si>
    <t>邹霞</t>
  </si>
  <si>
    <t>362421199806017121</t>
  </si>
  <si>
    <t>江西省吉安市青原区青原区文陂镇</t>
  </si>
  <si>
    <t>南昌航空大学科技学院</t>
  </si>
  <si>
    <t>会计</t>
  </si>
  <si>
    <t>邹霞.jpg</t>
  </si>
  <si>
    <t>c0e6e7bf64664bb3b92ad0e9d61e2643</t>
  </si>
  <si>
    <t>南风</t>
  </si>
  <si>
    <t>刘琦</t>
  </si>
  <si>
    <t>360428199809221264</t>
  </si>
  <si>
    <t>江西省九江市都昌县都昌县云矶小区</t>
  </si>
  <si>
    <t>抚州幼儿师范高等专科学校</t>
  </si>
  <si>
    <t>取得幼儿园教师资格证</t>
  </si>
  <si>
    <t>2021361017134</t>
  </si>
  <si>
    <t>刘琦.jpg</t>
  </si>
  <si>
    <t>c6ca8711a0b84035ab617a08b0a1db24</t>
  </si>
  <si>
    <t>简爱</t>
  </si>
  <si>
    <t>许诗荟</t>
  </si>
  <si>
    <t>360203199604271542</t>
  </si>
  <si>
    <t>江西省景德镇市珠山区腊梅山28栋4号</t>
  </si>
  <si>
    <t>20173604432000305</t>
  </si>
  <si>
    <t>许诗荟.jpg</t>
  </si>
  <si>
    <t>fbaa8d3764354835a1b5a849bf97dff8</t>
  </si>
  <si>
    <t>Y</t>
  </si>
  <si>
    <t>虞星星</t>
  </si>
  <si>
    <t>362330199902056783</t>
  </si>
  <si>
    <t>江西省上饶市鄱阳县现代城B8栋</t>
  </si>
  <si>
    <t>江西师范高等专科学校</t>
  </si>
  <si>
    <t>20203603512000465</t>
  </si>
  <si>
    <t>虞星星.jpg</t>
  </si>
  <si>
    <t>9b0f9db977804f9b9670a8d0bcb2fbc9</t>
  </si>
  <si>
    <t>Studet*sbook</t>
  </si>
  <si>
    <t>彭晓燕</t>
  </si>
  <si>
    <t>360281199902091047</t>
  </si>
  <si>
    <t>江西省上饶市余干县金谷巷161号</t>
  </si>
  <si>
    <t>20203603512000453</t>
  </si>
  <si>
    <t>彭晓燕.jpg</t>
  </si>
  <si>
    <t>2e7f01ea702c444ca6b4cb521877b862</t>
  </si>
  <si>
    <t>Sun☀</t>
  </si>
  <si>
    <t>万晨阳</t>
  </si>
  <si>
    <t>360104199112231019</t>
  </si>
  <si>
    <t>江西省南昌市青云谱区何坊西路文和苑1栋1705</t>
  </si>
  <si>
    <t>万晨阳.jpg</t>
  </si>
  <si>
    <t>2e5ea1c0c29e454db2b6d56a40485742</t>
  </si>
  <si>
    <t>琪</t>
  </si>
  <si>
    <t>张佳琪</t>
  </si>
  <si>
    <t>360429199812032727</t>
  </si>
  <si>
    <t>江西省九江市湖口县城山镇大唐社区</t>
  </si>
  <si>
    <t>宜春学院</t>
  </si>
  <si>
    <t>20203641022000165</t>
  </si>
  <si>
    <t>张佳琪.jpg</t>
  </si>
  <si>
    <t>00b9021d27864145adb4d58ce4aa9616</t>
  </si>
  <si>
    <t>费银银</t>
  </si>
  <si>
    <t>360421199510242023</t>
  </si>
  <si>
    <t>江西省九江市柴桑区狮子鸡岭村</t>
  </si>
  <si>
    <t>南昌工程学院</t>
  </si>
  <si>
    <t>拟取得初级中学 数学</t>
  </si>
  <si>
    <t>费银银.jpg</t>
  </si>
  <si>
    <t>8b900ce7bdfb43aba9bfa9ab00c886b5</t>
  </si>
  <si>
    <t>我就是小宇先森</t>
  </si>
  <si>
    <t>汤诚</t>
  </si>
  <si>
    <t>340881199102045113</t>
  </si>
  <si>
    <t>安徽省安庆市桐城市光明村</t>
  </si>
  <si>
    <t>蚌埠学院</t>
  </si>
  <si>
    <t>20143440231000474</t>
  </si>
  <si>
    <t>汤诚.jpg</t>
  </si>
  <si>
    <t>c23e6de0604b4c839f0f92ac29c0fe34</t>
  </si>
  <si>
    <t>江西省九江市武宁县鸿安小区33栋1单元101</t>
  </si>
  <si>
    <t>a1dc80b3d0a2491a8a0543267010f2d6</t>
  </si>
  <si>
    <t>明年今日</t>
  </si>
  <si>
    <t>邓燕</t>
  </si>
  <si>
    <t>36042519960119494X</t>
  </si>
  <si>
    <t>江西省九江市永修县马口镇先锋村老基组</t>
  </si>
  <si>
    <t>20173611312000152</t>
  </si>
  <si>
    <t>邓燕.jpg</t>
  </si>
  <si>
    <t>b406aed10aed4f3a8c0d1155729deb35</t>
  </si>
  <si>
    <t>许燕玲</t>
  </si>
  <si>
    <t>360424199403125322</t>
  </si>
  <si>
    <t>江西省九江市修水县上奉县沙洲村沙洲街99号</t>
  </si>
  <si>
    <t>南昌师范大学</t>
  </si>
  <si>
    <t>20163610212001071</t>
  </si>
  <si>
    <t>许燕玲.jpg</t>
  </si>
  <si>
    <t>6b4be030dc3e4e7aa89a6eeacc36b353</t>
  </si>
  <si>
    <t>。</t>
  </si>
  <si>
    <t>杜月月</t>
  </si>
  <si>
    <t>360423199602102629</t>
  </si>
  <si>
    <t>江西省九江市武宁县礼溪镇哨背村13组</t>
  </si>
  <si>
    <t>湖北美术学院</t>
  </si>
  <si>
    <t>20194200242005919</t>
  </si>
  <si>
    <t>杜月月.jpg</t>
  </si>
  <si>
    <t>7188136159164e7282f7f478d1554b11</t>
  </si>
  <si>
    <t>情深缘浅</t>
  </si>
  <si>
    <t>360421198907072021</t>
  </si>
  <si>
    <t>江西省九江市柴桑区江西省九江市柴桑区甘泉路二十四支巷</t>
  </si>
  <si>
    <t>杭州师范大学</t>
  </si>
  <si>
    <t>动物学</t>
  </si>
  <si>
    <t>高级中学教师资格高中生物</t>
  </si>
  <si>
    <t>20123600342000115</t>
  </si>
  <si>
    <t>李婷婷2.jpg</t>
  </si>
  <si>
    <t>9fb0be4bfb6a40599d163e2e0a2f4774</t>
  </si>
  <si>
    <t>笑靥如花</t>
  </si>
  <si>
    <t>胡沙</t>
  </si>
  <si>
    <t>360425199510305528</t>
  </si>
  <si>
    <t>江西省九江市永修县山湖湾33栋2单元405</t>
  </si>
  <si>
    <t>20183605332000024</t>
  </si>
  <si>
    <t>胡沙.jpg</t>
  </si>
  <si>
    <t>b9a1c872f1be4b67bc1f74be015cc889</t>
  </si>
  <si>
    <t>哈哈……</t>
  </si>
  <si>
    <t>柯丹</t>
  </si>
  <si>
    <t>360430199212022328</t>
  </si>
  <si>
    <t>江西省九江市彭泽县杨梓镇龙桥村</t>
  </si>
  <si>
    <t>园林</t>
  </si>
  <si>
    <t>高级中学数学</t>
  </si>
  <si>
    <t>20153640142000761</t>
  </si>
  <si>
    <t>柯丹.jpg</t>
  </si>
  <si>
    <t>495cbfd942d34d05970721ebfdffc8a0</t>
  </si>
  <si>
    <t>小稻草</t>
  </si>
  <si>
    <t>江柔</t>
  </si>
  <si>
    <t>36042819970418206X</t>
  </si>
  <si>
    <t>江西省九江市濂溪区濂溪区双语实验学校(重庆路)观澜盛世北区开发区中心幼儿园</t>
  </si>
  <si>
    <t>江西中医院高等专科学校</t>
  </si>
  <si>
    <t>护理学</t>
  </si>
  <si>
    <t>幼儿园教师资格证  小学体育教师资格证</t>
  </si>
  <si>
    <t>江柔.jpg</t>
  </si>
  <si>
    <t>8d55937d9ad5468b807db41094adfdb8</t>
  </si>
  <si>
    <t>青</t>
  </si>
  <si>
    <t>卢青青</t>
  </si>
  <si>
    <t>360425199410105529</t>
  </si>
  <si>
    <t>江西省九江市永修县白鹤世纪花园D7栋3单元</t>
  </si>
  <si>
    <t>高级中学教师资格证（美术）</t>
  </si>
  <si>
    <t>20194203542000457</t>
  </si>
  <si>
    <t>卢青青.jpg</t>
  </si>
  <si>
    <t>0ae40bea381d4dd1a9121161eff40f07</t>
  </si>
  <si>
    <t>好好</t>
  </si>
  <si>
    <t>廖鸿飞</t>
  </si>
  <si>
    <t>360425198510163422</t>
  </si>
  <si>
    <t>2006年7月</t>
  </si>
  <si>
    <t>廖鸿飞.jpg</t>
  </si>
  <si>
    <t>6f93ab5a8faf4e8186f963052f7287bb</t>
  </si>
  <si>
    <t>绿杉</t>
  </si>
  <si>
    <t>万虹影</t>
  </si>
  <si>
    <t>360121199212025227</t>
  </si>
  <si>
    <t>江西省南昌市南昌县武阳镇泗洪村赤岗小组134号</t>
  </si>
  <si>
    <t>拟取得初中语文教师资格证</t>
  </si>
  <si>
    <t>万虹影.jpg</t>
  </si>
  <si>
    <t>bb16c86186ec49b9988110a6558aaa84</t>
  </si>
  <si>
    <t>月亮女神จุ๊บ</t>
  </si>
  <si>
    <t>黄春燕</t>
  </si>
  <si>
    <t>452123198702145522</t>
  </si>
  <si>
    <t>江西省九江市共青城市中航城49栋102</t>
  </si>
  <si>
    <t>广西民族师范学院</t>
  </si>
  <si>
    <t>初级中学教师资格证</t>
  </si>
  <si>
    <t>20104510032000395</t>
  </si>
  <si>
    <t>黄春燕.jpg</t>
  </si>
  <si>
    <t>635737e647004346b537687b893ecb1e</t>
  </si>
  <si>
    <t>郭友堂</t>
  </si>
  <si>
    <t>36042320000114241X</t>
  </si>
  <si>
    <t>江西省九江市武宁县清江乡毛竹塘</t>
  </si>
  <si>
    <t>赣南师范大学科技学院</t>
  </si>
  <si>
    <t>拟取得高级中学（历史）教师资格证</t>
  </si>
  <si>
    <t>郭友堂.jpg</t>
  </si>
  <si>
    <t>48d407b517d34f12993666178a9019a4</t>
  </si>
  <si>
    <t>Zoe</t>
  </si>
  <si>
    <t>李蓝</t>
  </si>
  <si>
    <t>360502199410205029</t>
  </si>
  <si>
    <t>江西省新余市渝水区水西镇宠江小区晏家4栋二单元302</t>
  </si>
  <si>
    <t>广东外语外贸大学</t>
  </si>
  <si>
    <t>李蓝.jpg</t>
  </si>
  <si>
    <t>80908c4782114d2596ff6eaca73c8522</t>
  </si>
  <si>
    <t>沙漏</t>
  </si>
  <si>
    <t>吴梦瑶</t>
  </si>
  <si>
    <t>360423199510092929</t>
  </si>
  <si>
    <t>江西省九江市武宁县船滩镇</t>
  </si>
  <si>
    <t>20173604232000334</t>
  </si>
  <si>
    <t>吴梦瑶.jpg</t>
  </si>
  <si>
    <t>9f9c809d836248b3aaac0f785cfebad8</t>
  </si>
  <si>
    <t>我真的真的是林夕！</t>
  </si>
  <si>
    <t>陈梦</t>
  </si>
  <si>
    <t>360102199908194820</t>
  </si>
  <si>
    <t>江西省南昌市青云谱区青云谱镇阳光家园</t>
  </si>
  <si>
    <t>美术学（师范）</t>
  </si>
  <si>
    <t>陈梦.jpg</t>
  </si>
  <si>
    <t>089cbac567ea40ceb5aade4721e83877</t>
  </si>
  <si>
    <t>易思</t>
  </si>
  <si>
    <t>360312199308140064</t>
  </si>
  <si>
    <t>江西省南昌市湾里区香逸熙园</t>
  </si>
  <si>
    <t>内蒙古科技大学包头医学院</t>
  </si>
  <si>
    <t>药学</t>
  </si>
  <si>
    <t>初中</t>
  </si>
  <si>
    <t>20183603632000116</t>
  </si>
  <si>
    <t>易思.jpg</t>
  </si>
  <si>
    <t>5e556af4781849c0a14d0a2f31f1f04d</t>
  </si>
  <si>
    <t>酷</t>
  </si>
  <si>
    <t>缪志朋</t>
  </si>
  <si>
    <t>362321199811056810</t>
  </si>
  <si>
    <t>江西省上饶市广信区江西省上饶市上饶县石人乡苏桥村桔树圩13号附1号</t>
  </si>
  <si>
    <t>高中体育与健康</t>
  </si>
  <si>
    <t>缪志朋.jpg</t>
  </si>
  <si>
    <t>0f308c32817c47ffaee07b1ffb75d642</t>
  </si>
  <si>
    <t>雨</t>
  </si>
  <si>
    <t>周雨雨</t>
  </si>
  <si>
    <t>360427199411082747</t>
  </si>
  <si>
    <t>江西省九江市庐山市蛟塘镇蛟塘村</t>
  </si>
  <si>
    <t>赣南师范大学</t>
  </si>
  <si>
    <t>高级中学教室资格</t>
  </si>
  <si>
    <t>20173630142001806</t>
  </si>
  <si>
    <t>周雨雨.jpg</t>
  </si>
  <si>
    <t>6542271078b841059153cc450b28fef2</t>
  </si>
  <si>
    <t xml:space="preserve">幼儿园教师资格证  </t>
  </si>
  <si>
    <t>6721a16cd0b849479ed33378eda6fa3b</t>
  </si>
  <si>
    <t>yill</t>
  </si>
  <si>
    <t>叶浔生</t>
  </si>
  <si>
    <t>360421199804181027</t>
  </si>
  <si>
    <t>江西省九江市浔阳区曹家山小区</t>
  </si>
  <si>
    <t>萍乡学院</t>
  </si>
  <si>
    <t>高中地理</t>
  </si>
  <si>
    <t>叶浔生.jpg</t>
  </si>
  <si>
    <t>55673489d6024c64845f16c208a71c77</t>
  </si>
  <si>
    <t>雯雯</t>
  </si>
  <si>
    <t>汪小云</t>
  </si>
  <si>
    <t>360425199012172822</t>
  </si>
  <si>
    <t>江西省九江市永修县白鹤山庄c6栋2单元102</t>
  </si>
  <si>
    <t>国家开放大学</t>
  </si>
  <si>
    <t>公共事务管理</t>
  </si>
  <si>
    <t>教师资格证的层次及学课</t>
  </si>
  <si>
    <t>20153613312 001228</t>
  </si>
  <si>
    <t>汪小云.jpg</t>
  </si>
  <si>
    <t>62d32013f23b4f00bc395dd9a4e852c8</t>
  </si>
  <si>
    <t>Fisher</t>
  </si>
  <si>
    <t>张依帆</t>
  </si>
  <si>
    <t>360103199503061727</t>
  </si>
  <si>
    <t>江西省南昌市西湖区桃苑中路88号朝阳锦城</t>
  </si>
  <si>
    <t>音乐表演</t>
  </si>
  <si>
    <t>张依帆.jpg</t>
  </si>
  <si>
    <t>72b4a4b4e5784a55bc6517f0a4ccacd7</t>
  </si>
  <si>
    <t>皮皮</t>
  </si>
  <si>
    <t>刘延</t>
  </si>
  <si>
    <t>360425199002102847</t>
  </si>
  <si>
    <t>江西省九江市永修县浔海诺德国际</t>
  </si>
  <si>
    <t>幼儿园教师资格，幼儿园</t>
  </si>
  <si>
    <t>2153613312001132</t>
  </si>
  <si>
    <t>刘延.jpg</t>
  </si>
  <si>
    <t>86cb3c21ca764770ac7374ebbd3ade4c</t>
  </si>
  <si>
    <t>Jessica</t>
  </si>
  <si>
    <t>范倩</t>
  </si>
  <si>
    <t>360425199407041720</t>
  </si>
  <si>
    <t>江西省九江市永修县吴城镇</t>
  </si>
  <si>
    <t>铜仁学院</t>
  </si>
  <si>
    <t>幼儿园教师资格证、学前教育学科</t>
  </si>
  <si>
    <t>2017525011000145</t>
  </si>
  <si>
    <t>范倩.jpg</t>
  </si>
  <si>
    <t>259dffda9597418cb3901db1c64edc84</t>
  </si>
  <si>
    <t>菲纹 媛媛</t>
  </si>
  <si>
    <t>陈媛媛</t>
  </si>
  <si>
    <t>360425199203191129</t>
  </si>
  <si>
    <t>江西省九江市永修县县城山湖湾</t>
  </si>
  <si>
    <t>四川外国语大学成都学院</t>
  </si>
  <si>
    <t>高级中学教师资格证  高中英语</t>
  </si>
  <si>
    <t>20203600342000253</t>
  </si>
  <si>
    <t>陈媛媛.jpg</t>
  </si>
  <si>
    <t>bdae1f46fe6045c3bd5c2aed34c551b5</t>
  </si>
  <si>
    <t>曾陆</t>
  </si>
  <si>
    <t>362401199611214028</t>
  </si>
  <si>
    <t>江西省九江市共青城市西湖小区7栋2单元</t>
  </si>
  <si>
    <t>20193650142002021</t>
  </si>
  <si>
    <t>曾陆.jpg</t>
  </si>
  <si>
    <t>9d64c6a3dde64693a6064299af2d985d</t>
  </si>
  <si>
    <t>钟华聪</t>
  </si>
  <si>
    <t>36078219960616003X</t>
  </si>
  <si>
    <t>江西省赣州市南康区南山大道与和谐路交汇处华府世家</t>
  </si>
  <si>
    <t>集美大学</t>
  </si>
  <si>
    <t>工商管理</t>
  </si>
  <si>
    <t>20193521131001465</t>
  </si>
  <si>
    <t>钟华聪.jpg</t>
  </si>
  <si>
    <t>0fb52fd0e8ef47e2a593b0c4c33a98ba</t>
  </si>
  <si>
    <t>邓娟</t>
  </si>
  <si>
    <t>邓鹃尖</t>
  </si>
  <si>
    <t>360425199612075241</t>
  </si>
  <si>
    <t>江西省九江市永修县融城国际</t>
  </si>
  <si>
    <t>教育管理</t>
  </si>
  <si>
    <t>2017年12月</t>
  </si>
  <si>
    <t>初级中学    外语</t>
  </si>
  <si>
    <t>20173604432000495</t>
  </si>
  <si>
    <t>邓鹃尖.jpg</t>
  </si>
  <si>
    <t>8466eb1c6f7b4fdba924a0c4bd47d60a</t>
  </si>
  <si>
    <t>WPS_1181341908</t>
  </si>
  <si>
    <t>赖美云</t>
  </si>
  <si>
    <t>360731199412036540</t>
  </si>
  <si>
    <t>江西省九江市永修县涂埠镇杨柳津村小叶家组31-1号</t>
  </si>
  <si>
    <t>采矿工程</t>
  </si>
  <si>
    <t>赖美云.jpg</t>
  </si>
  <si>
    <t>767e69b4258b40d88e163690bc0b4e84</t>
  </si>
  <si>
    <t>都昌予文学堂Susan</t>
  </si>
  <si>
    <t>巢丹丹</t>
  </si>
  <si>
    <t>360428199604100426</t>
  </si>
  <si>
    <t>江西省九江市都昌县都昌镇矶山东巢村</t>
  </si>
  <si>
    <t>高级中学英语</t>
  </si>
  <si>
    <t>2018360024006358</t>
  </si>
  <si>
    <t>巢丹丹.jpg</t>
  </si>
  <si>
    <t>ff20371e04fb44019bf4e2306bf61121</t>
  </si>
  <si>
    <t>煜</t>
  </si>
  <si>
    <t>罗丹丹</t>
  </si>
  <si>
    <t>360425199501123124</t>
  </si>
  <si>
    <t>江西中医药大学</t>
  </si>
  <si>
    <t>中药学</t>
  </si>
  <si>
    <t>高级中学教师资格证化学</t>
  </si>
  <si>
    <t>20173600242001387</t>
  </si>
  <si>
    <t>罗丹丹.jpg</t>
  </si>
  <si>
    <t>c5beb47d93ed43ada3e905814a2841f0</t>
  </si>
  <si>
    <t>Karry On</t>
  </si>
  <si>
    <t>吴宇莹</t>
  </si>
  <si>
    <t>360425199911193125</t>
  </si>
  <si>
    <t>江西省九江市永修县老城蓝天大道</t>
  </si>
  <si>
    <t>宜春幼儿高等师范专科学校</t>
  </si>
  <si>
    <t>20193640512001061</t>
  </si>
  <si>
    <t>吴宇莹.jpg</t>
  </si>
  <si>
    <t>117a6560d10b442d81a0dcaa5306844d</t>
  </si>
  <si>
    <t>you can you up</t>
  </si>
  <si>
    <t>欧阳姮</t>
  </si>
  <si>
    <t>362429199205271226</t>
  </si>
  <si>
    <t>江西省吉安市安福县枫田镇小学旁</t>
  </si>
  <si>
    <t>20143600242006023</t>
  </si>
  <si>
    <t>欧阳姮.jpg</t>
  </si>
  <si>
    <t>717b240a59774e97acab3d5063581580</t>
  </si>
  <si>
    <t>栎黎</t>
  </si>
  <si>
    <t>谭吴燕</t>
  </si>
  <si>
    <t>360425199908266127</t>
  </si>
  <si>
    <t>江西省九江市永修县永修县燕坊镇四联村和平组</t>
  </si>
  <si>
    <t>20193640512001750</t>
  </si>
  <si>
    <t>谭吴燕.jpg</t>
  </si>
  <si>
    <t>9a0d9ef9871a4ea0816093488a42223d</t>
  </si>
  <si>
    <t>听风</t>
  </si>
  <si>
    <t>宋小辉</t>
  </si>
  <si>
    <t>360781199702225116</t>
  </si>
  <si>
    <t>江西省南昌市青云谱区南一环路南昌建材大市场何坊西路东北侧青云谱区建材大市场</t>
  </si>
  <si>
    <t>新余学院</t>
  </si>
  <si>
    <t>汉语言文学专业</t>
  </si>
  <si>
    <t>高中语文教师资格证</t>
  </si>
  <si>
    <t>20193600741000041</t>
  </si>
  <si>
    <t>宋小辉.jpg</t>
  </si>
  <si>
    <t>9291f34ee0664d1cb3147f103b75bf5e</t>
  </si>
  <si>
    <t>WPS_1623407891</t>
  </si>
  <si>
    <t>刘义萌</t>
  </si>
  <si>
    <t>360425199008191422</t>
  </si>
  <si>
    <t>江西省九江市永修县融城国际11栋212</t>
  </si>
  <si>
    <t>20143600242003237</t>
  </si>
  <si>
    <t>刘义萌.jpg</t>
  </si>
  <si>
    <t>883d15c8d5464390873de20c0e218de0</t>
  </si>
  <si>
    <t>宁嫂</t>
  </si>
  <si>
    <t>甘媛媛</t>
  </si>
  <si>
    <t>360430199712280024</t>
  </si>
  <si>
    <t>江西省九江市彭泽县凉亭小区</t>
  </si>
  <si>
    <t>20193660312001529</t>
  </si>
  <si>
    <t>甘媛媛.jpg</t>
  </si>
  <si>
    <t>5997ca8a8e6543b78907bb699860daff</t>
  </si>
  <si>
    <t>Deer</t>
  </si>
  <si>
    <t>彭纯菲</t>
  </si>
  <si>
    <t>360425199506250026</t>
  </si>
  <si>
    <t>江西省九江市永修县涂埠镇环城西路72号</t>
  </si>
  <si>
    <t>暨南大学</t>
  </si>
  <si>
    <t>汉语国际教育</t>
  </si>
  <si>
    <t>拟取得高中语文教师资格证（8月底拿证）</t>
  </si>
  <si>
    <t>彭纯菲.jpg</t>
  </si>
  <si>
    <t>4b33c519fcd446a78867cc94ab8210c0</t>
  </si>
  <si>
    <t>晚来听风</t>
  </si>
  <si>
    <t>裴珂</t>
  </si>
  <si>
    <t>360721199401091226</t>
  </si>
  <si>
    <t>江西省赣州市章贡区经济技术开发区金岭大道和谐小区2栋3单元910</t>
  </si>
  <si>
    <t>玉林师范学院</t>
  </si>
  <si>
    <t>高级中学</t>
  </si>
  <si>
    <t>20174550042000281</t>
  </si>
  <si>
    <t>裴珂.jpg</t>
  </si>
  <si>
    <t>cd268f9c1bfe434ba22b346866f93439</t>
  </si>
  <si>
    <t>贺踩尘</t>
  </si>
  <si>
    <t>贺彦霖</t>
  </si>
  <si>
    <t>142625199704063338</t>
  </si>
  <si>
    <t>山西省临汾市洪洞县刘家垣镇楼村</t>
  </si>
  <si>
    <t>高级中学体育教师资格证</t>
  </si>
  <si>
    <t>贺彦霖.jpg</t>
  </si>
  <si>
    <t>90cb4601d79442939e027caaf3b0c4fb</t>
  </si>
  <si>
    <t>胡春焱</t>
  </si>
  <si>
    <t>342423199903172274</t>
  </si>
  <si>
    <t>江西省九江市共青城市发展大道231</t>
  </si>
  <si>
    <t>高中体育教师资格证</t>
  </si>
  <si>
    <t>胡春焱.jpg</t>
  </si>
  <si>
    <t>debe97ce7fc04672aeb4f56857ca22e7</t>
  </si>
  <si>
    <t>师说（余兴勇）</t>
  </si>
  <si>
    <t>余志超</t>
  </si>
  <si>
    <t>360425199701250013</t>
  </si>
  <si>
    <t>江西省九江市永修县建昌花园3栋404室</t>
  </si>
  <si>
    <t>江西师范大学科技学院</t>
  </si>
  <si>
    <t>英语（师范类）</t>
  </si>
  <si>
    <t>20203600341000241</t>
  </si>
  <si>
    <t>余志超.jpg</t>
  </si>
  <si>
    <t>d0d12a69db0a49219a5fe2e3d910f043</t>
  </si>
  <si>
    <t>我们都是瓜瓜。</t>
  </si>
  <si>
    <t>叶寻</t>
  </si>
  <si>
    <t>360425199409043121</t>
  </si>
  <si>
    <t>江西省九江市永修县涂埠镇兴杨村</t>
  </si>
  <si>
    <t>20193600342000076</t>
  </si>
  <si>
    <t>叶寻.jpg</t>
  </si>
  <si>
    <t>92b5817930704bf5821c023677f20d41</t>
  </si>
  <si>
    <t>再等五分钟~</t>
  </si>
  <si>
    <t>宋倩倩</t>
  </si>
  <si>
    <t>360425199701065221</t>
  </si>
  <si>
    <t>江西省九江市永修县立新乡后岗村</t>
  </si>
  <si>
    <t>教育技术学</t>
  </si>
  <si>
    <t>初级中学教师资格证（数学）</t>
  </si>
  <si>
    <t>20203605332000102</t>
  </si>
  <si>
    <t>宋倩倩.jpg</t>
  </si>
  <si>
    <t>de5fe20a290e4dea8b8093d7648c7504</t>
  </si>
  <si>
    <t>陳霞</t>
  </si>
  <si>
    <t>陈霞</t>
  </si>
  <si>
    <t>362324198510295126</t>
  </si>
  <si>
    <t>江西省九江市浔阳区江西省九江市开发区柴桑春天</t>
  </si>
  <si>
    <t>浙江工商大学</t>
  </si>
  <si>
    <t>20183615332000045</t>
  </si>
  <si>
    <t>陈霞.jpg</t>
  </si>
  <si>
    <t>11807cf3f1b045ec9591aec1a6e77351</t>
  </si>
  <si>
    <t>緣來有妳</t>
  </si>
  <si>
    <t>左文斌</t>
  </si>
  <si>
    <t>360427199602041817</t>
  </si>
  <si>
    <t>江西省九江市庐山市一品花园小区13栋905</t>
  </si>
  <si>
    <t>洛阳理工学院</t>
  </si>
  <si>
    <t>左文斌.jpg</t>
  </si>
  <si>
    <t>a1b63c96317c4798b9a386a0a7dcdb98</t>
  </si>
  <si>
    <t></t>
  </si>
  <si>
    <t>范海霞</t>
  </si>
  <si>
    <t>360425199912201721</t>
  </si>
  <si>
    <t>生物科学</t>
  </si>
  <si>
    <t>范海霞.jpg</t>
  </si>
  <si>
    <t>e648f8b81f454609be0fb23f970e2987</t>
  </si>
  <si>
    <t>Rache</t>
  </si>
  <si>
    <t>汤瑞松</t>
  </si>
  <si>
    <t>360424199910110037</t>
  </si>
  <si>
    <t>江西省九江市修水县古市镇沿河北路10号</t>
  </si>
  <si>
    <t>南通大学杏林学院</t>
  </si>
  <si>
    <t>微电子科学与工程</t>
  </si>
  <si>
    <t>汤瑞松.jpg</t>
  </si>
  <si>
    <t>72807d7f03c5428abe8e659d0e0fc829</t>
  </si>
  <si>
    <t>Somnus</t>
  </si>
  <si>
    <t>马苗苗</t>
  </si>
  <si>
    <t>360425199412236725</t>
  </si>
  <si>
    <t>江西省九江市永修县江西省九江市永修县滩溪镇麻籍村河北二组</t>
  </si>
  <si>
    <t>南昌大学</t>
  </si>
  <si>
    <t>马苗苗.jpg</t>
  </si>
  <si>
    <t>91ac338c534543dca40d620be48a401f</t>
  </si>
  <si>
    <t>胜</t>
  </si>
  <si>
    <t>黄炳胜</t>
  </si>
  <si>
    <t>360731199811108951</t>
  </si>
  <si>
    <t>江西省赣州市于都县宽田乡石含村</t>
  </si>
  <si>
    <t>拟取得初中政治</t>
  </si>
  <si>
    <t>黄炳胜.jpg</t>
  </si>
  <si>
    <t>d5d5d4a1d4cb467da35018733fe2e79a</t>
  </si>
  <si>
    <t> I don't care  </t>
  </si>
  <si>
    <t>罗顺亚</t>
  </si>
  <si>
    <t>360425199608253420</t>
  </si>
  <si>
    <t>江西省九江市永修县建昌花园39栋</t>
  </si>
  <si>
    <t>20143605312000119</t>
  </si>
  <si>
    <t>罗顺亚.jpg</t>
  </si>
  <si>
    <t>46d5c433297b491980f8e1da189f785e</t>
  </si>
  <si>
    <t>刘喜林</t>
  </si>
  <si>
    <t>362204198708263719</t>
  </si>
  <si>
    <t>江西省南昌市新建区新建城小区</t>
  </si>
  <si>
    <t>江西省教育学院</t>
  </si>
  <si>
    <t>生物教育</t>
  </si>
  <si>
    <t>2009年6月</t>
  </si>
  <si>
    <t>20093605231000681</t>
  </si>
  <si>
    <t>刘喜林.jpg</t>
  </si>
  <si>
    <t>9c1d892deff84806a37249a5eaadb9f0</t>
  </si>
  <si>
    <t>吃饭了睡</t>
  </si>
  <si>
    <t>柳盼</t>
  </si>
  <si>
    <t>36042519961030432X</t>
  </si>
  <si>
    <t>江西省九江市永修县江西省九江市永修县梅棠镇</t>
  </si>
  <si>
    <t>学前教育学</t>
  </si>
  <si>
    <t>20173611312000963</t>
  </si>
  <si>
    <t>柳盼.jpg</t>
  </si>
  <si>
    <t>c07fb0fba87f4645a56fb7f854b427c8</t>
  </si>
  <si>
    <t>Meng Yuan</t>
  </si>
  <si>
    <t>张梦媛</t>
  </si>
  <si>
    <t>360428199707281629</t>
  </si>
  <si>
    <t>江西省九江市永修县君临府</t>
  </si>
  <si>
    <t>高级中学英语教师资格证</t>
  </si>
  <si>
    <t>20183640142000448</t>
  </si>
  <si>
    <t>张梦媛.jpg</t>
  </si>
  <si>
    <t>2fd1612287f24c70b233f675a32f1ca5</t>
  </si>
  <si>
    <t>野田禾</t>
  </si>
  <si>
    <t>李叶红</t>
  </si>
  <si>
    <t>36222919960717302X</t>
  </si>
  <si>
    <t>江西省宜春市袁州区金悦湾8栋</t>
  </si>
  <si>
    <t>哲学</t>
  </si>
  <si>
    <t>高级中学（语文）教师资格证</t>
  </si>
  <si>
    <t>20193600242001221</t>
  </si>
  <si>
    <t>李叶红.jpg</t>
  </si>
  <si>
    <t>310f519b39e5421d9574309e9d956aed</t>
  </si>
  <si>
    <t>笑傲人生</t>
  </si>
  <si>
    <t>胡高扬</t>
  </si>
  <si>
    <t>362204198303087817</t>
  </si>
  <si>
    <t>江西省宜春市高安市祥符镇湘赣东路30号</t>
  </si>
  <si>
    <t>地理信息系统</t>
  </si>
  <si>
    <t>初中历史教师资格证</t>
  </si>
  <si>
    <t>20203640531000283</t>
  </si>
  <si>
    <t>胡高扬.jpg</t>
  </si>
  <si>
    <t>b8f95f309eb74c43a3a8a5cc6422da7e</t>
  </si>
  <si>
    <t>Z</t>
  </si>
  <si>
    <t>詹晓玲</t>
  </si>
  <si>
    <t>362334199410073726</t>
  </si>
  <si>
    <t>江西省南昌市南昌县绿地未来城</t>
  </si>
  <si>
    <t>晋中学院</t>
  </si>
  <si>
    <t>20161450132000062</t>
  </si>
  <si>
    <t>詹晓玲.jpg</t>
  </si>
  <si>
    <t>69dbe9e89d5d4c30a412e9a1d81131b8</t>
  </si>
  <si>
    <t>待</t>
  </si>
  <si>
    <t>汪其</t>
  </si>
  <si>
    <t>360428199910212063</t>
  </si>
  <si>
    <t>江西省九江市浔阳区柴桑春天三区</t>
  </si>
  <si>
    <t>汪其.jpg</t>
  </si>
  <si>
    <t>0aeaa1a7fd7241239e29de4ead4b9939</t>
  </si>
  <si>
    <t>WPS_1623461175</t>
  </si>
  <si>
    <t>黄斌</t>
  </si>
  <si>
    <t>360421198901210032</t>
  </si>
  <si>
    <t>江西省九江市柴桑区庐山北路40号</t>
  </si>
  <si>
    <t>高级中学教师资格  数学</t>
  </si>
  <si>
    <t>20113640141000517</t>
  </si>
  <si>
    <t>黄斌.jpg</t>
  </si>
  <si>
    <t>7a1bd40533344c6eab7e68ab02989edc</t>
  </si>
  <si>
    <t>逆央</t>
  </si>
  <si>
    <t>黄辉</t>
  </si>
  <si>
    <t>362227199212161515</t>
  </si>
  <si>
    <t>江西省宜春市万载县双桥镇</t>
  </si>
  <si>
    <t>武汉体育学院体育科技学院</t>
  </si>
  <si>
    <t>黄辉.jpg</t>
  </si>
  <si>
    <t>34f68ced39014da598ea599e47b04645</t>
  </si>
  <si>
    <t>vampire</t>
  </si>
  <si>
    <t>张伟杰</t>
  </si>
  <si>
    <t>360403199504080619</t>
  </si>
  <si>
    <t>江西省九江市濂溪区紫荆苑5栋一单元</t>
  </si>
  <si>
    <t>20163613331000460</t>
  </si>
  <si>
    <t>张伟杰.jpg</t>
  </si>
  <si>
    <t>0ce87a6c388c48f58573f7c460a3e8f0</t>
  </si>
  <si>
    <t>久妄</t>
  </si>
  <si>
    <t>金鑫琪</t>
  </si>
  <si>
    <t>360425199811281726</t>
  </si>
  <si>
    <t>江西省九江市永修县新城大道总工会宿舍</t>
  </si>
  <si>
    <t>中专  学前教育</t>
  </si>
  <si>
    <t>20173611312000690</t>
  </si>
  <si>
    <t>金鑫琪.jpg</t>
  </si>
  <si>
    <t>b23151b56a1c4ae7b8810af665c64d17</t>
  </si>
  <si>
    <t>Effy</t>
  </si>
  <si>
    <t>程邱燕</t>
  </si>
  <si>
    <t>360424199005085927</t>
  </si>
  <si>
    <t>江西省九江市永修县虬津镇规湖村河头组</t>
  </si>
  <si>
    <t>20143604332000050</t>
  </si>
  <si>
    <t>程邱燕.jpg</t>
  </si>
  <si>
    <t>87bb6765a0ad45e182d6d14a0d12d228</t>
  </si>
  <si>
    <t>不瘦到90斤不改名</t>
  </si>
  <si>
    <t>孟纬蓉</t>
  </si>
  <si>
    <t>362202199510112546</t>
  </si>
  <si>
    <t>江西省宜春市丰城市剑南街道人才教育小区</t>
  </si>
  <si>
    <t>20203640232000154</t>
  </si>
  <si>
    <t>孟纬蓉.jpg</t>
  </si>
  <si>
    <t>f2f99ef791c64380ba67ac88350d02fe</t>
  </si>
  <si>
    <t>Later</t>
  </si>
  <si>
    <t>范艺芳</t>
  </si>
  <si>
    <t>360121199807072487</t>
  </si>
  <si>
    <t>江西省南昌市南昌县高新区昌东镇尤口村尤口街</t>
  </si>
  <si>
    <t xml:space="preserve"> 幼儿园教师资格证</t>
  </si>
  <si>
    <t>20203612212002493</t>
  </si>
  <si>
    <t>范艺芳.jpg</t>
  </si>
  <si>
    <t>5529f7b08db94d789fb9f1332fa5cb86</t>
  </si>
  <si>
    <t>ฅ(⌯͒▾ ˑ̫ ▾⌯͒)ฅ</t>
  </si>
  <si>
    <t>王悦</t>
  </si>
  <si>
    <t>360103199309094429</t>
  </si>
  <si>
    <t>江西省南昌市西湖区利民佳苑c区</t>
  </si>
  <si>
    <t>福州大学阳光学院</t>
  </si>
  <si>
    <t>20203600242000161</t>
  </si>
  <si>
    <t>王悦.jpg</t>
  </si>
  <si>
    <t>902c1b6615c7447c9523de5d774058f0</t>
  </si>
  <si>
    <t>喻秋啊喻秋</t>
  </si>
  <si>
    <t>王喻秋</t>
  </si>
  <si>
    <t>360425199908080226</t>
  </si>
  <si>
    <t>江西省九江市永修县星火花苑8栋406室</t>
  </si>
  <si>
    <t>云南师范大学</t>
  </si>
  <si>
    <t>舞蹈表演(体育舞蹈方向)</t>
  </si>
  <si>
    <t>高级中学体育</t>
  </si>
  <si>
    <t>王喻秋.jpg</t>
  </si>
  <si>
    <t>b77d4842790a40639fa47b0ce7a3b624</t>
  </si>
  <si>
    <t>NING萌萌</t>
  </si>
  <si>
    <t>刘英萌</t>
  </si>
  <si>
    <t>360421199807172425</t>
  </si>
  <si>
    <t>江西省九江市柴桑区瑞景新城</t>
  </si>
  <si>
    <t>中原工学院</t>
  </si>
  <si>
    <t>服装与服饰设计</t>
  </si>
  <si>
    <t>20203601332000272</t>
  </si>
  <si>
    <t>刘英萌.jpg</t>
  </si>
  <si>
    <t>f7c9399dedd247b181566394f3991769</t>
  </si>
  <si>
    <t>安之若素</t>
  </si>
  <si>
    <t>徐嘉</t>
  </si>
  <si>
    <t>36040219980226476X</t>
  </si>
  <si>
    <t>江西省九江市濂溪区庐山大道东方紫薇城小区</t>
  </si>
  <si>
    <t>20193630142002885</t>
  </si>
  <si>
    <t>徐嘉.jpg</t>
  </si>
  <si>
    <t>dfb6fbda9f7149d2b199a20958147eb2</t>
  </si>
  <si>
    <t>云端的琴声  </t>
  </si>
  <si>
    <t>杨玉婷</t>
  </si>
  <si>
    <t>360425199408095229</t>
  </si>
  <si>
    <t>江西省九江市永修县立新乡车溪村15号</t>
  </si>
  <si>
    <t>20153613312001002</t>
  </si>
  <si>
    <t>杨玉婷.jpg</t>
  </si>
  <si>
    <t>40804db5056844a0a7fe9e42a139c521</t>
  </si>
  <si>
    <t>谁叫我i</t>
  </si>
  <si>
    <t>胡誉</t>
  </si>
  <si>
    <t>360122199907176335</t>
  </si>
  <si>
    <t>江西省南昌市新建区赣江新区桑海经济技术开发区桑海集团</t>
  </si>
  <si>
    <t>高级中学体育与健康</t>
  </si>
  <si>
    <t>胡誉.jpg</t>
  </si>
  <si>
    <t>49aeac60378a40eb83fac7cf5559ab5b</t>
  </si>
  <si>
    <t>sunshine</t>
  </si>
  <si>
    <t>兰武琪</t>
  </si>
  <si>
    <t>362204199605277821</t>
  </si>
  <si>
    <t>江西省宜春市高安市瑞州街道汽运城城东停车场星浩超市三楼</t>
  </si>
  <si>
    <t>延安大学</t>
  </si>
  <si>
    <t>会计学</t>
  </si>
  <si>
    <t>20203640532002296</t>
  </si>
  <si>
    <t>兰武琪.jpg</t>
  </si>
  <si>
    <t>2756544e5e254a6ba6f284d3a66d38ac</t>
  </si>
  <si>
    <t>惠</t>
  </si>
  <si>
    <t>王斯惠</t>
  </si>
  <si>
    <t>360425199004273420</t>
  </si>
  <si>
    <t>江西省九江市永修县龙山佳苑2幢1单元401</t>
  </si>
  <si>
    <t>金融学</t>
  </si>
  <si>
    <t>初级中学教师资格数学</t>
  </si>
  <si>
    <t>20194400832000246</t>
  </si>
  <si>
    <t>王斯惠.jpg</t>
  </si>
  <si>
    <t>be18e6fba4fd460c8a593332129e7a35</t>
  </si>
  <si>
    <t>向阳花开</t>
  </si>
  <si>
    <t>杨娜</t>
  </si>
  <si>
    <t>360421199506135225</t>
  </si>
  <si>
    <t>江西省九江市柴桑区同兴村8组</t>
  </si>
  <si>
    <t>历史教育</t>
  </si>
  <si>
    <t>初级中学历史</t>
  </si>
  <si>
    <t>20173611332001982</t>
  </si>
  <si>
    <t>杨娜.jpg</t>
  </si>
  <si>
    <t>c36e1795fd5e49679b197d975192bc1a</t>
  </si>
  <si>
    <t>A南昌科诺华喷码机一袁</t>
  </si>
  <si>
    <t>钟红梅</t>
  </si>
  <si>
    <t>360731198908152225</t>
  </si>
  <si>
    <t>江西省九江市永修县御品中央2栋2单元701室</t>
  </si>
  <si>
    <t>20183605312000005</t>
  </si>
  <si>
    <t>钟红梅.jpg</t>
  </si>
  <si>
    <t>263524c505244cc8b7d44772304a24d0</t>
  </si>
  <si>
    <t>琼花&amp;</t>
  </si>
  <si>
    <t>黄莹</t>
  </si>
  <si>
    <t>360425199705111723</t>
  </si>
  <si>
    <t>江西省九江市永修县浔海御景小区</t>
  </si>
  <si>
    <t>黄莹.jpg</t>
  </si>
  <si>
    <t>2d7158b9c9c442b5a271ecc3da889cc5</t>
  </si>
  <si>
    <t>芒果</t>
  </si>
  <si>
    <t>方婷</t>
  </si>
  <si>
    <t>342921199811183720</t>
  </si>
  <si>
    <t>江西省九江市浔阳区江南府第11栋</t>
  </si>
  <si>
    <t>20203611232000469</t>
  </si>
  <si>
    <t>方婷.jpg</t>
  </si>
  <si>
    <t>12e8b61af035425da3f00abe766ea0fe</t>
  </si>
  <si>
    <t>Y雅公子</t>
  </si>
  <si>
    <t>取消报名</t>
  </si>
  <si>
    <t>321123199902312312</t>
  </si>
  <si>
    <t>北京市市辖区东城区呐</t>
  </si>
  <si>
    <t>语文</t>
  </si>
  <si>
    <t>取消报名.jpg</t>
  </si>
  <si>
    <t>5cf93d129bd54a7ea6860f121b41da03</t>
  </si>
  <si>
    <t>Lily</t>
  </si>
  <si>
    <t>余丽荣</t>
  </si>
  <si>
    <t>36233019970213090X</t>
  </si>
  <si>
    <t>江西省上饶市鄱阳县金盘岭镇老屋下村</t>
  </si>
  <si>
    <t>初级化学</t>
  </si>
  <si>
    <t>20193650232000118</t>
  </si>
  <si>
    <t>余丽荣.jpg</t>
  </si>
  <si>
    <t>bece62efea7b45bdbba0bc1ddc646093</t>
  </si>
  <si>
    <t>Avenue</t>
  </si>
  <si>
    <t>汪婧婧</t>
  </si>
  <si>
    <t>360424199805136745</t>
  </si>
  <si>
    <t>江西省九江市修水县财富广场</t>
  </si>
  <si>
    <t>20203600342000326</t>
  </si>
  <si>
    <t>汪婧婧.jpg</t>
  </si>
  <si>
    <t>283cc4e19dcc443b80959d19a781573a</t>
  </si>
  <si>
    <t>知仪</t>
  </si>
  <si>
    <t>邹知仪</t>
  </si>
  <si>
    <t>360403199705240922</t>
  </si>
  <si>
    <t>江西省九江市浔阳区长虹大道68号</t>
  </si>
  <si>
    <t>杭州师范大学钱江学院</t>
  </si>
  <si>
    <t>邹知仪.jpg</t>
  </si>
  <si>
    <t>07638e0bbef84c47a0074b8f0c1fe073</t>
  </si>
  <si>
    <t>慎独</t>
  </si>
  <si>
    <t>胡嫚</t>
  </si>
  <si>
    <t>362528199011056025</t>
  </si>
  <si>
    <t>江西省抚州市金溪县江西省抚州市金溪县</t>
  </si>
  <si>
    <t>2016年12月</t>
  </si>
  <si>
    <t>20133660232000189</t>
  </si>
  <si>
    <t>胡嫚.jpg</t>
  </si>
  <si>
    <t>e02530c0262a48d0931d341634dc28f2</t>
  </si>
  <si>
    <t>半山客</t>
  </si>
  <si>
    <t>王吉</t>
  </si>
  <si>
    <t>360430198511202922</t>
  </si>
  <si>
    <t>江西省九江市彭泽县龙城国际6栋1单元301</t>
  </si>
  <si>
    <t>20113600242006124</t>
  </si>
  <si>
    <t>王吉.jpg</t>
  </si>
  <si>
    <t>0d8abda7cff1427aa876c0960e48db69</t>
  </si>
  <si>
    <t>尘</t>
  </si>
  <si>
    <t>张焱</t>
  </si>
  <si>
    <t>360425199910284631</t>
  </si>
  <si>
    <t>江西省九江市永修县江上乡坂上组</t>
  </si>
  <si>
    <t>张焱.jpg</t>
  </si>
  <si>
    <t>ece7d3de638f4041a89aca1d39459941</t>
  </si>
  <si>
    <t>ΨLouiseζ</t>
  </si>
  <si>
    <t>卢姗</t>
  </si>
  <si>
    <t>360121199307086428</t>
  </si>
  <si>
    <t>江西省南昌市南昌县莲塘镇</t>
  </si>
  <si>
    <t>20163614332000077</t>
  </si>
  <si>
    <t>卢姗.jpg</t>
  </si>
  <si>
    <t>4eabe96e68c7453aa2a0e13c26a87fdc</t>
  </si>
  <si>
    <t>Mfiki*</t>
  </si>
  <si>
    <t>雷菊菊</t>
  </si>
  <si>
    <t>36012319950809294X</t>
  </si>
  <si>
    <t>江西省南昌市安义县龙津镇新河湾</t>
  </si>
  <si>
    <t>20183600242006818</t>
  </si>
  <si>
    <t>雷菊菊.jpg</t>
  </si>
  <si>
    <t>b3d05e90509c4bb6820d99a9ed553711</t>
  </si>
  <si>
    <t>阿HHHHHY</t>
  </si>
  <si>
    <t>胡莹</t>
  </si>
  <si>
    <t>362228199508131848</t>
  </si>
  <si>
    <t>江西省宜春市上高县泗溪镇老中心小学旁</t>
  </si>
  <si>
    <t>2020年1月</t>
  </si>
  <si>
    <t>20203640632000110</t>
  </si>
  <si>
    <t>胡莹.jpg</t>
  </si>
  <si>
    <t>5093c7a647b44b728392f8a0f4e3827d</t>
  </si>
  <si>
    <t>.</t>
  </si>
  <si>
    <t>李海鹃</t>
  </si>
  <si>
    <t>362233199608120020</t>
  </si>
  <si>
    <t>江西省九江市永修县永修富民小区</t>
  </si>
  <si>
    <t>初等教育</t>
  </si>
  <si>
    <t>20173640532000962</t>
  </si>
  <si>
    <t>李海鹃.jpg</t>
  </si>
  <si>
    <t>f321da9a9c944a438c31d54230c6e76a</t>
  </si>
  <si>
    <t>什么什么</t>
  </si>
  <si>
    <t>黄蓉</t>
  </si>
  <si>
    <t>360427199707180020</t>
  </si>
  <si>
    <t>江西省九江市永修县建昌大道九颂山河珑园</t>
  </si>
  <si>
    <t>20183604232000288</t>
  </si>
  <si>
    <t>黄蓉.jpg</t>
  </si>
  <si>
    <t>b12b9fa5fbc543d9b83295c9efb8e30c</t>
  </si>
  <si>
    <t>不追不忆不念</t>
  </si>
  <si>
    <t>戴咪咪</t>
  </si>
  <si>
    <t>360123199501191929</t>
  </si>
  <si>
    <t>江西省南昌市安义县水岸花都</t>
  </si>
  <si>
    <t>201936008232000113</t>
  </si>
  <si>
    <t>戴咪咪.jpg</t>
  </si>
  <si>
    <t>4017bf8ee20047629df1e492b470452d</t>
  </si>
  <si>
    <t>Faded</t>
  </si>
  <si>
    <t>蔡瑶</t>
  </si>
  <si>
    <t>360427199512011227</t>
  </si>
  <si>
    <t>江西省九江市庐山市星子镇</t>
  </si>
  <si>
    <t>江西宜春幼儿师范高等专科学校</t>
  </si>
  <si>
    <t>20173640512000356</t>
  </si>
  <si>
    <t>蔡瑶.jpg</t>
  </si>
  <si>
    <t>2e58b08818504d97a9f4a1aef37149cd</t>
  </si>
  <si>
    <t>WPS_1623382018</t>
  </si>
  <si>
    <t>周月</t>
  </si>
  <si>
    <t>360425199803102564</t>
  </si>
  <si>
    <t>20203614332000053</t>
  </si>
  <si>
    <t>周月.jpg</t>
  </si>
  <si>
    <t>588dedb672744cdca991ddde8e8b71ab</t>
  </si>
  <si>
    <t>佩佩</t>
  </si>
  <si>
    <t>熊佩佩</t>
  </si>
  <si>
    <t>360122199201161246</t>
  </si>
  <si>
    <t>江西省南昌市南昌县思强南路123号附近</t>
  </si>
  <si>
    <t>熊佩佩.jpg</t>
  </si>
  <si>
    <t>883ec56fc97d4606b99cc357ff04472d</t>
  </si>
  <si>
    <t>飘雪彧霏</t>
  </si>
  <si>
    <t>蔡洁云</t>
  </si>
  <si>
    <t>360425199711083423</t>
  </si>
  <si>
    <t>江西省九江市永修县滨湖大道滨湖华庭</t>
  </si>
  <si>
    <t>初中语文学科</t>
  </si>
  <si>
    <t>20183611332001412</t>
  </si>
  <si>
    <t>蔡洁云.jpg</t>
  </si>
  <si>
    <t>de76b24b6c5a4445b28ac44b87afe854</t>
  </si>
  <si>
    <t>Sumi</t>
  </si>
  <si>
    <t>徐亚丽</t>
  </si>
  <si>
    <t>360425199801067021</t>
  </si>
  <si>
    <t>江西省九江市永修县永丰垦殖场机关生活区168号</t>
  </si>
  <si>
    <t>英语专业</t>
  </si>
  <si>
    <t>徐亚丽.jpg</t>
  </si>
  <si>
    <t>27be598f2d4140f4b15d814c7694ab0f</t>
  </si>
  <si>
    <t>遇</t>
  </si>
  <si>
    <t>黄站彬</t>
  </si>
  <si>
    <t>360427199502092430</t>
  </si>
  <si>
    <t>江西省九江市庐山市横塘镇故里垅村东边黄</t>
  </si>
  <si>
    <t>高级中学任教资格—生物</t>
  </si>
  <si>
    <t>20193600341000584</t>
  </si>
  <si>
    <t>黄站彬.jpg</t>
  </si>
  <si>
    <t>cecd6b0fe6744ffe9b4f76f8cb7baaba</t>
  </si>
  <si>
    <t>媚甲学姐</t>
  </si>
  <si>
    <t>肖爱玲</t>
  </si>
  <si>
    <t>362425199210165422</t>
  </si>
  <si>
    <t>江西省吉安市永丰县龙岗镇</t>
  </si>
  <si>
    <t>江西师大</t>
  </si>
  <si>
    <t>初级教师资格证 初中英语</t>
  </si>
  <si>
    <t>20163603532000273</t>
  </si>
  <si>
    <t>肖爱玲.jpg</t>
  </si>
  <si>
    <t>77d878f23e5d47b198f25ce51905d06c</t>
  </si>
  <si>
    <t>杨敏</t>
  </si>
  <si>
    <t>36042819850720558X</t>
  </si>
  <si>
    <t>江西省南昌市青山湖区金桥慧景小区</t>
  </si>
  <si>
    <t>2009年12月</t>
  </si>
  <si>
    <t>20083604332000298</t>
  </si>
  <si>
    <t>杨敏.jpg</t>
  </si>
  <si>
    <t>da45569f9de14ec48aebfe0abb53eac2</t>
  </si>
  <si>
    <t>汪汪</t>
  </si>
  <si>
    <t>汪雪珍</t>
  </si>
  <si>
    <t>360423199311012228</t>
  </si>
  <si>
    <t>江西省九江市武宁县石渡乡官田村</t>
  </si>
  <si>
    <t>初中语文教师资格证</t>
  </si>
  <si>
    <t>20143613332001327</t>
  </si>
  <si>
    <t>汪雪珍.jpg</t>
  </si>
  <si>
    <t>5531cc15d0c44909b74f4f1193350fa5</t>
  </si>
  <si>
    <t>王点十口</t>
  </si>
  <si>
    <t>戴玉田</t>
  </si>
  <si>
    <t>360425199512212827</t>
  </si>
  <si>
    <t>江西省九江市永修县永修县康山湖湾</t>
  </si>
  <si>
    <t>江西师范大学计算机信息工程学院</t>
  </si>
  <si>
    <t>20183305742000180</t>
  </si>
  <si>
    <t>戴玉田.jpg</t>
  </si>
  <si>
    <t>768f35b6886648138b4e978e5aafd14b</t>
  </si>
  <si>
    <t>逝水无痕</t>
  </si>
  <si>
    <t>徐其萱</t>
  </si>
  <si>
    <t>360122199108135713</t>
  </si>
  <si>
    <t>江西省南昌市新建区金桥乡凤咀村郭垅自然村</t>
  </si>
  <si>
    <t>2014年6月</t>
  </si>
  <si>
    <t>高级中学教师资格：数学</t>
  </si>
  <si>
    <t>20143600341000427</t>
  </si>
  <si>
    <t>徐其萱.jpg</t>
  </si>
  <si>
    <t>637b0d83dbf7450f895641456d96d671</t>
  </si>
  <si>
    <t>八节木</t>
  </si>
  <si>
    <t>肖迪帆</t>
  </si>
  <si>
    <t>360424199704230046</t>
  </si>
  <si>
    <t>江西省九江市修水县衙前大道35号</t>
  </si>
  <si>
    <t>20183601632001832</t>
  </si>
  <si>
    <t>肖迪帆.jpg</t>
  </si>
  <si>
    <t>6ad59d2d14ce4d40b453c917ad1a7b4b</t>
  </si>
  <si>
    <t>涂</t>
  </si>
  <si>
    <t>涂健健</t>
  </si>
  <si>
    <t>360425199311095847</t>
  </si>
  <si>
    <t>江西省九江市永修县永修县三角乡永丰村范家组</t>
  </si>
  <si>
    <t>华南师范大学</t>
  </si>
  <si>
    <t>2015年12月</t>
  </si>
  <si>
    <t>200936053112000029</t>
  </si>
  <si>
    <t>涂健健.jpg</t>
  </si>
  <si>
    <t>4b850b50eb034e518e903a4bd9f31237</t>
  </si>
  <si>
    <t>Hellaslee</t>
  </si>
  <si>
    <t>黎海红</t>
  </si>
  <si>
    <t>36050219811216464X</t>
  </si>
  <si>
    <t>江西省新余市渝水区公园北村10栋</t>
  </si>
  <si>
    <t>2006600241004270</t>
  </si>
  <si>
    <t>黎海红.jpg</t>
  </si>
  <si>
    <t>a3f94714352e4756b84d635f7fe806e6</t>
  </si>
  <si>
    <t>韩苏澈</t>
  </si>
  <si>
    <t>张威</t>
  </si>
  <si>
    <t>360423199204133710</t>
  </si>
  <si>
    <t>江西省九江市武宁县清华苑21栋2单元</t>
  </si>
  <si>
    <t>20133671531000149</t>
  </si>
  <si>
    <t>张威.jpg</t>
  </si>
  <si>
    <t>2464c9b644964b2aa1c48a83b111f125</t>
  </si>
  <si>
    <t>And</t>
  </si>
  <si>
    <t>刘芬</t>
  </si>
  <si>
    <t>36042529960604342X</t>
  </si>
  <si>
    <t>江西省九江市永修县江西省九江市永修县艾城镇</t>
  </si>
  <si>
    <t>20183640512001554</t>
  </si>
  <si>
    <t>刘芬.jpg</t>
  </si>
  <si>
    <t>9c927d3e5c4946a8884c351b0ccb3efe</t>
  </si>
  <si>
    <t>Alex</t>
  </si>
  <si>
    <t>李瀚</t>
  </si>
  <si>
    <t>360429199406261217</t>
  </si>
  <si>
    <t>江西省九江市湖口县马影镇坚山村三组18号</t>
  </si>
  <si>
    <t>信息管理与信息系统</t>
  </si>
  <si>
    <t>20203600341000280</t>
  </si>
  <si>
    <t>李瀚.jpg</t>
  </si>
  <si>
    <t>246c5df2b2974a6696c41685e723916a</t>
  </si>
  <si>
    <t>蒲公英艺术学校  方瑶</t>
  </si>
  <si>
    <t>方瑶</t>
  </si>
  <si>
    <t>360423199211245024</t>
  </si>
  <si>
    <t>江西省九江市永修县艾城镇三岔路口</t>
  </si>
  <si>
    <t>20153613312001167</t>
  </si>
  <si>
    <t>方瑶.jpg</t>
  </si>
  <si>
    <t>f6ff7f515d6b457aa6491cac9020038c</t>
  </si>
  <si>
    <t>胡美娟</t>
  </si>
  <si>
    <t>360425199311075520</t>
  </si>
  <si>
    <t>江西省九江市永修县建昌花园67栋</t>
  </si>
  <si>
    <t>生物化学与分子生物学</t>
  </si>
  <si>
    <t>高级中学的 生物</t>
  </si>
  <si>
    <t>20143600242005362</t>
  </si>
  <si>
    <t>胡美娟.jpg</t>
  </si>
  <si>
    <t>380411ed8ddd46bb9f248b07e4e3eb36</t>
  </si>
  <si>
    <t>l</t>
  </si>
  <si>
    <t>郭露</t>
  </si>
  <si>
    <t>360425199807202829</t>
  </si>
  <si>
    <t>江西省九江市永修县三角乡建华村</t>
  </si>
  <si>
    <t>2020363014873</t>
  </si>
  <si>
    <t>郭露.jpg</t>
  </si>
  <si>
    <t>cbd8d239400e4799b6fd385fce430624</t>
  </si>
  <si>
    <t>哥哥</t>
  </si>
  <si>
    <t>邓诗琴</t>
  </si>
  <si>
    <t>362424199902221628</t>
  </si>
  <si>
    <t>江西省吉安市新干县桃溪乡桃溪村街上自然村2号</t>
  </si>
  <si>
    <t>邓诗琴.jpg</t>
  </si>
  <si>
    <t>fbbd07fc916b4ee797c093c6490a8bf0</t>
  </si>
  <si>
    <t>青草香药</t>
  </si>
  <si>
    <t>徐青香</t>
  </si>
  <si>
    <t>360424199610162687</t>
  </si>
  <si>
    <t>江西省九江市修水县东港乡东港市村11组</t>
  </si>
  <si>
    <t>金融数学</t>
  </si>
  <si>
    <t>徐青香.jpg</t>
  </si>
  <si>
    <t>15d0342807104abe9c8a998df0446186</t>
  </si>
  <si>
    <t>YYQ</t>
  </si>
  <si>
    <t>袁雨琴</t>
  </si>
  <si>
    <t>360425199807245220</t>
  </si>
  <si>
    <t>江西省九江市永修县南山路双喜花园七栋二单元303</t>
  </si>
  <si>
    <t>2019364076580</t>
  </si>
  <si>
    <t>袁雨琴.jpg</t>
  </si>
  <si>
    <t>22e1856e68184b75b6d69dff1b4a22b9</t>
  </si>
  <si>
    <t>乔木自燃1416286458</t>
  </si>
  <si>
    <t>高思艺</t>
  </si>
  <si>
    <t>360425199505051025</t>
  </si>
  <si>
    <t>江西省九江市永修县湖东星火花苑小区</t>
  </si>
  <si>
    <t>20183610232001567</t>
  </si>
  <si>
    <t>高思艺.jpg</t>
  </si>
  <si>
    <t>fc92e84efee0468d922027248bf8576b</t>
  </si>
  <si>
    <t>妮</t>
  </si>
  <si>
    <t>雷娟</t>
  </si>
  <si>
    <t>360421198703224441</t>
  </si>
  <si>
    <t>江西省九江市濂溪区江西省九江市开发区永安乡大树村九组22号</t>
  </si>
  <si>
    <t>江西师范大学继续教育学院</t>
  </si>
  <si>
    <t>2015年2月</t>
  </si>
  <si>
    <t>061136004006454</t>
  </si>
  <si>
    <t>雷娟.jpg</t>
  </si>
  <si>
    <t>c5994e1c76964a359af55324e5d35809</t>
  </si>
  <si>
    <t> 芳 </t>
  </si>
  <si>
    <t>王建芳</t>
  </si>
  <si>
    <t>450322198112142025</t>
  </si>
  <si>
    <t>江西省九江市永修县龙岗馨园</t>
  </si>
  <si>
    <t>广西师范大学</t>
  </si>
  <si>
    <t>2008年2月</t>
  </si>
  <si>
    <t>20044503631000043</t>
  </si>
  <si>
    <t>王建芳.jpg</t>
  </si>
  <si>
    <t>8ba6edbb0f0b4ef797a6e4c93a14cdda</t>
  </si>
  <si>
    <t>王困呐 </t>
  </si>
  <si>
    <t>王琨</t>
  </si>
  <si>
    <t>360427199510020023</t>
  </si>
  <si>
    <t>江西省九江市庐山市鄱湖名居小区</t>
  </si>
  <si>
    <t>20163613332000228</t>
  </si>
  <si>
    <t>王琨.jpg</t>
  </si>
  <si>
    <t>25027b83a2bf4749baa1160a82cd0bf2</t>
  </si>
  <si>
    <t>Squire cao</t>
  </si>
  <si>
    <t>曹亚君</t>
  </si>
  <si>
    <t>360481199504015015</t>
  </si>
  <si>
    <t>江西省九江市瑞昌市西园</t>
  </si>
  <si>
    <t>数学高级中学教师资格</t>
  </si>
  <si>
    <t>20183630141003398</t>
  </si>
  <si>
    <t>曹亚君.jpg</t>
  </si>
  <si>
    <t>89302d5320b443b896cab62a7de2855a</t>
  </si>
  <si>
    <t>CY在路上</t>
  </si>
  <si>
    <t>蔡瑜</t>
  </si>
  <si>
    <t>360425199110243110</t>
  </si>
  <si>
    <t>江西省九江市永修县虬津镇虬津大桥桥口永修县公安局交通管理大队虬津中队</t>
  </si>
  <si>
    <t>初级中学教师资格证书</t>
  </si>
  <si>
    <t>20123613331001110</t>
  </si>
  <si>
    <t>蔡瑜.jpg</t>
  </si>
  <si>
    <t>6845804794a5471abca21ef871356335</t>
  </si>
  <si>
    <t></t>
  </si>
  <si>
    <t>王明珠</t>
  </si>
  <si>
    <t>360425199808062821</t>
  </si>
  <si>
    <t>江西省九江市永修县莲馨花园</t>
  </si>
  <si>
    <t>王明珠.jpg</t>
  </si>
  <si>
    <t>77dfc1ce06ef4a438b64250b2ba36dad</t>
  </si>
  <si>
    <t>Lydro</t>
  </si>
  <si>
    <t>熊思奕</t>
  </si>
  <si>
    <t>360425199309210228</t>
  </si>
  <si>
    <t>江西省九江市永修县滨湖大道滨湖半岛</t>
  </si>
  <si>
    <t>南开大学滨海学院</t>
  </si>
  <si>
    <t>通信工程</t>
  </si>
  <si>
    <t>20183605332000069</t>
  </si>
  <si>
    <t>熊思奕.jpg</t>
  </si>
  <si>
    <t>86542ca5ed5740638645bfc882a3a6c7</t>
  </si>
  <si>
    <t>Emily</t>
  </si>
  <si>
    <t>徐旺</t>
  </si>
  <si>
    <t>360402199408231521</t>
  </si>
  <si>
    <t>江西省九江市濂溪区贺家垅9栋1单元</t>
  </si>
  <si>
    <t>20173600242002252</t>
  </si>
  <si>
    <t>徐旺.jpg</t>
  </si>
  <si>
    <t>48e6fbc6d52a45c79c50792ab778dffc</t>
  </si>
  <si>
    <t>落木</t>
  </si>
  <si>
    <t>凌佛秀</t>
  </si>
  <si>
    <t>360734199504052424</t>
  </si>
  <si>
    <t>江西省九江市濂溪区奥克斯缔壹城</t>
  </si>
  <si>
    <t>高级中学政治教师资格证</t>
  </si>
  <si>
    <t>20193630142001829</t>
  </si>
  <si>
    <t>凌佛秀.jpg</t>
  </si>
  <si>
    <t>27517b6271cb4b29ac0b0e0a02e56b0b</t>
  </si>
  <si>
    <t>艳</t>
  </si>
  <si>
    <t>闵艳红</t>
  </si>
  <si>
    <t>36011119910910096X</t>
  </si>
  <si>
    <t>江西省南昌市青山湖区罗家镇龙竹路祥东花园</t>
  </si>
  <si>
    <t>2019年1月</t>
  </si>
  <si>
    <t>20133630232000774</t>
  </si>
  <si>
    <t>闵艳红.jpg</t>
  </si>
  <si>
    <t>b4653f8eac094a9c8dd0aea4af364591</t>
  </si>
  <si>
    <t>愈白愈兴</t>
  </si>
  <si>
    <t>杨悦</t>
  </si>
  <si>
    <t>360425199908080525</t>
  </si>
  <si>
    <t>江西省九江市永修县星火小区</t>
  </si>
  <si>
    <t>南昌职业大学</t>
  </si>
  <si>
    <t>杨悦.jpg</t>
  </si>
  <si>
    <t>758704d3d68e4b26a23ce50bde253a8e</t>
  </si>
  <si>
    <t>Boss</t>
  </si>
  <si>
    <t>邹琳</t>
  </si>
  <si>
    <t>360423199208200060</t>
  </si>
  <si>
    <t>江西省九江市武宁县豫宁街道</t>
  </si>
  <si>
    <t>湖南女子学院</t>
  </si>
  <si>
    <t>邹琳.jpg</t>
  </si>
  <si>
    <t>77851e829ded41aba87b9bcf1c5e814a</t>
  </si>
  <si>
    <t>番茄</t>
  </si>
  <si>
    <t>熊陈俊杰</t>
  </si>
  <si>
    <t>360425199410240237</t>
  </si>
  <si>
    <t>江西省九江市永修县山水美地16栋1单元203室</t>
  </si>
  <si>
    <t>西南民族大学</t>
  </si>
  <si>
    <t>高级中学教师资格</t>
  </si>
  <si>
    <t>20175110041003770</t>
  </si>
  <si>
    <t>熊陈俊杰.jpg</t>
  </si>
  <si>
    <t>ff07de8c3c384bcc82f232851cab4813</t>
  </si>
  <si>
    <t>我在横店等你</t>
  </si>
  <si>
    <t>曹圆红</t>
  </si>
  <si>
    <t>360425199808282023</t>
  </si>
  <si>
    <t>江西省九江市永修县云山安平厂</t>
  </si>
  <si>
    <t>20183640512001401</t>
  </si>
  <si>
    <t>曹圆红.jpg</t>
  </si>
  <si>
    <t>dbca8b15bfce4d0192e42349166390c4</t>
  </si>
  <si>
    <t>蓝色带点情调</t>
  </si>
  <si>
    <t>李俐</t>
  </si>
  <si>
    <t>360425199810066143</t>
  </si>
  <si>
    <t>江西省九江市永修县燕坊镇江龙村</t>
  </si>
  <si>
    <t>兴义民族师范学院</t>
  </si>
  <si>
    <t>翻译（英语）</t>
  </si>
  <si>
    <t>20205290132000579</t>
  </si>
  <si>
    <t>李俐.jpg</t>
  </si>
  <si>
    <t>b972da37d0eb423e96ec554642912322</t>
  </si>
  <si>
    <t>计新东</t>
  </si>
  <si>
    <t>360430199702172732</t>
  </si>
  <si>
    <t>江西省九江市彭泽县浩山乡海形村新建组</t>
  </si>
  <si>
    <t>西北师范大学</t>
  </si>
  <si>
    <t>绘画国画</t>
  </si>
  <si>
    <t>拟取得高级中学美术教师资格证</t>
  </si>
  <si>
    <t>计新东.jpg</t>
  </si>
  <si>
    <t>f0f79f0cd26143f294ca68bbc01a99d8</t>
  </si>
  <si>
    <t>未来</t>
  </si>
  <si>
    <t>梁珊珊</t>
  </si>
  <si>
    <t>360425199802055524</t>
  </si>
  <si>
    <t>江西省九江市永修县马口镇城丰乡</t>
  </si>
  <si>
    <t>20203605312000066</t>
  </si>
  <si>
    <t>梁珊珊.jpg</t>
  </si>
  <si>
    <t>22bd12636a2c49678c4c1231dd3ef02d</t>
  </si>
  <si>
    <t>WPS_1623652734</t>
  </si>
  <si>
    <t>周德星</t>
  </si>
  <si>
    <t>360425198502170016</t>
  </si>
  <si>
    <t>江西省九江市永修县涂埠镇新城大道东永小区A5栋201号</t>
  </si>
  <si>
    <t>2009年1月</t>
  </si>
  <si>
    <t>初中英语教师资格证</t>
  </si>
  <si>
    <t>20093601231000296</t>
  </si>
  <si>
    <t>周德星.jpg</t>
  </si>
  <si>
    <t>0f757a4a970745f6b054f0171365c64d</t>
  </si>
  <si>
    <t>空子</t>
  </si>
  <si>
    <t>刘琳</t>
  </si>
  <si>
    <t>360428198707175549</t>
  </si>
  <si>
    <t>刘琳.jpg</t>
  </si>
  <si>
    <t>b7d58f2aae484f83bf72f2d2d6e57413</t>
  </si>
  <si>
    <t>淡淡的茶香</t>
  </si>
  <si>
    <t>张超东</t>
  </si>
  <si>
    <t>362531198903190055</t>
  </si>
  <si>
    <t>江西省抚州市东乡区市场街殿积口22号</t>
  </si>
  <si>
    <t>工商企业管理</t>
  </si>
  <si>
    <t>2012年12月</t>
  </si>
  <si>
    <t>拟取得初中历史资格证</t>
  </si>
  <si>
    <t>张超东.jpg</t>
  </si>
  <si>
    <t>298d5a0a7886469f834b4e1e546940bc</t>
  </si>
  <si>
    <t>听见下雨的声音</t>
  </si>
  <si>
    <t>陈瑞荣</t>
  </si>
  <si>
    <t>360481199609012427</t>
  </si>
  <si>
    <t>江西省九江市瑞昌市肇陈镇八门村</t>
  </si>
  <si>
    <t>陈瑞荣.jpg</t>
  </si>
  <si>
    <t>9ffea7ccf5d147d4aeff81dd5659505a</t>
  </si>
  <si>
    <t>团大胖</t>
  </si>
  <si>
    <t>淦舒丹</t>
  </si>
  <si>
    <t>360425199611255822</t>
  </si>
  <si>
    <t>江西省九江市永修县建昌大道9号永丰大楼龙腾国际</t>
  </si>
  <si>
    <t>20183601632000889</t>
  </si>
  <si>
    <t>淦舒丹.jpg</t>
  </si>
  <si>
    <t>9976c56bcc704dada5baa401b688166c</t>
  </si>
  <si>
    <t>lsy李李李</t>
  </si>
  <si>
    <t>李苏瑶</t>
  </si>
  <si>
    <t>362424199812024428</t>
  </si>
  <si>
    <t>江西省吉安市新干县金川镇逸夫小学三岔口</t>
  </si>
  <si>
    <t>20203670142000827</t>
  </si>
  <si>
    <t>李苏瑶.jpg</t>
  </si>
  <si>
    <t>350841f862b14e5f816ad035498fc3ef</t>
  </si>
  <si>
    <t>WPS_1559522790</t>
  </si>
  <si>
    <t>蔡丹丹</t>
  </si>
  <si>
    <t>360425199301236722</t>
  </si>
  <si>
    <t>江西省九江市永修县白鹤世纪花园</t>
  </si>
  <si>
    <t>学期教育</t>
  </si>
  <si>
    <t>20173605312000089</t>
  </si>
  <si>
    <t>蔡丹丹.jpg</t>
  </si>
  <si>
    <t>57cb4572ac5f413c81700b0565791bf5</t>
  </si>
  <si>
    <t>熊乐迎</t>
  </si>
  <si>
    <t>360425199812183124</t>
  </si>
  <si>
    <t>江西省九江市永修县农贸市场对面小竹林</t>
  </si>
  <si>
    <t>表演</t>
  </si>
  <si>
    <t>熊乐迎.jpg</t>
  </si>
  <si>
    <t>ba43c5ba251340cf9fcd3cdc52f36e8b</t>
  </si>
  <si>
    <t>微微</t>
  </si>
  <si>
    <t>黄芬</t>
  </si>
  <si>
    <t>421127199011094520</t>
  </si>
  <si>
    <t>江西省九江市柴桑区九江开发区城西港区C1区9栋3单元</t>
  </si>
  <si>
    <t>渭南师范学院</t>
  </si>
  <si>
    <t>20146130042000843</t>
  </si>
  <si>
    <t>黄芬.jpg</t>
  </si>
  <si>
    <t>f4bfb7f871d44cdcbcca4842f2e93862</t>
  </si>
  <si>
    <t>以沫</t>
  </si>
  <si>
    <t>余鹏程</t>
  </si>
  <si>
    <t>36042819921007531x</t>
  </si>
  <si>
    <t>江西省九江市都昌县春桥乡老山村马家塘</t>
  </si>
  <si>
    <t>南昌教育学校</t>
  </si>
  <si>
    <t>大专  数学</t>
  </si>
  <si>
    <t>20143604231000345</t>
  </si>
  <si>
    <t>余鹏程.jpg</t>
  </si>
  <si>
    <t>00d4410bcc254014a1acb7ce94ee3866</t>
  </si>
  <si>
    <t>无趣！</t>
  </si>
  <si>
    <t>江其巧</t>
  </si>
  <si>
    <t>360425199812013125</t>
  </si>
  <si>
    <t>江西省九江市永修县涂埠镇花岭江村</t>
  </si>
  <si>
    <t>20203640512000971</t>
  </si>
  <si>
    <t>江其巧.jpg</t>
  </si>
  <si>
    <t>53b2e6bfb1964ed7b9dbdd4d7a5a9e4d</t>
  </si>
  <si>
    <t>周梦青</t>
  </si>
  <si>
    <t>360425199007124949</t>
  </si>
  <si>
    <t>江西省九江市永修县马口镇下城张家</t>
  </si>
  <si>
    <t>湖南科技大学</t>
  </si>
  <si>
    <t>20124300442001346</t>
  </si>
  <si>
    <t>周梦青.jpg</t>
  </si>
  <si>
    <t>b97066d62dca4653b5b0d413994a9c91</t>
  </si>
  <si>
    <t>wink</t>
  </si>
  <si>
    <t>黄子娴</t>
  </si>
  <si>
    <t>360425200011093423</t>
  </si>
  <si>
    <t>江西省九江市永修县虬津镇政府</t>
  </si>
  <si>
    <t>幼儿园教师资格  幼儿园</t>
  </si>
  <si>
    <t>20203611312000329</t>
  </si>
  <si>
    <t>黄子娴.jpg</t>
  </si>
  <si>
    <t>74e17fc1c09f40d6b7773e1f4626fd94</t>
  </si>
  <si>
    <t>-TAN</t>
  </si>
  <si>
    <t>王芳</t>
  </si>
  <si>
    <t>362525199407100628</t>
  </si>
  <si>
    <t>江西省南昌市东湖区上水路19号</t>
  </si>
  <si>
    <t>市场营销</t>
  </si>
  <si>
    <t>20183660232000051</t>
  </si>
  <si>
    <t>王芳.jpg</t>
  </si>
  <si>
    <t>03c38d91730d4ceeadefb67aebc55257</t>
  </si>
  <si>
    <t>壮壮麻麻～</t>
  </si>
  <si>
    <t>李千婷</t>
  </si>
  <si>
    <t>360423199310202222</t>
  </si>
  <si>
    <t>江西省九江市武宁县丽水康城</t>
  </si>
  <si>
    <t>20143610212001008</t>
  </si>
  <si>
    <t>李千婷.jpg</t>
  </si>
  <si>
    <t>76602539719a4e848644e5e7668aee06</t>
  </si>
  <si>
    <t>WPS_1623330881</t>
  </si>
  <si>
    <t>蔡康琴</t>
  </si>
  <si>
    <t>360425199209160040</t>
  </si>
  <si>
    <t>江西省九江市永修县西二路幸福路</t>
  </si>
  <si>
    <t>法学</t>
  </si>
  <si>
    <t>初级中学</t>
  </si>
  <si>
    <t>20153612232000488</t>
  </si>
  <si>
    <t>蔡康琴.jpg</t>
  </si>
  <si>
    <t>71fadb7856854c31b0e70ed515541605</t>
  </si>
  <si>
    <t>三生</t>
  </si>
  <si>
    <t>郑秀</t>
  </si>
  <si>
    <t>360428199701250047</t>
  </si>
  <si>
    <t>江西省九江市都昌县星火郑村</t>
  </si>
  <si>
    <t>20183604232000706</t>
  </si>
  <si>
    <t>郑秀.jpg</t>
  </si>
  <si>
    <t>525cb148fea44c62ba96a849b89adfd2</t>
  </si>
  <si>
    <t>5&amp;7</t>
  </si>
  <si>
    <t>梁琴</t>
  </si>
  <si>
    <t>360424199802253006</t>
  </si>
  <si>
    <t>江西省南昌市南昌县昌东镇紫阳大道168号水文嘉苑4栋三单元602室</t>
  </si>
  <si>
    <t>初中思想品德</t>
  </si>
  <si>
    <t>20193601232000103</t>
  </si>
  <si>
    <t>梁琴.jpg</t>
  </si>
  <si>
    <t>cefe3ff6ba4c4c809a607e199528e280</t>
  </si>
  <si>
    <t>Alisa</t>
  </si>
  <si>
    <t>金志瑞</t>
  </si>
  <si>
    <t>362202199502173824</t>
  </si>
  <si>
    <t>江西省宜春市丰城市董家镇金塘村月坊组</t>
  </si>
  <si>
    <t>20193640142000632</t>
  </si>
  <si>
    <t>金志瑞.jpg</t>
  </si>
  <si>
    <t>6c620e9c4f424c3ca87cae1a3184647f</t>
  </si>
  <si>
    <t>WPS_1623711912</t>
  </si>
  <si>
    <t>钟铃</t>
  </si>
  <si>
    <t>360424199012295244</t>
  </si>
  <si>
    <t>江西省九江市永修县垒旺公馆2栋一单元</t>
  </si>
  <si>
    <t>江西省赣南师范大学</t>
  </si>
  <si>
    <t>20123630142002616</t>
  </si>
  <si>
    <t>钟铃.jpg</t>
  </si>
  <si>
    <t>f5757276674e43648573d90af7d6ae6e</t>
  </si>
  <si>
    <t>November</t>
  </si>
  <si>
    <t>熊慧诗</t>
  </si>
  <si>
    <t>362202199511060020</t>
  </si>
  <si>
    <t>江西省九江市永修县江西省丰城市</t>
  </si>
  <si>
    <t>20173610232001844</t>
  </si>
  <si>
    <t>熊慧诗.jpg</t>
  </si>
  <si>
    <t>42a4e65d70614007911d035add4038b2</t>
  </si>
  <si>
    <t>WPS_1623481363</t>
  </si>
  <si>
    <t>陈巧玲</t>
  </si>
  <si>
    <t>360425198608256723</t>
  </si>
  <si>
    <t>江西省南昌市西湖区南浦街道船山社区</t>
  </si>
  <si>
    <t>河海大学</t>
  </si>
  <si>
    <t>物理海洋学</t>
  </si>
  <si>
    <t>陈巧玲.jpg</t>
  </si>
  <si>
    <t>96e176f60c744c638cb054ca5fa76462</t>
  </si>
  <si>
    <t>一只萧情情</t>
  </si>
  <si>
    <t>金晨茜</t>
  </si>
  <si>
    <t>360425199912022045</t>
  </si>
  <si>
    <t>江西省九江市永修县江西省九江市永修县湖东经济适用房</t>
  </si>
  <si>
    <t>20203611312002807</t>
  </si>
  <si>
    <t>金晨茜.jpg</t>
  </si>
  <si>
    <t>45539b5f2b144b28a165fc1010c6f810</t>
  </si>
  <si>
    <t>小懒猫</t>
  </si>
  <si>
    <t>涂雅玲</t>
  </si>
  <si>
    <t>36010319941014542X</t>
  </si>
  <si>
    <t>江西省南昌市青山湖区风景印象3栋</t>
  </si>
  <si>
    <t>20163605232000151</t>
  </si>
  <si>
    <t>涂雅玲.jpg</t>
  </si>
  <si>
    <t>f8f54e15c9eb4085bef6619a18e13bc4</t>
  </si>
  <si>
    <t>不思量</t>
  </si>
  <si>
    <t>高兵花</t>
  </si>
  <si>
    <t>362330199503203846</t>
  </si>
  <si>
    <t>江西省上饶市鄱阳县北关程家山</t>
  </si>
  <si>
    <t>拟取得教师资格证</t>
  </si>
  <si>
    <t>高兵花.jpg</t>
  </si>
  <si>
    <t>b2bf2d2aff5c4acb9cbd0e5232193cb9</t>
  </si>
  <si>
    <t>W娜</t>
  </si>
  <si>
    <t>汪娜</t>
  </si>
  <si>
    <t>360403199602220929</t>
  </si>
  <si>
    <t>江西省九江市浔阳区朝阳里小区8栋1902</t>
  </si>
  <si>
    <t>20173603532000736</t>
  </si>
  <si>
    <t>汪娜.jpg</t>
  </si>
  <si>
    <t>5a0e029e76424d349c94c2768ff4fcee</t>
  </si>
  <si>
    <t>AAA龙中亮</t>
  </si>
  <si>
    <t>龙中亮</t>
  </si>
  <si>
    <t>36042519920312521X</t>
  </si>
  <si>
    <t>江西省九江市永修县永修县立新乡竹岭村城垄组</t>
  </si>
  <si>
    <t>20183600341000507</t>
  </si>
  <si>
    <t>龙中亮.jpg</t>
  </si>
  <si>
    <t>a4d02598ba664f828eca462da7417d9c</t>
  </si>
  <si>
    <t>h琦琦</t>
  </si>
  <si>
    <t>何琦琦</t>
  </si>
  <si>
    <t>360425199501252823</t>
  </si>
  <si>
    <t>江西省九江市永修县建华村</t>
  </si>
  <si>
    <t>江西财经大学现代经济管理学院</t>
  </si>
  <si>
    <t>2020363021934</t>
  </si>
  <si>
    <t>何琦琦.jpg</t>
  </si>
  <si>
    <t>250a8af01e444f95b69a0f33a75b91f5</t>
  </si>
  <si>
    <t>龚雪琴</t>
  </si>
  <si>
    <t>360425199207056725</t>
  </si>
  <si>
    <t>江西省九江市永修县山湖湾小区</t>
  </si>
  <si>
    <t>2018年1月</t>
  </si>
  <si>
    <t>20123605212000577</t>
  </si>
  <si>
    <t>龚雪琴.jpg</t>
  </si>
  <si>
    <t>53b27b8b0cf849f5b499bb498563028b</t>
  </si>
  <si>
    <t>光</t>
  </si>
  <si>
    <t>田芙</t>
  </si>
  <si>
    <t>360481199905222023</t>
  </si>
  <si>
    <t>江西省九江市瑞昌市黄金南路7号阳光佳缘小区</t>
  </si>
  <si>
    <t>田芙.jpg</t>
  </si>
  <si>
    <t>8424a09a2e5244a18ba2e4c14c806131</t>
  </si>
  <si>
    <t>娟娟</t>
  </si>
  <si>
    <t>严瑞娟</t>
  </si>
  <si>
    <t>360425199801114924</t>
  </si>
  <si>
    <t>江西省九江市永修县江西省九江市永修县马口镇</t>
  </si>
  <si>
    <t>幼师资格证</t>
  </si>
  <si>
    <t>20193660312001233</t>
  </si>
  <si>
    <t>严瑞娟.jpg</t>
  </si>
  <si>
    <t>3cc8d7aeb40742eabfce0c2b23fb0089</t>
  </si>
  <si>
    <t>萌烊烊</t>
  </si>
  <si>
    <t>刘雨萌</t>
  </si>
  <si>
    <t>360430199912171746</t>
  </si>
  <si>
    <t>江西省九江市彭泽县定山镇定山中学</t>
  </si>
  <si>
    <t>20193604412000915</t>
  </si>
  <si>
    <t>刘雨萌.jpg</t>
  </si>
  <si>
    <t>b16757f74dd7459a93f886afaf63df00</t>
  </si>
  <si>
    <t>朝花夕拾~</t>
  </si>
  <si>
    <t>郭颖</t>
  </si>
  <si>
    <t>360425199612124963</t>
  </si>
  <si>
    <t>江西省九江市永修县屋场村</t>
  </si>
  <si>
    <t>电子科学与技术</t>
  </si>
  <si>
    <t>20193605332000149</t>
  </si>
  <si>
    <t>郭颖.jpg</t>
  </si>
  <si>
    <t>d0c519bca99b42bfa321b4678fddf156</t>
  </si>
  <si>
    <t>WPS_1498036145</t>
  </si>
  <si>
    <t>任宗元</t>
  </si>
  <si>
    <t>220582199508153117</t>
  </si>
  <si>
    <t>江西省九江市濂溪区长虹大道泉港雅居一栋二单元102</t>
  </si>
  <si>
    <t>高级中学教师资格证体育与</t>
  </si>
  <si>
    <t>20183600241002007</t>
  </si>
  <si>
    <t>任宗元.jpg</t>
  </si>
  <si>
    <t>7fb583656ec4476aa87ee30cee5d5d09</t>
  </si>
  <si>
    <t>Amanda</t>
  </si>
  <si>
    <t>石益波</t>
  </si>
  <si>
    <t>360428199710245522</t>
  </si>
  <si>
    <t>江西省九江市濂溪区庐山大道东侧,新五中正对面加州风情</t>
  </si>
  <si>
    <t>广西科技大学鹿山学院</t>
  </si>
  <si>
    <t>石益波.jpg</t>
  </si>
  <si>
    <t>18bb65c93ca04591b1c295a2ea3f64c9</t>
  </si>
  <si>
    <t>認【恴】勼姩_阿甘</t>
  </si>
  <si>
    <t>崔红雨</t>
  </si>
  <si>
    <t>130223199508066643</t>
  </si>
  <si>
    <t>江西省九江市浔阳区第三人民医院宿舍</t>
  </si>
  <si>
    <t>高级中学教师资格证体育与健康</t>
  </si>
  <si>
    <t>20183600214002006</t>
  </si>
  <si>
    <t>崔红雨.jpg</t>
  </si>
  <si>
    <t>f6cf967d82504f62a6a454652e8b9a9f</t>
  </si>
  <si>
    <t>谙</t>
  </si>
  <si>
    <t>吕佳芬</t>
  </si>
  <si>
    <t>36042519960522312X</t>
  </si>
  <si>
    <t>江西省九江市永修县涂埠镇钩璜吕家</t>
  </si>
  <si>
    <t>2021年1月</t>
  </si>
  <si>
    <t>初级中学教师资格证  英语</t>
  </si>
  <si>
    <t>20173611332002317</t>
  </si>
  <si>
    <t>吕佳芬.jpg</t>
  </si>
  <si>
    <t>726e055bafc74169b406e1e107598bce</t>
  </si>
  <si>
    <t></t>
  </si>
  <si>
    <t>徐芬芬</t>
  </si>
  <si>
    <t>360122199511262421</t>
  </si>
  <si>
    <t>江西省南昌市新建区江西省南昌市新建区九珑府小区</t>
  </si>
  <si>
    <t>徐芬芬.jpg</t>
  </si>
  <si>
    <t>cd43b2aab1a44f129ae37d6f00eb7ad0</t>
  </si>
  <si>
    <t>甘柳青Anna1996</t>
  </si>
  <si>
    <t>甘柳青</t>
  </si>
  <si>
    <t>362202199612185025</t>
  </si>
  <si>
    <t>江西省宜春市丰城市秀市镇敬老院斜对面</t>
  </si>
  <si>
    <t>华中农业大学</t>
  </si>
  <si>
    <t>20173640532000979</t>
  </si>
  <si>
    <t>甘柳青.jpg</t>
  </si>
  <si>
    <t>9e9b77a820a04e27b1b07314d7534ec7</t>
  </si>
  <si>
    <t>追  逐</t>
  </si>
  <si>
    <t>饶茜茜</t>
  </si>
  <si>
    <t>360425199312102826</t>
  </si>
  <si>
    <t>江西省九江市永修县建昌大道信南·山水美地</t>
  </si>
  <si>
    <t>中专医学检验</t>
  </si>
  <si>
    <t>医学检验</t>
  </si>
  <si>
    <t>饶茜茜.jpg</t>
  </si>
  <si>
    <t>39f982d514da421b8887391b420ed3bd</t>
  </si>
  <si>
    <t>push  帅呆了</t>
  </si>
  <si>
    <t>李景芸</t>
  </si>
  <si>
    <t>360425199904263420</t>
  </si>
  <si>
    <t>江西省九江市永修县永修县艾城镇</t>
  </si>
  <si>
    <t>2021363020514</t>
  </si>
  <si>
    <t>李景芸.jpg</t>
  </si>
  <si>
    <t>c6ef994d2f184197be7f25170f1d27d1</t>
  </si>
  <si>
    <t>初冬的雪</t>
  </si>
  <si>
    <t>梅振中</t>
  </si>
  <si>
    <t>360102199109272810</t>
  </si>
  <si>
    <t>江西省南昌市东湖区江西省南昌市东湖区南福路</t>
  </si>
  <si>
    <t>20153600241001229</t>
  </si>
  <si>
    <t>梅振中.jpg</t>
  </si>
  <si>
    <t>2387dcaeea9a4ba0a19359d2b6a7034a</t>
  </si>
  <si>
    <t>smallfly打怪兽</t>
  </si>
  <si>
    <t>黄小飞</t>
  </si>
  <si>
    <t>360421199812012020</t>
  </si>
  <si>
    <t>江西省九江市柴桑区狮子镇住岭村六组</t>
  </si>
  <si>
    <t>20203650232000257</t>
  </si>
  <si>
    <t>黄小飞.jpg</t>
  </si>
  <si>
    <t>33097fd500c847849d74bb726a7dfd2f</t>
  </si>
  <si>
    <t>虞绍诚</t>
  </si>
  <si>
    <t>360402199411062714</t>
  </si>
  <si>
    <t>江西省九江市濂溪区远洲九悦庭</t>
  </si>
  <si>
    <t>北京体育大学</t>
  </si>
  <si>
    <t>20183600341000687</t>
  </si>
  <si>
    <t>虞绍诚.jpg</t>
  </si>
  <si>
    <t>e8522a2f403b48b5b163cbfd4ad37b63</t>
  </si>
  <si>
    <t>你说柠檬酸不酸</t>
  </si>
  <si>
    <t>刘琪</t>
  </si>
  <si>
    <t>36042519940523342X</t>
  </si>
  <si>
    <t>江西省九江市永修县永丰垦殖场</t>
  </si>
  <si>
    <t>英语（英日）专业</t>
  </si>
  <si>
    <t>高级中学教师资格（英语）</t>
  </si>
  <si>
    <t>20214402842000781</t>
  </si>
  <si>
    <t>刘琪.jpg</t>
  </si>
  <si>
    <t>349c9fdb62ce4c23b9fc5a178175d589</t>
  </si>
  <si>
    <t>开心游戏</t>
  </si>
  <si>
    <t>范美娟</t>
  </si>
  <si>
    <t>360425198302251727</t>
  </si>
  <si>
    <t>20153613312001293</t>
  </si>
  <si>
    <t>范美娟.jpg</t>
  </si>
  <si>
    <t>235e5fa28b054202a875ecf353e87944</t>
  </si>
  <si>
    <t>杜玛丽</t>
  </si>
  <si>
    <t>360425198612053187</t>
  </si>
  <si>
    <t>江西省九江市永修县书香门第7栋一单元101</t>
  </si>
  <si>
    <t>九江学校</t>
  </si>
  <si>
    <t>20103613332001181</t>
  </si>
  <si>
    <t>杜玛丽.jpg</t>
  </si>
  <si>
    <t>de901b4cfca142f69c5c9a40881eba67</t>
  </si>
  <si>
    <t>SUN</t>
  </si>
  <si>
    <t>李梦丹</t>
  </si>
  <si>
    <t>360122199403107221</t>
  </si>
  <si>
    <t>江西省九江市永修县铜锣湾天玺</t>
  </si>
  <si>
    <t>20163602732000751</t>
  </si>
  <si>
    <t>李梦丹.jpg</t>
  </si>
  <si>
    <t>7eecb85218874895bcf0e395b4b769ff</t>
  </si>
  <si>
    <t>小核桃</t>
  </si>
  <si>
    <t>陶艳</t>
  </si>
  <si>
    <t>360122198804086340</t>
  </si>
  <si>
    <t>江西省南昌市湾里区红湾公路866号香逸熙园</t>
  </si>
  <si>
    <t>高级中学教师资格（语文）</t>
  </si>
  <si>
    <t>20113600242004618</t>
  </si>
  <si>
    <t>陶艳.jpg</t>
  </si>
  <si>
    <t>21ba7bdb580a45f2b867484b1a54ff3a</t>
  </si>
  <si>
    <t>雅琴</t>
  </si>
  <si>
    <t>袁雅琴</t>
  </si>
  <si>
    <t>360425199305061026</t>
  </si>
  <si>
    <t>江西省九江市永修县星火小区76栋3单元206室</t>
  </si>
  <si>
    <t>沈阳航空航天大学</t>
  </si>
  <si>
    <t>艺术设计（环境艺术设计方向）</t>
  </si>
  <si>
    <t>20193600342000912</t>
  </si>
  <si>
    <t>袁雅琴.jpg</t>
  </si>
  <si>
    <t>7233447f43c14c6fb70f027e8103724c</t>
  </si>
  <si>
    <t>王薇</t>
  </si>
  <si>
    <t>360425200004302020</t>
  </si>
  <si>
    <t>江西省九江市永修县东永商城</t>
  </si>
  <si>
    <t>拟取教师资格证</t>
  </si>
  <si>
    <t>2021361016785</t>
  </si>
  <si>
    <t>王薇.jpg</t>
  </si>
  <si>
    <t>d040dcf71e0944c98317d1ea2834a3fc</t>
  </si>
  <si>
    <t>暗香浮动</t>
  </si>
  <si>
    <t>赵佳颖</t>
  </si>
  <si>
    <t>360425199703242826</t>
  </si>
  <si>
    <t>江西省九江市永修县涂埠镇西二路垒旺地中海</t>
  </si>
  <si>
    <t>20203600342000137</t>
  </si>
  <si>
    <t>赵佳颖.jpg</t>
  </si>
  <si>
    <t>2de9936ba4c7457ab3d73346a622bc06</t>
  </si>
  <si>
    <t>星空物语（文文）</t>
  </si>
  <si>
    <t>李文花</t>
  </si>
  <si>
    <t>360121199511195525</t>
  </si>
  <si>
    <t>江西省南昌市南昌县塔城乡城背李家自然村</t>
  </si>
  <si>
    <t>江西师范大学高等专科学校</t>
  </si>
  <si>
    <t>20173603512000159</t>
  </si>
  <si>
    <t>李文花.jpg</t>
  </si>
  <si>
    <t>ec9aae62b5844c558403c2c1c930165c</t>
  </si>
  <si>
    <t>悟空</t>
  </si>
  <si>
    <t>胡丹丹</t>
  </si>
  <si>
    <t>360402199109222123</t>
  </si>
  <si>
    <t>江西省九江市濂溪区怡居苑二期</t>
  </si>
  <si>
    <t>公共事业管理</t>
  </si>
  <si>
    <t>20133650142001474</t>
  </si>
  <si>
    <t>胡丹丹.jpg</t>
  </si>
  <si>
    <t>036d181a6fb840508b0bb3cadb090f55</t>
  </si>
  <si>
    <t>YxY</t>
  </si>
  <si>
    <t>易香媛</t>
  </si>
  <si>
    <t>360122198107200021</t>
  </si>
  <si>
    <t>江西省九江市永修县江西省九江市永修县虬津镇虬津小学生活区</t>
  </si>
  <si>
    <t>2008年6月</t>
  </si>
  <si>
    <t>幼教</t>
  </si>
  <si>
    <t>20083605312000014</t>
  </si>
  <si>
    <t>易香媛.jpg</t>
  </si>
  <si>
    <t>dfd9a8f4f5b64ca48a416172fdc98218</t>
  </si>
  <si>
    <t>&amp;.丽子</t>
  </si>
  <si>
    <t>孙燕丽</t>
  </si>
  <si>
    <t>360425198911215828</t>
  </si>
  <si>
    <t>江西省九江市永修县江上乡焦冲村</t>
  </si>
  <si>
    <t>20083605312000069</t>
  </si>
  <si>
    <t>孙燕丽.jpg</t>
  </si>
  <si>
    <t>5648875bc00c4e14b65c8bd213c2b5ac</t>
  </si>
  <si>
    <t>WPS_1623740049</t>
  </si>
  <si>
    <t>赖夏梅</t>
  </si>
  <si>
    <t>360727199603292227</t>
  </si>
  <si>
    <t>江西省九江市永修县南山路九颂山河凯旋城</t>
  </si>
  <si>
    <t>20203660232000548</t>
  </si>
  <si>
    <t>赖夏梅.jpg</t>
  </si>
  <si>
    <t>7b6be0450f5a4581a4df06eb3d371c1e</t>
  </si>
  <si>
    <t>Caitlyn</t>
  </si>
  <si>
    <t>丁晨</t>
  </si>
  <si>
    <t>360403199408040326</t>
  </si>
  <si>
    <t>江西省九江市浔阳区长虹大道阳光国际小区</t>
  </si>
  <si>
    <t>聊城大学</t>
  </si>
  <si>
    <t>丁晨.jpg</t>
  </si>
  <si>
    <t>be5c36f235424a15ab8eed7962acf1c7</t>
  </si>
  <si>
    <t>张佳敏</t>
  </si>
  <si>
    <t>360425199210085228</t>
  </si>
  <si>
    <t>江西省九江市永修县永昌大道华龙莱茵美郡</t>
  </si>
  <si>
    <t>云南大学滇池学院</t>
  </si>
  <si>
    <t>张佳敏.jpg</t>
  </si>
  <si>
    <t>c6bd94a6116b4716af6c1a8583365c1a</t>
  </si>
  <si>
    <t>now</t>
  </si>
  <si>
    <t>李梦洲</t>
  </si>
  <si>
    <t>360425199809130611</t>
  </si>
  <si>
    <t>江西省九江市永修县永修县涂埠镇康乐路</t>
  </si>
  <si>
    <t>工艺美术</t>
  </si>
  <si>
    <t>2020364015405</t>
  </si>
  <si>
    <t>李梦洲.jpg</t>
  </si>
  <si>
    <t>7ab1d825124c41c8841d3fc42fda8ac0</t>
  </si>
  <si>
    <t>九</t>
  </si>
  <si>
    <t>谭颖</t>
  </si>
  <si>
    <t>360425199910223724</t>
  </si>
  <si>
    <t>20203600242002484</t>
  </si>
  <si>
    <t>谭颖.jpg</t>
  </si>
  <si>
    <t>62c982e54c6845aa82142217b462dbfc</t>
  </si>
  <si>
    <t>Cautious</t>
  </si>
  <si>
    <t>蒋钰容</t>
  </si>
  <si>
    <t>36042519961130732x</t>
  </si>
  <si>
    <t>江西省九江市共青城市博士家园</t>
  </si>
  <si>
    <t>20183600242001098</t>
  </si>
  <si>
    <t>蒋钰容.jpg</t>
  </si>
  <si>
    <t>27adbf3ad46d481180a256b0bd1a1fd4</t>
  </si>
  <si>
    <t>杜秋</t>
  </si>
  <si>
    <t>黄梅</t>
  </si>
  <si>
    <t>360425199206173444</t>
  </si>
  <si>
    <t>江西护理职业技术学院</t>
  </si>
  <si>
    <t>护理</t>
  </si>
  <si>
    <t>黄梅.jpg</t>
  </si>
  <si>
    <t>2d142c4cd0f746d88aae22bde2600cc5</t>
  </si>
  <si>
    <t>是姜丝啊i</t>
  </si>
  <si>
    <t>江思敏</t>
  </si>
  <si>
    <t>360425199812162868</t>
  </si>
  <si>
    <t>江西省九江市永修县三角乡</t>
  </si>
  <si>
    <t>20163604412000578</t>
  </si>
  <si>
    <t>江思敏.jpg</t>
  </si>
  <si>
    <t>062dfc9807864b07836c5df84017da98</t>
  </si>
  <si>
    <t>%E6%9F%A5%E6%A2%A6</t>
  </si>
  <si>
    <t>查孟孟</t>
  </si>
  <si>
    <t>360427199008172427</t>
  </si>
  <si>
    <t>江西省南昌市青云谱区洪都五区</t>
  </si>
  <si>
    <t>20153607332000031</t>
  </si>
  <si>
    <t>查孟孟.jpg</t>
  </si>
  <si>
    <t>f45f80879d5848eb9090ac7ab519b4bf</t>
  </si>
  <si>
    <t>月半了</t>
  </si>
  <si>
    <t>张月</t>
  </si>
  <si>
    <t>360425199911114327</t>
  </si>
  <si>
    <t>江西省九江市永修县梅棠镇新庄村马岭组24号</t>
  </si>
  <si>
    <t>桂林理工大学博文管理学院</t>
  </si>
  <si>
    <t>张月.jpg</t>
  </si>
  <si>
    <t>760b3cbde0b14e4b8e9ad68e10d65f12</t>
  </si>
  <si>
    <t>可爱璃安</t>
  </si>
  <si>
    <t>于婷</t>
  </si>
  <si>
    <t>360427199812062747</t>
  </si>
  <si>
    <t>江西省九江市庐山市蛟塘镇细桥于</t>
  </si>
  <si>
    <t>20203611332002154</t>
  </si>
  <si>
    <t>于婷.jpg</t>
  </si>
  <si>
    <t>7695ac4b56334dad9006fa16813c83a4</t>
  </si>
  <si>
    <t>姿意』静好</t>
  </si>
  <si>
    <t>毛甜甜</t>
  </si>
  <si>
    <t>360402199307193140</t>
  </si>
  <si>
    <t>江西省九江市濂溪区新港镇竹林村六组</t>
  </si>
  <si>
    <t>20153600342000294</t>
  </si>
  <si>
    <t>毛甜甜.jpg</t>
  </si>
  <si>
    <t>6b48f6454c054700ba4b263c7034706a</t>
  </si>
  <si>
    <t>WPS_1623746842</t>
  </si>
  <si>
    <t>余雯君</t>
  </si>
  <si>
    <t>360425199502042529</t>
  </si>
  <si>
    <t>江西省九江市永修县恒丰企业集团农机区115</t>
  </si>
  <si>
    <t>20163610232001373</t>
  </si>
  <si>
    <t>余雯君.jpg</t>
  </si>
  <si>
    <t>e2989684819045788b1fa25031d6f29f</t>
  </si>
  <si>
    <t>烟火气里的少女心</t>
  </si>
  <si>
    <t>李婕</t>
  </si>
  <si>
    <t>360425199209084324</t>
  </si>
  <si>
    <t>江西省九江市永修县九颂山河玲珑园五栋一单元301室</t>
  </si>
  <si>
    <t>高级中学教师资格   英语</t>
  </si>
  <si>
    <t>20153600242002495</t>
  </si>
  <si>
    <t>李婕.jpg</t>
  </si>
  <si>
    <t>878bc03c60b14f70b4a3c5cfcc39e371</t>
  </si>
  <si>
    <t>张</t>
  </si>
  <si>
    <t>张紫薇</t>
  </si>
  <si>
    <t>360481199309113867</t>
  </si>
  <si>
    <t>江西省九江市永修县开发大道浔银村镇银行楼上</t>
  </si>
  <si>
    <t>江西省广播电视大学</t>
  </si>
  <si>
    <t>2014年1月</t>
  </si>
  <si>
    <t>20123605312000003</t>
  </si>
  <si>
    <t>张紫薇.jpg</t>
  </si>
  <si>
    <t>4d59b2fa8b714ad9bcc2e11d0456c57c</t>
  </si>
  <si>
    <t>天天下大雨！！！</t>
  </si>
  <si>
    <t>吴迪</t>
  </si>
  <si>
    <t>362321199301140019</t>
  </si>
  <si>
    <t>江西省南昌市东湖区永外正街158号</t>
  </si>
  <si>
    <t>20173650141000385</t>
  </si>
  <si>
    <t>吴迪.jpg</t>
  </si>
  <si>
    <t>af10a42d46144f50842a3136ad9efded</t>
  </si>
  <si>
    <t>Fairy Tail</t>
  </si>
  <si>
    <t>廖方姣</t>
  </si>
  <si>
    <t>36042519900731462X</t>
  </si>
  <si>
    <t>江西省九江市永修县永修县江上乡</t>
  </si>
  <si>
    <t>20143600242002972</t>
  </si>
  <si>
    <t>廖方姣.jpg</t>
  </si>
  <si>
    <t>b93f09cb2c434484b4a26cacf1934a21</t>
  </si>
  <si>
    <t>CCCCPA</t>
  </si>
  <si>
    <t>江慧超</t>
  </si>
  <si>
    <t>360425199812300028</t>
  </si>
  <si>
    <t>师范英语</t>
  </si>
  <si>
    <t>江慧超.jpg</t>
  </si>
  <si>
    <t>69c6936e03084742803d957853535b39</t>
  </si>
  <si>
    <t>precious</t>
  </si>
  <si>
    <t>胡欣</t>
  </si>
  <si>
    <t>36012319991124072X</t>
  </si>
  <si>
    <t>江西省九江市浔阳区白水湖街道中辉凯旋城</t>
  </si>
  <si>
    <t>胡欣.jpg</t>
  </si>
  <si>
    <t>70652f91d205442cbc10dcf7b2490895</t>
  </si>
  <si>
    <t>橙子味</t>
  </si>
  <si>
    <t>王玲</t>
  </si>
  <si>
    <t>362330199503256286</t>
  </si>
  <si>
    <t>江西省上饶市鄱阳县古县渡镇父子前山村</t>
  </si>
  <si>
    <t>浙江工业大学</t>
  </si>
  <si>
    <t>高级中学  化学</t>
  </si>
  <si>
    <t>王玲.jpg</t>
  </si>
  <si>
    <t>7c520221bedc44f48e45cc2321a2c87a</t>
  </si>
  <si>
    <t>小小</t>
  </si>
  <si>
    <t>李华凤</t>
  </si>
  <si>
    <t>362330198612096141</t>
  </si>
  <si>
    <t>江西省南昌市新建区九龙湖新力琥珀园</t>
  </si>
  <si>
    <t>高级中学教师资格数学</t>
  </si>
  <si>
    <t>赣M039134</t>
  </si>
  <si>
    <t>李华凤.jpg</t>
  </si>
  <si>
    <t>9713e1cadc904e1483a8db942ce51956</t>
  </si>
  <si>
    <t>Amy  long</t>
  </si>
  <si>
    <t>龙小春</t>
  </si>
  <si>
    <t>360425199103215242</t>
  </si>
  <si>
    <t>江西省九江市永修县立新乡竹岭村城垅组</t>
  </si>
  <si>
    <t>20153610232000018</t>
  </si>
  <si>
    <t>龙小春.jpg</t>
  </si>
  <si>
    <t>bc71a1494299450093d711014ed2dc29</t>
  </si>
  <si>
    <t>【悲伤&amp;逆流成河￡】</t>
  </si>
  <si>
    <t>淦舒惠</t>
  </si>
  <si>
    <t>360425199905021140</t>
  </si>
  <si>
    <t>江西省九江市永修县九颂山河凯旋城</t>
  </si>
  <si>
    <t>九江职业技术学院</t>
  </si>
  <si>
    <t>115051201906004504</t>
  </si>
  <si>
    <t>淦舒惠.jpg</t>
  </si>
  <si>
    <t>5949e55f21544e01a9e148b4fb9e69eb</t>
  </si>
  <si>
    <t>生活</t>
  </si>
  <si>
    <t>卢先君</t>
  </si>
  <si>
    <t>360424199005211065</t>
  </si>
  <si>
    <t>江西省九江市修水县万象新城B区15栋1503</t>
  </si>
  <si>
    <t>修水职业中专</t>
  </si>
  <si>
    <t>幼儿园教师资格      幼儿园</t>
  </si>
  <si>
    <t>20123604312000216</t>
  </si>
  <si>
    <t>卢先君.jpg</t>
  </si>
  <si>
    <t>c22e85b14d5d4267bab79ecb6a2cbc32</t>
  </si>
  <si>
    <t>WPS_1623289605</t>
  </si>
  <si>
    <t>范楚楚</t>
  </si>
  <si>
    <t>360481199708031228</t>
  </si>
  <si>
    <t>江西省九江市瑞昌市联盛A11栋904</t>
  </si>
  <si>
    <t>太原师范学院</t>
  </si>
  <si>
    <t>范楚楚.jpg</t>
  </si>
  <si>
    <t>4393d3c77e9d41a1a9c40f87d76fe176</t>
  </si>
  <si>
    <t>午后慵懒の少女</t>
  </si>
  <si>
    <t>黄琼</t>
  </si>
  <si>
    <t>360105199202162527</t>
  </si>
  <si>
    <t>江西省南昌市湾里区心怡家园1-4-102</t>
  </si>
  <si>
    <t>应用化学(职教师范)</t>
  </si>
  <si>
    <t>中等职业学校教师资格</t>
  </si>
  <si>
    <t>20153600252004062</t>
  </si>
  <si>
    <t>黄琼.jpg</t>
  </si>
  <si>
    <t>0606596a0ed74950b6806bca6e32ad6a</t>
  </si>
  <si>
    <t>徐晓辉</t>
  </si>
  <si>
    <t>黄玲玲</t>
  </si>
  <si>
    <t>360428199710195123</t>
  </si>
  <si>
    <t>江西省九江市都昌县江西省九江市都昌县蔡岭镇黄简村</t>
  </si>
  <si>
    <t>上饶幼儿师范高等专科学校</t>
  </si>
  <si>
    <t>2021361040568</t>
  </si>
  <si>
    <t>黄玲玲.jpg</t>
  </si>
  <si>
    <t>528ae15ca6234007ab8040a9bb05617a</t>
  </si>
  <si>
    <t>firework＇</t>
  </si>
  <si>
    <t>肖佳怡</t>
  </si>
  <si>
    <t>360425199812020827</t>
  </si>
  <si>
    <t>江西省九江市永修县涂埠镇环城西路39号</t>
  </si>
  <si>
    <t>肖佳怡.jpg</t>
  </si>
  <si>
    <t>cf9c69345a434664b56bf800fddc387c</t>
  </si>
  <si>
    <t>邶荷华</t>
  </si>
  <si>
    <t>余雅婧</t>
  </si>
  <si>
    <t>362232199601150044</t>
  </si>
  <si>
    <t>江西省宜春市靖安县清华大道50号</t>
  </si>
  <si>
    <t>南昌理工学院</t>
  </si>
  <si>
    <t>余雅婧.jpg</t>
  </si>
  <si>
    <t>cadca9b558c64ee6ba0b273c8e414410</t>
  </si>
  <si>
    <t>W...</t>
  </si>
  <si>
    <t>王丽珍</t>
  </si>
  <si>
    <t>360425199608102868</t>
  </si>
  <si>
    <t>江西省九江市永修县总工会一栋</t>
  </si>
  <si>
    <t>2014360532000129</t>
  </si>
  <si>
    <t>王丽珍.jpg</t>
  </si>
  <si>
    <t>a23acc6a203049c1902925edd0e9cbc6</t>
  </si>
  <si>
    <t>-</t>
  </si>
  <si>
    <t>骆亚芳</t>
  </si>
  <si>
    <t>36042519971025522X</t>
  </si>
  <si>
    <t>江西省九江市永修县马口镇竹庄村</t>
  </si>
  <si>
    <t>初级中学道德与法治</t>
  </si>
  <si>
    <t>骆亚芳.jpg</t>
  </si>
  <si>
    <t>5e49d7ba78be43f381b8f14a85365453</t>
  </si>
  <si>
    <t>蕾</t>
  </si>
  <si>
    <t>包蕾</t>
  </si>
  <si>
    <t>360425199801063426</t>
  </si>
  <si>
    <t>江西省九江市永修县艾城镇马湾村堰头组</t>
  </si>
  <si>
    <t>高中   美术</t>
  </si>
  <si>
    <t>包蕾.jpg</t>
  </si>
  <si>
    <t>338e576a3baa47ada15338800f389b4b</t>
  </si>
  <si>
    <t>caffe0af212f43f1b3388dc54bc68575</t>
  </si>
  <si>
    <t>1bdd0f99c6dd412db74bfb055958538b</t>
  </si>
  <si>
    <t>8aa6fda48bf14345b9d3aa074d2a133e</t>
  </si>
  <si>
    <t>欢宝贝</t>
  </si>
  <si>
    <t>谢蓝燕</t>
  </si>
  <si>
    <t>362422198504211144</t>
  </si>
  <si>
    <t>江西省九江市永修县嘉诚天地小区2栋1单元301</t>
  </si>
  <si>
    <t>2016年1月</t>
  </si>
  <si>
    <t>20053605331000078</t>
  </si>
  <si>
    <t>谢蓝燕.jpg</t>
  </si>
  <si>
    <t>bc412736cb814dbab1e483123e3ec4c5</t>
  </si>
  <si>
    <t>新蓝</t>
  </si>
  <si>
    <t>彭胜辉</t>
  </si>
  <si>
    <t>362502198612097238</t>
  </si>
  <si>
    <t>江西省南昌市青山湖区赣江新区中国中医科创城城天使水谢山</t>
  </si>
  <si>
    <t>华侨大学</t>
  </si>
  <si>
    <t>彭胜辉.jpg</t>
  </si>
  <si>
    <t>4cb8ee7a1514490f87990df10211c1ba</t>
  </si>
  <si>
    <t>进子</t>
  </si>
  <si>
    <t>徐阳进子</t>
  </si>
  <si>
    <t>360102199010185821</t>
  </si>
  <si>
    <t>江西省南昌市东湖区文教北路660号</t>
  </si>
  <si>
    <t>初级数学</t>
  </si>
  <si>
    <t>20193601232000496</t>
  </si>
  <si>
    <t>徐阳进子.jpg</t>
  </si>
  <si>
    <t>ba8d397a7fe442c5b706b1c916899c37</t>
  </si>
  <si>
    <t>嗨</t>
  </si>
  <si>
    <t>王惠</t>
  </si>
  <si>
    <t>360425199605054928</t>
  </si>
  <si>
    <t>江西省九江市永修县马口镇马口派出所旁</t>
  </si>
  <si>
    <t>王惠.jpg</t>
  </si>
  <si>
    <t>a0176561c0eb45f7a36d34a194d640ca</t>
  </si>
  <si>
    <t>远方</t>
  </si>
  <si>
    <t>程子烨</t>
  </si>
  <si>
    <t>360481199712140013</t>
  </si>
  <si>
    <t>江西省九江市瑞昌市湓城街道老正街254-1号</t>
  </si>
  <si>
    <t>化学（师范）</t>
  </si>
  <si>
    <t>20203600241001323</t>
  </si>
  <si>
    <t>程子烨.jpg</t>
  </si>
  <si>
    <t>fb04102df16c4734993d9aecefddbc2e</t>
  </si>
  <si>
    <t>其花也蓁蓁</t>
  </si>
  <si>
    <t>陈海斌</t>
  </si>
  <si>
    <t>360725199711193418</t>
  </si>
  <si>
    <t>江西省赣州市崇义县文英乡</t>
  </si>
  <si>
    <t>拟取得高中体育教师资格证</t>
  </si>
  <si>
    <t>陈海斌.jpg</t>
  </si>
  <si>
    <t>61228df13b9f4c86970b6c46046db5db</t>
  </si>
  <si>
    <t>在笑</t>
  </si>
  <si>
    <t>夏如意</t>
  </si>
  <si>
    <t>360421199709084026</t>
  </si>
  <si>
    <t>江西省九江市柴桑区港口街镇</t>
  </si>
  <si>
    <t>20183611332001402</t>
  </si>
  <si>
    <t>夏如意.jpg</t>
  </si>
  <si>
    <t>38bb293bffe34ac7b4c2dc6b3c11ab9e</t>
  </si>
  <si>
    <t>丹丹</t>
  </si>
  <si>
    <t>何丹丹</t>
  </si>
  <si>
    <t>360429199212261227</t>
  </si>
  <si>
    <t>江西省九江市濂溪区九瑞大道166号亿达蓝湾8栋二单元1206</t>
  </si>
  <si>
    <t>信息与计算科学（数学类）</t>
  </si>
  <si>
    <t>20154200242002711</t>
  </si>
  <si>
    <t>何丹丹.jpg</t>
  </si>
  <si>
    <t>3986da983d8c47058e3af0929fd0f413</t>
  </si>
  <si>
    <t>LY</t>
  </si>
  <si>
    <t>魏颖</t>
  </si>
  <si>
    <t>360103199305143123</t>
  </si>
  <si>
    <t>江西省南昌市青云谱区江西省南昌市解放西路528号</t>
  </si>
  <si>
    <t>魏颖.jpg</t>
  </si>
  <si>
    <t>2246f8b2afd14292bbeae1d77a1a4a88</t>
  </si>
  <si>
    <t>谢晶晶</t>
  </si>
  <si>
    <t>360425199305284326</t>
  </si>
  <si>
    <t>江西省九江市永修县梅棠镇厚城村徐岭组6号</t>
  </si>
  <si>
    <t>谢晶晶.jpg</t>
  </si>
  <si>
    <t>bb3139235ba94b07bdde74f933d530b9</t>
  </si>
  <si>
    <t>Angel</t>
  </si>
  <si>
    <t>张双</t>
  </si>
  <si>
    <t>360302199212230521</t>
  </si>
  <si>
    <t>江西省萍乡市安源区富强巷</t>
  </si>
  <si>
    <t>高中英语，面试合格，在认定阶段</t>
  </si>
  <si>
    <t>张双.jpg</t>
  </si>
  <si>
    <t>8d38030a5b4a4ac4864e2acdd78c808e</t>
  </si>
  <si>
    <t>范莹</t>
  </si>
  <si>
    <t>360425199809133425</t>
  </si>
  <si>
    <t>江西省九江市永修县艾城镇艾城老街</t>
  </si>
  <si>
    <t>初级中学（英语）</t>
  </si>
  <si>
    <t>范莹.jpg</t>
  </si>
  <si>
    <t>4c9ca3c94caa4ba6a188c107ef8d8537</t>
  </si>
  <si>
    <t>经典木香</t>
  </si>
  <si>
    <t>张慧琳</t>
  </si>
  <si>
    <t>360425198812195227</t>
  </si>
  <si>
    <t>江西省九江市永修县西二路兴业山庄</t>
  </si>
  <si>
    <t>九江师范</t>
  </si>
  <si>
    <t>20063613311000002</t>
  </si>
  <si>
    <t>张慧琳.jpg</t>
  </si>
  <si>
    <t>bc1fb6d2a6d44c0e9d698ba7dd365f54</t>
  </si>
  <si>
    <t>万青</t>
  </si>
  <si>
    <t>360122199004154223</t>
  </si>
  <si>
    <t>江西省南昌市新建区象山镇</t>
  </si>
  <si>
    <t>20143600242001320</t>
  </si>
  <si>
    <t>万青.jpg</t>
  </si>
  <si>
    <t>2d025176866b4d58858732a62a915087</t>
  </si>
  <si>
    <t>っ栩泉</t>
  </si>
  <si>
    <t>朱德泉</t>
  </si>
  <si>
    <t>36042519981022341X</t>
  </si>
  <si>
    <t>江西省九江市永修县江西省九江市永修县开元大道御品中央</t>
  </si>
  <si>
    <t>.南昌航空大学</t>
  </si>
  <si>
    <t>朱德泉.jpg</t>
  </si>
  <si>
    <t>aadf1e62591d459091a35ee91d387fca</t>
  </si>
  <si>
    <t>兰心蕙质</t>
  </si>
  <si>
    <t>张兰</t>
  </si>
  <si>
    <t>360425198710156761</t>
  </si>
  <si>
    <t>江西省九江市永修县江西省九江市永修县亲水山庄</t>
  </si>
  <si>
    <t>2008年7月</t>
  </si>
  <si>
    <t>20083605232000228</t>
  </si>
  <si>
    <t>张兰.jpg</t>
  </si>
  <si>
    <t>9b8d3a193b704bf5a608b25e8bae98b0</t>
  </si>
  <si>
    <t>遇见最好的自己</t>
  </si>
  <si>
    <t>徐梦琴</t>
  </si>
  <si>
    <t>360121199510261463</t>
  </si>
  <si>
    <t>江西省南昌市新建区南昌市翠苑路</t>
  </si>
  <si>
    <t>20183600242003198</t>
  </si>
  <si>
    <t>徐梦琴.jpg</t>
  </si>
  <si>
    <t>1884c84831824b7285ed84224d8b4344</t>
  </si>
  <si>
    <t>小公举</t>
  </si>
  <si>
    <t>万尤</t>
  </si>
  <si>
    <t>360425199809282527</t>
  </si>
  <si>
    <t>江西省九江市永修县涂埠镇永昌大道3号富民小区</t>
  </si>
  <si>
    <t>南昌工学院</t>
  </si>
  <si>
    <t>万尤.jpg</t>
  </si>
  <si>
    <t>d27379e2d73c42df9a40c628236f7d9a</t>
  </si>
  <si>
    <t>噠聞西</t>
  </si>
  <si>
    <t>龚珍</t>
  </si>
  <si>
    <t>360425199810283121</t>
  </si>
  <si>
    <t>江西省九江市永修县涂埠镇花岭龚家村</t>
  </si>
  <si>
    <t>2020年9月</t>
  </si>
  <si>
    <t>初级中学教师 语文</t>
  </si>
  <si>
    <t>20193611332001790</t>
  </si>
  <si>
    <t>龚珍.jpg</t>
  </si>
  <si>
    <t>ffc0791642d94f7cb17d2f3e87ae2caa</t>
  </si>
  <si>
    <t>云之静</t>
  </si>
  <si>
    <t>周静云</t>
  </si>
  <si>
    <t>360429198902150386</t>
  </si>
  <si>
    <t>江西省九江市浔阳区大中路楚天大厦</t>
  </si>
  <si>
    <t>赣南师范学院科技学院</t>
  </si>
  <si>
    <t>20123630142002703</t>
  </si>
  <si>
    <t>周静云.jpg</t>
  </si>
  <si>
    <t>06b89edccc254fb791f3f8dd3bd3da1f</t>
  </si>
  <si>
    <t>justina</t>
  </si>
  <si>
    <t>燕玉飞</t>
  </si>
  <si>
    <t>360425199807272026</t>
  </si>
  <si>
    <t>江西省九江市永修县西苑商城幸福大桥对面</t>
  </si>
  <si>
    <t>上海第二工业大学</t>
  </si>
  <si>
    <t>环境工程</t>
  </si>
  <si>
    <t>燕玉飞.jpg</t>
  </si>
  <si>
    <t>75dd19949ff74bdea2c3f4eb787b1704</t>
  </si>
  <si>
    <t>夏博曦的小迷妹</t>
  </si>
  <si>
    <t>王敏</t>
  </si>
  <si>
    <t>360425199904223728</t>
  </si>
  <si>
    <t>江西省九江市永修县永修县316国道与991乡道交叉口</t>
  </si>
  <si>
    <t>赣东学院</t>
  </si>
  <si>
    <t>财务管理</t>
  </si>
  <si>
    <t>王敏.jpg</t>
  </si>
  <si>
    <t>7448a6cb6f074c64a239e3110ed5a2cd</t>
  </si>
  <si>
    <t>她们叫我佳霖兄</t>
  </si>
  <si>
    <t>李佳霖</t>
  </si>
  <si>
    <t>360429199604160329</t>
  </si>
  <si>
    <t>江西省九江市浔阳区庐峰小区</t>
  </si>
  <si>
    <t>福州大学</t>
  </si>
  <si>
    <t>绘画</t>
  </si>
  <si>
    <t xml:space="preserve">2018354033141 </t>
  </si>
  <si>
    <t>李佳霖.jpg</t>
  </si>
  <si>
    <t>3e60c092fdc746d98542eea4e8cc7e81</t>
  </si>
  <si>
    <t>邵颖华</t>
  </si>
  <si>
    <t>360428198709182929</t>
  </si>
  <si>
    <t>江西省九江市濂溪区姑塘镇周岭村</t>
  </si>
  <si>
    <t>高级中学历史学科</t>
  </si>
  <si>
    <t>20193600342000454</t>
  </si>
  <si>
    <t>邵颖华.jpg</t>
  </si>
  <si>
    <t>0734c5b2557649b1bbd04cd9671b783b</t>
  </si>
  <si>
    <t>不畏将来，不念过去</t>
  </si>
  <si>
    <t>曾艳萍</t>
  </si>
  <si>
    <t>360425198112200224</t>
  </si>
  <si>
    <t>江西省九江市永修县山湖湾一期2栋二单元703</t>
  </si>
  <si>
    <t>2005年6月</t>
  </si>
  <si>
    <t>高级中学体育与健康教师资格证</t>
  </si>
  <si>
    <t>20053630141001732</t>
  </si>
  <si>
    <t>曾艳萍.jpg</t>
  </si>
  <si>
    <t>0395976e65824c6584a388625942a5d5</t>
  </si>
  <si>
    <t>Forget</t>
  </si>
  <si>
    <t>易珊珊</t>
  </si>
  <si>
    <t>360421199808070420</t>
  </si>
  <si>
    <t>江西省九江市柴桑区泉塘安置小区</t>
  </si>
  <si>
    <t>化学(师范)</t>
  </si>
  <si>
    <t>易珊珊.jpg</t>
  </si>
  <si>
    <t>f5b30974d0084375b066e419fec293e5</t>
  </si>
  <si>
    <t>拾贰</t>
  </si>
  <si>
    <t>张昕蕊</t>
  </si>
  <si>
    <t>362423199512211022</t>
  </si>
  <si>
    <t>江西省吉安市峡江县杨家村</t>
  </si>
  <si>
    <t>南京工程学院</t>
  </si>
  <si>
    <t>张昕蕊.jpg</t>
  </si>
  <si>
    <t>c656b8d5214847248ab1d185eece4685</t>
  </si>
  <si>
    <t>twinkle</t>
  </si>
  <si>
    <t>陈玲</t>
  </si>
  <si>
    <t>360425199008085822</t>
  </si>
  <si>
    <t>20133630142001217</t>
  </si>
  <si>
    <t>陈玲.jpg</t>
  </si>
  <si>
    <t>5037e20eb987469f80fff8ad1440db5a</t>
  </si>
  <si>
    <t>好气哦</t>
  </si>
  <si>
    <t>戴雪云</t>
  </si>
  <si>
    <t>360425199603072022</t>
  </si>
  <si>
    <t>江西省九江市永修县山湖湾九栋二单元</t>
  </si>
  <si>
    <t>20173603512000856</t>
  </si>
  <si>
    <t>戴雪云.jpg</t>
  </si>
  <si>
    <t>80466f39ec3845ceb750f488fdd9f767</t>
  </si>
  <si>
    <t>Amy</t>
  </si>
  <si>
    <t>顾枫</t>
  </si>
  <si>
    <t>420106198301054087</t>
  </si>
  <si>
    <t>江西省九江市永修县站前路华达超市二楼</t>
  </si>
  <si>
    <t>小学教师</t>
  </si>
  <si>
    <t>20083605322000189</t>
  </si>
  <si>
    <t>顾枫.jpg</t>
  </si>
  <si>
    <t>1498c972ecb6448a8875b513dcf3efd1</t>
  </si>
  <si>
    <t>吉吉古的大臣</t>
  </si>
  <si>
    <t>许丽莎</t>
  </si>
  <si>
    <t>362502199911132026</t>
  </si>
  <si>
    <t>江西省抚州市临川区龙溪镇卫生院</t>
  </si>
  <si>
    <t>2020363022189</t>
  </si>
  <si>
    <t>许丽莎.jpg</t>
  </si>
  <si>
    <t>bfa5d61842844379ace288985ee6e072</t>
  </si>
  <si>
    <t>d7bae690585c4b5c8029f68fae565f90</t>
  </si>
  <si>
    <t>Do-Fit游泳健身@闵15070024256</t>
  </si>
  <si>
    <t>闵少辉</t>
  </si>
  <si>
    <t>36012119930827317x</t>
  </si>
  <si>
    <t>江西省南昌市南昌县绿地大道888号绿地未来城303栋109室西边店百鲜汇</t>
  </si>
  <si>
    <t>20163600241004592</t>
  </si>
  <si>
    <t>闵少辉.jpg</t>
  </si>
  <si>
    <t>28dfa9a3ad584833bfed2046fa8a8955</t>
  </si>
  <si>
    <t>西轩景落</t>
  </si>
  <si>
    <t>冷亚荣</t>
  </si>
  <si>
    <t>360424198912111186</t>
  </si>
  <si>
    <t>江西省九江市修水县帝王国际3栋1204</t>
  </si>
  <si>
    <t>冷亚荣.jpg</t>
  </si>
  <si>
    <t>d2c08c405fd342809b9fdfe1ca375cb0</t>
  </si>
  <si>
    <t>高高</t>
  </si>
  <si>
    <t>高珊</t>
  </si>
  <si>
    <t>360425199012084945</t>
  </si>
  <si>
    <t>江西省永修县职业中等专业学校</t>
  </si>
  <si>
    <t>20083605312000034</t>
  </si>
  <si>
    <t>高珊.jpg</t>
  </si>
  <si>
    <t>0f48445037024a8c8e53329b30b7b7e2</t>
  </si>
  <si>
    <t>龙中兴</t>
  </si>
  <si>
    <t>360425198609205258</t>
  </si>
  <si>
    <t>江西省九江市永修县江西省九江市永修县立新乡竹岭村城垄组</t>
  </si>
  <si>
    <t>20103640141000463</t>
  </si>
  <si>
    <t>龙中兴.jpg</t>
  </si>
  <si>
    <t>f7a947d5264044c49cf8fa2c9fdc9bbc</t>
  </si>
  <si>
    <t>每一天，为明天</t>
  </si>
  <si>
    <t>徐淑宁</t>
  </si>
  <si>
    <t>360425199809034945</t>
  </si>
  <si>
    <t>江西省九江市永修县双喜花园12栋2单元501</t>
  </si>
  <si>
    <t>拟取得高中英语教师资格证</t>
  </si>
  <si>
    <t>徐淑宁.jpg</t>
  </si>
  <si>
    <t>ff99ed55ed57471dafd4af5e6c469efd</t>
  </si>
  <si>
    <t>蕾啊</t>
  </si>
  <si>
    <t>王蕾</t>
  </si>
  <si>
    <t>360421199410044425</t>
  </si>
  <si>
    <t>江西省九江市濂溪区南山雅苑</t>
  </si>
  <si>
    <t>人文教育</t>
  </si>
  <si>
    <t>20163640142000361</t>
  </si>
  <si>
    <t>王蕾.jpg</t>
  </si>
  <si>
    <t>a9f0768adf15481b94b5f205a468bb5f</t>
  </si>
  <si>
    <t>溢</t>
  </si>
  <si>
    <t>360420199804162424</t>
  </si>
  <si>
    <t>江西省九江市浔阳区九瑞大道72号矿冶小区</t>
  </si>
  <si>
    <t>54584a14df344fdebaad852af1e1abba</t>
  </si>
  <si>
    <t>吾州州</t>
  </si>
  <si>
    <t>周美琴</t>
  </si>
  <si>
    <t>362329199703010322</t>
  </si>
  <si>
    <t>江西省上饶市余干县黄金埠镇</t>
  </si>
  <si>
    <t>20193604432000833</t>
  </si>
  <si>
    <t>周美琴.jpg</t>
  </si>
  <si>
    <t>d8eb77a6b35b424d819c426d1baff83d</t>
  </si>
  <si>
    <t>吴小霞    </t>
  </si>
  <si>
    <t>吴小霞</t>
  </si>
  <si>
    <t>360428199508250424</t>
  </si>
  <si>
    <t>江西省九江市都昌县都昌镇高家巷107号</t>
  </si>
  <si>
    <t>初级中学思想政治</t>
  </si>
  <si>
    <t>20163610232000749</t>
  </si>
  <si>
    <t>吴小霞.jpg</t>
  </si>
  <si>
    <t>602b69ede8874db68f34fbff503f6f43</t>
  </si>
  <si>
    <t>多吃鱼</t>
  </si>
  <si>
    <t>黄静</t>
  </si>
  <si>
    <t>360427199710272428</t>
  </si>
  <si>
    <t>江西省九江市庐山市庐山市星子县横塘镇</t>
  </si>
  <si>
    <t>20203670142000762</t>
  </si>
  <si>
    <t>黄静.jpg</t>
  </si>
  <si>
    <t>de69fc0842494c11bb4eeb140e8cd9a7</t>
  </si>
  <si>
    <t>April</t>
  </si>
  <si>
    <t>张涵</t>
  </si>
  <si>
    <t>360402199604115202</t>
  </si>
  <si>
    <t>江西省九江市浔阳区三里街93号国豪商居楼</t>
  </si>
  <si>
    <t>吉首大学张家界学院</t>
  </si>
  <si>
    <t>初级中学 数学</t>
  </si>
  <si>
    <t>张涵.jpg</t>
  </si>
  <si>
    <t>db5eb323f90e491cbebc7b436085a1c7</t>
  </si>
  <si>
    <t>WPS_1617693789</t>
  </si>
  <si>
    <t>黄红</t>
  </si>
  <si>
    <t>360122199501312421</t>
  </si>
  <si>
    <t>江西省南昌市红谷滩区红谷滩区为民路175号生米集贸市场</t>
  </si>
  <si>
    <t>20163612212000570</t>
  </si>
  <si>
    <t>黄红.jpg</t>
  </si>
  <si>
    <t>cf5215b59c8f44e4bb2fc840e2de5f1b</t>
  </si>
  <si>
    <t>Annie</t>
  </si>
  <si>
    <t>高淑艳</t>
  </si>
  <si>
    <t>362202198712285723</t>
  </si>
  <si>
    <t>江西省九江市柴桑区嘉凯中央城</t>
  </si>
  <si>
    <t>北京外国语大学</t>
  </si>
  <si>
    <t>高淑艳.jpg</t>
  </si>
  <si>
    <t>80980a074681453caf57fa8f75ba4a08</t>
  </si>
  <si>
    <t>熊大白</t>
  </si>
  <si>
    <t>熊俊</t>
  </si>
  <si>
    <t>36042119980923081X</t>
  </si>
  <si>
    <t>江西省九江市柴桑区江南熙园小区</t>
  </si>
  <si>
    <t>电子商务</t>
  </si>
  <si>
    <t>熊俊.jpg</t>
  </si>
  <si>
    <t>4c0644cec50e4e95b15a6893cc9db46b</t>
  </si>
  <si>
    <t>安妮</t>
  </si>
  <si>
    <t>胡葆杨</t>
  </si>
  <si>
    <t>360425198610100226</t>
  </si>
  <si>
    <t>江西省九江市永修县西苑商城</t>
  </si>
  <si>
    <t>初级中学教师 ，英语</t>
  </si>
  <si>
    <t>20123614332000147</t>
  </si>
  <si>
    <t>胡葆杨.jpg</t>
  </si>
  <si>
    <t>ef0608b707f14ddaa4f5010d4d148da2</t>
  </si>
  <si>
    <t>A</t>
  </si>
  <si>
    <t>杨晶晶</t>
  </si>
  <si>
    <t>360425198803286127</t>
  </si>
  <si>
    <t>杨晶晶.jpg</t>
  </si>
  <si>
    <t>c9e5f765a41d476384f8190b91945ad0</t>
  </si>
  <si>
    <t>immortals。</t>
  </si>
  <si>
    <t>钟青</t>
  </si>
  <si>
    <t>360426199503065024</t>
  </si>
  <si>
    <t>江西省九江市德安县塘山乡新塘村湾里钟家3号</t>
  </si>
  <si>
    <t>20163610232000446</t>
  </si>
  <si>
    <t>钟青.jpg</t>
  </si>
  <si>
    <t>c34419d1938a48fda76e0cd7a8ecbd47</t>
  </si>
  <si>
    <t>杨贤</t>
  </si>
  <si>
    <t>360425199201045523</t>
  </si>
  <si>
    <t>廊坊师范学院</t>
  </si>
  <si>
    <t>音乐</t>
  </si>
  <si>
    <t>高级中学音乐</t>
  </si>
  <si>
    <t>20151300142001179</t>
  </si>
  <si>
    <t>杨贤.jpg</t>
  </si>
  <si>
    <t>e24718c16f94496a8de6f0e22a59541a</t>
  </si>
  <si>
    <t>Lucky.</t>
  </si>
  <si>
    <t>郭雅萌</t>
  </si>
  <si>
    <t>360425199602030023</t>
  </si>
  <si>
    <t>江西省九江市永修县建昌花园28栋2单元204</t>
  </si>
  <si>
    <t>汉语言专业</t>
  </si>
  <si>
    <t>20163610232000566</t>
  </si>
  <si>
    <t>郭雅萌.jpg</t>
  </si>
  <si>
    <t>3b90529435e343aabef78bdcd51aef5e</t>
  </si>
  <si>
    <t>7a9d9d631f71444989f657460c50935e</t>
  </si>
  <si>
    <t>9303b8dfad65479a97f393d74203cd8b</t>
  </si>
  <si>
    <t>末学浅见</t>
  </si>
  <si>
    <t>涂美迎</t>
  </si>
  <si>
    <t>360425199502123425</t>
  </si>
  <si>
    <t>江西省九江市永修县艾城镇艾城街150号</t>
  </si>
  <si>
    <t>层次：幼儿园教师资格 学科：幼儿园</t>
  </si>
  <si>
    <t>20193611312000647</t>
  </si>
  <si>
    <t>涂美迎.jpg</t>
  </si>
  <si>
    <t>869be8d5f2c649ea97dd7b6423dfd083</t>
  </si>
  <si>
    <t>Andacht</t>
  </si>
  <si>
    <t>江绮</t>
  </si>
  <si>
    <t>362527199902040821</t>
  </si>
  <si>
    <t>江西省抚州市宜黄县黄陂镇芒坳村双源组</t>
  </si>
  <si>
    <t>江绮.jpg</t>
  </si>
  <si>
    <t>2c08b6fb08a842fb9105fcaf07a94030</t>
  </si>
  <si>
    <t>lemon</t>
  </si>
  <si>
    <t>单小琴</t>
  </si>
  <si>
    <t>360425199805260224</t>
  </si>
  <si>
    <t>南昌豫章师范学院</t>
  </si>
  <si>
    <t>20193612212003256</t>
  </si>
  <si>
    <t>单小琴.jpg</t>
  </si>
  <si>
    <t>cfbb2db9902e4bcf85dae29ffd639990</t>
  </si>
  <si>
    <t>趙</t>
  </si>
  <si>
    <t>赵业梅</t>
  </si>
  <si>
    <t>360425199311185826</t>
  </si>
  <si>
    <t>江西省九江市永修县虬津镇</t>
  </si>
  <si>
    <t>20163600242003430</t>
  </si>
  <si>
    <t>赵业梅.jpg</t>
  </si>
  <si>
    <t>80618479f3bd4c31b6b39c61f1da4e1c</t>
  </si>
  <si>
    <t>徐莹莹</t>
  </si>
  <si>
    <t>360425199712122826</t>
  </si>
  <si>
    <t>。20143605312000138</t>
  </si>
  <si>
    <t>徐莹莹.jpg</t>
  </si>
  <si>
    <t>43971da9dfde4c3987f651133e6a6599</t>
  </si>
  <si>
    <t>谢方圆耶</t>
  </si>
  <si>
    <t>谢方圆</t>
  </si>
  <si>
    <t>360425199912030221</t>
  </si>
  <si>
    <t>江西省九江市永修县莲花苑小区</t>
  </si>
  <si>
    <t>中华女子学院</t>
  </si>
  <si>
    <t>20193605312000054</t>
  </si>
  <si>
    <t>谢方圆.jpg</t>
  </si>
  <si>
    <t>88daf15e1c5e4a68af08ff28f69b9d92</t>
  </si>
  <si>
    <t>b4cc8c0022cc42959a71705465db2a40</t>
  </si>
  <si>
    <t>佳</t>
  </si>
  <si>
    <t>胡佳佳</t>
  </si>
  <si>
    <t>360425199410212826</t>
  </si>
  <si>
    <t>江西省九江市永修县铜锣湾小区</t>
  </si>
  <si>
    <t>20153630142000730</t>
  </si>
  <si>
    <t>胡佳佳.jpg</t>
  </si>
  <si>
    <t>292c23fd4e744964b98f0a02df1b0c8f</t>
  </si>
  <si>
    <t>一棵会开花的shu～～</t>
  </si>
  <si>
    <t>淦述惠</t>
  </si>
  <si>
    <t>360425199612261124</t>
  </si>
  <si>
    <t>江西省九江市永修县江西省九江市永修县九合乡城南村前舍组19号</t>
  </si>
  <si>
    <t>韩山师范学院</t>
  </si>
  <si>
    <t>幼儿园教师资格证  幼儿园</t>
  </si>
  <si>
    <t>20194413012000363</t>
  </si>
  <si>
    <t>淦述惠.jpg</t>
  </si>
  <si>
    <t>32c119aa55194a3a8b12f11ff5f534fc</t>
  </si>
  <si>
    <t>雅丫</t>
  </si>
  <si>
    <t>袁雅婷</t>
  </si>
  <si>
    <t>360425199710202822</t>
  </si>
  <si>
    <t>江西省九江市永修县白莲南路</t>
  </si>
  <si>
    <t>初级中学教师资格英语学科</t>
  </si>
  <si>
    <t>20183611332000387</t>
  </si>
  <si>
    <t>袁雅婷.jpg</t>
  </si>
  <si>
    <t>41423f74bb174a4a9a2f41c1cff9549c</t>
  </si>
  <si>
    <t>Echo</t>
  </si>
  <si>
    <t>淦文文</t>
  </si>
  <si>
    <t>360425199002051146</t>
  </si>
  <si>
    <t>江西省九江市浔阳区联泰万泰城13-904</t>
  </si>
  <si>
    <t>高分子材料与工程</t>
  </si>
  <si>
    <t>淦文文.jpg</t>
  </si>
  <si>
    <t>540a039b7a9b403b824b1b1219744960</t>
  </si>
  <si>
    <t>吴轩</t>
  </si>
  <si>
    <t>吴静轩</t>
  </si>
  <si>
    <t>360124199410087516</t>
  </si>
  <si>
    <t>江西省南昌市进贤县燕曹路与进贤大道交叉口橡园(建设中)</t>
  </si>
  <si>
    <t>初级中学美术</t>
  </si>
  <si>
    <t>20163610231000580</t>
  </si>
  <si>
    <t>吴静轩.jpg</t>
  </si>
  <si>
    <t>d7dbf688248741bf9cba196fb72f12b6</t>
  </si>
  <si>
    <t>别来无恙</t>
  </si>
  <si>
    <t>吴宇</t>
  </si>
  <si>
    <t>362227199506021569</t>
  </si>
  <si>
    <t>江西省宜春市万载县双桥镇水南村5组37号</t>
  </si>
  <si>
    <t>20163604232000454</t>
  </si>
  <si>
    <t>吴宇.jpg</t>
  </si>
  <si>
    <t>f23241392a8841a08295184dd3516961</t>
  </si>
  <si>
    <t>濮水一梦</t>
  </si>
  <si>
    <t>李鲜萍</t>
  </si>
  <si>
    <t>362329199608173828</t>
  </si>
  <si>
    <t>江西省上饶市余干县玉亭镇仓前岭路120号</t>
  </si>
  <si>
    <t>李鲜萍.jpg</t>
  </si>
  <si>
    <t>9f99932744df4bfaa88eac23ef78c3aa</t>
  </si>
  <si>
    <t>龙超华</t>
  </si>
  <si>
    <t>362430198908211722</t>
  </si>
  <si>
    <t>江西省吉安市永新县才丰乡联合村霞楼组</t>
  </si>
  <si>
    <t>社会工作</t>
  </si>
  <si>
    <t>龙超华.jpg</t>
  </si>
  <si>
    <t>58741d95e7fb4a5d8cc990ec5fbe86fb</t>
  </si>
  <si>
    <t>秋天</t>
  </si>
  <si>
    <t>熊秋丽</t>
  </si>
  <si>
    <t>360425198209123480</t>
  </si>
  <si>
    <t>江西省九江市永修县书香门第17栋2单元</t>
  </si>
  <si>
    <t>江西省九江师范</t>
  </si>
  <si>
    <t>1999年7月</t>
  </si>
  <si>
    <t>数学</t>
  </si>
  <si>
    <t>20073605321000066</t>
  </si>
  <si>
    <t>熊秋丽.jpg</t>
  </si>
  <si>
    <t>3f3b73253cfd468fb35b173ffe5cb182</t>
  </si>
  <si>
    <t>DUOLA</t>
  </si>
  <si>
    <t>熊雅倩</t>
  </si>
  <si>
    <t>360425199512201781</t>
  </si>
  <si>
    <t>201536044120000</t>
  </si>
  <si>
    <t>熊雅倩.jpg</t>
  </si>
  <si>
    <t>0fd4d426e6aa42dca9c00078dad68687</t>
  </si>
  <si>
    <t>Fooo、</t>
  </si>
  <si>
    <t>王婷</t>
  </si>
  <si>
    <t>360428199112106020</t>
  </si>
  <si>
    <t>江西省九江市浔阳区奥林匹克花园33栋</t>
  </si>
  <si>
    <t>20183608332000027</t>
  </si>
  <si>
    <t>王婷.jpg</t>
  </si>
  <si>
    <t>2402dffd5237435f88fcfd083fa68722</t>
  </si>
  <si>
    <t>fon~</t>
  </si>
  <si>
    <t>顾梦婷</t>
  </si>
  <si>
    <t>360425199509260828</t>
  </si>
  <si>
    <t>初级中学-数学</t>
  </si>
  <si>
    <t>20183603432000623</t>
  </si>
  <si>
    <t>顾梦婷.jpg</t>
  </si>
  <si>
    <t>9185b7705e554bd68a1f52bcc3a21214</t>
  </si>
  <si>
    <t>.K.</t>
  </si>
  <si>
    <t>匡紫荆</t>
  </si>
  <si>
    <t>360425199707011021</t>
  </si>
  <si>
    <t>20203600342000605</t>
  </si>
  <si>
    <t>匡紫荆.jpg</t>
  </si>
  <si>
    <t>ff37162ca1c440f4a420b5382dca80d0</t>
  </si>
  <si>
    <t>cherishs</t>
  </si>
  <si>
    <t>王萍</t>
  </si>
  <si>
    <t>360425198810053460</t>
  </si>
  <si>
    <t>2006年6月</t>
  </si>
  <si>
    <t>20063613311000051</t>
  </si>
  <si>
    <t>王萍.jpg</t>
  </si>
  <si>
    <t>e7856a1eb2444be881e404eefdb156e1</t>
  </si>
  <si>
    <t>欢喜</t>
  </si>
  <si>
    <t>胡紫微</t>
  </si>
  <si>
    <t>360427199709083320</t>
  </si>
  <si>
    <t>江西省九江市共青城市老屋岭</t>
  </si>
  <si>
    <t>20183611332001554</t>
  </si>
  <si>
    <t>胡紫微.jpg</t>
  </si>
  <si>
    <t>dcf24d241098467bb9322cf92c81ead9</t>
  </si>
  <si>
    <t> h  u</t>
  </si>
  <si>
    <t>胡金萍</t>
  </si>
  <si>
    <t>360425199201134024</t>
  </si>
  <si>
    <t>江西省九江市永修县星火花苑</t>
  </si>
  <si>
    <t>20133612212000114</t>
  </si>
  <si>
    <t>胡金萍.jpg</t>
  </si>
  <si>
    <t>51f75e331cd44997b7fb29bc3056f0eb</t>
  </si>
  <si>
    <t>不迷路不是好女轨</t>
  </si>
  <si>
    <t>李思琪</t>
  </si>
  <si>
    <t>362525199604050041</t>
  </si>
  <si>
    <t>江西省抚州市崇仁县虞家路171号</t>
  </si>
  <si>
    <t>广州大学</t>
  </si>
  <si>
    <t>20174400342000282</t>
  </si>
  <si>
    <t>李思琪.jpg</t>
  </si>
  <si>
    <t>bc8cc7cefc3047e6a88b27fba34e394f</t>
  </si>
  <si>
    <t>全朗教育-陈镕老师</t>
  </si>
  <si>
    <t>熊林燕</t>
  </si>
  <si>
    <t>360425199603173122</t>
  </si>
  <si>
    <t>江西省九江市永修县江上乡耕源村</t>
  </si>
  <si>
    <t>旅游管理（国际导游）</t>
  </si>
  <si>
    <t>20183605332000068</t>
  </si>
  <si>
    <t>熊林燕.jpg</t>
  </si>
  <si>
    <t>fbb096e8c9ee4d3ea0b2bccb1fcd1196</t>
  </si>
  <si>
    <t>WPS_1531142241</t>
  </si>
  <si>
    <t>程书琪</t>
  </si>
  <si>
    <t>360102199411190728</t>
  </si>
  <si>
    <t>江西省南昌市青山湖区春晖路475号</t>
  </si>
  <si>
    <t>2015424019026</t>
  </si>
  <si>
    <t>程书琪.jpg</t>
  </si>
  <si>
    <t>c9b84a7f25e34ff78c1d3d32838ac19d</t>
  </si>
  <si>
    <t>air</t>
  </si>
  <si>
    <t>杨星会</t>
  </si>
  <si>
    <t>342524199407020927</t>
  </si>
  <si>
    <t>安徽省宣城市宁国市汪溪街道古林村</t>
  </si>
  <si>
    <t>资源利用与植物保护</t>
  </si>
  <si>
    <t>高级中学（数学）</t>
  </si>
  <si>
    <t>杨星会.jpg</t>
  </si>
  <si>
    <t>b4e3c0d6fa22404a8ac0e177c817edfa</t>
  </si>
  <si>
    <t>Dr.Lu</t>
  </si>
  <si>
    <t>卢柳龙</t>
  </si>
  <si>
    <t>360424199404193351</t>
  </si>
  <si>
    <t>江西省九江市修水县马坳镇东津村四组</t>
  </si>
  <si>
    <t>软件工程+英语</t>
  </si>
  <si>
    <t>20163610231001453</t>
  </si>
  <si>
    <t>卢柳龙.jpg</t>
  </si>
  <si>
    <t>70eb3d98083048a991e0e8b64244da04</t>
  </si>
  <si>
    <t>杨洁</t>
  </si>
  <si>
    <t>360425198405300026</t>
  </si>
  <si>
    <t>江西外经贸专修学院</t>
  </si>
  <si>
    <t>20153613312001265</t>
  </si>
  <si>
    <t>杨洁.jpg</t>
  </si>
  <si>
    <t>50d14d88bcd74ca5b84a21bc17218aa4</t>
  </si>
  <si>
    <t>戴龙凤</t>
  </si>
  <si>
    <t>360425198711176721</t>
  </si>
  <si>
    <t>20113613332001345</t>
  </si>
  <si>
    <t>戴龙凤.jpg</t>
  </si>
  <si>
    <t>d9e4706941694ba7bbddf4ec070715ec</t>
  </si>
  <si>
    <t>蒲苇</t>
  </si>
  <si>
    <t>邹英红</t>
  </si>
  <si>
    <t>360724199207198547</t>
  </si>
  <si>
    <t>江西省赣州市上犹县东山镇梦想家园</t>
  </si>
  <si>
    <t>20123602732000360</t>
  </si>
  <si>
    <t>邹英红.jpg</t>
  </si>
  <si>
    <t>eed9ae8824a04b0cb1dbd6c36fdcb184</t>
  </si>
  <si>
    <t>Unchained melody</t>
  </si>
  <si>
    <t>张燕玲</t>
  </si>
  <si>
    <t>362525199305141525</t>
  </si>
  <si>
    <t>江西省九江市浔阳区浔阳区满庭春</t>
  </si>
  <si>
    <t>拟取得高中化学</t>
  </si>
  <si>
    <t>张燕玲.jpg</t>
  </si>
  <si>
    <t>51becaaef8124f40adf7675678256102</t>
  </si>
  <si>
    <t>c8ea747533f9445f91435fb8c584620e</t>
  </si>
  <si>
    <t>♛DJH☞</t>
  </si>
  <si>
    <t>邓骏华</t>
  </si>
  <si>
    <t>362424199808232515</t>
  </si>
  <si>
    <t>江西省南昌市东湖区南昌航空大学</t>
  </si>
  <si>
    <t>南昌航空大学</t>
  </si>
  <si>
    <t>无</t>
  </si>
  <si>
    <t>邓骏华.jpg</t>
  </si>
  <si>
    <t>df107da36395428eac468d1658a1d61a</t>
  </si>
  <si>
    <t>LYD</t>
  </si>
  <si>
    <t>羊羔</t>
  </si>
  <si>
    <t>330256198803127893</t>
  </si>
  <si>
    <t>北京市市辖区东城区一环</t>
  </si>
  <si>
    <t>师大</t>
  </si>
  <si>
    <t>教育</t>
  </si>
  <si>
    <t>取得</t>
  </si>
  <si>
    <t>羊羔.jpg</t>
  </si>
  <si>
    <t>00106e1338c24c8b9e5657fa480e4a9f</t>
  </si>
  <si>
    <t>方杰楠</t>
  </si>
  <si>
    <t>332501199809190412</t>
  </si>
  <si>
    <t>浙江省丽水市莲都区绿谷庄园</t>
  </si>
  <si>
    <t>体育社会指导与管理</t>
  </si>
  <si>
    <t>方杰楠.jpg</t>
  </si>
  <si>
    <t>ff8f409006e3446da02c18d7af2fb0cc</t>
  </si>
  <si>
    <t>Aii   老、男孩</t>
  </si>
  <si>
    <t>葛海荣</t>
  </si>
  <si>
    <t>360731199904176531</t>
  </si>
  <si>
    <t>江西省赣州市于都县葛坳乡</t>
  </si>
  <si>
    <t>葛海荣.jpg</t>
  </si>
  <si>
    <t>484ca6bbb2e84f83897820001b7e83e0</t>
  </si>
  <si>
    <t>鞠双强</t>
  </si>
  <si>
    <t>422825199804250438</t>
  </si>
  <si>
    <t>湖北省恩施土家族苗族自治州宣恩县晓关乡</t>
  </si>
  <si>
    <t>鞠双强.jpg</t>
  </si>
  <si>
    <t>6b72c132c8bb4d48b8ce425c1b7a193f</t>
  </si>
  <si>
    <t>港岛妹夫</t>
  </si>
  <si>
    <t>肖隆旺</t>
  </si>
  <si>
    <t>360782199810292718</t>
  </si>
  <si>
    <t>江西省赣州市南康区蓉江街道</t>
  </si>
  <si>
    <t>已通过、暂未认定</t>
  </si>
  <si>
    <t>肖隆旺.jpg</t>
  </si>
  <si>
    <t>232d493db81c461db557e4f5c32e3301</t>
  </si>
  <si>
    <t>魔鬼</t>
  </si>
  <si>
    <t>桂佳睿</t>
  </si>
  <si>
    <t>360403199811180310</t>
  </si>
  <si>
    <t>江西省九江市浔阳区克拉城</t>
  </si>
  <si>
    <t>谁会体育知道与管理</t>
  </si>
  <si>
    <t>桂佳睿.jpg</t>
  </si>
  <si>
    <t>39e4040becf44068b0c551c1aca2d336</t>
  </si>
  <si>
    <t>清风吹我襟</t>
  </si>
  <si>
    <t>邹帆</t>
  </si>
  <si>
    <t>360781199902174712</t>
  </si>
  <si>
    <t>江西省南昌市东湖区万达广场</t>
  </si>
  <si>
    <t>体育教学</t>
  </si>
  <si>
    <t>邹帆.jpg</t>
  </si>
  <si>
    <t>4da1b8a5b0b04dcfaa9b6f774461640f</t>
  </si>
  <si>
    <t>瑛</t>
  </si>
  <si>
    <t>申明瑛</t>
  </si>
  <si>
    <t>362202199103280040</t>
  </si>
  <si>
    <t>江西省九江市永修县滨湖半岛8栋一单元201室</t>
  </si>
  <si>
    <t>2011年12月</t>
  </si>
  <si>
    <t>初级中学教师资格  思想政治</t>
  </si>
  <si>
    <t>20113602732000597</t>
  </si>
  <si>
    <t>申明瑛.jpg</t>
  </si>
  <si>
    <t>a3f6d1befad04694b65051b3632d926a</t>
  </si>
  <si>
    <t>star</t>
  </si>
  <si>
    <t>吴星星</t>
  </si>
  <si>
    <t>36042519940809113X</t>
  </si>
  <si>
    <t>永修县老城华鑫公寓2栋1单元501室</t>
  </si>
  <si>
    <t>初级中学教师资格证  道德与法治</t>
  </si>
  <si>
    <t>吴星星.jpg</t>
  </si>
  <si>
    <t>ec25a99d00cf47fb8dbbf9eff763154a</t>
  </si>
  <si>
    <t>锦色如歌</t>
  </si>
  <si>
    <t>邓锦霞</t>
  </si>
  <si>
    <t>36048119950811562X</t>
  </si>
  <si>
    <t>江西省九江市瑞昌市赛湖农场二分场</t>
  </si>
  <si>
    <t>资源环境科学</t>
  </si>
  <si>
    <t>2019363062338</t>
  </si>
  <si>
    <t>邓锦霞.jpg</t>
  </si>
  <si>
    <t>f275dc94a9f84957a3f6d29ea4becb3d</t>
  </si>
  <si>
    <t>girl</t>
  </si>
  <si>
    <t>王玲玲</t>
  </si>
  <si>
    <t>440923198811244845</t>
  </si>
  <si>
    <t>江西省九江市浔阳区柘电小区</t>
  </si>
  <si>
    <t>阳江职业技术学院</t>
  </si>
  <si>
    <t>20114411432000331</t>
  </si>
  <si>
    <t>王玲玲.jpg</t>
  </si>
  <si>
    <t>449181e093554f488b56a4ef3b59dda6</t>
  </si>
  <si>
    <t>奈司兔咪丘too</t>
  </si>
  <si>
    <t>彭雅盈</t>
  </si>
  <si>
    <t>360425199501280242</t>
  </si>
  <si>
    <t>20163613332000196</t>
  </si>
  <si>
    <t>彭雅盈.jpg</t>
  </si>
  <si>
    <t>d207efb1ab0040a4991677c988c40eac</t>
  </si>
  <si>
    <t>COCO</t>
  </si>
  <si>
    <t>刘望</t>
  </si>
  <si>
    <t>36042519870923462x</t>
  </si>
  <si>
    <t>江西省九江市永修县江西省九江市永修县云山东新农场板上</t>
  </si>
  <si>
    <t>20083605312000058</t>
  </si>
  <si>
    <t>刘望.jpg</t>
  </si>
  <si>
    <t>5613127bf0a549c597798b8f31e18cc5</t>
  </si>
  <si>
    <t>WPS_1623919141</t>
  </si>
  <si>
    <t>杨柳芳</t>
  </si>
  <si>
    <t>452227198710285024</t>
  </si>
  <si>
    <t>江西省九江市永修县江上乡大屋村</t>
  </si>
  <si>
    <t>20105110042008038</t>
  </si>
  <si>
    <t>杨柳芳.jpg</t>
  </si>
  <si>
    <t>176ccd7d656c4fc59cd999a2ea9b2b51</t>
  </si>
  <si>
    <t>小婧</t>
  </si>
  <si>
    <t>罗思琴</t>
  </si>
  <si>
    <t>360121198509263141</t>
  </si>
  <si>
    <t>江西省南昌市南昌县莲塘镇银河城白沙地</t>
  </si>
  <si>
    <t>湖北中医药大学</t>
  </si>
  <si>
    <t>信息管理</t>
  </si>
  <si>
    <t>罗思琴.jpg</t>
  </si>
  <si>
    <t>6e6b84c9f2d045649392e5c2dd40d459</t>
  </si>
  <si>
    <t>时光机</t>
  </si>
  <si>
    <t>陈添财</t>
  </si>
  <si>
    <t>360731199409133438</t>
  </si>
  <si>
    <t>江西省赣州市于都县江西省赣州市于都县罗江乡新屋村曹屋组034号</t>
  </si>
  <si>
    <t>贵州师范学院</t>
  </si>
  <si>
    <t>高级中学美术学科</t>
  </si>
  <si>
    <t>20203630141002446</t>
  </si>
  <si>
    <t>陈添财.jpg</t>
  </si>
  <si>
    <t>a73eb93803344b26967ada915148656e</t>
  </si>
  <si>
    <t>等待戈多……</t>
  </si>
  <si>
    <t>黄晨岚</t>
  </si>
  <si>
    <t>362229199510233022</t>
  </si>
  <si>
    <t>江西省宜春市上高县江西省宜春市上高县新城国际</t>
  </si>
  <si>
    <t>小学教育（语文与社会）</t>
  </si>
  <si>
    <t>20203640632000115</t>
  </si>
  <si>
    <t>黄晨岚.jpg</t>
  </si>
  <si>
    <t>b25c9feecf42450c815447378e6e03a9</t>
  </si>
  <si>
    <t>Hanna-Leigh</t>
  </si>
  <si>
    <t>淦苏苏</t>
  </si>
  <si>
    <t>360425199110011125</t>
  </si>
  <si>
    <t>江西省九江市永修县九合乡红光村</t>
  </si>
  <si>
    <t>学科教学（英语）</t>
  </si>
  <si>
    <t>拟取得高级中学英语</t>
  </si>
  <si>
    <t>淦苏苏.jpg</t>
  </si>
  <si>
    <t>d7793c8a94044f4bae919a5081a73108</t>
  </si>
  <si>
    <t>你柚调皮辣@</t>
  </si>
  <si>
    <t>胡仁龙</t>
  </si>
  <si>
    <t>360121199401193510</t>
  </si>
  <si>
    <t>江西省南昌市南昌县象湖新城金沙大道2133号新力愉景湾</t>
  </si>
  <si>
    <t>胡仁龙.jpg</t>
  </si>
  <si>
    <t>592b19ab7ba2448bbee85bbcd2aa8df1</t>
  </si>
  <si>
    <t>未知。</t>
  </si>
  <si>
    <t>胡梦雅</t>
  </si>
  <si>
    <t>360425199909272529</t>
  </si>
  <si>
    <t>武汉纺织大学外经贸学院</t>
  </si>
  <si>
    <t>胡梦雅.jpg</t>
  </si>
  <si>
    <t>b0d0bc7ae7c040a9809d0b8642af5234</t>
  </si>
  <si>
    <t>上甘岭safe</t>
  </si>
  <si>
    <t>顾卓</t>
  </si>
  <si>
    <t>210511198202140530</t>
  </si>
  <si>
    <t>辽宁省本溪市南芬区文化路18号</t>
  </si>
  <si>
    <t>大连外国语学院</t>
  </si>
  <si>
    <t>高级中学思想政治</t>
  </si>
  <si>
    <t>20142100541000010</t>
  </si>
  <si>
    <t>顾卓.jpg</t>
  </si>
  <si>
    <t>00c7f3dab430477f8a1863fefeacb634</t>
  </si>
  <si>
    <t>傅行龙</t>
  </si>
  <si>
    <t>王肖燕</t>
  </si>
  <si>
    <t>350322198909281563</t>
  </si>
  <si>
    <t>江西省九江市永修县艾城镇小桥村江西省九江市永修县艾城镇小桥村</t>
  </si>
  <si>
    <t>福建省三明市职业中专学校</t>
  </si>
  <si>
    <t>幼儿园教师资格证，幼儿园</t>
  </si>
  <si>
    <t>20093540312000308</t>
  </si>
  <si>
    <t>王肖燕.jpg</t>
  </si>
  <si>
    <t>d999e3996319428aa3e4d081afc0c6ce</t>
  </si>
  <si>
    <t>小虎牙～</t>
  </si>
  <si>
    <t>徐菲</t>
  </si>
  <si>
    <t>360425199001112525</t>
  </si>
  <si>
    <t>2016年3月</t>
  </si>
  <si>
    <t>20105290132000443</t>
  </si>
  <si>
    <t>徐菲.jpg</t>
  </si>
  <si>
    <t>1205d2be509c46d7a57455ca707b449c</t>
  </si>
  <si>
    <t>圈净</t>
  </si>
  <si>
    <t>360421199711272624</t>
  </si>
  <si>
    <t>江西省九江市柴桑区凯旋城</t>
  </si>
  <si>
    <t>江西师范高等专科</t>
  </si>
  <si>
    <t>20183603532000219</t>
  </si>
  <si>
    <t>周慧2.jpg</t>
  </si>
  <si>
    <t>b32e0f8dae364ff2be4fef2fbc6b7aff</t>
  </si>
  <si>
    <t>I  Can   Fly</t>
  </si>
  <si>
    <t>黄春慧</t>
  </si>
  <si>
    <t>360732199208102359</t>
  </si>
  <si>
    <t>江西省南昌市新建区桑海开发区济生北路777号(济生北路与神农大道交汇处)东投阳光城</t>
  </si>
  <si>
    <t>20153600241005495</t>
  </si>
  <si>
    <t>黄春慧.jpg</t>
  </si>
  <si>
    <t>89647f23e77c42dabeaec55a95094e98</t>
  </si>
  <si>
    <t>胡莉芳</t>
  </si>
  <si>
    <t>360121199710205562</t>
  </si>
  <si>
    <t>江西省南昌市南昌县莲塘镇莲安南路168号三星名居</t>
  </si>
  <si>
    <t>小学教育(语文)</t>
  </si>
  <si>
    <t>20203606232000259</t>
  </si>
  <si>
    <t>胡莉芳.jpg</t>
  </si>
  <si>
    <t>cef6fba3d342483087f64f0b652133af</t>
  </si>
  <si>
    <t>史文倩</t>
  </si>
  <si>
    <t>360425199011085823</t>
  </si>
  <si>
    <t>江西省九江市永修县G316(福兰线)震兴超市白槎店</t>
  </si>
  <si>
    <t>幼儿园幼教</t>
  </si>
  <si>
    <t>20083605312000081</t>
  </si>
  <si>
    <t>史文倩.jpg</t>
  </si>
  <si>
    <t>eebffffa91664fa08995c234fbff5cb1</t>
  </si>
  <si>
    <t>雅雅</t>
  </si>
  <si>
    <t>徐雅慧</t>
  </si>
  <si>
    <t>360425199601083123</t>
  </si>
  <si>
    <t>江西省九江市永修县涂埠镇涂埠村徐组</t>
  </si>
  <si>
    <t>20183610212000574</t>
  </si>
  <si>
    <t>徐雅慧.jpg</t>
  </si>
  <si>
    <t>082eb2db7d3d4aa2b61f5172c801b08c</t>
  </si>
  <si>
    <t>然</t>
  </si>
  <si>
    <t>刘秋菊</t>
  </si>
  <si>
    <t>36042419940915532X</t>
  </si>
  <si>
    <t>江西省九江市修水县上奉镇观前村</t>
  </si>
  <si>
    <t>20173600252003113</t>
  </si>
  <si>
    <t>刘秋菊.jpg</t>
  </si>
  <si>
    <t>acb8a687f6c141bca6c90e9022ae561f</t>
  </si>
  <si>
    <t>小茹あ小茹</t>
  </si>
  <si>
    <t>于红云</t>
  </si>
  <si>
    <t>36042819961202374X</t>
  </si>
  <si>
    <t>江西省九江市永修县涂埠镇蓝天大道9号楼</t>
  </si>
  <si>
    <t>天津职业技术师范大学</t>
  </si>
  <si>
    <t>测控技术与仪器</t>
  </si>
  <si>
    <t>20203608332000036</t>
  </si>
  <si>
    <t>于红云.jpg</t>
  </si>
  <si>
    <t>b747235c8c344deea21409a1f3b9fad9</t>
  </si>
  <si>
    <t>魏涵宇</t>
  </si>
  <si>
    <t>魏宇</t>
  </si>
  <si>
    <t>360425199411241426</t>
  </si>
  <si>
    <t>江西省九江市永修县白鹤山庄E-2栋</t>
  </si>
  <si>
    <t>陶瓷艺术设计</t>
  </si>
  <si>
    <t>20193600342000895</t>
  </si>
  <si>
    <t>魏宇.jpg</t>
  </si>
  <si>
    <t>0244fb91630045348ea116ba1750133a</t>
  </si>
  <si>
    <t>WPS_1623936790</t>
  </si>
  <si>
    <t>袁超超</t>
  </si>
  <si>
    <t>360425199712062819</t>
  </si>
  <si>
    <t>江西省九江市永修县永修县南山路</t>
  </si>
  <si>
    <t>拟取得高中体育与健康教师资格证</t>
  </si>
  <si>
    <t>袁超超.jpg</t>
  </si>
  <si>
    <t>87437153f3aa4e959c9563f0d4a694e7</t>
  </si>
  <si>
    <t>WPS_1615465995</t>
  </si>
  <si>
    <t>李丹</t>
  </si>
  <si>
    <t>362531199810220088</t>
  </si>
  <si>
    <t>江西省抚州市东乡区德政街89号</t>
  </si>
  <si>
    <t>武昌工学院</t>
  </si>
  <si>
    <t>20203661232000253</t>
  </si>
  <si>
    <t>李丹.jpg</t>
  </si>
  <si>
    <t>05722a7bc90e4a7cb30a9b0c70abec7a</t>
  </si>
  <si>
    <t>小刺猬—欢子</t>
  </si>
  <si>
    <t>刘欢</t>
  </si>
  <si>
    <t>360425198706114323</t>
  </si>
  <si>
    <t>江西省九江市永修县建昌城市花园东CLASSYKISS卡士</t>
  </si>
  <si>
    <t>新闻传播</t>
  </si>
  <si>
    <t>刘欢.jpg</t>
  </si>
  <si>
    <t>94c0d3434b8b46af8942f907964b3e8f</t>
  </si>
  <si>
    <t>如初</t>
  </si>
  <si>
    <t>金珍珍</t>
  </si>
  <si>
    <t>362430199508192969</t>
  </si>
  <si>
    <t>江西省吉安市永新县在中乡石巷村</t>
  </si>
  <si>
    <t>20183610232001546</t>
  </si>
  <si>
    <t>金珍珍.jpg</t>
  </si>
  <si>
    <t>9f5f928edddd4c1a85fd0dbe0cd983b4</t>
  </si>
  <si>
    <t>蔻蔻</t>
  </si>
  <si>
    <t>张人可</t>
  </si>
  <si>
    <t>360421199603084423</t>
  </si>
  <si>
    <t>江西省九江市柴桑区江西省九江市开发区城西港区c3区1栋1单元</t>
  </si>
  <si>
    <t>武汉设计工程学院</t>
  </si>
  <si>
    <t>产品设计</t>
  </si>
  <si>
    <t>2020363022535</t>
  </si>
  <si>
    <t>张人可.jpg</t>
  </si>
  <si>
    <t>995db544af6c4f459038eb4d1025f9b0</t>
  </si>
  <si>
    <t>destiny</t>
  </si>
  <si>
    <t>余木红</t>
  </si>
  <si>
    <t>360428199211044144</t>
  </si>
  <si>
    <t>江西省九江市浔阳区昌平花园</t>
  </si>
  <si>
    <t>外语系英语专业</t>
  </si>
  <si>
    <t>20161470042001222</t>
  </si>
  <si>
    <t>余木红.jpg</t>
  </si>
  <si>
    <t>2832300429c648648c08a4d4b6d2dd94</t>
  </si>
  <si>
    <t>小虾米</t>
  </si>
  <si>
    <t>周宇</t>
  </si>
  <si>
    <t>360402199209214761</t>
  </si>
  <si>
    <t>江西省九江市浔阳区御江一品s2号楼御江一品S2号楼</t>
  </si>
  <si>
    <t>中专美术</t>
  </si>
  <si>
    <t>周宇.jpg</t>
  </si>
  <si>
    <t>a41373a7aac542eda022c2ed8bdc208e</t>
  </si>
  <si>
    <t>坠露</t>
  </si>
  <si>
    <t>徐飞燕</t>
  </si>
  <si>
    <t>360425199711271125</t>
  </si>
  <si>
    <t>广东省深圳市福田区沙头街道沙尾西村107</t>
  </si>
  <si>
    <t>20193550042000579</t>
  </si>
  <si>
    <t>徐飞燕.jpg</t>
  </si>
  <si>
    <t>32511d05ee6047b7a1adf4325ccc103a</t>
  </si>
  <si>
    <t>微信用户</t>
  </si>
  <si>
    <t>帅茜</t>
  </si>
  <si>
    <t>360425199006240227</t>
  </si>
  <si>
    <t>江西省九江市永修县山湖湾11栋1单元801</t>
  </si>
  <si>
    <t>帅茜.jpg</t>
  </si>
  <si>
    <t>f89e2a898003408ea8e623f6af2cae12</t>
  </si>
  <si>
    <t>微微心动</t>
  </si>
  <si>
    <t>宋雅娟</t>
  </si>
  <si>
    <t>610124199406222721</t>
  </si>
  <si>
    <t>陕西省西安市周至县楼观镇姚村如意南街41号</t>
  </si>
  <si>
    <t>天津工业大学纺织学院</t>
  </si>
  <si>
    <t>轻化工程</t>
  </si>
  <si>
    <t>20186110032022806</t>
  </si>
  <si>
    <t>宋雅娟.jpg</t>
  </si>
  <si>
    <t>2a80c14f35544b3cbb6823c9cda309aa</t>
  </si>
  <si>
    <t>Lydia</t>
  </si>
  <si>
    <t>朱金霞</t>
  </si>
  <si>
    <t>360428199711266245</t>
  </si>
  <si>
    <t>江西省九江市都昌县都昌一中附近西河公租房</t>
  </si>
  <si>
    <t>20183611332001220</t>
  </si>
  <si>
    <t>朱金霞.jpg</t>
  </si>
  <si>
    <t>1d014a9af8c1485782db4d463648e2f9</t>
  </si>
  <si>
    <t>人生若只如初见</t>
  </si>
  <si>
    <t>罗志强</t>
  </si>
  <si>
    <t>360122199109221816</t>
  </si>
  <si>
    <t>江西省南昌市新建区红谷峰尚1栋</t>
  </si>
  <si>
    <t>化学工程与技术</t>
  </si>
  <si>
    <t>20193600241008021</t>
  </si>
  <si>
    <t>罗志强.jpg</t>
  </si>
  <si>
    <t>5089132a70454a24b2a0dbe1324b1424</t>
  </si>
  <si>
    <t>缱绻.</t>
  </si>
  <si>
    <t>徐敏</t>
  </si>
  <si>
    <t>360425199701077329</t>
  </si>
  <si>
    <t>江西省九江市永修县永修县中梁首府</t>
  </si>
  <si>
    <t>2024年1月</t>
  </si>
  <si>
    <t>小学教师资格证语文</t>
  </si>
  <si>
    <t>20193605322000037</t>
  </si>
  <si>
    <t>徐敏.jpg</t>
  </si>
  <si>
    <t>a63e128875df414fa453e0a1fc4c96a4</t>
  </si>
  <si>
    <t>Mushroom丶</t>
  </si>
  <si>
    <t>于文鋆</t>
  </si>
  <si>
    <t>360425199712316129</t>
  </si>
  <si>
    <t>江西省九江市永修县燕坊镇</t>
  </si>
  <si>
    <t>经济学</t>
  </si>
  <si>
    <t>中小学数学教师资格证</t>
  </si>
  <si>
    <t>于文鋆.jpg</t>
  </si>
  <si>
    <t>1ecd3cc71a7f4461be6d3f2a34616a74</t>
  </si>
  <si>
    <t>Anna子轩</t>
  </si>
  <si>
    <t>赵伟红</t>
  </si>
  <si>
    <t>410184198110151260</t>
  </si>
  <si>
    <t>江西省九江市永修县吴城镇湖亭路163号</t>
  </si>
  <si>
    <t>河南科技大学</t>
  </si>
  <si>
    <t>赵伟红.jpg</t>
  </si>
  <si>
    <t>367f11c1be524c14b5d851e92157e792</t>
  </si>
  <si>
    <t>。。。</t>
  </si>
  <si>
    <t>张华珍</t>
  </si>
  <si>
    <t>360428199510141622</t>
  </si>
  <si>
    <t>江西省九江市都昌县大沙乡黄香上屋村</t>
  </si>
  <si>
    <t>高级中学–数学</t>
  </si>
  <si>
    <t>20193600242007317</t>
  </si>
  <si>
    <t>张华珍.jpg</t>
  </si>
  <si>
    <t>537778c0e323438ba460495acfe485fa</t>
  </si>
  <si>
    <t>爱菜</t>
  </si>
  <si>
    <t>石伟江</t>
  </si>
  <si>
    <t>421127199302020417</t>
  </si>
  <si>
    <t>湖北省黄冈市黄州区黄州大道艺星湖景苑一栋</t>
  </si>
  <si>
    <t>湖南师范大学</t>
  </si>
  <si>
    <t>20194300241006511</t>
  </si>
  <si>
    <t>石伟江.jpg</t>
  </si>
  <si>
    <t>79ad82110ebf49ca860ffe9dd72e4199</t>
  </si>
  <si>
    <t>沧月</t>
  </si>
  <si>
    <t>黄利芳</t>
  </si>
  <si>
    <t>36220219930305702X</t>
  </si>
  <si>
    <t>江西省宜春市丰城市荷湖乡下梅村</t>
  </si>
  <si>
    <t>20163610232000425</t>
  </si>
  <si>
    <t>黄利芳.jpg</t>
  </si>
  <si>
    <t>6fc34beab9614c888642503f33d2b4e2</t>
  </si>
  <si>
    <t>小玲</t>
  </si>
  <si>
    <t>熊小玲</t>
  </si>
  <si>
    <t>360122198712135766</t>
  </si>
  <si>
    <t>江西省九江市永修县西一路</t>
  </si>
  <si>
    <t>20103613332001266</t>
  </si>
  <si>
    <t>熊小玲.jpg</t>
  </si>
  <si>
    <t>f7f29d92fea44754aa8c04838b30ac6e</t>
  </si>
  <si>
    <t>顽韵</t>
  </si>
  <si>
    <t>龚婉云</t>
  </si>
  <si>
    <t>360403199803130321</t>
  </si>
  <si>
    <t>江西省九江市浔阳区莲花池路77号B栋3单元</t>
  </si>
  <si>
    <t>福州大学厦门工艺美术学院</t>
  </si>
  <si>
    <t>高级中学 美术</t>
  </si>
  <si>
    <t>20193520042000553</t>
  </si>
  <si>
    <t>龚婉云.jpg</t>
  </si>
  <si>
    <t>7924318df3cc42b68185796af677801d</t>
  </si>
  <si>
    <t>Shawn</t>
  </si>
  <si>
    <t>肖泽强</t>
  </si>
  <si>
    <t>360782199303083890</t>
  </si>
  <si>
    <t>江西省九江市濂溪区王家凹安置小区10栋一单元404</t>
  </si>
  <si>
    <t>肖泽强.jpg</t>
  </si>
  <si>
    <t>05d43b5f7bed4b4eb0deee3213a5f5a1</t>
  </si>
  <si>
    <t>微笑以后</t>
  </si>
  <si>
    <t>黄海涛</t>
  </si>
  <si>
    <t>362321198909060522</t>
  </si>
  <si>
    <t>江西省南昌市东湖区叠山路442号</t>
  </si>
  <si>
    <t>初级中学语文教师资格</t>
  </si>
  <si>
    <t>20153604232000109</t>
  </si>
  <si>
    <t>黄海涛.jpg</t>
  </si>
  <si>
    <t>0547f6b011be4e52bbc037b563bfa85a</t>
  </si>
  <si>
    <t>Cris</t>
  </si>
  <si>
    <t>朱祖英</t>
  </si>
  <si>
    <t>360425199810243429</t>
  </si>
  <si>
    <t>20203600242001204</t>
  </si>
  <si>
    <t>朱祖英.jpg</t>
  </si>
  <si>
    <t>353e0bd95b6f41e1a93f38ea999e62f9</t>
  </si>
  <si>
    <t>小红帽</t>
  </si>
  <si>
    <t>万艳红</t>
  </si>
  <si>
    <t>36012219920401572X</t>
  </si>
  <si>
    <t>江西省南昌市青山湖区经济技术开发区车管所丽景苑小区</t>
  </si>
  <si>
    <t>20183610232002006</t>
  </si>
  <si>
    <t>万艳红.jpg</t>
  </si>
  <si>
    <t>c60bfed43783477ba358a8fea8f0c8b0</t>
  </si>
  <si>
    <t>甜甜一世缘</t>
  </si>
  <si>
    <t>徐倩</t>
  </si>
  <si>
    <t>360481199001304827</t>
  </si>
  <si>
    <t>江西省九江市濂溪区浔阳西路</t>
  </si>
  <si>
    <t>江西教育学院</t>
  </si>
  <si>
    <t>初级中学教师  语文</t>
  </si>
  <si>
    <t>20113610232000198</t>
  </si>
  <si>
    <t>徐倩.jpg</t>
  </si>
  <si>
    <t>ff79aebc9449463f92c685a2a1ae386f</t>
  </si>
  <si>
    <t>～～～～～～</t>
  </si>
  <si>
    <t>甘兰兰</t>
  </si>
  <si>
    <t>361127199711200025</t>
  </si>
  <si>
    <t>江西省上饶市余干县玉亭镇</t>
  </si>
  <si>
    <t>应用化学</t>
  </si>
  <si>
    <t>20183610232000119</t>
  </si>
  <si>
    <t>甘兰兰.jpg</t>
  </si>
  <si>
    <t>b65d8aaf8d0644de86b2e7e8ff8e7cc2</t>
  </si>
  <si>
    <t>小螃蟹</t>
  </si>
  <si>
    <t>徐玲玲</t>
  </si>
  <si>
    <t>360428199712210649</t>
  </si>
  <si>
    <t>江西省九江市都昌县北山乡徐中市村徐中市13组49号</t>
  </si>
  <si>
    <t>20183611332001663</t>
  </si>
  <si>
    <t>徐玲玲.jpg</t>
  </si>
  <si>
    <t>c023ec40ee5b4728b8515df652ec4464</t>
  </si>
  <si>
    <t>树叶</t>
  </si>
  <si>
    <t>付旺</t>
  </si>
  <si>
    <t>360122199701054033</t>
  </si>
  <si>
    <t>江西省南昌市新建区兴国路1299朗晴园</t>
  </si>
  <si>
    <t>20193670141000715</t>
  </si>
  <si>
    <t>付旺.jpg</t>
  </si>
  <si>
    <t>fb7d1b7f8bb14847ac65c54650eeb26d</t>
  </si>
  <si>
    <t>WPS_1623853863</t>
  </si>
  <si>
    <t>陈玲芳</t>
  </si>
  <si>
    <t>360124199212087822</t>
  </si>
  <si>
    <t>江西省南昌市进贤县新都名苑</t>
  </si>
  <si>
    <t>江西理工大学应用科学学院</t>
  </si>
  <si>
    <t>工程管理</t>
  </si>
  <si>
    <t>陈玲芳.jpg</t>
  </si>
  <si>
    <t>ee315d440f9d4a66ac9827fc885e4b7e</t>
  </si>
  <si>
    <t>Kiie丶素颜灬</t>
  </si>
  <si>
    <t>赵婉燕</t>
  </si>
  <si>
    <t>360425199808256124</t>
  </si>
  <si>
    <t>江西省九江市共青城市甘露镇燕坊</t>
  </si>
  <si>
    <t>电子商务&amp;英语</t>
  </si>
  <si>
    <t>20203600242002353</t>
  </si>
  <si>
    <t>赵婉燕.jpg</t>
  </si>
  <si>
    <t>d05d627678194f5992763ff8972526fe</t>
  </si>
  <si>
    <t>yi</t>
  </si>
  <si>
    <t>易新宇</t>
  </si>
  <si>
    <t>360421200002194446</t>
  </si>
  <si>
    <t>江西省九江市柴桑区江一路(安永小区东南侧约100米)安永人家3期</t>
  </si>
  <si>
    <t>易新宇.jpg</t>
  </si>
  <si>
    <t>1db18c7db94b4fe29097e213f8a454fb</t>
  </si>
  <si>
    <t>江玲</t>
  </si>
  <si>
    <t>362330198710053647</t>
  </si>
  <si>
    <t>江西省九江市永修县永修县北岸邓家</t>
  </si>
  <si>
    <t>高中，英语</t>
  </si>
  <si>
    <t>20103600342000773</t>
  </si>
  <si>
    <t>江玲.jpg</t>
  </si>
  <si>
    <t>148806dba49549989976a4cca098b3b3</t>
  </si>
  <si>
    <t>酸奶盖</t>
  </si>
  <si>
    <t>查彩云</t>
  </si>
  <si>
    <t>360427199511131526</t>
  </si>
  <si>
    <t>江西省九江市共青城市茶山街道兴德顺景小区</t>
  </si>
  <si>
    <t>20193600342000304</t>
  </si>
  <si>
    <t>查彩云.jpg</t>
  </si>
  <si>
    <t>d021f2a2fd4d445594bb8d28066bb000</t>
  </si>
  <si>
    <t>小菜苗。</t>
  </si>
  <si>
    <t>蔡甜甜</t>
  </si>
  <si>
    <t>360481199204210046</t>
  </si>
  <si>
    <t>江西省九江市瑞昌市人民北路461号</t>
  </si>
  <si>
    <t>教育学（地理教育）</t>
  </si>
  <si>
    <t>20133670142000872</t>
  </si>
  <si>
    <t>蔡甜甜.jpg</t>
  </si>
  <si>
    <t>44173b3ab830409fbb601d1eb7aa0ef6</t>
  </si>
  <si>
    <t>茜</t>
  </si>
  <si>
    <t>潘茜</t>
  </si>
  <si>
    <t>360122199112133622</t>
  </si>
  <si>
    <t>江西省南昌市红谷滩区九龙明珠A区</t>
  </si>
  <si>
    <t>20153630142000486</t>
  </si>
  <si>
    <t>潘茜.jpg</t>
  </si>
  <si>
    <t>acf85e03b0be4caca990e180454bcb52</t>
  </si>
  <si>
    <t>乌克丽丽</t>
  </si>
  <si>
    <t>雷玲丽</t>
  </si>
  <si>
    <t>360425199401053720</t>
  </si>
  <si>
    <t>江西省九江市永修县江西省 九江市 永修县 永丰星殖场湖东区开发大道南侧赣江中心城5A幢1单元1003室</t>
  </si>
  <si>
    <t>初级中学教师资格英语</t>
  </si>
  <si>
    <t>20153613332002455</t>
  </si>
  <si>
    <t>雷玲丽.jpg</t>
  </si>
  <si>
    <t>fb7e1d8cbed34fab880d5850549bed8b</t>
  </si>
  <si>
    <t>静宁</t>
  </si>
  <si>
    <t>万沁姝</t>
  </si>
  <si>
    <t>360122199611276628</t>
  </si>
  <si>
    <t>江西省南昌市新建区子实路399号</t>
  </si>
  <si>
    <t>20193632132000496</t>
  </si>
  <si>
    <t>万沁姝.jpg</t>
  </si>
  <si>
    <t>cd58758222a54b46b541932f8cbb642f</t>
  </si>
  <si>
    <t>秋珉</t>
  </si>
  <si>
    <t>邱敏</t>
  </si>
  <si>
    <t>360423199708285021</t>
  </si>
  <si>
    <t>江西省九江市武宁县新宁镇凤口村14组</t>
  </si>
  <si>
    <t>中等职业学校</t>
  </si>
  <si>
    <t>20191230052001799</t>
  </si>
  <si>
    <t>邱敏.jpg</t>
  </si>
  <si>
    <t>52c87accc7d54f2582da45eff1cb4582</t>
  </si>
  <si>
    <t>Ability</t>
  </si>
  <si>
    <t>钟秀</t>
  </si>
  <si>
    <t>360502199410232529</t>
  </si>
  <si>
    <t>江西省新余市渝水区河下镇井头村19栋一单元</t>
  </si>
  <si>
    <t>20163602732000482</t>
  </si>
  <si>
    <t>钟秀.jpg</t>
  </si>
  <si>
    <t>18e58c626644488f9ea8d9836f10da3f</t>
  </si>
  <si>
    <t>云丫头</t>
  </si>
  <si>
    <t>丁云</t>
  </si>
  <si>
    <t>36252219920727152X</t>
  </si>
  <si>
    <t>江西省抚州市南城县上唐镇</t>
  </si>
  <si>
    <t>数学与应用数学（师范类）</t>
  </si>
  <si>
    <t>20163630142002160</t>
  </si>
  <si>
    <t>丁云.jpg</t>
  </si>
  <si>
    <t>e631e47620904f438365f32190a66bc5</t>
  </si>
  <si>
    <t>曾</t>
  </si>
  <si>
    <t>曾玉琦</t>
  </si>
  <si>
    <t>360425199710161733</t>
  </si>
  <si>
    <t>高级中学   信息技术</t>
  </si>
  <si>
    <t>20193650141000233</t>
  </si>
  <si>
    <t>曾玉琦.jpg</t>
  </si>
  <si>
    <t>021710d70174401ab8518fe9f91ef6eb</t>
  </si>
  <si>
    <t>TAnG.YonG</t>
  </si>
  <si>
    <t>汤泳</t>
  </si>
  <si>
    <t>360425199808275827</t>
  </si>
  <si>
    <t>江西省九江市永修县涂埠镇东永商城龙清池洗浴(暂停营业)</t>
  </si>
  <si>
    <t>高中美术教师资格证</t>
  </si>
  <si>
    <t>汤泳.jpg</t>
  </si>
  <si>
    <t>80e3bdaf57454a1f950d1dc328afda73</t>
  </si>
  <si>
    <t>飘</t>
  </si>
  <si>
    <t>罗雅如</t>
  </si>
  <si>
    <t>360425199604022828</t>
  </si>
  <si>
    <t>江西省九江市永修县湖西农贸市场新子欣</t>
  </si>
  <si>
    <t>初级中学教师资格，英语</t>
  </si>
  <si>
    <t>20173611332002473</t>
  </si>
  <si>
    <t>罗雅如.jpg</t>
  </si>
  <si>
    <t>8bbfec804fe44509ac75adf47e62979b</t>
  </si>
  <si>
    <t>熊丹 3.7</t>
  </si>
  <si>
    <t>熊丹</t>
  </si>
  <si>
    <t>360124198912090921</t>
  </si>
  <si>
    <t>江西省南昌市新建区翠苑路阳光枫情小区</t>
  </si>
  <si>
    <t>景德镇陶瓷学院科技艺术学院</t>
  </si>
  <si>
    <t>高校教师 英语</t>
  </si>
  <si>
    <t>20133600172001289</t>
  </si>
  <si>
    <t>熊丹.jpg</t>
  </si>
  <si>
    <t>af731636327241cf955796411d4aa102</t>
  </si>
  <si>
    <t>LL玲玲</t>
  </si>
  <si>
    <t>戴玉玲</t>
  </si>
  <si>
    <t>36042519920826282X</t>
  </si>
  <si>
    <t>初级教师资格证</t>
  </si>
  <si>
    <t>20143610232000515</t>
  </si>
  <si>
    <t>戴玉玲.jpg</t>
  </si>
  <si>
    <t>34670168a3614555acf2246c113d19bd</t>
  </si>
  <si>
    <t>Young</t>
  </si>
  <si>
    <t>殷红</t>
  </si>
  <si>
    <t>360425199810083728</t>
  </si>
  <si>
    <t>江西省九江市永修县西一路小精灵幼儿园对面</t>
  </si>
  <si>
    <t>20203600242001358</t>
  </si>
  <si>
    <t>殷红.jpg</t>
  </si>
  <si>
    <t>e7f31f80e97d4174b45e299894d046c7</t>
  </si>
  <si>
    <t>如意</t>
  </si>
  <si>
    <t>蔡如意</t>
  </si>
  <si>
    <t>360425199704206720</t>
  </si>
  <si>
    <t>江西省九江市永修县阳光华庭</t>
  </si>
  <si>
    <t>20183610232000674</t>
  </si>
  <si>
    <t>蔡如意.jpg</t>
  </si>
  <si>
    <t>96a74e3806c445b1812470603f13dedf</t>
  </si>
  <si>
    <t>彩虹飞马</t>
  </si>
  <si>
    <t>周锦秀</t>
  </si>
  <si>
    <t>360426199610152027</t>
  </si>
  <si>
    <t>江西省九江市德安县林泉乡清塘村</t>
  </si>
  <si>
    <t>2019年12月</t>
  </si>
  <si>
    <t>20193606332000131</t>
  </si>
  <si>
    <t>周锦秀.jpg</t>
  </si>
  <si>
    <t>de44d556733c47e99720205799731cde</t>
  </si>
  <si>
    <t>彬</t>
  </si>
  <si>
    <t>蔡彬彬</t>
  </si>
  <si>
    <t>36042519950826283X</t>
  </si>
  <si>
    <t>江西省九江市永修县涂埠镇亲水山庄茜茜幼儿园</t>
  </si>
  <si>
    <t>安徽农业大学</t>
  </si>
  <si>
    <t>农学</t>
  </si>
  <si>
    <t>20203420141000213</t>
  </si>
  <si>
    <t>蔡彬彬.jpg</t>
  </si>
  <si>
    <t>f983127534524be2bfe3b2e039121400</t>
  </si>
  <si>
    <t>饮无绪</t>
  </si>
  <si>
    <t>戴影</t>
  </si>
  <si>
    <t>360425198509046798</t>
  </si>
  <si>
    <t>江西省九江市永修县白莲路</t>
  </si>
  <si>
    <t>20083650141001022</t>
  </si>
  <si>
    <t>戴影.jpg</t>
  </si>
  <si>
    <t>bb17b2587edc4dbdabe8f8b4650ccfe4</t>
  </si>
  <si>
    <t>海滩人</t>
  </si>
  <si>
    <t>戴素娟</t>
  </si>
  <si>
    <t>360425199808282824</t>
  </si>
  <si>
    <t>江西省九江市永修县县城永丰垦殖场南山一大队</t>
  </si>
  <si>
    <t>20203600242002478</t>
  </si>
  <si>
    <t>戴素娟.jpg</t>
  </si>
  <si>
    <t>41c85aabe8ce4c5b8369cc4d4d8636a8</t>
  </si>
  <si>
    <t>小周周</t>
  </si>
  <si>
    <t>周洲</t>
  </si>
  <si>
    <t>360421199408244428</t>
  </si>
  <si>
    <t>江西省九江市柴桑区观澜盛世</t>
  </si>
  <si>
    <t>黄淮学院</t>
  </si>
  <si>
    <t>初中教师资格证</t>
  </si>
  <si>
    <t>周洲.jpg</t>
  </si>
  <si>
    <t>e04e4acfe2f64b54b8544726dc2accd7</t>
  </si>
  <si>
    <t>淡泊宁静</t>
  </si>
  <si>
    <t>谢志祥</t>
  </si>
  <si>
    <t>360425198901064317</t>
  </si>
  <si>
    <t>江西省九江市永修县梅棠镇</t>
  </si>
  <si>
    <t>华东交通大学</t>
  </si>
  <si>
    <t>车辆工程</t>
  </si>
  <si>
    <t>高校教师资格证</t>
  </si>
  <si>
    <t>20203600171002441</t>
  </si>
  <si>
    <t>谢志祥.jpg</t>
  </si>
  <si>
    <t>b140b239f5954e1fa79d4c57b265ecc0</t>
  </si>
  <si>
    <t>ke</t>
  </si>
  <si>
    <t>孙玉珂</t>
  </si>
  <si>
    <t>360425199602290220</t>
  </si>
  <si>
    <t>江西省九江市永修县莲花苑小区莲花苑</t>
  </si>
  <si>
    <t>长江师范学院</t>
  </si>
  <si>
    <t>高中音乐学</t>
  </si>
  <si>
    <t>20185000142021392</t>
  </si>
  <si>
    <t>孙玉珂.jpg</t>
  </si>
  <si>
    <t>62c817e263c5413db40d61aa2ece58b7</t>
  </si>
  <si>
    <t>asmile</t>
  </si>
  <si>
    <t>廖萍</t>
  </si>
  <si>
    <t>51101119861002252X</t>
  </si>
  <si>
    <t>北京市市辖区东城区江西九江永修县白鹤山庄</t>
  </si>
  <si>
    <t>新疆大学</t>
  </si>
  <si>
    <t>测绘工程</t>
  </si>
  <si>
    <t>20096500242002043</t>
  </si>
  <si>
    <t>廖萍.jpg</t>
  </si>
  <si>
    <t>7d914daab0e44ec89b0c4249b6461d9e</t>
  </si>
  <si>
    <t>王倩</t>
  </si>
  <si>
    <t>360421199804170221</t>
  </si>
  <si>
    <t>江西省九江市柴桑区沙河名城</t>
  </si>
  <si>
    <t>小学教育(英语)</t>
  </si>
  <si>
    <t>拟取得初中英语</t>
  </si>
  <si>
    <t>王倩.jpg</t>
  </si>
  <si>
    <t>2a7d6115fb7d4e54a94415b2051fb416</t>
  </si>
  <si>
    <t>☆TING～</t>
  </si>
  <si>
    <t>张文攀</t>
  </si>
  <si>
    <t>360425199904026126</t>
  </si>
  <si>
    <t>江西省九江市永修县燕坊镇越山村13号</t>
  </si>
  <si>
    <t>2019434035780</t>
  </si>
  <si>
    <t>张文攀.jpg</t>
  </si>
  <si>
    <t>88f796409c944f84b8d34975ec1daa2c</t>
  </si>
  <si>
    <t>亮亮</t>
  </si>
  <si>
    <t>方亮亮</t>
  </si>
  <si>
    <t>360430199210263515</t>
  </si>
  <si>
    <t>江西省九江市彭泽县江西省九江市彭泽县龙城镇塔桥路火炬中学</t>
  </si>
  <si>
    <t>20163670141000521</t>
  </si>
  <si>
    <t>方亮亮.jpg</t>
  </si>
  <si>
    <t>36b20760ed8c4daba59c2fe60b861aa3</t>
  </si>
  <si>
    <t>烟火</t>
  </si>
  <si>
    <t>吴新建</t>
  </si>
  <si>
    <t>360424199511181575</t>
  </si>
  <si>
    <t>江西省九江市修水县大桥镇</t>
  </si>
  <si>
    <t>20183630231000300</t>
  </si>
  <si>
    <t>吴新建.jpg</t>
  </si>
  <si>
    <t>020d073ba9bc42f098ecbb881047a9a4</t>
  </si>
  <si>
    <t>我是那一抹鞋阳</t>
  </si>
  <si>
    <t>屈琳莉</t>
  </si>
  <si>
    <t>360481199612264422</t>
  </si>
  <si>
    <t>江西省九江市浔阳区南京路1号国营第四九一厂心悦小区</t>
  </si>
  <si>
    <t>湖北科技学院</t>
  </si>
  <si>
    <t>20193600342000715</t>
  </si>
  <si>
    <t>屈琳莉.jpg</t>
  </si>
  <si>
    <t>2e51a867c52c4441bc9a663698f25346</t>
  </si>
  <si>
    <t>小肥羊</t>
  </si>
  <si>
    <t>杨杰</t>
  </si>
  <si>
    <t>360481199405070035</t>
  </si>
  <si>
    <t>江西省九江市瑞昌市湓城街道赤乌东路十五连西3－11</t>
  </si>
  <si>
    <t>山东工商学院</t>
  </si>
  <si>
    <t>2020364022778</t>
  </si>
  <si>
    <t>杨杰.jpg</t>
  </si>
  <si>
    <t>f95321a9a8764958843243f5366db5ba</t>
  </si>
  <si>
    <t>Dusk</t>
  </si>
  <si>
    <t>于玉侠</t>
  </si>
  <si>
    <t>362330199602012869</t>
  </si>
  <si>
    <t>江西省九江市濂溪区新五中对面加州风情</t>
  </si>
  <si>
    <t>戏剧影视文学</t>
  </si>
  <si>
    <t>20193600342000090</t>
  </si>
  <si>
    <t>于玉侠.jpg</t>
  </si>
  <si>
    <t>057ef3cd1d814e92a3a40f6e6f1c43f4</t>
  </si>
  <si>
    <t>NANA</t>
  </si>
  <si>
    <t>邓娜娜</t>
  </si>
  <si>
    <t>360122199010303045</t>
  </si>
  <si>
    <t>江西省南昌市新建区经济技术开发区</t>
  </si>
  <si>
    <t>化学师范</t>
  </si>
  <si>
    <t>20133600242000173</t>
  </si>
  <si>
    <t>邓娜娜.jpg</t>
  </si>
  <si>
    <t>79f398aad5c34de1bd44f069d470f461</t>
  </si>
  <si>
    <t>夏目</t>
  </si>
  <si>
    <t>施秀燕</t>
  </si>
  <si>
    <t>360430199704131141</t>
  </si>
  <si>
    <t>江西省九江市彭泽县江西省九江市彭泽县芙蓉塅镇五联村八组</t>
  </si>
  <si>
    <t>初中教师资格证数学</t>
  </si>
  <si>
    <t>施秀燕.jpg</t>
  </si>
  <si>
    <t>b8d81e1bcef945d7a6d83b3fd1787732</t>
  </si>
  <si>
    <t>y</t>
  </si>
  <si>
    <t>芦玉琴</t>
  </si>
  <si>
    <t>360425199807062029</t>
  </si>
  <si>
    <t>江西省九江市永修县老城蓝天大道39栋</t>
  </si>
  <si>
    <t>20173611312001095</t>
  </si>
  <si>
    <t>芦玉琴.jpg</t>
  </si>
  <si>
    <t>586cc420db354a428465430b77778260</t>
  </si>
  <si>
    <t>Vivian</t>
  </si>
  <si>
    <t>谢雨琪</t>
  </si>
  <si>
    <t>360425199610062041</t>
  </si>
  <si>
    <t>江西省九江市永修县军山镇</t>
  </si>
  <si>
    <t>20183600242007375</t>
  </si>
  <si>
    <t>谢雨琪.jpg</t>
  </si>
  <si>
    <t>d2318d510b5f414ca0f47f460e3d73d4</t>
  </si>
  <si>
    <t>zoro</t>
  </si>
  <si>
    <t>张锐</t>
  </si>
  <si>
    <t>340826199605246633</t>
  </si>
  <si>
    <t>安徽省安庆市宿松县隘口乡花学村</t>
  </si>
  <si>
    <t>化学工程</t>
  </si>
  <si>
    <t>20183405141000014</t>
  </si>
  <si>
    <t>张锐.jpg</t>
  </si>
  <si>
    <t>f4110b52c216411391a077913c485713</t>
  </si>
  <si>
    <t>Lucky</t>
  </si>
  <si>
    <t>王琪</t>
  </si>
  <si>
    <t>360421199606252824</t>
  </si>
  <si>
    <t>江西省九江市柴桑区渊明大道安置小区华银五金</t>
  </si>
  <si>
    <t>已取得教师资格证</t>
  </si>
  <si>
    <t>20173604212000213</t>
  </si>
  <si>
    <t>王琪.jpg</t>
  </si>
  <si>
    <t>11982f5c82284ece973b54f5132db115</t>
  </si>
  <si>
    <t>倾听</t>
  </si>
  <si>
    <t>赵耀丽</t>
  </si>
  <si>
    <t>360425199710296785</t>
  </si>
  <si>
    <t>江西省九江市永修县江西省九江市永修县凤凰山农场用谦村44号</t>
  </si>
  <si>
    <t>赵耀丽.jpg</t>
  </si>
  <si>
    <t>f52cd62507b24e468432e825a1fc05e2</t>
  </si>
  <si>
    <t>星空</t>
  </si>
  <si>
    <t>李颂</t>
  </si>
  <si>
    <t>360425199501183127</t>
  </si>
  <si>
    <t>江西省九江市永修县涂埠镇老城蓝天大道山下渡小学后</t>
  </si>
  <si>
    <t>20193605332000119</t>
  </si>
  <si>
    <t>李颂.jpg</t>
  </si>
  <si>
    <t>32d553c68a3c48199ff1ff44c7a4d43a</t>
  </si>
  <si>
    <t>。秋刀鱼</t>
  </si>
  <si>
    <t>邱素瑜</t>
  </si>
  <si>
    <t>360428199802112241</t>
  </si>
  <si>
    <t>江西省九江市共青城市香江明珠3栋</t>
  </si>
  <si>
    <t>20203604432000012</t>
  </si>
  <si>
    <t>邱素瑜.jpg</t>
  </si>
  <si>
    <t>75ecbb0df10042eda6ea270276c9a0ee</t>
  </si>
  <si>
    <t>WPS_1624001603</t>
  </si>
  <si>
    <t>彭建琴</t>
  </si>
  <si>
    <t>360425199206062867</t>
  </si>
  <si>
    <t>江西省九江市永修县开发大道</t>
  </si>
  <si>
    <t>江西九江职业学校</t>
  </si>
  <si>
    <t>英教</t>
  </si>
  <si>
    <t>彭建琴.jpg</t>
  </si>
  <si>
    <t>755ed4de75454f76931913d4c490f91a</t>
  </si>
  <si>
    <t>多冰桃汁</t>
  </si>
  <si>
    <t>汪文凤</t>
  </si>
  <si>
    <t>36040319961124122X</t>
  </si>
  <si>
    <t>江西省九江市浔阳区白水湖街道满庭春</t>
  </si>
  <si>
    <t>秘书学</t>
  </si>
  <si>
    <t>汪文凤.jpg</t>
  </si>
  <si>
    <t>199e7c2c0e304847a52009475472a6e0</t>
  </si>
  <si>
    <t>执念°</t>
  </si>
  <si>
    <t>王福兰</t>
  </si>
  <si>
    <t>360782199007131341</t>
  </si>
  <si>
    <t>20123604432000380</t>
  </si>
  <si>
    <t>王福兰.jpg</t>
  </si>
  <si>
    <t>d87df431db134abda5a1c9e5f9c4b746</t>
  </si>
  <si>
    <t>Runaways</t>
  </si>
  <si>
    <t>史情情</t>
  </si>
  <si>
    <t>362330199802174184</t>
  </si>
  <si>
    <t>20183603532001032</t>
  </si>
  <si>
    <t>史情情.jpg</t>
  </si>
  <si>
    <t>王玲2.jpg</t>
  </si>
  <si>
    <t>准考证号码</t>
  </si>
  <si>
    <t>座位号</t>
  </si>
  <si>
    <t>ＢＷ2021001</t>
  </si>
  <si>
    <t>ＢＷ2021002</t>
  </si>
  <si>
    <t>ＢＷ2021003</t>
  </si>
  <si>
    <t>ＢＷ2021004</t>
  </si>
  <si>
    <t>ＢＷ2021005</t>
  </si>
  <si>
    <t>ＢＷ2021006</t>
  </si>
  <si>
    <t>ＢＷ2021007</t>
  </si>
  <si>
    <t>ＢＷ2021008</t>
  </si>
  <si>
    <t>ＢＷ2021009</t>
  </si>
  <si>
    <t>ＢＷ2021010</t>
  </si>
  <si>
    <t>ＢＷ2021011</t>
  </si>
  <si>
    <t>ＢＷ2021012</t>
  </si>
  <si>
    <t>ＢＷ2021013</t>
  </si>
  <si>
    <t>ＢＷ2021014</t>
  </si>
  <si>
    <t>ＢＷ2021015</t>
  </si>
  <si>
    <t>ＢＷ2021016</t>
  </si>
  <si>
    <t>ＢＷ2021017</t>
  </si>
  <si>
    <t>ＢＷ2021018</t>
  </si>
  <si>
    <t>ＢＷ2021019</t>
  </si>
  <si>
    <t>ＢＷ2021020</t>
  </si>
  <si>
    <t>ＢＷ2021021</t>
  </si>
  <si>
    <t>ＢＷ2021022</t>
  </si>
  <si>
    <t>ＢＷ2021023</t>
  </si>
  <si>
    <t>ＢＷ2021024</t>
  </si>
  <si>
    <t>ＢＷ2021025</t>
  </si>
  <si>
    <t>ＢＷ2021026</t>
  </si>
  <si>
    <t>ＢＷ2021027</t>
  </si>
  <si>
    <t>ＢＷ2021028</t>
  </si>
  <si>
    <t>ＢＷ2021029</t>
  </si>
  <si>
    <t>ＢＷ2021030</t>
  </si>
  <si>
    <t>ＢＷ2021031</t>
  </si>
  <si>
    <t>ＢＷ2021032</t>
  </si>
  <si>
    <t>ＢＷ2021033</t>
  </si>
  <si>
    <t>ＢＷ2021034</t>
  </si>
  <si>
    <t>ＢＷ2021035</t>
  </si>
  <si>
    <t>ＢＷ2021036</t>
  </si>
  <si>
    <t>ＢＷ2021037</t>
  </si>
  <si>
    <t>ＢＷ2021038</t>
  </si>
  <si>
    <t>ＢＷ2021039</t>
  </si>
  <si>
    <t>ＢＷ2021040</t>
  </si>
  <si>
    <t>ＢＷ2021041</t>
  </si>
  <si>
    <t>ＢＷ2021042</t>
  </si>
  <si>
    <t>ＢＷ2021043</t>
  </si>
  <si>
    <t>ＢＷ2021044</t>
  </si>
  <si>
    <t>ＢＷ2021045</t>
  </si>
  <si>
    <t>ＢＷ2021046</t>
  </si>
  <si>
    <t>ＢＷ2021047</t>
  </si>
  <si>
    <t>ＢＷ2021048</t>
  </si>
  <si>
    <t>ＢＷ2021049</t>
  </si>
  <si>
    <t>ＢＷ2021050</t>
  </si>
  <si>
    <t>ＢＷ2021051</t>
  </si>
  <si>
    <t>ＢＷ2021052</t>
  </si>
  <si>
    <t>ＢＷ2021053</t>
  </si>
  <si>
    <t>ＢＷ2021054</t>
  </si>
  <si>
    <t>ＢＷ2021055</t>
  </si>
  <si>
    <t>ＢＷ2021056</t>
  </si>
  <si>
    <t>ＢＷ2021057</t>
  </si>
  <si>
    <t>ＢＷ2021058</t>
  </si>
  <si>
    <t>ＢＷ2021059</t>
  </si>
  <si>
    <t>ＢＷ2021060</t>
  </si>
  <si>
    <t>ＢＷ2021061</t>
  </si>
  <si>
    <t>ＢＷ2021062</t>
  </si>
  <si>
    <t>ＢＷ2021063</t>
  </si>
  <si>
    <t>ＢＷ2021064</t>
  </si>
  <si>
    <t>ＢＷ2021065</t>
  </si>
  <si>
    <t>ＢＷ2021066</t>
  </si>
  <si>
    <t>ＢＷ2021067</t>
  </si>
  <si>
    <t>ＢＷ2021068</t>
  </si>
  <si>
    <t>ＢＷ2021069</t>
  </si>
  <si>
    <t>ＢＷ2021070</t>
  </si>
  <si>
    <t>ＢＷ2021071</t>
  </si>
  <si>
    <t>ＢＷ2021072</t>
  </si>
  <si>
    <t>ＢＷ2021073</t>
  </si>
  <si>
    <t>ＢＷ2021074</t>
  </si>
  <si>
    <t>ＢＷ2021075</t>
  </si>
  <si>
    <t>ＢＷ2021076</t>
  </si>
  <si>
    <t>ＢＷ2021077</t>
  </si>
  <si>
    <t>ＢＷ2021078</t>
  </si>
  <si>
    <t>ＢＷ2021079</t>
  </si>
  <si>
    <t>ＢＷ2021080</t>
  </si>
  <si>
    <t>ＢＷ2021081</t>
  </si>
  <si>
    <t>ＢＷ2021082</t>
  </si>
  <si>
    <t>ＢＷ2021083</t>
  </si>
  <si>
    <t>ＢＷ2021084</t>
  </si>
  <si>
    <t>ＢＷ2021085</t>
  </si>
  <si>
    <t>ＢＷ2021086</t>
  </si>
  <si>
    <t>ＢＷ2021087</t>
  </si>
  <si>
    <t>ＢＷ2021088</t>
  </si>
  <si>
    <t>ＢＷ2021089</t>
  </si>
  <si>
    <t>ＢＷ2021090</t>
  </si>
  <si>
    <t>ＢＷ2021091</t>
  </si>
  <si>
    <t>ＢＷ2021092</t>
  </si>
  <si>
    <t>ＢＷ2021103</t>
  </si>
  <si>
    <t>ＢＷ2021104</t>
  </si>
  <si>
    <t>空位.jpg</t>
  </si>
  <si>
    <t>空位</t>
  </si>
  <si>
    <t>ＢＷ2021093</t>
  </si>
  <si>
    <t>ＢＷ2021094</t>
  </si>
  <si>
    <t>ＢＷ2021105</t>
  </si>
  <si>
    <t>ＢＷ2021106</t>
  </si>
  <si>
    <t>ＢＷ2021095</t>
  </si>
  <si>
    <t>ＢＷ2021096</t>
  </si>
  <si>
    <t>ＢＷ2021107</t>
  </si>
  <si>
    <t>ＢＷ2021097</t>
  </si>
  <si>
    <t>ＢＷ2021098</t>
  </si>
  <si>
    <t>ＢＷ2021108</t>
  </si>
  <si>
    <t>ＢＷ2021099</t>
  </si>
  <si>
    <t>ＢＷ2021100</t>
  </si>
  <si>
    <t>ＢＷ2021109</t>
  </si>
  <si>
    <t>ＢＷ2021101</t>
  </si>
  <si>
    <t>ＢＷ2021102</t>
  </si>
  <si>
    <t>ＢＷ2021110</t>
  </si>
  <si>
    <t>ＢＷ2021111</t>
  </si>
  <si>
    <t>ＢＷ2021112</t>
  </si>
  <si>
    <t>ＢＷ2021113</t>
  </si>
  <si>
    <t>ＢＷ2021114</t>
  </si>
  <si>
    <t>ＢＷ2021115</t>
  </si>
  <si>
    <t>ＢＷ2021116</t>
  </si>
  <si>
    <t>ＢＷ2021117</t>
  </si>
  <si>
    <t>ＢＷ2021118</t>
  </si>
  <si>
    <t>ＢＷ2021119</t>
  </si>
  <si>
    <t>ＢＷ2021120</t>
  </si>
  <si>
    <t>ＢＷ2021121</t>
  </si>
  <si>
    <t>ＢＷ2021122</t>
  </si>
  <si>
    <t>ＢＷ2021123</t>
  </si>
  <si>
    <t>ＢＷ2021124</t>
  </si>
  <si>
    <t>ＢＷ2021125</t>
  </si>
  <si>
    <t>ＢＷ2021126</t>
  </si>
  <si>
    <t>ＢＷ2021127</t>
  </si>
  <si>
    <t>ＢＷ2021128</t>
  </si>
  <si>
    <t>ＢＷ2021129</t>
  </si>
  <si>
    <t>ＢＷ2021130</t>
  </si>
  <si>
    <t>ＢＷ2021131</t>
  </si>
  <si>
    <t>ＢＷ2021132</t>
  </si>
  <si>
    <t>ＢＷ2021133</t>
  </si>
  <si>
    <t>ＢＷ2021134</t>
  </si>
  <si>
    <t>ＢＷ2021135</t>
  </si>
  <si>
    <t>ＢＷ2021136</t>
  </si>
  <si>
    <t>ＢＷ2021137</t>
  </si>
  <si>
    <t>ＢＷ2021138</t>
  </si>
  <si>
    <t>ＢＷ2021139</t>
  </si>
  <si>
    <t>ＢＷ2021140</t>
  </si>
  <si>
    <t>ＢＷ2021141</t>
  </si>
  <si>
    <t>ＢＷ2021142</t>
  </si>
  <si>
    <t>ＢＷ2021143</t>
  </si>
  <si>
    <t>ＢＷ2021144</t>
  </si>
  <si>
    <t>ＢＷ2021145</t>
  </si>
  <si>
    <t>ＢＷ2021146</t>
  </si>
  <si>
    <t>ＢＷ2021147</t>
  </si>
  <si>
    <t>ＢＷ2021148</t>
  </si>
  <si>
    <t>ＢＷ2021149</t>
  </si>
  <si>
    <t>ＢＷ2021150</t>
  </si>
  <si>
    <t>ＢＷ2021151</t>
  </si>
  <si>
    <t>ＢＷ2021152</t>
  </si>
  <si>
    <t>ＢＷ2021153</t>
  </si>
  <si>
    <t>ＢＷ2021154</t>
  </si>
  <si>
    <t>ＢＷ2021155</t>
  </si>
  <si>
    <t>ＢＷ2021156</t>
  </si>
  <si>
    <t>ＢＷ2021157</t>
  </si>
  <si>
    <t>ＢＷ2021158</t>
  </si>
  <si>
    <t>ＢＷ2021159</t>
  </si>
  <si>
    <t>ＢＷ2021160</t>
  </si>
  <si>
    <t>ＢＷ2021161</t>
  </si>
  <si>
    <t>ＢＷ2021162</t>
  </si>
  <si>
    <t>ＢＷ2021163</t>
  </si>
  <si>
    <t>ＢＷ2021164</t>
  </si>
  <si>
    <t>ＢＷ2021165</t>
  </si>
  <si>
    <t>ＢＷ2021166</t>
  </si>
  <si>
    <t>ＢＷ2021167</t>
  </si>
  <si>
    <t>ＢＷ2021168</t>
  </si>
  <si>
    <t>ＢＷ2021169</t>
  </si>
  <si>
    <t>ＢＷ2021170</t>
  </si>
  <si>
    <t>ＢＷ2021171</t>
  </si>
  <si>
    <t>ＢＷ2021172</t>
  </si>
  <si>
    <t>ＢＷ2021173</t>
  </si>
  <si>
    <t>ＢＷ2021174</t>
  </si>
  <si>
    <t>ＢＷ2021175</t>
  </si>
  <si>
    <t>ＢＷ2021176</t>
  </si>
  <si>
    <t>ＢＷ2021177</t>
  </si>
  <si>
    <t>ＢＷ2021178</t>
  </si>
  <si>
    <t>ＢＷ2021179</t>
  </si>
  <si>
    <t>ＢＷ2021180</t>
  </si>
  <si>
    <t>ＢＷ2021181</t>
  </si>
  <si>
    <t>ＢＷ2021182</t>
  </si>
  <si>
    <t>ＢＷ2021183</t>
  </si>
  <si>
    <t>ＢＷ2021184</t>
  </si>
  <si>
    <t>ＢＷ2021185</t>
  </si>
  <si>
    <t>ＢＷ2021186</t>
  </si>
  <si>
    <t>ＢＷ2021187</t>
  </si>
  <si>
    <t>ＢＷ2021188</t>
  </si>
  <si>
    <t>ＢＷ2021189</t>
  </si>
  <si>
    <t>ＢＷ2021190</t>
  </si>
  <si>
    <t>ＢＷ2021191</t>
  </si>
  <si>
    <t>ＢＷ2021192</t>
  </si>
  <si>
    <t>ＢＷ2021193</t>
  </si>
  <si>
    <t>ＢＷ2021194</t>
  </si>
  <si>
    <t>ＢＷ2021195</t>
  </si>
  <si>
    <t>ＢＷ2021196</t>
  </si>
  <si>
    <t>ＢＷ2021197</t>
  </si>
  <si>
    <t>ＢＷ2021198</t>
  </si>
  <si>
    <t>ＢＷ2021199</t>
  </si>
  <si>
    <t>ＢＷ2021200</t>
  </si>
  <si>
    <t>ＢＷ2021201</t>
  </si>
  <si>
    <t>ＢＷ2021202</t>
  </si>
  <si>
    <t>ＢＷ2021203</t>
  </si>
  <si>
    <t>ＢＷ2021204</t>
  </si>
  <si>
    <t>ＢＷ2021230</t>
  </si>
  <si>
    <t>ＢＷ2021205</t>
  </si>
  <si>
    <t>ＢＷ2021206</t>
  </si>
  <si>
    <t>ＢＷ2021207</t>
  </si>
  <si>
    <t>ＢＷ2021208</t>
  </si>
  <si>
    <t>ＢＷ2021225</t>
  </si>
  <si>
    <t>ＢＷ2021209</t>
  </si>
  <si>
    <t>ＢＷ2021210</t>
  </si>
  <si>
    <t>ＢＷ2021211</t>
  </si>
  <si>
    <t>ＢＷ2021212</t>
  </si>
  <si>
    <t>ＢＷ2021220</t>
  </si>
  <si>
    <t>ＢＷ2021213</t>
  </si>
  <si>
    <t>ＢＷ2021214</t>
  </si>
  <si>
    <t>ＢＷ2021215</t>
  </si>
  <si>
    <t>ＢＷ2021216</t>
  </si>
  <si>
    <t>ＢＷ2021217</t>
  </si>
  <si>
    <t>ＢＷ2021218</t>
  </si>
  <si>
    <t>ＢＷ2021219</t>
  </si>
  <si>
    <t>ＢＷ2021228</t>
  </si>
  <si>
    <t>ＢＷ2021221</t>
  </si>
  <si>
    <t>ＢＷ2021222</t>
  </si>
  <si>
    <t>ＢＷ2021223</t>
  </si>
  <si>
    <t>ＢＷ2021224</t>
  </si>
  <si>
    <t>ＢＷ2021229</t>
  </si>
  <si>
    <t>ＢＷ2021226</t>
  </si>
  <si>
    <t>ＢＷ2021227</t>
  </si>
  <si>
    <t>ＢＷ2021231</t>
  </si>
  <si>
    <t>ＢＷ2021232</t>
  </si>
  <si>
    <t>ＢＷ2021233</t>
  </si>
  <si>
    <t>ＢＷ2021234</t>
  </si>
  <si>
    <t>ＢＷ2021235</t>
  </si>
  <si>
    <t>ＢＷ2021236</t>
  </si>
  <si>
    <t>ＢＷ2021237</t>
  </si>
  <si>
    <t>ＢＷ2021238</t>
  </si>
  <si>
    <t>ＢＷ2021239</t>
  </si>
  <si>
    <t>ＢＷ2021240</t>
  </si>
  <si>
    <t>ＢＷ2021241</t>
  </si>
  <si>
    <t>ＢＷ2021242</t>
  </si>
  <si>
    <t>ＢＷ2021243</t>
  </si>
  <si>
    <t>ＢＷ2021244</t>
  </si>
  <si>
    <t>ＢＷ2021245</t>
  </si>
  <si>
    <t>ＢＷ2021246</t>
  </si>
  <si>
    <t>ＢＷ2021247</t>
  </si>
  <si>
    <t>ＢＷ2021248</t>
  </si>
  <si>
    <t>ＢＷ2021249</t>
  </si>
  <si>
    <t>ＢＷ2021250</t>
  </si>
  <si>
    <t>ＢＷ2021251</t>
  </si>
  <si>
    <t>ＢＷ2021252</t>
  </si>
  <si>
    <t>ＢＷ2021253</t>
  </si>
  <si>
    <t>ＢＷ2021254</t>
  </si>
  <si>
    <t>ＢＷ2021255</t>
  </si>
  <si>
    <t>ＢＷ2021256</t>
  </si>
  <si>
    <t>ＢＷ2021257</t>
  </si>
  <si>
    <t>ＢＷ2021258</t>
  </si>
  <si>
    <t>ＢＷ2021259</t>
  </si>
  <si>
    <t>ＢＷ2021260</t>
  </si>
  <si>
    <t>ＢＷ2021261</t>
  </si>
  <si>
    <t>ＢＷ2021262</t>
  </si>
  <si>
    <t>ＢＷ2021263</t>
  </si>
  <si>
    <t>ＢＷ2021264</t>
  </si>
  <si>
    <t>ＢＷ2021265</t>
  </si>
  <si>
    <t>ＢＷ2021266</t>
  </si>
  <si>
    <t>ＢＷ2021267</t>
  </si>
  <si>
    <t>ＢＷ2021268</t>
  </si>
  <si>
    <t>ＢＷ2021269</t>
  </si>
  <si>
    <t>ＢＷ2021270</t>
  </si>
  <si>
    <t>ＢＷ2021271</t>
  </si>
  <si>
    <t>ＢＷ2021272</t>
  </si>
  <si>
    <t>ＢＷ2021273</t>
  </si>
  <si>
    <t>ＢＷ2021274</t>
  </si>
  <si>
    <t>ＢＷ2021275</t>
  </si>
  <si>
    <t>ＢＷ2021276</t>
  </si>
  <si>
    <t>ＢＷ2021277</t>
  </si>
  <si>
    <t>ＢＷ2021278</t>
  </si>
  <si>
    <t>ＢＷ2021279</t>
  </si>
  <si>
    <t>ＢＷ2021280</t>
  </si>
  <si>
    <t>ＢＷ2021281</t>
  </si>
  <si>
    <t>ＢＷ2021282</t>
  </si>
  <si>
    <t>ＢＷ2021283</t>
  </si>
  <si>
    <t>ＢＷ2021284</t>
  </si>
  <si>
    <t>ＢＷ2021285</t>
  </si>
  <si>
    <t>ＢＷ2021286</t>
  </si>
  <si>
    <t>ＢＷ2021287</t>
  </si>
  <si>
    <t>ＢＷ2021288</t>
  </si>
  <si>
    <t>ＢＷ2021289</t>
  </si>
  <si>
    <t>ＢＷ2021290</t>
  </si>
  <si>
    <t>ＢＷ2021291</t>
  </si>
  <si>
    <t>ＢＷ2021292</t>
  </si>
  <si>
    <t>ＢＷ2021293</t>
  </si>
  <si>
    <t>ＢＷ2021294</t>
  </si>
  <si>
    <t>ＢＷ2021295</t>
  </si>
  <si>
    <t>ＢＷ2021296</t>
  </si>
  <si>
    <t>ＢＷ2021297</t>
  </si>
  <si>
    <t>ＢＷ2021298</t>
  </si>
  <si>
    <t>ＢＷ2021299</t>
  </si>
  <si>
    <t>ＢＷ2021300</t>
  </si>
  <si>
    <t>ＢＷ2021301</t>
  </si>
  <si>
    <t>ＢＷ2021302</t>
  </si>
  <si>
    <t>ＢＷ2021303</t>
  </si>
  <si>
    <t>ＢＷ2021304</t>
  </si>
  <si>
    <t>ＢＷ2021305</t>
  </si>
  <si>
    <t>ＢＷ2021306</t>
  </si>
  <si>
    <t>ＢＷ2021307</t>
  </si>
  <si>
    <t>ＢＷ2021308</t>
  </si>
  <si>
    <t>ＢＷ2021309</t>
  </si>
  <si>
    <t>ＢＷ2021310</t>
  </si>
  <si>
    <t>ＢＷ2021311</t>
  </si>
  <si>
    <t>ＢＷ2021312</t>
  </si>
  <si>
    <t>ＢＷ2021313</t>
  </si>
  <si>
    <t>ＢＷ2021314</t>
  </si>
  <si>
    <t>ＢＷ2021315</t>
  </si>
  <si>
    <t>ＢＷ2021316</t>
  </si>
  <si>
    <t>ＢＷ2021317</t>
  </si>
  <si>
    <t>ＢＷ2021318</t>
  </si>
  <si>
    <t>ＢＷ2021319</t>
  </si>
  <si>
    <t>ＢＷ2021320</t>
  </si>
  <si>
    <t>ＢＷ2021321</t>
  </si>
  <si>
    <t>ＢＷ2021322</t>
  </si>
  <si>
    <t>ＢＷ2021334</t>
  </si>
  <si>
    <t>ＢＷ2021335</t>
  </si>
  <si>
    <t>ＢＷ2021343</t>
  </si>
  <si>
    <t>ＢＷ2021323</t>
  </si>
  <si>
    <t>ＢＷ2021324</t>
  </si>
  <si>
    <t>ＢＷ2021336</t>
  </si>
  <si>
    <t>ＢＷ2021337</t>
  </si>
  <si>
    <t>ＢＷ2021344</t>
  </si>
  <si>
    <t>ＢＷ2021325</t>
  </si>
  <si>
    <t>ＢＷ2021326</t>
  </si>
  <si>
    <t>ＢＷ2021338</t>
  </si>
  <si>
    <t>ＢＷ2021339</t>
  </si>
  <si>
    <t>ＢＷ2021345</t>
  </si>
  <si>
    <t>ＢＷ2021327</t>
  </si>
  <si>
    <t>ＢＷ2021328</t>
  </si>
  <si>
    <t>ＢＷ2021340</t>
  </si>
  <si>
    <t>ＢＷ2021341</t>
  </si>
  <si>
    <t>ＢＷ2021346</t>
  </si>
  <si>
    <t>ＢＷ2021329</t>
  </si>
  <si>
    <t>ＢＷ2021330</t>
  </si>
  <si>
    <t>ＢＷ2021342</t>
  </si>
  <si>
    <t>ＢＷ2021347</t>
  </si>
  <si>
    <t>ＢＷ2021348</t>
  </si>
  <si>
    <t>ＢＷ2021331</t>
  </si>
  <si>
    <t>ＢＷ2021332</t>
  </si>
  <si>
    <t>ＢＷ2021333</t>
  </si>
  <si>
    <t>ＢＷ2021349</t>
  </si>
  <si>
    <t>ＢＷ2021350</t>
  </si>
  <si>
    <t>ＢＷ2021351</t>
  </si>
  <si>
    <t>ＢＷ2021352</t>
  </si>
  <si>
    <t>ＢＷ2021353</t>
  </si>
  <si>
    <t>ＢＷ2021354</t>
  </si>
  <si>
    <t>ＢＷ2021355</t>
  </si>
  <si>
    <t>ＢＷ2021356</t>
  </si>
  <si>
    <t>ＢＷ2021357</t>
  </si>
  <si>
    <t>ＢＷ2021358</t>
  </si>
  <si>
    <t>ＢＷ2021359</t>
  </si>
  <si>
    <t>ＢＷ2021360</t>
  </si>
  <si>
    <t>ＢＷ2021361</t>
  </si>
  <si>
    <t>ＢＷ2021362</t>
  </si>
  <si>
    <t>ＢＷ2021363</t>
  </si>
  <si>
    <t>ＢＷ2021364</t>
  </si>
  <si>
    <t>ＢＷ2021365</t>
  </si>
  <si>
    <t>ＢＷ2021366</t>
  </si>
  <si>
    <t>ＢＷ2021367</t>
  </si>
  <si>
    <t>ＢＷ2021368</t>
  </si>
  <si>
    <t>ＢＷ2021369</t>
  </si>
  <si>
    <t>ＢＷ2021370</t>
  </si>
  <si>
    <t>ＢＷ2021371</t>
  </si>
  <si>
    <t>ＢＷ2021372</t>
  </si>
  <si>
    <t>ＢＷ2021373</t>
  </si>
  <si>
    <t>ＢＷ2021374</t>
  </si>
  <si>
    <t>ＢＷ2021375</t>
  </si>
  <si>
    <t>ＢＷ2021376</t>
  </si>
  <si>
    <t>ＢＷ2021377</t>
  </si>
  <si>
    <t>ＢＷ2021378</t>
  </si>
  <si>
    <t>ＢＷ2021379</t>
  </si>
  <si>
    <t>ＢＷ2021380</t>
  </si>
  <si>
    <t>ＢＷ2021381</t>
  </si>
  <si>
    <t>ＢＷ2021387</t>
  </si>
  <si>
    <t>ＢＷ2021388</t>
  </si>
  <si>
    <t>ＢＷ2021399</t>
  </si>
  <si>
    <t>ＢＷ2021382</t>
  </si>
  <si>
    <t>ＢＷ2021389</t>
  </si>
  <si>
    <t>ＢＷ2021390</t>
  </si>
  <si>
    <t>ＢＷ2021400</t>
  </si>
  <si>
    <t>ＢＷ2021401</t>
  </si>
  <si>
    <t>ＢＷ2021383</t>
  </si>
  <si>
    <t>ＢＷ2021391</t>
  </si>
  <si>
    <t>ＢＷ2021392</t>
  </si>
  <si>
    <t>ＢＷ2021402</t>
  </si>
  <si>
    <t>ＢＷ2021403</t>
  </si>
  <si>
    <t>ＢＷ2021384</t>
  </si>
  <si>
    <t>ＢＷ2021393</t>
  </si>
  <si>
    <t>ＢＷ2021394</t>
  </si>
  <si>
    <t>ＢＷ2021404</t>
  </si>
  <si>
    <t>ＢＷ2021405</t>
  </si>
  <si>
    <t>ＢＷ2021385</t>
  </si>
  <si>
    <t>ＢＷ2021395</t>
  </si>
  <si>
    <t>ＢＷ2021396</t>
  </si>
  <si>
    <t>ＢＷ2021406</t>
  </si>
  <si>
    <t>ＢＷ2021407</t>
  </si>
  <si>
    <t>ＢＷ2021386</t>
  </si>
  <si>
    <t>ＢＷ2021397</t>
  </si>
  <si>
    <t>ＢＷ2021398</t>
  </si>
  <si>
    <t>ＢＷ2021408</t>
  </si>
  <si>
    <t>ＢＷ2021409</t>
  </si>
  <si>
    <t>ＢＷ2021410</t>
  </si>
  <si>
    <t>ＢＷ2021416</t>
  </si>
  <si>
    <t>ＢＷ2021417</t>
  </si>
  <si>
    <t>ＢＷ2021418</t>
  </si>
  <si>
    <t>ＢＷ2021411</t>
  </si>
  <si>
    <t>ＢＷ2021419</t>
  </si>
  <si>
    <t>ＢＷ2021420</t>
  </si>
  <si>
    <t>ＢＷ2021421</t>
  </si>
  <si>
    <t>ＢＷ2021412</t>
  </si>
  <si>
    <t>ＢＷ2021422</t>
  </si>
  <si>
    <t>ＢＷ2021423</t>
  </si>
  <si>
    <t>ＢＷ2021424</t>
  </si>
  <si>
    <t>ＢＷ2021413</t>
  </si>
  <si>
    <t>ＢＷ2021425</t>
  </si>
  <si>
    <t>ＢＷ2021426</t>
  </si>
  <si>
    <t>ＢＷ2021427</t>
  </si>
  <si>
    <t>ＢＷ2021414</t>
  </si>
  <si>
    <t>ＢＷ2021428</t>
  </si>
  <si>
    <t>ＢＷ2021429</t>
  </si>
  <si>
    <t>ＢＷ2021415</t>
  </si>
  <si>
    <t>ＢＷ2021430</t>
  </si>
  <si>
    <t>ＢＷ2021431</t>
  </si>
  <si>
    <t>ＢＷ2021432</t>
  </si>
  <si>
    <t>ＢＷ2021433</t>
  </si>
  <si>
    <t>ＢＷ2021434</t>
  </si>
  <si>
    <t>ＢＷ2021435</t>
  </si>
  <si>
    <t>ＢＷ2021436</t>
  </si>
  <si>
    <t>ＢＷ2021437</t>
  </si>
  <si>
    <t>ＢＷ2021438</t>
  </si>
  <si>
    <t>ＢＷ2021439</t>
  </si>
  <si>
    <t>ＢＷ2021440</t>
  </si>
  <si>
    <t>ＢＷ2021441</t>
  </si>
  <si>
    <t>ＢＷ2021442</t>
  </si>
  <si>
    <t>ＢＷ2021443</t>
  </si>
  <si>
    <t>ＢＷ2021444</t>
  </si>
  <si>
    <t>ＢＷ2021445</t>
  </si>
  <si>
    <t>ＢＷ2021446</t>
  </si>
  <si>
    <t>ＢＷ2021447</t>
  </si>
  <si>
    <t>ＢＷ2021448</t>
  </si>
  <si>
    <t>ＢＷ2021449</t>
  </si>
  <si>
    <t>ＢＷ2021450</t>
  </si>
  <si>
    <t>ＢＷ2021451</t>
  </si>
  <si>
    <t>ＢＷ2021452</t>
  </si>
  <si>
    <t>ＢＷ2021453</t>
  </si>
  <si>
    <t>ＢＷ2021454</t>
  </si>
  <si>
    <t>ＢＷ2021455</t>
  </si>
  <si>
    <t>ＢＷ2021456</t>
  </si>
  <si>
    <t>ＢＷ2021457</t>
  </si>
  <si>
    <t>ＢＷ2021458</t>
  </si>
  <si>
    <t>ＢＷ2021459</t>
  </si>
  <si>
    <t>ＢＷ2021460</t>
  </si>
  <si>
    <t>ＢＷ2021461</t>
  </si>
  <si>
    <t>ＢＷ2021465</t>
  </si>
  <si>
    <t>ＢＷ2021466</t>
  </si>
  <si>
    <t>ＢＷ2021477</t>
  </si>
  <si>
    <t>ＢＷ2021478</t>
  </si>
  <si>
    <t>ＢＷ2021479</t>
  </si>
  <si>
    <t>ＢＷ2021467</t>
  </si>
  <si>
    <t>ＢＷ2021468</t>
  </si>
  <si>
    <t>ＢＷ2021480</t>
  </si>
  <si>
    <t>ＢＷ2021481</t>
  </si>
  <si>
    <t>ＢＷ2021482</t>
  </si>
  <si>
    <t>ＢＷ2021469</t>
  </si>
  <si>
    <t>ＢＷ2021470</t>
  </si>
  <si>
    <t>ＢＷ2021483</t>
  </si>
  <si>
    <t>ＢＷ2021484</t>
  </si>
  <si>
    <t>ＢＷ2021485</t>
  </si>
  <si>
    <t>ＢＷ2021462</t>
  </si>
  <si>
    <t>ＢＷ2021471</t>
  </si>
  <si>
    <t>ＢＷ2021472</t>
  </si>
  <si>
    <t>ＢＷ2021486</t>
  </si>
  <si>
    <t>ＢＷ2021487</t>
  </si>
  <si>
    <t>ＢＷ2021463</t>
  </si>
  <si>
    <t>ＢＷ2021473</t>
  </si>
  <si>
    <t>ＢＷ2021474</t>
  </si>
  <si>
    <t>ＢＷ2021488</t>
  </si>
  <si>
    <t>ＢＷ2021489</t>
  </si>
  <si>
    <t>ＢＷ2021464</t>
  </si>
  <si>
    <t>ＢＷ2021475</t>
  </si>
  <si>
    <t>ＢＷ2021476</t>
  </si>
  <si>
    <t>ＢＷ2021490</t>
  </si>
  <si>
    <t>ＢＷ2021491</t>
  </si>
  <si>
    <t>ＢＷ2021492</t>
  </si>
  <si>
    <t>ＢＷ2021493</t>
  </si>
  <si>
    <t>ＢＷ2021508</t>
  </si>
  <si>
    <t>ＢＷ2021509</t>
  </si>
  <si>
    <t>ＢＷ2021494</t>
  </si>
  <si>
    <t>ＢＷ2021495</t>
  </si>
  <si>
    <t>ＢＷ2021510</t>
  </si>
  <si>
    <t>ＢＷ2021511</t>
  </si>
  <si>
    <t>ＢＷ2021496</t>
  </si>
  <si>
    <t>ＢＷ2021497</t>
  </si>
  <si>
    <t>ＢＷ2021503</t>
  </si>
  <si>
    <t>ＢＷ2021498</t>
  </si>
  <si>
    <t>ＢＷ2021499</t>
  </si>
  <si>
    <t>ＢＷ2021504</t>
  </si>
  <si>
    <t>ＢＷ2021500</t>
  </si>
  <si>
    <t>ＢＷ2021501</t>
  </si>
  <si>
    <t>ＢＷ2021505</t>
  </si>
  <si>
    <t>ＢＷ2021502</t>
  </si>
  <si>
    <t>ＢＷ2021506</t>
  </si>
  <si>
    <t>ＢＷ2021507</t>
  </si>
  <si>
    <t>ＢＷ2021512</t>
  </si>
  <si>
    <t>ＢＷ2021513</t>
  </si>
  <si>
    <t>ＢＷ2021514</t>
  </si>
  <si>
    <t>ＢＷ2021515</t>
  </si>
  <si>
    <t>ＢＷ2021522</t>
  </si>
  <si>
    <t>ＢＷ2021516</t>
  </si>
  <si>
    <t>ＢＷ2021517</t>
  </si>
  <si>
    <t>ＢＷ2021523</t>
  </si>
  <si>
    <t>ＢＷ2021518</t>
  </si>
  <si>
    <t>ＢＷ2021521</t>
  </si>
  <si>
    <t>ＢＷ2021524</t>
  </si>
  <si>
    <t>ＢＷ2021519</t>
  </si>
  <si>
    <t>ＢＷ2021525</t>
  </si>
  <si>
    <t>ＢＷ2021526</t>
  </si>
  <si>
    <t>ＢＷ2021520</t>
  </si>
  <si>
    <t>ＢＷ2021527</t>
  </si>
  <si>
    <t>ＢＷ2021528</t>
  </si>
  <si>
    <t>ＢＷ2021534</t>
  </si>
  <si>
    <t>ＢＷ2021535</t>
  </si>
  <si>
    <t>中专汽车与维修</t>
  </si>
  <si>
    <t>ＢＷ2021533</t>
  </si>
  <si>
    <t>ＢＷ2021536</t>
  </si>
  <si>
    <t>ＢＷ2021529</t>
  </si>
  <si>
    <t>ＢＷ2021530</t>
  </si>
  <si>
    <t>ＢＷ2021531</t>
  </si>
  <si>
    <t>ＢＷ2021532</t>
  </si>
  <si>
    <t>招聘考试【领取准考证登记表】</t>
  </si>
  <si>
    <t>领取人签名</t>
  </si>
  <si>
    <t>招聘考试考场查询表</t>
  </si>
  <si>
    <t>编外合同制教师招聘【考试成绩登分表】</t>
  </si>
  <si>
    <t>成绩</t>
  </si>
  <si>
    <t>排序</t>
  </si>
  <si>
    <t>附件</t>
  </si>
  <si>
    <t>永修县2023年面向社会公开招聘编外合同制教师面试成绩表</t>
  </si>
  <si>
    <t>面试准考证号</t>
  </si>
  <si>
    <t>面试
分数</t>
  </si>
  <si>
    <t>修正
系数</t>
  </si>
  <si>
    <t>面试
成绩</t>
  </si>
  <si>
    <t>BW2023117</t>
  </si>
  <si>
    <t>BW2023009</t>
  </si>
  <si>
    <t>BW2023049</t>
  </si>
  <si>
    <t>BW2023038</t>
  </si>
  <si>
    <t>BW2023006</t>
  </si>
  <si>
    <t>BW2023115</t>
  </si>
  <si>
    <t>BW2023118</t>
  </si>
  <si>
    <t>BW2023023</t>
  </si>
  <si>
    <t>BW2023043</t>
  </si>
  <si>
    <t>BW2023022</t>
  </si>
  <si>
    <t>BW2023041</t>
  </si>
  <si>
    <t>BW2023030</t>
  </si>
  <si>
    <t>BW2023059</t>
  </si>
  <si>
    <t>BW2023093</t>
  </si>
  <si>
    <t>BW2023083</t>
  </si>
  <si>
    <t>BW2023129</t>
  </si>
  <si>
    <t>BW2023074</t>
  </si>
  <si>
    <t>BW2023010</t>
  </si>
  <si>
    <t>BW2023190</t>
  </si>
  <si>
    <t>BW2023034</t>
  </si>
  <si>
    <t>BW2023070</t>
  </si>
  <si>
    <t>BW2023075</t>
  </si>
  <si>
    <t>BW2023125</t>
  </si>
  <si>
    <t>BW2023095</t>
  </si>
  <si>
    <t>BW2023102</t>
  </si>
  <si>
    <t>BW2023015</t>
  </si>
  <si>
    <t>BW2023086</t>
  </si>
  <si>
    <t>BW2023097</t>
  </si>
  <si>
    <t>BW2023114</t>
  </si>
  <si>
    <t>BW2023024</t>
  </si>
  <si>
    <t>BW2023066</t>
  </si>
  <si>
    <t>BW2023002</t>
  </si>
  <si>
    <t>BW2023100</t>
  </si>
  <si>
    <t>BW2023173</t>
  </si>
  <si>
    <t>BW2023067</t>
  </si>
  <si>
    <t>BW2023011</t>
  </si>
  <si>
    <t>BW2023017</t>
  </si>
  <si>
    <t>BW2023033</t>
  </si>
  <si>
    <t>BW2023013</t>
  </si>
  <si>
    <t>BW2023035</t>
  </si>
  <si>
    <t>BW2023148</t>
  </si>
  <si>
    <t>BW2023186</t>
  </si>
  <si>
    <t>BW2023019</t>
  </si>
  <si>
    <t>BW2023031</t>
  </si>
  <si>
    <t>BW2023104</t>
  </si>
  <si>
    <t>BW2023080</t>
  </si>
  <si>
    <t>BW2023021</t>
  </si>
  <si>
    <t>BW2023183</t>
  </si>
  <si>
    <t>BW2023106</t>
  </si>
  <si>
    <t>BW2023138</t>
  </si>
  <si>
    <t>BW2023005</t>
  </si>
  <si>
    <t>BW2023054</t>
  </si>
  <si>
    <t>BW2023165</t>
  </si>
  <si>
    <t>BW2023008</t>
  </si>
  <si>
    <t>BW2023189</t>
  </si>
  <si>
    <t>BW2023081</t>
  </si>
  <si>
    <t>BW2023121</t>
  </si>
  <si>
    <t>BW2023119</t>
  </si>
  <si>
    <t>BW2023018</t>
  </si>
  <si>
    <t>BW2023099</t>
  </si>
  <si>
    <t>BW2023184</t>
  </si>
  <si>
    <t>BW2023174</t>
  </si>
  <si>
    <t>BW2023170</t>
  </si>
  <si>
    <t>BW2023020</t>
  </si>
  <si>
    <t>BW2023092</t>
  </si>
  <si>
    <t>BW2023177</t>
  </si>
  <si>
    <t>BW2023105</t>
  </si>
  <si>
    <t>BW2023091</t>
  </si>
  <si>
    <t>BW2023046</t>
  </si>
  <si>
    <t>BW2023057</t>
  </si>
  <si>
    <t>BW2023055</t>
  </si>
  <si>
    <t>BW2023065</t>
  </si>
  <si>
    <t>BW2023068</t>
  </si>
  <si>
    <t>BW2023025</t>
  </si>
  <si>
    <t>BW2023152</t>
  </si>
  <si>
    <t>BW2023169</t>
  </si>
  <si>
    <t>BW2023166</t>
  </si>
  <si>
    <t>BW2023039</t>
  </si>
  <si>
    <t>BW2023094</t>
  </si>
  <si>
    <t>BW2023029</t>
  </si>
  <si>
    <t>BW2023164</t>
  </si>
  <si>
    <t>BW2023076</t>
  </si>
  <si>
    <t>BW2023149</t>
  </si>
  <si>
    <t>BW2023078</t>
  </si>
  <si>
    <t>BW2023110</t>
  </si>
  <si>
    <t>BW2023182</t>
  </si>
  <si>
    <t>BW2023051</t>
  </si>
  <si>
    <t>BW2023157</t>
  </si>
  <si>
    <t>BW2023071</t>
  </si>
  <si>
    <t>BW2023112</t>
  </si>
  <si>
    <t>BW2023050</t>
  </si>
  <si>
    <t>BW2023185</t>
  </si>
  <si>
    <t>BW2023108</t>
  </si>
  <si>
    <t>BW2023079</t>
  </si>
  <si>
    <t>BW2023084</t>
  </si>
  <si>
    <t>BW2023131</t>
  </si>
  <si>
    <t>BW2023120</t>
  </si>
  <si>
    <t>BW2023135</t>
  </si>
  <si>
    <t>BW2023069</t>
  </si>
  <si>
    <t>BW2023014</t>
  </si>
  <si>
    <t>BW2023123</t>
  </si>
  <si>
    <t>BW2023159</t>
  </si>
  <si>
    <t>BW2023140</t>
  </si>
  <si>
    <t>BW2023060</t>
  </si>
  <si>
    <t>BW2023004</t>
  </si>
  <si>
    <t>BW2023133</t>
  </si>
  <si>
    <t>BW2023158</t>
  </si>
  <si>
    <t>BW2023058</t>
  </si>
  <si>
    <t>BW2023032</t>
  </si>
  <si>
    <t>BW2023062</t>
  </si>
  <si>
    <t>BW2023012</t>
  </si>
  <si>
    <t>BW2023147</t>
  </si>
  <si>
    <t>BW2023047</t>
  </si>
  <si>
    <t>BW2023127</t>
  </si>
  <si>
    <t>BW2023072</t>
  </si>
  <si>
    <t>BW2023003</t>
  </si>
  <si>
    <t>BW2023122</t>
  </si>
  <si>
    <t>BW2023161</t>
  </si>
  <si>
    <t>BW2023155</t>
  </si>
  <si>
    <t>BW2023042</t>
  </si>
  <si>
    <t>BW2023053</t>
  </si>
  <si>
    <t>BW2023044</t>
  </si>
  <si>
    <t>BW2023061</t>
  </si>
  <si>
    <t>BW2023037</t>
  </si>
  <si>
    <t>BW2023163</t>
  </si>
  <si>
    <t>BW2023160</t>
  </si>
  <si>
    <t>BW2023134</t>
  </si>
  <si>
    <t>BW2023162</t>
  </si>
  <si>
    <t>BW2023007</t>
  </si>
  <si>
    <t>BW2023096</t>
  </si>
  <si>
    <t>特教学校</t>
  </si>
  <si>
    <t>特殊教育</t>
  </si>
  <si>
    <t>BW2023193</t>
  </si>
  <si>
    <t>BW2023196</t>
  </si>
  <si>
    <t>BW2023194</t>
  </si>
  <si>
    <t>BW2023198</t>
  </si>
  <si>
    <t>初中学校</t>
  </si>
  <si>
    <t>BW2023202</t>
  </si>
  <si>
    <t>BW2023204</t>
  </si>
  <si>
    <t>BW2023209</t>
  </si>
  <si>
    <t>BW2023228</t>
  </si>
  <si>
    <t>BW2023238</t>
  </si>
  <si>
    <t>BW2023233</t>
  </si>
  <si>
    <t>BW2023237</t>
  </si>
  <si>
    <t>BW2023236</t>
  </si>
  <si>
    <t>BW2023253</t>
  </si>
  <si>
    <t>BW2023247</t>
  </si>
  <si>
    <t>BW2023268</t>
  </si>
  <si>
    <t>BW2023251</t>
  </si>
  <si>
    <t>BW2023280</t>
  </si>
  <si>
    <t>BW2023277</t>
  </si>
  <si>
    <t>BW2023310</t>
  </si>
  <si>
    <t>BW2023281</t>
  </si>
  <si>
    <t>BW2023312</t>
  </si>
  <si>
    <t>BW2023300</t>
  </si>
  <si>
    <t>BW2023356</t>
  </si>
  <si>
    <t>BW2023354</t>
  </si>
  <si>
    <t>BW2023360</t>
  </si>
  <si>
    <t>BW2023359</t>
  </si>
  <si>
    <t>BW2023353</t>
  </si>
  <si>
    <t>BW2023357</t>
  </si>
  <si>
    <t>BW2023361</t>
  </si>
  <si>
    <t>BW2023365</t>
  </si>
  <si>
    <t>BW2023370</t>
  </si>
  <si>
    <t>BW2023364</t>
  </si>
  <si>
    <t>BW2023373</t>
  </si>
  <si>
    <t>BW2023377</t>
  </si>
  <si>
    <t>BW2023379</t>
  </si>
  <si>
    <t>BW2023374</t>
  </si>
  <si>
    <t>BW2023382</t>
  </si>
  <si>
    <t>BW2023381</t>
  </si>
  <si>
    <t>BW2023388</t>
  </si>
  <si>
    <t>BW2023385</t>
  </si>
  <si>
    <t>BW2023389</t>
  </si>
  <si>
    <t>BW2023391</t>
  </si>
  <si>
    <t>BW2023390</t>
  </si>
  <si>
    <t>BW2023395</t>
  </si>
  <si>
    <t>BW2023393</t>
  </si>
  <si>
    <t>BW2023396</t>
  </si>
  <si>
    <t>BW2023398</t>
  </si>
  <si>
    <t>BW2023406</t>
  </si>
  <si>
    <t>BW2023421</t>
  </si>
  <si>
    <t>县二中高中部</t>
  </si>
  <si>
    <t>BW2023430</t>
  </si>
  <si>
    <t>BW2023434</t>
  </si>
  <si>
    <t>BW2023431</t>
  </si>
  <si>
    <t>BW2023432</t>
  </si>
  <si>
    <t>BW2023435</t>
  </si>
  <si>
    <t>BW2023437</t>
  </si>
  <si>
    <t>BW2023433</t>
  </si>
  <si>
    <t>BW2023440</t>
  </si>
  <si>
    <t>BW2023444</t>
  </si>
  <si>
    <t>BW2023441</t>
  </si>
  <si>
    <t>BW2023438</t>
  </si>
  <si>
    <t>BW2023446</t>
  </si>
  <si>
    <t>BW2023439</t>
  </si>
  <si>
    <t>BW2023442</t>
  </si>
  <si>
    <t>BW2023443</t>
  </si>
  <si>
    <t>高中心理健康</t>
  </si>
  <si>
    <t>BW2023449</t>
  </si>
  <si>
    <t>BW2023457</t>
  </si>
  <si>
    <t>BW2023455</t>
  </si>
  <si>
    <t>BW2023451</t>
  </si>
  <si>
    <t>BW2023452</t>
  </si>
  <si>
    <t>BW2023467</t>
  </si>
  <si>
    <t>BW2023469</t>
  </si>
  <si>
    <t>BW2023476</t>
  </si>
  <si>
    <t>BW2023466</t>
  </si>
  <si>
    <t>BW2023470</t>
  </si>
  <si>
    <t>BW2023468</t>
  </si>
  <si>
    <t>BW2023478</t>
  </si>
  <si>
    <t>BW2023484</t>
  </si>
  <si>
    <t>BW2023487</t>
  </si>
  <si>
    <t>BW2023486</t>
  </si>
  <si>
    <t>BW2023490</t>
  </si>
  <si>
    <t>BW2023491</t>
  </si>
  <si>
    <t>BW2023492</t>
  </si>
  <si>
    <t>BW2023503</t>
  </si>
  <si>
    <t>BW2023496</t>
  </si>
  <si>
    <t>BW2023495</t>
  </si>
  <si>
    <t>BW2023499</t>
  </si>
  <si>
    <t>BW2023498</t>
  </si>
  <si>
    <t>BW2023500</t>
  </si>
  <si>
    <t>BW2023502</t>
  </si>
  <si>
    <t>BW2023505</t>
  </si>
  <si>
    <t>BW2023506</t>
  </si>
  <si>
    <t>BW2023507</t>
  </si>
  <si>
    <t>BW2023508</t>
  </si>
  <si>
    <t>BW2023509</t>
  </si>
  <si>
    <t>BW2023510</t>
  </si>
  <si>
    <t>BW2023513</t>
  </si>
  <si>
    <t>BW2023520</t>
  </si>
  <si>
    <t>BW2023519</t>
  </si>
  <si>
    <t>BW2023516</t>
  </si>
  <si>
    <t>BW2023523</t>
  </si>
  <si>
    <t>BW2023522</t>
  </si>
  <si>
    <t>BW2023526</t>
  </si>
  <si>
    <t>BW2023527</t>
  </si>
  <si>
    <t>BW2023534</t>
  </si>
  <si>
    <t>BW2023535</t>
  </si>
  <si>
    <t>BW2023528</t>
  </si>
  <si>
    <t>BW2023529</t>
  </si>
  <si>
    <t>BW2023530</t>
  </si>
  <si>
    <t>BW2023531</t>
  </si>
  <si>
    <t>BW2023537</t>
  </si>
  <si>
    <t>BW2023536</t>
  </si>
  <si>
    <t>BW2023538</t>
  </si>
  <si>
    <t>BW2023539</t>
  </si>
  <si>
    <t>BW2023543</t>
  </si>
  <si>
    <t>建筑工程（中专）</t>
  </si>
  <si>
    <t>BW2023547</t>
  </si>
  <si>
    <t>电子商务（中专）</t>
  </si>
  <si>
    <t>BW2023548</t>
  </si>
  <si>
    <t>护理（中专）</t>
  </si>
  <si>
    <t>BW2023549</t>
  </si>
  <si>
    <t>平面设计（中专）</t>
  </si>
  <si>
    <t>BW2023551</t>
  </si>
  <si>
    <t>BW2023550</t>
  </si>
  <si>
    <t>附件：</t>
  </si>
  <si>
    <t>永修县2021年面向社会公开招聘编外合同制教师笔试成绩表</t>
  </si>
  <si>
    <t>考生笔试准考证号码</t>
  </si>
</sst>
</file>

<file path=xl/styles.xml><?xml version="1.0" encoding="utf-8"?>
<styleSheet xmlns="http://schemas.openxmlformats.org/spreadsheetml/2006/main">
  <numFmts count="6">
    <numFmt numFmtId="41" formatCode="_ * #,##0_ ;_ * \-#,##0_ ;_ * &quot;-&quot;_ ;_ @_ "/>
    <numFmt numFmtId="43" formatCode="_ * #,##0.00_ ;_ * \-#,##0.00_ ;_ * &quot;-&quot;??_ ;_ @_ "/>
    <numFmt numFmtId="176" formatCode="_(&quot;$&quot;* #,##0_);_(&quot;$&quot;* \(#,##0\);_(&quot;$&quot;* &quot;-&quot;_);_(@_)"/>
    <numFmt numFmtId="177" formatCode="_(&quot;$&quot;* #,##0.00_);_(&quot;$&quot;* \(#,##0.00\);_(&quot;$&quot;* &quot;-&quot;??_);_(@_)"/>
    <numFmt numFmtId="178" formatCode="0#"/>
    <numFmt numFmtId="179" formatCode="0.00_ "/>
  </numFmts>
  <fonts count="42">
    <font>
      <sz val="11"/>
      <color theme="1"/>
      <name val="宋体"/>
      <charset val="134"/>
      <scheme val="minor"/>
    </font>
    <font>
      <sz val="11"/>
      <color rgb="FFFF0000"/>
      <name val="宋体"/>
      <charset val="134"/>
      <scheme val="minor"/>
    </font>
    <font>
      <sz val="11"/>
      <color rgb="FF000000"/>
      <name val="宋体"/>
      <charset val="134"/>
      <scheme val="minor"/>
    </font>
    <font>
      <sz val="11"/>
      <name val="宋体"/>
      <charset val="134"/>
      <scheme val="minor"/>
    </font>
    <font>
      <sz val="10"/>
      <name val="宋体"/>
      <charset val="134"/>
      <scheme val="minor"/>
    </font>
    <font>
      <strike/>
      <sz val="11"/>
      <color rgb="FFFF0000"/>
      <name val="宋体"/>
      <charset val="134"/>
      <scheme val="minor"/>
    </font>
    <font>
      <sz val="12"/>
      <name val="黑体"/>
      <charset val="134"/>
    </font>
    <font>
      <sz val="14"/>
      <name val="方正小标宋简体"/>
      <charset val="134"/>
    </font>
    <font>
      <b/>
      <sz val="11"/>
      <name val="宋体"/>
      <charset val="134"/>
      <scheme val="minor"/>
    </font>
    <font>
      <sz val="10"/>
      <color theme="1"/>
      <name val="宋体"/>
      <charset val="134"/>
      <scheme val="minor"/>
    </font>
    <font>
      <b/>
      <sz val="14"/>
      <name val="宋体"/>
      <charset val="134"/>
      <scheme val="minor"/>
    </font>
    <font>
      <b/>
      <sz val="10"/>
      <name val="宋体"/>
      <charset val="134"/>
      <scheme val="minor"/>
    </font>
    <font>
      <sz val="18"/>
      <name val="方正小标宋简体"/>
      <charset val="134"/>
    </font>
    <font>
      <sz val="10"/>
      <color rgb="FFFF0000"/>
      <name val="宋体"/>
      <charset val="134"/>
      <scheme val="minor"/>
    </font>
    <font>
      <sz val="18"/>
      <color theme="1"/>
      <name val="方正小标宋简体"/>
      <charset val="134"/>
    </font>
    <font>
      <b/>
      <sz val="11"/>
      <color theme="1"/>
      <name val="宋体"/>
      <charset val="134"/>
      <scheme val="minor"/>
    </font>
    <font>
      <sz val="20"/>
      <color theme="1"/>
      <name val="方正小标宋简体"/>
      <charset val="134"/>
    </font>
    <font>
      <sz val="20"/>
      <name val="方正小标宋简体"/>
      <charset val="134"/>
    </font>
    <font>
      <strike/>
      <sz val="10"/>
      <color rgb="FFFF0000"/>
      <name val="宋体"/>
      <charset val="134"/>
      <scheme val="minor"/>
    </font>
    <font>
      <u/>
      <sz val="11"/>
      <color rgb="FF0000FF"/>
      <name val="宋体"/>
      <charset val="134"/>
      <scheme val="minor"/>
    </font>
    <font>
      <strike/>
      <sz val="11"/>
      <color theme="1"/>
      <name val="宋体"/>
      <charset val="134"/>
      <scheme val="minor"/>
    </font>
    <font>
      <sz val="16"/>
      <color theme="1"/>
      <name val="方正小标宋简体"/>
      <charset val="134"/>
    </font>
    <font>
      <sz val="12"/>
      <color theme="1"/>
      <name val="方正小标宋简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0" fillId="0" borderId="0" applyFont="0" applyFill="0" applyBorder="0" applyAlignment="0" applyProtection="0">
      <alignment vertical="center"/>
    </xf>
    <xf numFmtId="0" fontId="23" fillId="4" borderId="0" applyNumberFormat="0" applyBorder="0" applyAlignment="0" applyProtection="0">
      <alignment vertical="center"/>
    </xf>
    <xf numFmtId="0" fontId="24" fillId="5" borderId="13" applyNumberFormat="0" applyAlignment="0" applyProtection="0">
      <alignment vertical="center"/>
    </xf>
    <xf numFmtId="177"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6" borderId="0" applyNumberFormat="0" applyBorder="0" applyAlignment="0" applyProtection="0">
      <alignment vertical="center"/>
    </xf>
    <xf numFmtId="0" fontId="25" fillId="7" borderId="0" applyNumberFormat="0" applyBorder="0" applyAlignment="0" applyProtection="0">
      <alignment vertical="center"/>
    </xf>
    <xf numFmtId="43" fontId="0" fillId="0" borderId="0" applyFont="0" applyFill="0" applyBorder="0" applyAlignment="0" applyProtection="0">
      <alignment vertical="center"/>
    </xf>
    <xf numFmtId="0" fontId="26"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14" applyNumberFormat="0" applyFont="0" applyAlignment="0" applyProtection="0">
      <alignment vertical="center"/>
    </xf>
    <xf numFmtId="0" fontId="26" fillId="10"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5" applyNumberFormat="0" applyFill="0" applyAlignment="0" applyProtection="0">
      <alignment vertical="center"/>
    </xf>
    <xf numFmtId="0" fontId="34" fillId="0" borderId="15" applyNumberFormat="0" applyFill="0" applyAlignment="0" applyProtection="0">
      <alignment vertical="center"/>
    </xf>
    <xf numFmtId="0" fontId="26" fillId="11" borderId="0" applyNumberFormat="0" applyBorder="0" applyAlignment="0" applyProtection="0">
      <alignment vertical="center"/>
    </xf>
    <xf numFmtId="0" fontId="29" fillId="0" borderId="16" applyNumberFormat="0" applyFill="0" applyAlignment="0" applyProtection="0">
      <alignment vertical="center"/>
    </xf>
    <xf numFmtId="0" fontId="26" fillId="12" borderId="0" applyNumberFormat="0" applyBorder="0" applyAlignment="0" applyProtection="0">
      <alignment vertical="center"/>
    </xf>
    <xf numFmtId="0" fontId="35" fillId="13" borderId="17" applyNumberFormat="0" applyAlignment="0" applyProtection="0">
      <alignment vertical="center"/>
    </xf>
    <xf numFmtId="0" fontId="36" fillId="13" borderId="13" applyNumberFormat="0" applyAlignment="0" applyProtection="0">
      <alignment vertical="center"/>
    </xf>
    <xf numFmtId="0" fontId="37" fillId="14" borderId="18" applyNumberFormat="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23" fillId="19" borderId="0" applyNumberFormat="0" applyBorder="0" applyAlignment="0" applyProtection="0">
      <alignment vertical="center"/>
    </xf>
    <xf numFmtId="0" fontId="26"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6"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3" fillId="33" borderId="0" applyNumberFormat="0" applyBorder="0" applyAlignment="0" applyProtection="0">
      <alignment vertical="center"/>
    </xf>
    <xf numFmtId="0" fontId="26" fillId="34" borderId="0" applyNumberFormat="0" applyBorder="0" applyAlignment="0" applyProtection="0">
      <alignment vertical="center"/>
    </xf>
  </cellStyleXfs>
  <cellXfs count="162">
    <xf numFmtId="0" fontId="0" fillId="0" borderId="0" xfId="0">
      <alignment vertical="center"/>
    </xf>
    <xf numFmtId="0" fontId="0" fillId="0" borderId="1" xfId="0" applyBorder="1" applyAlignment="1">
      <alignment horizontal="center" vertical="center"/>
    </xf>
    <xf numFmtId="0" fontId="0" fillId="2" borderId="0" xfId="0" applyFill="1" applyAlignment="1">
      <alignment horizontal="center" vertical="center" wrapText="1"/>
    </xf>
    <xf numFmtId="0" fontId="0" fillId="0" borderId="0" xfId="0" applyFill="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Border="1" applyAlignment="1">
      <alignment horizontal="center" vertical="center" wrapText="1"/>
    </xf>
    <xf numFmtId="0" fontId="3" fillId="2" borderId="0" xfId="0" applyFont="1" applyFill="1">
      <alignment vertical="center"/>
    </xf>
    <xf numFmtId="0" fontId="3" fillId="0" borderId="0" xfId="0" applyFont="1">
      <alignment vertical="center"/>
    </xf>
    <xf numFmtId="0" fontId="3"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xf>
    <xf numFmtId="0" fontId="4" fillId="2" borderId="4" xfId="0" applyFont="1" applyFill="1" applyBorder="1" applyAlignment="1">
      <alignment horizontal="center" vertical="center"/>
    </xf>
    <xf numFmtId="0" fontId="3"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lignment vertical="center"/>
    </xf>
    <xf numFmtId="0" fontId="6" fillId="0" borderId="0" xfId="0" applyFont="1" applyFill="1">
      <alignment vertical="center"/>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lignment vertical="center"/>
    </xf>
    <xf numFmtId="0" fontId="9" fillId="0" borderId="0" xfId="0" applyFont="1" applyFill="1">
      <alignmen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179" fontId="3" fillId="0" borderId="4" xfId="0" applyNumberFormat="1" applyFont="1" applyBorder="1" applyAlignment="1">
      <alignment horizontal="center" vertical="center" wrapText="1"/>
    </xf>
    <xf numFmtId="0" fontId="3" fillId="0" borderId="10" xfId="0" applyFont="1" applyBorder="1" applyAlignment="1">
      <alignment horizontal="center" vertical="center" wrapText="1"/>
    </xf>
    <xf numFmtId="17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3" borderId="0" xfId="0" applyFont="1" applyFill="1" applyAlignment="1">
      <alignment horizontal="center" vertical="center" wrapText="1"/>
    </xf>
    <xf numFmtId="0" fontId="3" fillId="3" borderId="0" xfId="0" applyFont="1" applyFill="1" applyBorder="1" applyAlignment="1">
      <alignment horizontal="center" vertical="center" wrapText="1"/>
    </xf>
    <xf numFmtId="0" fontId="12" fillId="0" borderId="0" xfId="0" applyFont="1" applyFill="1" applyAlignment="1">
      <alignment horizontal="center" vertical="center"/>
    </xf>
    <xf numFmtId="0" fontId="3" fillId="3"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0" fillId="0" borderId="0" xfId="0" applyFill="1">
      <alignment vertical="center"/>
    </xf>
    <xf numFmtId="0" fontId="14" fillId="0" borderId="0" xfId="0" applyFont="1" applyFill="1" applyAlignment="1">
      <alignment horizontal="center" vertical="center"/>
    </xf>
    <xf numFmtId="0" fontId="1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16" fillId="0" borderId="0" xfId="0" applyFont="1" applyAlignment="1">
      <alignment horizontal="center" vertical="center"/>
    </xf>
    <xf numFmtId="0" fontId="16" fillId="0" borderId="0" xfId="0" applyFont="1" applyFill="1" applyAlignment="1">
      <alignment horizontal="center" vertical="center"/>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3" fillId="0" borderId="10" xfId="0" applyFont="1" applyFill="1" applyBorder="1" applyAlignment="1">
      <alignment horizontal="center" vertical="center" wrapText="1"/>
    </xf>
    <xf numFmtId="0" fontId="17" fillId="0" borderId="0" xfId="0" applyFont="1" applyFill="1" applyAlignment="1">
      <alignment horizontal="center" vertical="center"/>
    </xf>
    <xf numFmtId="0" fontId="3"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6" xfId="0"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2" borderId="9" xfId="0" applyFont="1" applyFill="1" applyBorder="1" applyAlignment="1">
      <alignment horizontal="center" vertical="center"/>
    </xf>
    <xf numFmtId="0" fontId="18"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0" fontId="0" fillId="2" borderId="0" xfId="0" applyFill="1">
      <alignment vertical="center"/>
    </xf>
    <xf numFmtId="178" fontId="0" fillId="2" borderId="0" xfId="0" applyNumberFormat="1" applyFill="1">
      <alignment vertical="center"/>
    </xf>
    <xf numFmtId="0" fontId="0" fillId="2" borderId="2" xfId="0" applyFill="1" applyBorder="1" applyAlignment="1">
      <alignment horizontal="center" vertical="center" wrapText="1"/>
    </xf>
    <xf numFmtId="0" fontId="2" fillId="0"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0" borderId="2" xfId="0" applyNumberForma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4" xfId="0" applyFill="1" applyBorder="1" applyAlignment="1">
      <alignment horizontal="center" vertical="center"/>
    </xf>
    <xf numFmtId="0" fontId="4" fillId="0" borderId="4" xfId="0" applyFont="1" applyBorder="1" applyAlignment="1">
      <alignment horizontal="center" vertical="center"/>
    </xf>
    <xf numFmtId="178" fontId="0" fillId="2" borderId="2" xfId="0" applyNumberFormat="1" applyFill="1" applyBorder="1" applyAlignment="1">
      <alignment horizontal="center" vertical="center" wrapText="1"/>
    </xf>
    <xf numFmtId="0" fontId="0" fillId="2" borderId="1" xfId="0" applyFill="1" applyBorder="1" applyAlignment="1">
      <alignment horizontal="center" vertical="center"/>
    </xf>
    <xf numFmtId="0" fontId="4" fillId="0" borderId="1" xfId="0" applyFont="1" applyBorder="1" applyAlignment="1">
      <alignment horizontal="center" vertical="center"/>
    </xf>
    <xf numFmtId="0" fontId="0" fillId="0" borderId="5" xfId="0" applyFill="1" applyBorder="1" applyAlignment="1">
      <alignment horizontal="center" vertical="center" wrapText="1"/>
    </xf>
    <xf numFmtId="178" fontId="3" fillId="2" borderId="2" xfId="0" applyNumberFormat="1" applyFont="1" applyFill="1" applyBorder="1" applyAlignment="1">
      <alignment horizontal="center" vertical="center" wrapText="1"/>
    </xf>
    <xf numFmtId="0" fontId="13" fillId="0" borderId="1" xfId="0" applyFont="1" applyBorder="1" applyAlignment="1">
      <alignment horizontal="center" vertical="center"/>
    </xf>
    <xf numFmtId="178" fontId="1" fillId="2" borderId="2" xfId="0" applyNumberFormat="1" applyFont="1" applyFill="1" applyBorder="1" applyAlignment="1">
      <alignment horizontal="center" vertical="center" wrapText="1"/>
    </xf>
    <xf numFmtId="178" fontId="0" fillId="2" borderId="1" xfId="0" applyNumberFormat="1" applyFill="1" applyBorder="1" applyAlignment="1">
      <alignment horizontal="center" vertical="center" wrapText="1"/>
    </xf>
    <xf numFmtId="178" fontId="1"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Border="1">
      <alignment vertical="center"/>
    </xf>
    <xf numFmtId="0" fontId="0" fillId="0" borderId="6" xfId="0" applyNumberFormat="1" applyFill="1" applyBorder="1" applyAlignment="1">
      <alignment horizontal="center" vertical="center" wrapText="1"/>
    </xf>
    <xf numFmtId="0" fontId="0" fillId="2" borderId="6" xfId="0" applyFill="1" applyBorder="1" applyAlignment="1">
      <alignment horizontal="center" vertical="center" wrapText="1"/>
    </xf>
    <xf numFmtId="0" fontId="0" fillId="0" borderId="7" xfId="0" applyFill="1" applyBorder="1" applyAlignment="1">
      <alignment horizontal="center" vertical="center" wrapText="1"/>
    </xf>
    <xf numFmtId="0" fontId="0" fillId="2" borderId="9" xfId="0" applyFill="1" applyBorder="1" applyAlignment="1">
      <alignment horizontal="center" vertical="center"/>
    </xf>
    <xf numFmtId="0" fontId="4" fillId="0" borderId="9" xfId="0" applyFont="1" applyBorder="1" applyAlignment="1">
      <alignment horizontal="center" vertical="center"/>
    </xf>
    <xf numFmtId="178" fontId="0" fillId="2" borderId="9" xfId="0" applyNumberFormat="1" applyFill="1" applyBorder="1" applyAlignment="1">
      <alignment horizontal="center" vertical="center" wrapText="1"/>
    </xf>
    <xf numFmtId="178" fontId="0" fillId="2" borderId="1" xfId="0" applyNumberFormat="1" applyFill="1" applyBorder="1" applyAlignment="1">
      <alignment horizontal="center" vertical="center"/>
    </xf>
    <xf numFmtId="22" fontId="0" fillId="0" borderId="2" xfId="0" applyNumberFormat="1" applyFill="1" applyBorder="1" applyAlignment="1">
      <alignment horizontal="center" vertical="center" wrapText="1"/>
    </xf>
    <xf numFmtId="22" fontId="1" fillId="0" borderId="2" xfId="0" applyNumberFormat="1" applyFont="1" applyFill="1" applyBorder="1" applyAlignment="1">
      <alignment horizontal="center" vertical="center" wrapText="1"/>
    </xf>
    <xf numFmtId="22" fontId="2" fillId="0" borderId="2" xfId="0" applyNumberFormat="1" applyFont="1" applyFill="1" applyBorder="1" applyAlignment="1">
      <alignment horizontal="center" vertical="center" wrapText="1"/>
    </xf>
    <xf numFmtId="0" fontId="19" fillId="0" borderId="2" xfId="10" applyFont="1" applyFill="1" applyBorder="1" applyAlignment="1">
      <alignment horizontal="center" vertical="center" wrapText="1"/>
    </xf>
    <xf numFmtId="22" fontId="5"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 fillId="0" borderId="0" xfId="0" applyFont="1">
      <alignment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1" fillId="0" borderId="1" xfId="0" applyFont="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center" vertical="center"/>
    </xf>
    <xf numFmtId="0"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2" xfId="0" applyFill="1" applyBorder="1" applyAlignment="1" quotePrefix="1">
      <alignment horizontal="center" vertical="center" wrapText="1"/>
    </xf>
    <xf numFmtId="0" fontId="5" fillId="0" borderId="2" xfId="0" applyFont="1" applyFill="1" applyBorder="1" applyAlignment="1" quotePrefix="1">
      <alignment horizontal="center" vertical="center" wrapText="1"/>
    </xf>
    <xf numFmtId="0" fontId="1" fillId="0" borderId="2" xfId="0" applyFont="1" applyFill="1" applyBorder="1" applyAlignment="1" quotePrefix="1">
      <alignment horizontal="center" vertical="center" wrapText="1"/>
    </xf>
    <xf numFmtId="0" fontId="2" fillId="0" borderId="2" xfId="0" applyFont="1" applyFill="1" applyBorder="1" applyAlignment="1" quotePrefix="1">
      <alignment horizontal="center" vertical="center" wrapText="1"/>
    </xf>
    <xf numFmtId="0" fontId="3" fillId="2" borderId="2" xfId="0" applyFont="1" applyFill="1" applyBorder="1" applyAlignment="1" quotePrefix="1">
      <alignment horizontal="center" vertical="center" wrapText="1"/>
    </xf>
    <xf numFmtId="0" fontId="3" fillId="0" borderId="2" xfId="0" applyFont="1" applyFill="1" applyBorder="1" applyAlignment="1" quotePrefix="1">
      <alignment horizontal="center" vertical="center" wrapText="1"/>
    </xf>
    <xf numFmtId="0" fontId="3" fillId="2" borderId="6" xfId="0" applyFont="1" applyFill="1" applyBorder="1" applyAlignment="1" quotePrefix="1">
      <alignment horizontal="center" vertical="center" wrapText="1"/>
    </xf>
    <xf numFmtId="0" fontId="0" fillId="0" borderId="6" xfId="0" applyFill="1" applyBorder="1" applyAlignment="1" quotePrefix="1">
      <alignment horizontal="center" vertical="center" wrapText="1"/>
    </xf>
    <xf numFmtId="0" fontId="5" fillId="2" borderId="2" xfId="0" applyFont="1" applyFill="1" applyBorder="1" applyAlignment="1" quotePrefix="1">
      <alignment horizontal="center" vertical="center" wrapText="1"/>
    </xf>
    <xf numFmtId="0" fontId="1" fillId="2" borderId="2" xfId="0" applyFont="1" applyFill="1" applyBorder="1" applyAlignment="1" quotePrefix="1">
      <alignment horizontal="center" vertical="center" wrapText="1"/>
    </xf>
    <xf numFmtId="0" fontId="5" fillId="2" borderId="6" xfId="0" applyFont="1" applyFill="1" applyBorder="1" applyAlignment="1" quotePrefix="1">
      <alignment horizontal="center" vertical="center" wrapText="1"/>
    </xf>
    <xf numFmtId="0" fontId="5" fillId="0" borderId="6" xfId="0" applyFont="1" applyFill="1" applyBorder="1" applyAlignment="1" quotePrefix="1">
      <alignment horizontal="center" vertical="center" wrapText="1"/>
    </xf>
    <xf numFmtId="0" fontId="3" fillId="2"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0" fontId="3" fillId="0" borderId="5" xfId="0" applyFont="1" applyFill="1" applyBorder="1" applyAlignment="1" quotePrefix="1">
      <alignment horizontal="center" vertical="center" wrapText="1"/>
    </xf>
    <xf numFmtId="0" fontId="1" fillId="0" borderId="5" xfId="0" applyFont="1" applyFill="1" applyBorder="1" applyAlignment="1" quotePrefix="1">
      <alignment horizontal="center" vertical="center" wrapText="1"/>
    </xf>
    <xf numFmtId="0" fontId="3" fillId="0" borderId="10" xfId="0" applyFont="1" applyFill="1" applyBorder="1" applyAlignment="1" quotePrefix="1">
      <alignment horizontal="center" vertical="center" wrapText="1"/>
    </xf>
    <xf numFmtId="0" fontId="3" fillId="0" borderId="7" xfId="0" applyFont="1" applyFill="1" applyBorder="1" applyAlignment="1" quotePrefix="1">
      <alignment horizontal="center" vertical="center" wrapText="1"/>
    </xf>
    <xf numFmtId="0" fontId="3" fillId="0" borderId="6" xfId="0" applyFont="1" applyFill="1" applyBorder="1" applyAlignment="1" quotePrefix="1">
      <alignment horizontal="center" vertical="center" wrapText="1"/>
    </xf>
    <xf numFmtId="0" fontId="3" fillId="3" borderId="1" xfId="0" applyFont="1" applyFill="1" applyBorder="1" applyAlignment="1" quotePrefix="1">
      <alignment horizontal="center" vertical="center" wrapText="1"/>
    </xf>
    <xf numFmtId="0" fontId="1" fillId="2" borderId="1" xfId="0" applyFont="1" applyFill="1" applyBorder="1" applyAlignment="1" quotePrefix="1">
      <alignment horizontal="center" vertical="center" wrapText="1"/>
    </xf>
    <xf numFmtId="0" fontId="1" fillId="3" borderId="1" xfId="0" applyFont="1" applyFill="1" applyBorder="1" applyAlignment="1" quotePrefix="1">
      <alignment horizontal="center" vertical="center" wrapText="1"/>
    </xf>
    <xf numFmtId="0" fontId="4"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9" Type="http://schemas.openxmlformats.org/officeDocument/2006/relationships/image" Target="https://web.wps.cn/api/kdocs/object/sbLelWtmvKfk" TargetMode="External"/><Relationship Id="rId98" Type="http://schemas.openxmlformats.org/officeDocument/2006/relationships/image" Target="https://web.wps.cn/api/kdocs/object/sa20iXrKQjaC" TargetMode="External"/><Relationship Id="rId97" Type="http://schemas.openxmlformats.org/officeDocument/2006/relationships/image" Target="https://web.wps.cn/api/kdocs/object/slTHqYQZ7SfW" TargetMode="External"/><Relationship Id="rId96" Type="http://schemas.openxmlformats.org/officeDocument/2006/relationships/image" Target="https://web.wps.cn/api/kdocs/object/sduQu8phaWtA" TargetMode="External"/><Relationship Id="rId95" Type="http://schemas.openxmlformats.org/officeDocument/2006/relationships/image" Target="https://web.wps.cn/api/kdocs/object/smMykPUM2zxS" TargetMode="External"/><Relationship Id="rId94" Type="http://schemas.openxmlformats.org/officeDocument/2006/relationships/image" Target="https://web.wps.cn/api/kdocs/object/skipwePxrtV8" TargetMode="External"/><Relationship Id="rId93" Type="http://schemas.openxmlformats.org/officeDocument/2006/relationships/image" Target="https://web.wps.cn/api/kdocs/object/sstxiGE5NKlb" TargetMode="External"/><Relationship Id="rId92" Type="http://schemas.openxmlformats.org/officeDocument/2006/relationships/image" Target="https://web.wps.cn/api/kdocs/object/siwu4zxwhWJx" TargetMode="External"/><Relationship Id="rId91" Type="http://schemas.openxmlformats.org/officeDocument/2006/relationships/image" Target="https://web.wps.cn/api/kdocs/object/saAlepOXbJTO" TargetMode="External"/><Relationship Id="rId90" Type="http://schemas.openxmlformats.org/officeDocument/2006/relationships/image" Target="https://web.wps.cn/api/kdocs/object/sq1mGj4aF1Rn" TargetMode="External"/><Relationship Id="rId9" Type="http://schemas.openxmlformats.org/officeDocument/2006/relationships/image" Target="https://web.wps.cn/api/kdocs/object/sufd6hsMygCL" TargetMode="External"/><Relationship Id="rId89" Type="http://schemas.openxmlformats.org/officeDocument/2006/relationships/image" Target="https://web.wps.cn/api/kdocs/object/siN7i8Vqfa08" TargetMode="External"/><Relationship Id="rId88" Type="http://schemas.openxmlformats.org/officeDocument/2006/relationships/image" Target="https://web.wps.cn/api/kdocs/object/snkvEC7ZpfwU" TargetMode="External"/><Relationship Id="rId87" Type="http://schemas.openxmlformats.org/officeDocument/2006/relationships/image" Target="https://web.wps.cn/api/kdocs/object/slzBAUpqSpaK" TargetMode="External"/><Relationship Id="rId86" Type="http://schemas.openxmlformats.org/officeDocument/2006/relationships/image" Target="https://web.wps.cn/api/kdocs/object/styFRA5GBceu" TargetMode="External"/><Relationship Id="rId85" Type="http://schemas.openxmlformats.org/officeDocument/2006/relationships/image" Target="https://web.wps.cn/api/kdocs/object/saKKhbw5UQVO" TargetMode="External"/><Relationship Id="rId84" Type="http://schemas.openxmlformats.org/officeDocument/2006/relationships/image" Target="https://web.wps.cn/api/kdocs/object/skJfDRYWnQWD" TargetMode="External"/><Relationship Id="rId83" Type="http://schemas.openxmlformats.org/officeDocument/2006/relationships/image" Target="https://web.wps.cn/api/kdocs/object/siDxR3INAON2" TargetMode="External"/><Relationship Id="rId82" Type="http://schemas.openxmlformats.org/officeDocument/2006/relationships/image" Target="https://web.wps.cn/api/kdocs/object/shsp0PayTF5l" TargetMode="External"/><Relationship Id="rId81" Type="http://schemas.openxmlformats.org/officeDocument/2006/relationships/image" Target="https://web.wps.cn/api/kdocs/object/smTc1iC5OqrL" TargetMode="External"/><Relationship Id="rId80" Type="http://schemas.openxmlformats.org/officeDocument/2006/relationships/image" Target="https://web.wps.cn/api/kdocs/object/srzidPtwcnWY" TargetMode="External"/><Relationship Id="rId8" Type="http://schemas.openxmlformats.org/officeDocument/2006/relationships/image" Target="https://web.wps.cn/api/kdocs/object/skvxjIEyJbkI" TargetMode="External"/><Relationship Id="rId79" Type="http://schemas.openxmlformats.org/officeDocument/2006/relationships/image" Target="https://web.wps.cn/api/kdocs/object/sjWgQllHFgmH" TargetMode="External"/><Relationship Id="rId78" Type="http://schemas.openxmlformats.org/officeDocument/2006/relationships/image" Target="https://web.wps.cn/api/kdocs/object/sksw6hkAsMvs" TargetMode="External"/><Relationship Id="rId77" Type="http://schemas.openxmlformats.org/officeDocument/2006/relationships/image" Target="https://web.wps.cn/api/kdocs/object/soFp8qXWW1Cj" TargetMode="External"/><Relationship Id="rId76" Type="http://schemas.openxmlformats.org/officeDocument/2006/relationships/image" Target="https://web.wps.cn/api/kdocs/object/shrfO28Dy7sX" TargetMode="External"/><Relationship Id="rId75" Type="http://schemas.openxmlformats.org/officeDocument/2006/relationships/image" Target="https://web.wps.cn/api/kdocs/object/svtwzOEAPFWa" TargetMode="External"/><Relationship Id="rId74" Type="http://schemas.openxmlformats.org/officeDocument/2006/relationships/image" Target="https://web.wps.cn/api/kdocs/object/siokxPqEwGXa" TargetMode="External"/><Relationship Id="rId73" Type="http://schemas.openxmlformats.org/officeDocument/2006/relationships/image" Target="https://web.wps.cn/api/kdocs/object/sgKWxDmSt3oW" TargetMode="External"/><Relationship Id="rId72" Type="http://schemas.openxmlformats.org/officeDocument/2006/relationships/image" Target="https://web.wps.cn/api/kdocs/object/slNw7pVT5qeM" TargetMode="External"/><Relationship Id="rId71" Type="http://schemas.openxmlformats.org/officeDocument/2006/relationships/image" Target="https://web.wps.cn/api/kdocs/object/stg5G63oMdr6" TargetMode="External"/><Relationship Id="rId70" Type="http://schemas.openxmlformats.org/officeDocument/2006/relationships/image" Target="https://web.wps.cn/api/kdocs/object/srmUqGHCKrgU" TargetMode="External"/><Relationship Id="rId7" Type="http://schemas.openxmlformats.org/officeDocument/2006/relationships/image" Target="https://web.wps.cn/api/kdocs/object/shkd0xDwRgIh" TargetMode="External"/><Relationship Id="rId69" Type="http://schemas.openxmlformats.org/officeDocument/2006/relationships/image" Target="https://web.wps.cn/api/kdocs/object/sqYhmIb66YQr" TargetMode="External"/><Relationship Id="rId68" Type="http://schemas.openxmlformats.org/officeDocument/2006/relationships/image" Target="https://web.wps.cn/api/kdocs/object/sdPV73QHBBrd" TargetMode="External"/><Relationship Id="rId67" Type="http://schemas.openxmlformats.org/officeDocument/2006/relationships/image" Target="https://web.wps.cn/api/kdocs/object/snbJmegf94PK" TargetMode="External"/><Relationship Id="rId66" Type="http://schemas.openxmlformats.org/officeDocument/2006/relationships/image" Target="https://web.wps.cn/api/kdocs/object/sk0b2LXjmscM" TargetMode="External"/><Relationship Id="rId65" Type="http://schemas.openxmlformats.org/officeDocument/2006/relationships/image" Target="https://web.wps.cn/api/kdocs/object/snFikCGnOHsu" TargetMode="External"/><Relationship Id="rId64" Type="http://schemas.openxmlformats.org/officeDocument/2006/relationships/image" Target="https://web.wps.cn/api/kdocs/object/stSbfQs1QdgX" TargetMode="External"/><Relationship Id="rId63" Type="http://schemas.openxmlformats.org/officeDocument/2006/relationships/image" Target="https://web.wps.cn/api/kdocs/object/spJf8S85F0ri" TargetMode="External"/><Relationship Id="rId62" Type="http://schemas.openxmlformats.org/officeDocument/2006/relationships/image" Target="https://web.wps.cn/api/kdocs/object/stYln69FlydG" TargetMode="External"/><Relationship Id="rId61" Type="http://schemas.openxmlformats.org/officeDocument/2006/relationships/image" Target="https://web.wps.cn/api/kdocs/object/sblvP0ooTrwI" TargetMode="External"/><Relationship Id="rId60" Type="http://schemas.openxmlformats.org/officeDocument/2006/relationships/image" Target="https://web.wps.cn/api/kdocs/object/sar2KljmqDx2" TargetMode="External"/><Relationship Id="rId6" Type="http://schemas.openxmlformats.org/officeDocument/2006/relationships/image" Target="https://web.wps.cn/api/kdocs/object/svUba714Jf3I" TargetMode="External"/><Relationship Id="rId59" Type="http://schemas.openxmlformats.org/officeDocument/2006/relationships/image" Target="https://web.wps.cn/api/kdocs/object/sb7BGNCpClge" TargetMode="External"/><Relationship Id="rId58" Type="http://schemas.openxmlformats.org/officeDocument/2006/relationships/image" Target="https://web.wps.cn/api/kdocs/object/seTtYeSIKhAV" TargetMode="External"/><Relationship Id="rId57" Type="http://schemas.openxmlformats.org/officeDocument/2006/relationships/image" Target="https://web.wps.cn/api/kdocs/object/srQELcZizt7v" TargetMode="External"/><Relationship Id="rId56" Type="http://schemas.openxmlformats.org/officeDocument/2006/relationships/image" Target="https://web.wps.cn/api/kdocs/object/suvSHmlmFX9y" TargetMode="External"/><Relationship Id="rId551" Type="http://schemas.openxmlformats.org/officeDocument/2006/relationships/image" Target="https://web.wps.cn/api/kdocs/object/snYUfewP3emN" TargetMode="External"/><Relationship Id="rId550" Type="http://schemas.openxmlformats.org/officeDocument/2006/relationships/image" Target="https://web.wps.cn/api/kdocs/object/sdv1qfHcFeuF" TargetMode="External"/><Relationship Id="rId55" Type="http://schemas.openxmlformats.org/officeDocument/2006/relationships/image" Target="https://web.wps.cn/api/kdocs/object/sdLyDryuU5DU" TargetMode="External"/><Relationship Id="rId549" Type="http://schemas.openxmlformats.org/officeDocument/2006/relationships/image" Target="https://web.wps.cn/api/kdocs/object/sgBAzsBc9Aa4" TargetMode="External"/><Relationship Id="rId548" Type="http://schemas.openxmlformats.org/officeDocument/2006/relationships/image" Target="https://web.wps.cn/api/kdocs/object/sabLlstfxnaE" TargetMode="External"/><Relationship Id="rId547" Type="http://schemas.openxmlformats.org/officeDocument/2006/relationships/image" Target="https://web.wps.cn/api/kdocs/object/srGrr7MEL0Gi" TargetMode="External"/><Relationship Id="rId546" Type="http://schemas.openxmlformats.org/officeDocument/2006/relationships/image" Target="https://web.wps.cn/api/kdocs/object/sssEfASM58OC" TargetMode="External"/><Relationship Id="rId545" Type="http://schemas.openxmlformats.org/officeDocument/2006/relationships/image" Target="https://web.wps.cn/api/kdocs/object/siC20xjO4FFe" TargetMode="External"/><Relationship Id="rId544" Type="http://schemas.openxmlformats.org/officeDocument/2006/relationships/image" Target="https://web.wps.cn/api/kdocs/object/sqncmH0FgUnO" TargetMode="External"/><Relationship Id="rId543" Type="http://schemas.openxmlformats.org/officeDocument/2006/relationships/image" Target="https://web.wps.cn/api/kdocs/object/sjYK2i6bbRLx" TargetMode="External"/><Relationship Id="rId542" Type="http://schemas.openxmlformats.org/officeDocument/2006/relationships/image" Target="https://web.wps.cn/api/kdocs/object/sl1otBAbSz3S" TargetMode="External"/><Relationship Id="rId541" Type="http://schemas.openxmlformats.org/officeDocument/2006/relationships/image" Target="https://web.wps.cn/api/kdocs/object/srGuUUcMaIym" TargetMode="External"/><Relationship Id="rId540" Type="http://schemas.openxmlformats.org/officeDocument/2006/relationships/image" Target="https://web.wps.cn/api/kdocs/object/snw7Io3eF9We" TargetMode="External"/><Relationship Id="rId54" Type="http://schemas.openxmlformats.org/officeDocument/2006/relationships/image" Target="https://web.wps.cn/api/kdocs/object/sfAbta1V8ae5" TargetMode="External"/><Relationship Id="rId539" Type="http://schemas.openxmlformats.org/officeDocument/2006/relationships/image" Target="https://web.wps.cn/api/kdocs/object/smdeaPS8O89E" TargetMode="External"/><Relationship Id="rId538" Type="http://schemas.openxmlformats.org/officeDocument/2006/relationships/image" Target="https://web.wps.cn/api/kdocs/object/srrwrNuF67fz" TargetMode="External"/><Relationship Id="rId537" Type="http://schemas.openxmlformats.org/officeDocument/2006/relationships/image" Target="https://web.wps.cn/api/kdocs/object/sdlQG59uSK8d" TargetMode="External"/><Relationship Id="rId536" Type="http://schemas.openxmlformats.org/officeDocument/2006/relationships/image" Target="https://web.wps.cn/api/kdocs/object/svIGp2TQ9KyT" TargetMode="External"/><Relationship Id="rId535" Type="http://schemas.openxmlformats.org/officeDocument/2006/relationships/image" Target="https://web.wps.cn/api/kdocs/object/sbeTNFPKMi8U" TargetMode="External"/><Relationship Id="rId534" Type="http://schemas.openxmlformats.org/officeDocument/2006/relationships/image" Target="https://web.wps.cn/api/kdocs/object/sozh1DmlbNz2" TargetMode="External"/><Relationship Id="rId533" Type="http://schemas.openxmlformats.org/officeDocument/2006/relationships/image" Target="https://web.wps.cn/api/kdocs/object/sjA0UDD1fIec" TargetMode="External"/><Relationship Id="rId532" Type="http://schemas.openxmlformats.org/officeDocument/2006/relationships/image" Target="https://web.wps.cn/api/kdocs/object/suFcupUz4RpM" TargetMode="External"/><Relationship Id="rId531" Type="http://schemas.openxmlformats.org/officeDocument/2006/relationships/image" Target="https://web.wps.cn/api/kdocs/object/sk60oyfWyVTr" TargetMode="External"/><Relationship Id="rId530" Type="http://schemas.openxmlformats.org/officeDocument/2006/relationships/image" Target="https://web.wps.cn/api/kdocs/object/seUynJICNuSY" TargetMode="External"/><Relationship Id="rId53" Type="http://schemas.openxmlformats.org/officeDocument/2006/relationships/image" Target="https://web.wps.cn/api/kdocs/object/smZ77qEA87vD" TargetMode="External"/><Relationship Id="rId529" Type="http://schemas.openxmlformats.org/officeDocument/2006/relationships/image" Target="https://web.wps.cn/api/kdocs/object/soWMA0V5Lwdd" TargetMode="External"/><Relationship Id="rId528" Type="http://schemas.openxmlformats.org/officeDocument/2006/relationships/image" Target="https://web.wps.cn/api/kdocs/object/svgmTxlmgjm9" TargetMode="External"/><Relationship Id="rId527" Type="http://schemas.openxmlformats.org/officeDocument/2006/relationships/image" Target="https://web.wps.cn/api/kdocs/object/so0Ij2nuDUun" TargetMode="External"/><Relationship Id="rId526" Type="http://schemas.openxmlformats.org/officeDocument/2006/relationships/image" Target="https://web.wps.cn/api/kdocs/object/sqLzTM8EL8Bt" TargetMode="External"/><Relationship Id="rId525" Type="http://schemas.openxmlformats.org/officeDocument/2006/relationships/image" Target="https://web.wps.cn/api/kdocs/object/sh1pJ9NKGgyd" TargetMode="External"/><Relationship Id="rId524" Type="http://schemas.openxmlformats.org/officeDocument/2006/relationships/image" Target="https://web.wps.cn/api/kdocs/object/sguxNAer32Ys" TargetMode="External"/><Relationship Id="rId523" Type="http://schemas.openxmlformats.org/officeDocument/2006/relationships/image" Target="https://web.wps.cn/api/kdocs/object/sqKGSKovlCDk" TargetMode="External"/><Relationship Id="rId522" Type="http://schemas.openxmlformats.org/officeDocument/2006/relationships/image" Target="https://web.wps.cn/api/kdocs/object/shxAZxtUaGFz" TargetMode="External"/><Relationship Id="rId521" Type="http://schemas.openxmlformats.org/officeDocument/2006/relationships/image" Target="https://web.wps.cn/api/kdocs/object/sik4s6kK7uOE" TargetMode="External"/><Relationship Id="rId520" Type="http://schemas.openxmlformats.org/officeDocument/2006/relationships/image" Target="https://web.wps.cn/api/kdocs/object/sosofGrMyCsh" TargetMode="External"/><Relationship Id="rId52" Type="http://schemas.openxmlformats.org/officeDocument/2006/relationships/image" Target="https://web.wps.cn/api/kdocs/object/sgQsaRxz2QZM" TargetMode="External"/><Relationship Id="rId519" Type="http://schemas.openxmlformats.org/officeDocument/2006/relationships/image" Target="https://web.wps.cn/api/kdocs/object/suOt3zXmt9GI" TargetMode="External"/><Relationship Id="rId518" Type="http://schemas.openxmlformats.org/officeDocument/2006/relationships/image" Target="https://web.wps.cn/api/kdocs/object/stiiR0bRFxn5" TargetMode="External"/><Relationship Id="rId517" Type="http://schemas.openxmlformats.org/officeDocument/2006/relationships/image" Target="https://web.wps.cn/api/kdocs/object/snyOnEkl49iN" TargetMode="External"/><Relationship Id="rId516" Type="http://schemas.openxmlformats.org/officeDocument/2006/relationships/image" Target="https://web.wps.cn/api/kdocs/object/si2KyUW8pjku" TargetMode="External"/><Relationship Id="rId515" Type="http://schemas.openxmlformats.org/officeDocument/2006/relationships/image" Target="https://web.wps.cn/api/kdocs/object/sclgzcILbkb1" TargetMode="External"/><Relationship Id="rId514" Type="http://schemas.openxmlformats.org/officeDocument/2006/relationships/image" Target="https://web.wps.cn/api/kdocs/object/sbcnmYQwXVq5" TargetMode="External"/><Relationship Id="rId513" Type="http://schemas.openxmlformats.org/officeDocument/2006/relationships/image" Target="https://web.wps.cn/api/kdocs/object/skupAgeGK4bz" TargetMode="External"/><Relationship Id="rId512" Type="http://schemas.openxmlformats.org/officeDocument/2006/relationships/image" Target="https://web.wps.cn/api/kdocs/object/seN51pnga4ut" TargetMode="External"/><Relationship Id="rId511" Type="http://schemas.openxmlformats.org/officeDocument/2006/relationships/image" Target="https://web.wps.cn/api/kdocs/object/sghe9tDSM6vS" TargetMode="External"/><Relationship Id="rId510" Type="http://schemas.openxmlformats.org/officeDocument/2006/relationships/image" Target="https://web.wps.cn/api/kdocs/object/skxvLoe0m7a0" TargetMode="External"/><Relationship Id="rId51" Type="http://schemas.openxmlformats.org/officeDocument/2006/relationships/image" Target="https://web.wps.cn/api/kdocs/object/sllGGgOaJLoi" TargetMode="External"/><Relationship Id="rId509" Type="http://schemas.openxmlformats.org/officeDocument/2006/relationships/image" Target="https://web.wps.cn/api/kdocs/object/snAQPYNeQlcx" TargetMode="External"/><Relationship Id="rId508" Type="http://schemas.openxmlformats.org/officeDocument/2006/relationships/image" Target="https://web.wps.cn/api/kdocs/object/sbMpDa2wzgO8" TargetMode="External"/><Relationship Id="rId507" Type="http://schemas.openxmlformats.org/officeDocument/2006/relationships/image" Target="https://web.wps.cn/api/kdocs/object/sk1NjR7IOkHp" TargetMode="External"/><Relationship Id="rId506" Type="http://schemas.openxmlformats.org/officeDocument/2006/relationships/image" Target="https://web.wps.cn/api/kdocs/object/svGWnX9ayY2L" TargetMode="External"/><Relationship Id="rId505" Type="http://schemas.openxmlformats.org/officeDocument/2006/relationships/image" Target="https://web.wps.cn/api/kdocs/object/seugBrsHVLnX" TargetMode="External"/><Relationship Id="rId504" Type="http://schemas.openxmlformats.org/officeDocument/2006/relationships/image" Target="https://web.wps.cn/api/kdocs/object/seF3Iq9OV6b4" TargetMode="External"/><Relationship Id="rId503" Type="http://schemas.openxmlformats.org/officeDocument/2006/relationships/image" Target="https://web.wps.cn/api/kdocs/object/sfSzi48YxEGq" TargetMode="External"/><Relationship Id="rId502" Type="http://schemas.openxmlformats.org/officeDocument/2006/relationships/image" Target="https://web.wps.cn/api/kdocs/object/spZu5d3ktEyh" TargetMode="External"/><Relationship Id="rId501" Type="http://schemas.openxmlformats.org/officeDocument/2006/relationships/image" Target="https://web.wps.cn/api/kdocs/object/ss1DwPmoPHvX" TargetMode="External"/><Relationship Id="rId500" Type="http://schemas.openxmlformats.org/officeDocument/2006/relationships/image" Target="https://web.wps.cn/api/kdocs/object/ssPni2iD5Z1d" TargetMode="External"/><Relationship Id="rId50" Type="http://schemas.openxmlformats.org/officeDocument/2006/relationships/image" Target="https://web.wps.cn/api/kdocs/object/sfR7YferLTf0" TargetMode="External"/><Relationship Id="rId5" Type="http://schemas.openxmlformats.org/officeDocument/2006/relationships/image" Target="https://web.wps.cn/api/kdocs/object/snF9NQOzT0TN" TargetMode="External"/><Relationship Id="rId499" Type="http://schemas.openxmlformats.org/officeDocument/2006/relationships/image" Target="https://web.wps.cn/api/kdocs/object/sbDbU0PcmauA" TargetMode="External"/><Relationship Id="rId498" Type="http://schemas.openxmlformats.org/officeDocument/2006/relationships/image" Target="https://web.wps.cn/api/kdocs/object/sdoXyQEE6dna" TargetMode="External"/><Relationship Id="rId497" Type="http://schemas.openxmlformats.org/officeDocument/2006/relationships/image" Target="https://web.wps.cn/api/kdocs/object/steYBYY60XDu" TargetMode="External"/><Relationship Id="rId496" Type="http://schemas.openxmlformats.org/officeDocument/2006/relationships/image" Target="https://web.wps.cn/api/kdocs/object/scB3HtEPMPiC" TargetMode="External"/><Relationship Id="rId495" Type="http://schemas.openxmlformats.org/officeDocument/2006/relationships/image" Target="https://web.wps.cn/api/kdocs/object/ssv1X76gzifr" TargetMode="External"/><Relationship Id="rId494" Type="http://schemas.openxmlformats.org/officeDocument/2006/relationships/image" Target="https://web.wps.cn/api/kdocs/object/slWaponvgDem" TargetMode="External"/><Relationship Id="rId493" Type="http://schemas.openxmlformats.org/officeDocument/2006/relationships/image" Target="https://web.wps.cn/api/kdocs/object/snajBjBsN9Vj" TargetMode="External"/><Relationship Id="rId492" Type="http://schemas.openxmlformats.org/officeDocument/2006/relationships/image" Target="https://web.wps.cn/api/kdocs/object/suKNA6ST4A8Q" TargetMode="External"/><Relationship Id="rId491" Type="http://schemas.openxmlformats.org/officeDocument/2006/relationships/image" Target="https://web.wps.cn/api/kdocs/object/skdaPIdWxgvj" TargetMode="External"/><Relationship Id="rId490" Type="http://schemas.openxmlformats.org/officeDocument/2006/relationships/image" Target="https://web.wps.cn/api/kdocs/object/smjM6PwgVCpL" TargetMode="External"/><Relationship Id="rId49" Type="http://schemas.openxmlformats.org/officeDocument/2006/relationships/image" Target="https://web.wps.cn/api/kdocs/object/skegEDgXjDWH" TargetMode="External"/><Relationship Id="rId489" Type="http://schemas.openxmlformats.org/officeDocument/2006/relationships/image" Target="https://web.wps.cn/api/kdocs/object/sokuIMWYtb15" TargetMode="External"/><Relationship Id="rId488" Type="http://schemas.openxmlformats.org/officeDocument/2006/relationships/image" Target="https://web.wps.cn/api/kdocs/object/sv5ZQv5ZTwca" TargetMode="External"/><Relationship Id="rId487" Type="http://schemas.openxmlformats.org/officeDocument/2006/relationships/image" Target="https://web.wps.cn/api/kdocs/object/sje0Q7MwYKMu" TargetMode="External"/><Relationship Id="rId486" Type="http://schemas.openxmlformats.org/officeDocument/2006/relationships/image" Target="https://web.wps.cn/api/kdocs/object/sv5MOItjIJ0N" TargetMode="External"/><Relationship Id="rId485" Type="http://schemas.openxmlformats.org/officeDocument/2006/relationships/image" Target="https://web.wps.cn/api/kdocs/object/sj1zvt94fb8E" TargetMode="External"/><Relationship Id="rId484" Type="http://schemas.openxmlformats.org/officeDocument/2006/relationships/image" Target="https://web.wps.cn/api/kdocs/object/sdFqwz72cHn2" TargetMode="External"/><Relationship Id="rId483" Type="http://schemas.openxmlformats.org/officeDocument/2006/relationships/image" Target="https://web.wps.cn/api/kdocs/object/svrKIDQuiBUe" TargetMode="External"/><Relationship Id="rId482" Type="http://schemas.openxmlformats.org/officeDocument/2006/relationships/image" Target="https://web.wps.cn/api/kdocs/object/serDC7IrE9p3" TargetMode="External"/><Relationship Id="rId481" Type="http://schemas.openxmlformats.org/officeDocument/2006/relationships/image" Target="https://web.wps.cn/api/kdocs/object/sfsBWyvQxbvS" TargetMode="External"/><Relationship Id="rId480" Type="http://schemas.openxmlformats.org/officeDocument/2006/relationships/image" Target="https://web.wps.cn/api/kdocs/object/suEvUd8S8CbD" TargetMode="External"/><Relationship Id="rId48" Type="http://schemas.openxmlformats.org/officeDocument/2006/relationships/image" Target="https://web.wps.cn/api/kdocs/object/srR7gdINKuT2" TargetMode="External"/><Relationship Id="rId479" Type="http://schemas.openxmlformats.org/officeDocument/2006/relationships/image" Target="https://web.wps.cn/api/kdocs/object/sijB2ng94Xfi" TargetMode="External"/><Relationship Id="rId478" Type="http://schemas.openxmlformats.org/officeDocument/2006/relationships/image" Target="https://web.wps.cn/api/kdocs/object/shXicYM5i9xV" TargetMode="External"/><Relationship Id="rId477" Type="http://schemas.openxmlformats.org/officeDocument/2006/relationships/image" Target="https://web.wps.cn/api/kdocs/object/sjkgWyEFv1bP" TargetMode="External"/><Relationship Id="rId476" Type="http://schemas.openxmlformats.org/officeDocument/2006/relationships/image" Target="https://web.wps.cn/api/kdocs/object/sdwNPozsA7nh" TargetMode="External"/><Relationship Id="rId475" Type="http://schemas.openxmlformats.org/officeDocument/2006/relationships/image" Target="https://web.wps.cn/api/kdocs/object/smWW0hMHe4zx" TargetMode="External"/><Relationship Id="rId474" Type="http://schemas.openxmlformats.org/officeDocument/2006/relationships/image" Target="https://web.wps.cn/api/kdocs/object/sv4R6aopAuC7" TargetMode="External"/><Relationship Id="rId473" Type="http://schemas.openxmlformats.org/officeDocument/2006/relationships/image" Target="https://web.wps.cn/api/kdocs/object/shq1NQ8Z5CCJ" TargetMode="External"/><Relationship Id="rId472" Type="http://schemas.openxmlformats.org/officeDocument/2006/relationships/image" Target="https://web.wps.cn/api/kdocs/object/skATl79Mr9a8" TargetMode="External"/><Relationship Id="rId471" Type="http://schemas.openxmlformats.org/officeDocument/2006/relationships/image" Target="https://web.wps.cn/api/kdocs/object/sn8PpdgJpUnG" TargetMode="External"/><Relationship Id="rId470" Type="http://schemas.openxmlformats.org/officeDocument/2006/relationships/image" Target="https://web.wps.cn/api/kdocs/object/slIZQ6xsVvOF" TargetMode="External"/><Relationship Id="rId47" Type="http://schemas.openxmlformats.org/officeDocument/2006/relationships/image" Target="https://web.wps.cn/api/kdocs/object/salFHRx8tDhS" TargetMode="External"/><Relationship Id="rId469" Type="http://schemas.openxmlformats.org/officeDocument/2006/relationships/image" Target="https://web.wps.cn/api/kdocs/object/svzCMY2BgXUR" TargetMode="External"/><Relationship Id="rId468" Type="http://schemas.openxmlformats.org/officeDocument/2006/relationships/image" Target="https://web.wps.cn/api/kdocs/object/svXZFjzVQMLO" TargetMode="External"/><Relationship Id="rId467" Type="http://schemas.openxmlformats.org/officeDocument/2006/relationships/image" Target="https://web.wps.cn/api/kdocs/object/sfPwGisnhRGE" TargetMode="External"/><Relationship Id="rId466" Type="http://schemas.openxmlformats.org/officeDocument/2006/relationships/image" Target="https://web.wps.cn/api/kdocs/object/sbOzBXacpRxA" TargetMode="External"/><Relationship Id="rId465" Type="http://schemas.openxmlformats.org/officeDocument/2006/relationships/image" Target="https://web.wps.cn/api/kdocs/object/sskWeSoghzSN" TargetMode="External"/><Relationship Id="rId464" Type="http://schemas.openxmlformats.org/officeDocument/2006/relationships/image" Target="https://web.wps.cn/api/kdocs/object/sbc2TI4hKkcM" TargetMode="External"/><Relationship Id="rId463" Type="http://schemas.openxmlformats.org/officeDocument/2006/relationships/image" Target="https://web.wps.cn/api/kdocs/object/sqIEneu1XFFM" TargetMode="External"/><Relationship Id="rId462" Type="http://schemas.openxmlformats.org/officeDocument/2006/relationships/image" Target="https://web.wps.cn/api/kdocs/object/slz4jj44zMbr" TargetMode="External"/><Relationship Id="rId461" Type="http://schemas.openxmlformats.org/officeDocument/2006/relationships/image" Target="https://web.wps.cn/api/kdocs/object/saM5xLQVLPpI" TargetMode="External"/><Relationship Id="rId460" Type="http://schemas.openxmlformats.org/officeDocument/2006/relationships/image" Target="https://web.wps.cn/api/kdocs/object/spzQzI4IImM5" TargetMode="External"/><Relationship Id="rId46" Type="http://schemas.openxmlformats.org/officeDocument/2006/relationships/image" Target="https://web.wps.cn/api/kdocs/object/spafv9wZ8oJV" TargetMode="External"/><Relationship Id="rId459" Type="http://schemas.openxmlformats.org/officeDocument/2006/relationships/image" Target="https://web.wps.cn/api/kdocs/object/slTjtToxhtHb" TargetMode="External"/><Relationship Id="rId458" Type="http://schemas.openxmlformats.org/officeDocument/2006/relationships/image" Target="https://web.wps.cn/api/kdocs/object/sd4PRcuPgoWk" TargetMode="External"/><Relationship Id="rId457" Type="http://schemas.openxmlformats.org/officeDocument/2006/relationships/image" Target="https://web.wps.cn/api/kdocs/object/sjnVnpoG504x" TargetMode="External"/><Relationship Id="rId456" Type="http://schemas.openxmlformats.org/officeDocument/2006/relationships/image" Target="https://web.wps.cn/api/kdocs/object/svAzqPHoNikp" TargetMode="External"/><Relationship Id="rId455" Type="http://schemas.openxmlformats.org/officeDocument/2006/relationships/image" Target="https://web.wps.cn/api/kdocs/object/schDap18bPMN" TargetMode="External"/><Relationship Id="rId454" Type="http://schemas.openxmlformats.org/officeDocument/2006/relationships/image" Target="https://web.wps.cn/api/kdocs/object/scN3qZJ7gdhE" TargetMode="External"/><Relationship Id="rId453" Type="http://schemas.openxmlformats.org/officeDocument/2006/relationships/image" Target="https://web.wps.cn/api/kdocs/object/scFwum3KdUTv" TargetMode="External"/><Relationship Id="rId452" Type="http://schemas.openxmlformats.org/officeDocument/2006/relationships/image" Target="https://web.wps.cn/api/kdocs/object/suORBICpWnEs" TargetMode="External"/><Relationship Id="rId451" Type="http://schemas.openxmlformats.org/officeDocument/2006/relationships/image" Target="https://web.wps.cn/api/kdocs/object/sbexs8O9NkTC" TargetMode="External"/><Relationship Id="rId450" Type="http://schemas.openxmlformats.org/officeDocument/2006/relationships/image" Target="https://web.wps.cn/api/kdocs/object/sqBRwKa8hdma" TargetMode="External"/><Relationship Id="rId45" Type="http://schemas.openxmlformats.org/officeDocument/2006/relationships/image" Target="https://web.wps.cn/api/kdocs/object/skDfrxqLDIyy" TargetMode="External"/><Relationship Id="rId449" Type="http://schemas.openxmlformats.org/officeDocument/2006/relationships/image" Target="https://web.wps.cn/api/kdocs/object/sknMEyJqDmTz" TargetMode="External"/><Relationship Id="rId448" Type="http://schemas.openxmlformats.org/officeDocument/2006/relationships/image" Target="https://web.wps.cn/api/kdocs/object/sslCSmmnvpAk" TargetMode="External"/><Relationship Id="rId447" Type="http://schemas.openxmlformats.org/officeDocument/2006/relationships/image" Target="https://web.wps.cn/api/kdocs/object/sutpJJzIjBbz" TargetMode="External"/><Relationship Id="rId446" Type="http://schemas.openxmlformats.org/officeDocument/2006/relationships/image" Target="https://web.wps.cn/api/kdocs/object/sdCNKrjKeN5U" TargetMode="External"/><Relationship Id="rId445" Type="http://schemas.openxmlformats.org/officeDocument/2006/relationships/image" Target="https://web.wps.cn/api/kdocs/object/svNZC47OoFn1" TargetMode="External"/><Relationship Id="rId444" Type="http://schemas.openxmlformats.org/officeDocument/2006/relationships/image" Target="https://web.wps.cn/api/kdocs/object/sdE2fZuWAXsv" TargetMode="External"/><Relationship Id="rId443" Type="http://schemas.openxmlformats.org/officeDocument/2006/relationships/image" Target="https://web.wps.cn/api/kdocs/object/sogTN9JvI7pi" TargetMode="External"/><Relationship Id="rId442" Type="http://schemas.openxmlformats.org/officeDocument/2006/relationships/image" Target="https://web.wps.cn/api/kdocs/object/soYRO81W5f8Z" TargetMode="External"/><Relationship Id="rId441" Type="http://schemas.openxmlformats.org/officeDocument/2006/relationships/image" Target="https://web.wps.cn/api/kdocs/object/sfiSSuO5aJN9" TargetMode="External"/><Relationship Id="rId440" Type="http://schemas.openxmlformats.org/officeDocument/2006/relationships/image" Target="https://web.wps.cn/api/kdocs/object/scS4r0lkB3nw" TargetMode="External"/><Relationship Id="rId44" Type="http://schemas.openxmlformats.org/officeDocument/2006/relationships/image" Target="https://web.wps.cn/api/kdocs/object/sfce8oq7B7em" TargetMode="External"/><Relationship Id="rId439" Type="http://schemas.openxmlformats.org/officeDocument/2006/relationships/image" Target="https://web.wps.cn/api/kdocs/object/spbyE4B4xSqr" TargetMode="External"/><Relationship Id="rId438" Type="http://schemas.openxmlformats.org/officeDocument/2006/relationships/image" Target="https://web.wps.cn/api/kdocs/object/sv9lBiZysiGC" TargetMode="External"/><Relationship Id="rId437" Type="http://schemas.openxmlformats.org/officeDocument/2006/relationships/image" Target="https://web.wps.cn/api/kdocs/object/seCZuH19AMpD" TargetMode="External"/><Relationship Id="rId436" Type="http://schemas.openxmlformats.org/officeDocument/2006/relationships/image" Target="https://web.wps.cn/api/kdocs/object/shF1hftz8Scn" TargetMode="External"/><Relationship Id="rId435" Type="http://schemas.openxmlformats.org/officeDocument/2006/relationships/image" Target="https://web.wps.cn/api/kdocs/object/ssbdVL6gg8X2" TargetMode="External"/><Relationship Id="rId434" Type="http://schemas.openxmlformats.org/officeDocument/2006/relationships/image" Target="https://web.wps.cn/api/kdocs/object/scjrBtdbfiHx" TargetMode="External"/><Relationship Id="rId433" Type="http://schemas.openxmlformats.org/officeDocument/2006/relationships/image" Target="https://web.wps.cn/api/kdocs/object/scHI3PlTLyJ1" TargetMode="External"/><Relationship Id="rId432" Type="http://schemas.openxmlformats.org/officeDocument/2006/relationships/image" Target="https://web.wps.cn/api/kdocs/object/snh3az9B1DoP" TargetMode="External"/><Relationship Id="rId431" Type="http://schemas.openxmlformats.org/officeDocument/2006/relationships/image" Target="https://web.wps.cn/api/kdocs/object/siaLjwbsLPKe" TargetMode="External"/><Relationship Id="rId430" Type="http://schemas.openxmlformats.org/officeDocument/2006/relationships/image" Target="https://web.wps.cn/api/kdocs/object/sppnuDEop84V" TargetMode="External"/><Relationship Id="rId43" Type="http://schemas.openxmlformats.org/officeDocument/2006/relationships/image" Target="https://web.wps.cn/api/kdocs/object/sp1RcyPH08KL" TargetMode="External"/><Relationship Id="rId429" Type="http://schemas.openxmlformats.org/officeDocument/2006/relationships/image" Target="https://web.wps.cn/api/kdocs/object/sjCdoNQCHsT9" TargetMode="External"/><Relationship Id="rId428" Type="http://schemas.openxmlformats.org/officeDocument/2006/relationships/image" Target="https://web.wps.cn/api/kdocs/object/svlfp0r7A3mi" TargetMode="External"/><Relationship Id="rId427" Type="http://schemas.openxmlformats.org/officeDocument/2006/relationships/image" Target="https://web.wps.cn/api/kdocs/object/sfwluDcr59q4" TargetMode="External"/><Relationship Id="rId426" Type="http://schemas.openxmlformats.org/officeDocument/2006/relationships/image" Target="https://web.wps.cn/api/kdocs/object/smAZ06YtRVyo" TargetMode="External"/><Relationship Id="rId425" Type="http://schemas.openxmlformats.org/officeDocument/2006/relationships/image" Target="https://web.wps.cn/api/kdocs/object/soEkRYBTczSk" TargetMode="External"/><Relationship Id="rId424" Type="http://schemas.openxmlformats.org/officeDocument/2006/relationships/image" Target="https://web.wps.cn/api/kdocs/object/sgkYz54sFmcc" TargetMode="External"/><Relationship Id="rId423" Type="http://schemas.openxmlformats.org/officeDocument/2006/relationships/image" Target="https://web.wps.cn/api/kdocs/object/snbxZDLOt2o4" TargetMode="External"/><Relationship Id="rId422" Type="http://schemas.openxmlformats.org/officeDocument/2006/relationships/image" Target="https://web.wps.cn/api/kdocs/object/sirJFTF3bNEE" TargetMode="External"/><Relationship Id="rId421" Type="http://schemas.openxmlformats.org/officeDocument/2006/relationships/image" Target="https://web.wps.cn/api/kdocs/object/skniPuCQ9ExS" TargetMode="External"/><Relationship Id="rId420" Type="http://schemas.openxmlformats.org/officeDocument/2006/relationships/image" Target="https://web.wps.cn/api/kdocs/object/sl0jBlhCuoR0" TargetMode="External"/><Relationship Id="rId42" Type="http://schemas.openxmlformats.org/officeDocument/2006/relationships/image" Target="https://web.wps.cn/api/kdocs/object/sms5GU5uoBl1" TargetMode="External"/><Relationship Id="rId419" Type="http://schemas.openxmlformats.org/officeDocument/2006/relationships/image" Target="https://web.wps.cn/api/kdocs/object/sfXuYe7ytDWH" TargetMode="External"/><Relationship Id="rId418" Type="http://schemas.openxmlformats.org/officeDocument/2006/relationships/image" Target="https://web.wps.cn/api/kdocs/object/sjmhUutvtaYH" TargetMode="External"/><Relationship Id="rId417" Type="http://schemas.openxmlformats.org/officeDocument/2006/relationships/image" Target="https://web.wps.cn/api/kdocs/object/sq9lixUe5bil" TargetMode="External"/><Relationship Id="rId416" Type="http://schemas.openxmlformats.org/officeDocument/2006/relationships/image" Target="https://web.wps.cn/api/kdocs/object/siCUXw7QIcOK" TargetMode="External"/><Relationship Id="rId415" Type="http://schemas.openxmlformats.org/officeDocument/2006/relationships/image" Target="https://web.wps.cn/api/kdocs/object/sft7oQl9JQsN" TargetMode="External"/><Relationship Id="rId414" Type="http://schemas.openxmlformats.org/officeDocument/2006/relationships/image" Target="https://web.wps.cn/api/kdocs/object/stu7V24A2T1R" TargetMode="External"/><Relationship Id="rId413" Type="http://schemas.openxmlformats.org/officeDocument/2006/relationships/image" Target="https://web.wps.cn/api/kdocs/object/sl167VKSTm7q" TargetMode="External"/><Relationship Id="rId412" Type="http://schemas.openxmlformats.org/officeDocument/2006/relationships/image" Target="https://web.wps.cn/api/kdocs/object/sdJ0HoWVGMTg" TargetMode="External"/><Relationship Id="rId411" Type="http://schemas.openxmlformats.org/officeDocument/2006/relationships/image" Target="https://web.wps.cn/api/kdocs/object/sdVk8yrRTHio" TargetMode="External"/><Relationship Id="rId410" Type="http://schemas.openxmlformats.org/officeDocument/2006/relationships/image" Target="https://web.wps.cn/api/kdocs/object/svPnoVLnM9Tx" TargetMode="External"/><Relationship Id="rId41" Type="http://schemas.openxmlformats.org/officeDocument/2006/relationships/image" Target="https://web.wps.cn/api/kdocs/object/st7FJZasixst" TargetMode="External"/><Relationship Id="rId409" Type="http://schemas.openxmlformats.org/officeDocument/2006/relationships/image" Target="https://web.wps.cn/api/kdocs/object/sp8hawIYMxWn" TargetMode="External"/><Relationship Id="rId408" Type="http://schemas.openxmlformats.org/officeDocument/2006/relationships/image" Target="https://web.wps.cn/api/kdocs/object/sucTuZ63bcbv" TargetMode="External"/><Relationship Id="rId407" Type="http://schemas.openxmlformats.org/officeDocument/2006/relationships/image" Target="https://web.wps.cn/api/kdocs/object/seLfAWmxO9iQ" TargetMode="External"/><Relationship Id="rId406" Type="http://schemas.openxmlformats.org/officeDocument/2006/relationships/image" Target="https://web.wps.cn/api/kdocs/object/sjiEsK0PCeON" TargetMode="External"/><Relationship Id="rId405" Type="http://schemas.openxmlformats.org/officeDocument/2006/relationships/image" Target="https://web.wps.cn/api/kdocs/object/sjMkV13QiWEM" TargetMode="External"/><Relationship Id="rId404" Type="http://schemas.openxmlformats.org/officeDocument/2006/relationships/image" Target="https://web.wps.cn/api/kdocs/object/sqgaLmqWOWBP" TargetMode="External"/><Relationship Id="rId403" Type="http://schemas.openxmlformats.org/officeDocument/2006/relationships/image" Target="https://web.wps.cn/api/kdocs/object/sbcGvQU2qOYP" TargetMode="External"/><Relationship Id="rId402" Type="http://schemas.openxmlformats.org/officeDocument/2006/relationships/image" Target="https://web.wps.cn/api/kdocs/object/spHIGGjlfV8u" TargetMode="External"/><Relationship Id="rId401" Type="http://schemas.openxmlformats.org/officeDocument/2006/relationships/image" Target="https://web.wps.cn/api/kdocs/object/sqQgY1P0bE1l" TargetMode="External"/><Relationship Id="rId400" Type="http://schemas.openxmlformats.org/officeDocument/2006/relationships/image" Target="https://web.wps.cn/api/kdocs/object/ssyIPdeRy9xh" TargetMode="External"/><Relationship Id="rId40" Type="http://schemas.openxmlformats.org/officeDocument/2006/relationships/image" Target="https://web.wps.cn/api/kdocs/object/ssgC412wDpYW" TargetMode="External"/><Relationship Id="rId4" Type="http://schemas.openxmlformats.org/officeDocument/2006/relationships/image" Target="https://web.wps.cn/api/kdocs/object/soL4FPMU6Z1w" TargetMode="External"/><Relationship Id="rId399" Type="http://schemas.openxmlformats.org/officeDocument/2006/relationships/image" Target="https://web.wps.cn/api/kdocs/object/sd7CKQpIkDe1" TargetMode="External"/><Relationship Id="rId398" Type="http://schemas.openxmlformats.org/officeDocument/2006/relationships/image" Target="https://web.wps.cn/api/kdocs/object/spemq6xot2lb" TargetMode="External"/><Relationship Id="rId397" Type="http://schemas.openxmlformats.org/officeDocument/2006/relationships/image" Target="https://web.wps.cn/api/kdocs/object/saQqFyNrWyV5" TargetMode="External"/><Relationship Id="rId396" Type="http://schemas.openxmlformats.org/officeDocument/2006/relationships/image" Target="https://web.wps.cn/api/kdocs/object/shXHUgEevYOo" TargetMode="External"/><Relationship Id="rId395" Type="http://schemas.openxmlformats.org/officeDocument/2006/relationships/image" Target="https://web.wps.cn/api/kdocs/object/shnsA39lWoMi" TargetMode="External"/><Relationship Id="rId394" Type="http://schemas.openxmlformats.org/officeDocument/2006/relationships/image" Target="https://web.wps.cn/api/kdocs/object/stFxaVhw5XAw" TargetMode="External"/><Relationship Id="rId393" Type="http://schemas.openxmlformats.org/officeDocument/2006/relationships/image" Target="https://web.wps.cn/api/kdocs/object/snHccSnqkN6g" TargetMode="External"/><Relationship Id="rId392" Type="http://schemas.openxmlformats.org/officeDocument/2006/relationships/image" Target="https://web.wps.cn/api/kdocs/object/suW1yDH8fka9" TargetMode="External"/><Relationship Id="rId391" Type="http://schemas.openxmlformats.org/officeDocument/2006/relationships/image" Target="https://web.wps.cn/api/kdocs/object/sgwqy9o1vaGi" TargetMode="External"/><Relationship Id="rId390" Type="http://schemas.openxmlformats.org/officeDocument/2006/relationships/image" Target="https://web.wps.cn/api/kdocs/object/sa9OhcfMgPm1" TargetMode="External"/><Relationship Id="rId39" Type="http://schemas.openxmlformats.org/officeDocument/2006/relationships/image" Target="https://web.wps.cn/api/kdocs/object/sl7R1oq6KVvY" TargetMode="External"/><Relationship Id="rId389" Type="http://schemas.openxmlformats.org/officeDocument/2006/relationships/image" Target="https://web.wps.cn/api/kdocs/object/snt9x7NsrEwJ" TargetMode="External"/><Relationship Id="rId388" Type="http://schemas.openxmlformats.org/officeDocument/2006/relationships/image" Target="https://web.wps.cn/api/kdocs/object/sjc4UULaA82g" TargetMode="External"/><Relationship Id="rId387" Type="http://schemas.openxmlformats.org/officeDocument/2006/relationships/image" Target="https://web.wps.cn/api/kdocs/object/sbHxLcrww6kf" TargetMode="External"/><Relationship Id="rId386" Type="http://schemas.openxmlformats.org/officeDocument/2006/relationships/image" Target="https://web.wps.cn/api/kdocs/object/ss2Jqsz4lzb8" TargetMode="External"/><Relationship Id="rId385" Type="http://schemas.openxmlformats.org/officeDocument/2006/relationships/image" Target="https://web.wps.cn/api/kdocs/object/sez2pZNuC0d9" TargetMode="External"/><Relationship Id="rId384" Type="http://schemas.openxmlformats.org/officeDocument/2006/relationships/image" Target="https://web.wps.cn/api/kdocs/object/sbH517ltrUbG" TargetMode="External"/><Relationship Id="rId383" Type="http://schemas.openxmlformats.org/officeDocument/2006/relationships/image" Target="https://web.wps.cn/api/kdocs/object/siFBtTcVtT5g" TargetMode="External"/><Relationship Id="rId382" Type="http://schemas.openxmlformats.org/officeDocument/2006/relationships/image" Target="https://web.wps.cn/api/kdocs/object/stm0fj3qZCoy" TargetMode="External"/><Relationship Id="rId381" Type="http://schemas.openxmlformats.org/officeDocument/2006/relationships/image" Target="https://web.wps.cn/api/kdocs/object/sqyqslBEkn6K" TargetMode="External"/><Relationship Id="rId380" Type="http://schemas.openxmlformats.org/officeDocument/2006/relationships/image" Target="https://web.wps.cn/api/kdocs/object/shUdnrNrj2ZJ" TargetMode="External"/><Relationship Id="rId38" Type="http://schemas.openxmlformats.org/officeDocument/2006/relationships/image" Target="https://web.wps.cn/api/kdocs/object/sdwyCDYgUmwM" TargetMode="External"/><Relationship Id="rId379" Type="http://schemas.openxmlformats.org/officeDocument/2006/relationships/image" Target="https://web.wps.cn/api/kdocs/object/ss8puckYQILl" TargetMode="External"/><Relationship Id="rId378" Type="http://schemas.openxmlformats.org/officeDocument/2006/relationships/image" Target="https://web.wps.cn/api/kdocs/object/scbTH9U0t5iL" TargetMode="External"/><Relationship Id="rId377" Type="http://schemas.openxmlformats.org/officeDocument/2006/relationships/image" Target="https://web.wps.cn/api/kdocs/object/sdFXyaPeyJud" TargetMode="External"/><Relationship Id="rId376" Type="http://schemas.openxmlformats.org/officeDocument/2006/relationships/image" Target="https://web.wps.cn/api/kdocs/object/sqfsZxhNvBpT" TargetMode="External"/><Relationship Id="rId375" Type="http://schemas.openxmlformats.org/officeDocument/2006/relationships/image" Target="https://web.wps.cn/api/kdocs/object/sbYMU2uS8rYX" TargetMode="External"/><Relationship Id="rId374" Type="http://schemas.openxmlformats.org/officeDocument/2006/relationships/image" Target="https://web.wps.cn/api/kdocs/object/suo7nvh5msFI" TargetMode="External"/><Relationship Id="rId373" Type="http://schemas.openxmlformats.org/officeDocument/2006/relationships/image" Target="https://web.wps.cn/api/kdocs/object/sjpvilS73mcg" TargetMode="External"/><Relationship Id="rId372" Type="http://schemas.openxmlformats.org/officeDocument/2006/relationships/image" Target="https://web.wps.cn/api/kdocs/object/sdHeDE8TGYOC" TargetMode="External"/><Relationship Id="rId371" Type="http://schemas.openxmlformats.org/officeDocument/2006/relationships/image" Target="https://web.wps.cn/api/kdocs/object/stbORe6OwpJO" TargetMode="External"/><Relationship Id="rId370" Type="http://schemas.openxmlformats.org/officeDocument/2006/relationships/image" Target="https://web.wps.cn/api/kdocs/object/saVBp1ImjBsN" TargetMode="External"/><Relationship Id="rId37" Type="http://schemas.openxmlformats.org/officeDocument/2006/relationships/image" Target="https://web.wps.cn/api/kdocs/object/sdUkMKX2RUVE" TargetMode="External"/><Relationship Id="rId369" Type="http://schemas.openxmlformats.org/officeDocument/2006/relationships/image" Target="https://web.wps.cn/api/kdocs/object/sb0xItCgbOp0" TargetMode="External"/><Relationship Id="rId368" Type="http://schemas.openxmlformats.org/officeDocument/2006/relationships/image" Target="https://web.wps.cn/api/kdocs/object/ssJwCwJb0mSd" TargetMode="External"/><Relationship Id="rId367" Type="http://schemas.openxmlformats.org/officeDocument/2006/relationships/image" Target="https://web.wps.cn/api/kdocs/object/sbFSThKtwrm9" TargetMode="External"/><Relationship Id="rId366" Type="http://schemas.openxmlformats.org/officeDocument/2006/relationships/image" Target="https://web.wps.cn/api/kdocs/object/sfPak6mobwOf" TargetMode="External"/><Relationship Id="rId365" Type="http://schemas.openxmlformats.org/officeDocument/2006/relationships/image" Target="https://web.wps.cn/api/kdocs/object/se45UOTEaawE" TargetMode="External"/><Relationship Id="rId364" Type="http://schemas.openxmlformats.org/officeDocument/2006/relationships/image" Target="https://web.wps.cn/api/kdocs/object/seBBE4B0KCkF" TargetMode="External"/><Relationship Id="rId363" Type="http://schemas.openxmlformats.org/officeDocument/2006/relationships/image" Target="https://web.wps.cn/api/kdocs/object/slse4D9bCPS7" TargetMode="External"/><Relationship Id="rId362" Type="http://schemas.openxmlformats.org/officeDocument/2006/relationships/image" Target="https://web.wps.cn/api/kdocs/object/sn8ofL3dpU5r" TargetMode="External"/><Relationship Id="rId361" Type="http://schemas.openxmlformats.org/officeDocument/2006/relationships/image" Target="https://web.wps.cn/api/kdocs/object/sf62A06s0AMI" TargetMode="External"/><Relationship Id="rId360" Type="http://schemas.openxmlformats.org/officeDocument/2006/relationships/image" Target="https://web.wps.cn/api/kdocs/object/sd6vSLmEjpuq" TargetMode="External"/><Relationship Id="rId36" Type="http://schemas.openxmlformats.org/officeDocument/2006/relationships/image" Target="https://web.wps.cn/api/kdocs/object/sk3yHAiAjVIZ" TargetMode="External"/><Relationship Id="rId359" Type="http://schemas.openxmlformats.org/officeDocument/2006/relationships/image" Target="https://web.wps.cn/api/kdocs/object/spe3IQZ5YPuP" TargetMode="External"/><Relationship Id="rId358" Type="http://schemas.openxmlformats.org/officeDocument/2006/relationships/image" Target="https://web.wps.cn/api/kdocs/object/ssNGty23rEzz" TargetMode="External"/><Relationship Id="rId357" Type="http://schemas.openxmlformats.org/officeDocument/2006/relationships/image" Target="https://web.wps.cn/api/kdocs/object/slFNotwElwqp" TargetMode="External"/><Relationship Id="rId356" Type="http://schemas.openxmlformats.org/officeDocument/2006/relationships/image" Target="https://web.wps.cn/api/kdocs/object/snc4xnFjMPD4" TargetMode="External"/><Relationship Id="rId355" Type="http://schemas.openxmlformats.org/officeDocument/2006/relationships/image" Target="https://web.wps.cn/api/kdocs/object/spm0H4wnPbWO" TargetMode="External"/><Relationship Id="rId354" Type="http://schemas.openxmlformats.org/officeDocument/2006/relationships/image" Target="https://web.wps.cn/api/kdocs/object/svgoRwS8W5NO" TargetMode="External"/><Relationship Id="rId353" Type="http://schemas.openxmlformats.org/officeDocument/2006/relationships/image" Target="https://web.wps.cn/api/kdocs/object/snKP359PfI6d" TargetMode="External"/><Relationship Id="rId352" Type="http://schemas.openxmlformats.org/officeDocument/2006/relationships/image" Target="https://web.wps.cn/api/kdocs/object/stLPsXsCZG0r" TargetMode="External"/><Relationship Id="rId351" Type="http://schemas.openxmlformats.org/officeDocument/2006/relationships/image" Target="https://web.wps.cn/api/kdocs/object/sdHCJIen6CUU" TargetMode="External"/><Relationship Id="rId350" Type="http://schemas.openxmlformats.org/officeDocument/2006/relationships/image" Target="https://web.wps.cn/api/kdocs/object/sgonvJVhPVio" TargetMode="External"/><Relationship Id="rId35" Type="http://schemas.openxmlformats.org/officeDocument/2006/relationships/image" Target="https://web.wps.cn/api/kdocs/object/sfxWNbKsfALk" TargetMode="External"/><Relationship Id="rId349" Type="http://schemas.openxmlformats.org/officeDocument/2006/relationships/image" Target="https://web.wps.cn/api/kdocs/object/sfGoHvycgnjn" TargetMode="External"/><Relationship Id="rId348" Type="http://schemas.openxmlformats.org/officeDocument/2006/relationships/image" Target="https://web.wps.cn/api/kdocs/object/shOxB5P8BRhr" TargetMode="External"/><Relationship Id="rId347" Type="http://schemas.openxmlformats.org/officeDocument/2006/relationships/image" Target="https://web.wps.cn/api/kdocs/object/spngyAXFb9xs" TargetMode="External"/><Relationship Id="rId346" Type="http://schemas.openxmlformats.org/officeDocument/2006/relationships/image" Target="https://web.wps.cn/api/kdocs/object/slFpyhC7lIxq" TargetMode="External"/><Relationship Id="rId345" Type="http://schemas.openxmlformats.org/officeDocument/2006/relationships/image" Target="https://web.wps.cn/api/kdocs/object/smhepLPq4u1t" TargetMode="External"/><Relationship Id="rId344" Type="http://schemas.openxmlformats.org/officeDocument/2006/relationships/image" Target="https://web.wps.cn/api/kdocs/object/saDP5lvRHu1j" TargetMode="External"/><Relationship Id="rId343" Type="http://schemas.openxmlformats.org/officeDocument/2006/relationships/image" Target="https://web.wps.cn/api/kdocs/object/so3k3u559PaK" TargetMode="External"/><Relationship Id="rId342" Type="http://schemas.openxmlformats.org/officeDocument/2006/relationships/image" Target="https://web.wps.cn/api/kdocs/object/sjjc20brmG75" TargetMode="External"/><Relationship Id="rId341" Type="http://schemas.openxmlformats.org/officeDocument/2006/relationships/image" Target="https://web.wps.cn/api/kdocs/object/sdtn1QkJVzUN" TargetMode="External"/><Relationship Id="rId340" Type="http://schemas.openxmlformats.org/officeDocument/2006/relationships/image" Target="https://web.wps.cn/api/kdocs/object/shTA1f6wYJHg" TargetMode="External"/><Relationship Id="rId34" Type="http://schemas.openxmlformats.org/officeDocument/2006/relationships/image" Target="https://web.wps.cn/api/kdocs/object/sfRDTYtz6Qse" TargetMode="External"/><Relationship Id="rId339" Type="http://schemas.openxmlformats.org/officeDocument/2006/relationships/image" Target="https://web.wps.cn/api/kdocs/object/saVcmiuLLO1u" TargetMode="External"/><Relationship Id="rId338" Type="http://schemas.openxmlformats.org/officeDocument/2006/relationships/image" Target="https://web.wps.cn/api/kdocs/object/sjSXvxm342jf" TargetMode="External"/><Relationship Id="rId337" Type="http://schemas.openxmlformats.org/officeDocument/2006/relationships/image" Target="https://web.wps.cn/api/kdocs/object/seWqdceOaMTu" TargetMode="External"/><Relationship Id="rId336" Type="http://schemas.openxmlformats.org/officeDocument/2006/relationships/image" Target="https://web.wps.cn/api/kdocs/object/sibHEb6BPnOr" TargetMode="External"/><Relationship Id="rId335" Type="http://schemas.openxmlformats.org/officeDocument/2006/relationships/image" Target="https://web.wps.cn/api/kdocs/object/siUMkcyR0pdD" TargetMode="External"/><Relationship Id="rId334" Type="http://schemas.openxmlformats.org/officeDocument/2006/relationships/image" Target="https://web.wps.cn/api/kdocs/object/snO9PggZbZx9" TargetMode="External"/><Relationship Id="rId333" Type="http://schemas.openxmlformats.org/officeDocument/2006/relationships/image" Target="https://web.wps.cn/api/kdocs/object/sma5WUl2am1x" TargetMode="External"/><Relationship Id="rId332" Type="http://schemas.openxmlformats.org/officeDocument/2006/relationships/image" Target="https://web.wps.cn/api/kdocs/object/sgwriNrVXsRa" TargetMode="External"/><Relationship Id="rId331" Type="http://schemas.openxmlformats.org/officeDocument/2006/relationships/image" Target="https://web.wps.cn/api/kdocs/object/sgHz1yavfxD4" TargetMode="External"/><Relationship Id="rId330" Type="http://schemas.openxmlformats.org/officeDocument/2006/relationships/image" Target="https://web.wps.cn/api/kdocs/object/sp6VNB3wWrVV" TargetMode="External"/><Relationship Id="rId33" Type="http://schemas.openxmlformats.org/officeDocument/2006/relationships/image" Target="https://web.wps.cn/api/kdocs/object/siFnvLE251kM" TargetMode="External"/><Relationship Id="rId329" Type="http://schemas.openxmlformats.org/officeDocument/2006/relationships/image" Target="https://web.wps.cn/api/kdocs/object/slZAeJrlZB3w" TargetMode="External"/><Relationship Id="rId328" Type="http://schemas.openxmlformats.org/officeDocument/2006/relationships/image" Target="https://web.wps.cn/api/kdocs/object/srmhvy49lGmY" TargetMode="External"/><Relationship Id="rId327" Type="http://schemas.openxmlformats.org/officeDocument/2006/relationships/image" Target="https://web.wps.cn/api/kdocs/object/svQGEGOBOoLt" TargetMode="External"/><Relationship Id="rId326" Type="http://schemas.openxmlformats.org/officeDocument/2006/relationships/image" Target="https://web.wps.cn/api/kdocs/object/snodc2mEIddt" TargetMode="External"/><Relationship Id="rId325" Type="http://schemas.openxmlformats.org/officeDocument/2006/relationships/image" Target="https://web.wps.cn/api/kdocs/object/skiTlLxEMgKk" TargetMode="External"/><Relationship Id="rId324" Type="http://schemas.openxmlformats.org/officeDocument/2006/relationships/image" Target="https://web.wps.cn/api/kdocs/object/sdKUQOSIfQPK" TargetMode="External"/><Relationship Id="rId323" Type="http://schemas.openxmlformats.org/officeDocument/2006/relationships/image" Target="https://web.wps.cn/api/kdocs/object/saoRXvb9WRZI" TargetMode="External"/><Relationship Id="rId322" Type="http://schemas.openxmlformats.org/officeDocument/2006/relationships/image" Target="https://web.wps.cn/api/kdocs/object/skOmHuxlE9g9" TargetMode="External"/><Relationship Id="rId321" Type="http://schemas.openxmlformats.org/officeDocument/2006/relationships/image" Target="https://web.wps.cn/api/kdocs/object/see434lfyGUv" TargetMode="External"/><Relationship Id="rId320" Type="http://schemas.openxmlformats.org/officeDocument/2006/relationships/image" Target="https://web.wps.cn/api/kdocs/object/saSKBABfNX0h" TargetMode="External"/><Relationship Id="rId32" Type="http://schemas.openxmlformats.org/officeDocument/2006/relationships/image" Target="https://web.wps.cn/api/kdocs/object/srx6AOHVIJnn" TargetMode="External"/><Relationship Id="rId319" Type="http://schemas.openxmlformats.org/officeDocument/2006/relationships/image" Target="https://web.wps.cn/api/kdocs/object/scaqvoNNLrgG" TargetMode="External"/><Relationship Id="rId318" Type="http://schemas.openxmlformats.org/officeDocument/2006/relationships/image" Target="https://web.wps.cn/api/kdocs/object/su2ghIgv1OS3" TargetMode="External"/><Relationship Id="rId317" Type="http://schemas.openxmlformats.org/officeDocument/2006/relationships/image" Target="https://web.wps.cn/api/kdocs/object/sfJYrB80hw23" TargetMode="External"/><Relationship Id="rId316" Type="http://schemas.openxmlformats.org/officeDocument/2006/relationships/image" Target="https://web.wps.cn/api/kdocs/object/shNPfNI94van" TargetMode="External"/><Relationship Id="rId315" Type="http://schemas.openxmlformats.org/officeDocument/2006/relationships/image" Target="https://web.wps.cn/api/kdocs/object/srZfZhUIVHP8" TargetMode="External"/><Relationship Id="rId314" Type="http://schemas.openxmlformats.org/officeDocument/2006/relationships/image" Target="https://web.wps.cn/api/kdocs/object/smKl2uFVkIeN" TargetMode="External"/><Relationship Id="rId313" Type="http://schemas.openxmlformats.org/officeDocument/2006/relationships/image" Target="https://web.wps.cn/api/kdocs/object/shQ0QdkBHfmd" TargetMode="External"/><Relationship Id="rId312" Type="http://schemas.openxmlformats.org/officeDocument/2006/relationships/image" Target="https://web.wps.cn/api/kdocs/object/snRrw5dYxnGK" TargetMode="External"/><Relationship Id="rId311" Type="http://schemas.openxmlformats.org/officeDocument/2006/relationships/image" Target="https://web.wps.cn/api/kdocs/object/scgxsYX31OrG" TargetMode="External"/><Relationship Id="rId310" Type="http://schemas.openxmlformats.org/officeDocument/2006/relationships/image" Target="https://web.wps.cn/api/kdocs/object/slQa2kJ9MmYs" TargetMode="External"/><Relationship Id="rId31" Type="http://schemas.openxmlformats.org/officeDocument/2006/relationships/image" Target="https://web.wps.cn/api/kdocs/object/scGs51glpmxC" TargetMode="External"/><Relationship Id="rId309" Type="http://schemas.openxmlformats.org/officeDocument/2006/relationships/image" Target="https://web.wps.cn/api/kdocs/object/sm3MEFDdSP6m" TargetMode="External"/><Relationship Id="rId308" Type="http://schemas.openxmlformats.org/officeDocument/2006/relationships/image" Target="https://web.wps.cn/api/kdocs/object/ssM7V8lgvtbZ" TargetMode="External"/><Relationship Id="rId307" Type="http://schemas.openxmlformats.org/officeDocument/2006/relationships/image" Target="https://web.wps.cn/api/kdocs/object/soTDaGyy6ILp" TargetMode="External"/><Relationship Id="rId306" Type="http://schemas.openxmlformats.org/officeDocument/2006/relationships/image" Target="https://web.wps.cn/api/kdocs/object/sqXp6RtRihc8" TargetMode="External"/><Relationship Id="rId305" Type="http://schemas.openxmlformats.org/officeDocument/2006/relationships/image" Target="https://web.wps.cn/api/kdocs/object/sbcFFVQ5kajg" TargetMode="External"/><Relationship Id="rId304" Type="http://schemas.openxmlformats.org/officeDocument/2006/relationships/image" Target="https://web.wps.cn/api/kdocs/object/sc6sY2Lk8lSA" TargetMode="External"/><Relationship Id="rId303" Type="http://schemas.openxmlformats.org/officeDocument/2006/relationships/image" Target="https://web.wps.cn/api/kdocs/object/sjncvkIoV8Ux" TargetMode="External"/><Relationship Id="rId302" Type="http://schemas.openxmlformats.org/officeDocument/2006/relationships/image" Target="https://web.wps.cn/api/kdocs/object/sfkN6xnFCAJY" TargetMode="External"/><Relationship Id="rId301" Type="http://schemas.openxmlformats.org/officeDocument/2006/relationships/image" Target="https://web.wps.cn/api/kdocs/object/sdY3DVUw4GVA" TargetMode="External"/><Relationship Id="rId300" Type="http://schemas.openxmlformats.org/officeDocument/2006/relationships/image" Target="https://web.wps.cn/api/kdocs/object/slBG86TDYvja" TargetMode="External"/><Relationship Id="rId30" Type="http://schemas.openxmlformats.org/officeDocument/2006/relationships/image" Target="https://web.wps.cn/api/kdocs/object/siRJRS434DHo" TargetMode="External"/><Relationship Id="rId3" Type="http://schemas.openxmlformats.org/officeDocument/2006/relationships/image" Target="https://web.wps.cn/api/kdocs/object/scYUZ8WyM12W" TargetMode="External"/><Relationship Id="rId299" Type="http://schemas.openxmlformats.org/officeDocument/2006/relationships/image" Target="https://web.wps.cn/api/kdocs/object/stDfxE3GjMEo" TargetMode="External"/><Relationship Id="rId298" Type="http://schemas.openxmlformats.org/officeDocument/2006/relationships/image" Target="https://web.wps.cn/api/kdocs/object/sajcQuEzK0IL" TargetMode="External"/><Relationship Id="rId297" Type="http://schemas.openxmlformats.org/officeDocument/2006/relationships/image" Target="https://web.wps.cn/api/kdocs/object/siMMvacu2Bvh" TargetMode="External"/><Relationship Id="rId296" Type="http://schemas.openxmlformats.org/officeDocument/2006/relationships/image" Target="https://web.wps.cn/api/kdocs/object/sjLAf3X0452K" TargetMode="External"/><Relationship Id="rId295" Type="http://schemas.openxmlformats.org/officeDocument/2006/relationships/image" Target="https://web.wps.cn/api/kdocs/object/sdt3LUCiQEfK" TargetMode="External"/><Relationship Id="rId294" Type="http://schemas.openxmlformats.org/officeDocument/2006/relationships/image" Target="https://web.wps.cn/api/kdocs/object/saBbbtjqKz2E" TargetMode="External"/><Relationship Id="rId293" Type="http://schemas.openxmlformats.org/officeDocument/2006/relationships/image" Target="https://web.wps.cn/api/kdocs/object/su8KLyN8yoXC" TargetMode="External"/><Relationship Id="rId292" Type="http://schemas.openxmlformats.org/officeDocument/2006/relationships/image" Target="https://web.wps.cn/api/kdocs/object/sbOLmzAPXieH" TargetMode="External"/><Relationship Id="rId291" Type="http://schemas.openxmlformats.org/officeDocument/2006/relationships/image" Target="https://web.wps.cn/api/kdocs/object/stB43RuwAzzt" TargetMode="External"/><Relationship Id="rId290" Type="http://schemas.openxmlformats.org/officeDocument/2006/relationships/image" Target="https://web.wps.cn/api/kdocs/object/sjKSRKxQzHAE" TargetMode="External"/><Relationship Id="rId29" Type="http://schemas.openxmlformats.org/officeDocument/2006/relationships/image" Target="https://web.wps.cn/api/kdocs/object/smaC810ENbI4" TargetMode="External"/><Relationship Id="rId289" Type="http://schemas.openxmlformats.org/officeDocument/2006/relationships/image" Target="https://web.wps.cn/api/kdocs/object/st89xVuTSRVJ" TargetMode="External"/><Relationship Id="rId288" Type="http://schemas.openxmlformats.org/officeDocument/2006/relationships/image" Target="https://web.wps.cn/api/kdocs/object/shHjQYqOu3ep" TargetMode="External"/><Relationship Id="rId287" Type="http://schemas.openxmlformats.org/officeDocument/2006/relationships/image" Target="https://web.wps.cn/api/kdocs/object/sanAMEbToVGg" TargetMode="External"/><Relationship Id="rId286" Type="http://schemas.openxmlformats.org/officeDocument/2006/relationships/image" Target="https://web.wps.cn/api/kdocs/object/sldX9eHArG1p" TargetMode="External"/><Relationship Id="rId285" Type="http://schemas.openxmlformats.org/officeDocument/2006/relationships/image" Target="https://web.wps.cn/api/kdocs/object/stO90ezr7Zkj" TargetMode="External"/><Relationship Id="rId284" Type="http://schemas.openxmlformats.org/officeDocument/2006/relationships/image" Target="https://web.wps.cn/api/kdocs/object/sgUtPjc0OaIP" TargetMode="External"/><Relationship Id="rId283" Type="http://schemas.openxmlformats.org/officeDocument/2006/relationships/image" Target="https://web.wps.cn/api/kdocs/object/smeJnOiJLcmI" TargetMode="External"/><Relationship Id="rId282" Type="http://schemas.openxmlformats.org/officeDocument/2006/relationships/image" Target="https://web.wps.cn/api/kdocs/object/svtFfSAcPqoS" TargetMode="External"/><Relationship Id="rId281" Type="http://schemas.openxmlformats.org/officeDocument/2006/relationships/image" Target="https://web.wps.cn/api/kdocs/object/siIAPbVYSjif" TargetMode="External"/><Relationship Id="rId280" Type="http://schemas.openxmlformats.org/officeDocument/2006/relationships/image" Target="https://web.wps.cn/api/kdocs/object/sg910WXrYMgk" TargetMode="External"/><Relationship Id="rId28" Type="http://schemas.openxmlformats.org/officeDocument/2006/relationships/image" Target="https://web.wps.cn/api/kdocs/object/sqfROccQmpDV" TargetMode="External"/><Relationship Id="rId279" Type="http://schemas.openxmlformats.org/officeDocument/2006/relationships/image" Target="https://web.wps.cn/api/kdocs/object/siARSNSq6xI6" TargetMode="External"/><Relationship Id="rId278" Type="http://schemas.openxmlformats.org/officeDocument/2006/relationships/image" Target="https://web.wps.cn/api/kdocs/object/ss2kemrz99JC" TargetMode="External"/><Relationship Id="rId277" Type="http://schemas.openxmlformats.org/officeDocument/2006/relationships/image" Target="https://web.wps.cn/api/kdocs/object/sazSUMLyGgLs" TargetMode="External"/><Relationship Id="rId276" Type="http://schemas.openxmlformats.org/officeDocument/2006/relationships/image" Target="https://web.wps.cn/api/kdocs/object/suo3IZ2UUZJr" TargetMode="External"/><Relationship Id="rId275" Type="http://schemas.openxmlformats.org/officeDocument/2006/relationships/image" Target="https://web.wps.cn/api/kdocs/object/skpB9oFyvRy3" TargetMode="External"/><Relationship Id="rId274" Type="http://schemas.openxmlformats.org/officeDocument/2006/relationships/image" Target="https://web.wps.cn/api/kdocs/object/siSXSRzvBDOG" TargetMode="External"/><Relationship Id="rId273" Type="http://schemas.openxmlformats.org/officeDocument/2006/relationships/image" Target="https://web.wps.cn/api/kdocs/object/suJTIUOcS31P" TargetMode="External"/><Relationship Id="rId272" Type="http://schemas.openxmlformats.org/officeDocument/2006/relationships/image" Target="https://web.wps.cn/api/kdocs/object/sfyg55Y6Vb83" TargetMode="External"/><Relationship Id="rId271" Type="http://schemas.openxmlformats.org/officeDocument/2006/relationships/image" Target="https://web.wps.cn/api/kdocs/object/sfTw11q2UgkB" TargetMode="External"/><Relationship Id="rId270" Type="http://schemas.openxmlformats.org/officeDocument/2006/relationships/image" Target="https://web.wps.cn/api/kdocs/object/shnYFbN1OiWo" TargetMode="External"/><Relationship Id="rId27" Type="http://schemas.openxmlformats.org/officeDocument/2006/relationships/image" Target="https://web.wps.cn/api/kdocs/object/srwjGzfl0yhc" TargetMode="External"/><Relationship Id="rId269" Type="http://schemas.openxmlformats.org/officeDocument/2006/relationships/image" Target="https://web.wps.cn/api/kdocs/object/sfrdhJN9stvy" TargetMode="External"/><Relationship Id="rId268" Type="http://schemas.openxmlformats.org/officeDocument/2006/relationships/image" Target="https://web.wps.cn/api/kdocs/object/sknhW4jy0kKp" TargetMode="External"/><Relationship Id="rId267" Type="http://schemas.openxmlformats.org/officeDocument/2006/relationships/image" Target="https://web.wps.cn/api/kdocs/object/slOdBBDueRMr" TargetMode="External"/><Relationship Id="rId266" Type="http://schemas.openxmlformats.org/officeDocument/2006/relationships/image" Target="https://web.wps.cn/api/kdocs/object/sgaMtuLVAdlW" TargetMode="External"/><Relationship Id="rId265" Type="http://schemas.openxmlformats.org/officeDocument/2006/relationships/image" Target="https://web.wps.cn/api/kdocs/object/sfSXMdAB5tqj" TargetMode="External"/><Relationship Id="rId264" Type="http://schemas.openxmlformats.org/officeDocument/2006/relationships/image" Target="https://web.wps.cn/api/kdocs/object/se7YUZXSryqS" TargetMode="External"/><Relationship Id="rId263" Type="http://schemas.openxmlformats.org/officeDocument/2006/relationships/image" Target="https://web.wps.cn/api/kdocs/object/seRPF8mCIabq" TargetMode="External"/><Relationship Id="rId262" Type="http://schemas.openxmlformats.org/officeDocument/2006/relationships/image" Target="https://web.wps.cn/api/kdocs/object/sskOyELoRwcb" TargetMode="External"/><Relationship Id="rId261" Type="http://schemas.openxmlformats.org/officeDocument/2006/relationships/image" Target="https://web.wps.cn/api/kdocs/object/sp7BYu3Hy0PE" TargetMode="External"/><Relationship Id="rId260" Type="http://schemas.openxmlformats.org/officeDocument/2006/relationships/image" Target="https://web.wps.cn/api/kdocs/object/st4VS4ANY6B3" TargetMode="External"/><Relationship Id="rId26" Type="http://schemas.openxmlformats.org/officeDocument/2006/relationships/image" Target="https://web.wps.cn/api/kdocs/object/ss3MbW2AKn0X" TargetMode="External"/><Relationship Id="rId259" Type="http://schemas.openxmlformats.org/officeDocument/2006/relationships/image" Target="https://web.wps.cn/api/kdocs/object/sf8RLZZfgHFp" TargetMode="External"/><Relationship Id="rId258" Type="http://schemas.openxmlformats.org/officeDocument/2006/relationships/image" Target="https://web.wps.cn/api/kdocs/object/sf22Ymg5OUme" TargetMode="External"/><Relationship Id="rId257" Type="http://schemas.openxmlformats.org/officeDocument/2006/relationships/image" Target="https://web.wps.cn/api/kdocs/object/sgnhnxGxN6Cj" TargetMode="External"/><Relationship Id="rId256" Type="http://schemas.openxmlformats.org/officeDocument/2006/relationships/image" Target="https://web.wps.cn/api/kdocs/object/scUKIPEFKAxz" TargetMode="External"/><Relationship Id="rId255" Type="http://schemas.openxmlformats.org/officeDocument/2006/relationships/image" Target="https://web.wps.cn/api/kdocs/object/sf5DVXsSky55" TargetMode="External"/><Relationship Id="rId254" Type="http://schemas.openxmlformats.org/officeDocument/2006/relationships/image" Target="https://web.wps.cn/api/kdocs/object/sbpUUjAaU52x" TargetMode="External"/><Relationship Id="rId253" Type="http://schemas.openxmlformats.org/officeDocument/2006/relationships/image" Target="https://web.wps.cn/api/kdocs/object/sjyktHV2GCQX" TargetMode="External"/><Relationship Id="rId252" Type="http://schemas.openxmlformats.org/officeDocument/2006/relationships/image" Target="https://web.wps.cn/api/kdocs/object/soAxxC80ap9L" TargetMode="External"/><Relationship Id="rId251" Type="http://schemas.openxmlformats.org/officeDocument/2006/relationships/image" Target="https://web.wps.cn/api/kdocs/object/sbNnMLzrAXD1" TargetMode="External"/><Relationship Id="rId250" Type="http://schemas.openxmlformats.org/officeDocument/2006/relationships/image" Target="https://web.wps.cn/api/kdocs/object/sgDCTjPFwebm" TargetMode="External"/><Relationship Id="rId25" Type="http://schemas.openxmlformats.org/officeDocument/2006/relationships/image" Target="https://web.wps.cn/api/kdocs/object/sim82FXnGV7n" TargetMode="External"/><Relationship Id="rId249" Type="http://schemas.openxmlformats.org/officeDocument/2006/relationships/image" Target="https://web.wps.cn/api/kdocs/object/suxKVeb2d56Z" TargetMode="External"/><Relationship Id="rId248" Type="http://schemas.openxmlformats.org/officeDocument/2006/relationships/image" Target="https://web.wps.cn/api/kdocs/object/sl5hCfUVzAF7" TargetMode="External"/><Relationship Id="rId247" Type="http://schemas.openxmlformats.org/officeDocument/2006/relationships/image" Target="https://web.wps.cn/api/kdocs/object/skfJ8App86Mk" TargetMode="External"/><Relationship Id="rId246" Type="http://schemas.openxmlformats.org/officeDocument/2006/relationships/image" Target="https://web.wps.cn/api/kdocs/object/sv8UKvCZ0EZw" TargetMode="External"/><Relationship Id="rId245" Type="http://schemas.openxmlformats.org/officeDocument/2006/relationships/image" Target="https://web.wps.cn/api/kdocs/object/skArWYypQmQj" TargetMode="External"/><Relationship Id="rId244" Type="http://schemas.openxmlformats.org/officeDocument/2006/relationships/image" Target="https://web.wps.cn/api/kdocs/object/sl7hyZ4NjhTr" TargetMode="External"/><Relationship Id="rId243" Type="http://schemas.openxmlformats.org/officeDocument/2006/relationships/image" Target="https://web.wps.cn/api/kdocs/object/so39pGbud77H" TargetMode="External"/><Relationship Id="rId242" Type="http://schemas.openxmlformats.org/officeDocument/2006/relationships/image" Target="https://web.wps.cn/api/kdocs/object/siEKLOpPMr0L" TargetMode="External"/><Relationship Id="rId241" Type="http://schemas.openxmlformats.org/officeDocument/2006/relationships/image" Target="https://web.wps.cn/api/kdocs/object/spUXtU3LjFNF" TargetMode="External"/><Relationship Id="rId240" Type="http://schemas.openxmlformats.org/officeDocument/2006/relationships/image" Target="https://web.wps.cn/api/kdocs/object/slFbiCV75pCK" TargetMode="External"/><Relationship Id="rId24" Type="http://schemas.openxmlformats.org/officeDocument/2006/relationships/image" Target="https://web.wps.cn/api/kdocs/object/srruXifA9H0F" TargetMode="External"/><Relationship Id="rId239" Type="http://schemas.openxmlformats.org/officeDocument/2006/relationships/image" Target="https://web.wps.cn/api/kdocs/object/slnSn7hicwvd" TargetMode="External"/><Relationship Id="rId238" Type="http://schemas.openxmlformats.org/officeDocument/2006/relationships/image" Target="https://web.wps.cn/api/kdocs/object/ss3RbLREYjYS" TargetMode="External"/><Relationship Id="rId237" Type="http://schemas.openxmlformats.org/officeDocument/2006/relationships/image" Target="https://web.wps.cn/api/kdocs/object/snRIcrd7E8B2" TargetMode="External"/><Relationship Id="rId236" Type="http://schemas.openxmlformats.org/officeDocument/2006/relationships/image" Target="https://web.wps.cn/api/kdocs/object/snGZNzR79ZoY" TargetMode="External"/><Relationship Id="rId235" Type="http://schemas.openxmlformats.org/officeDocument/2006/relationships/image" Target="https://web.wps.cn/api/kdocs/object/sqQtB9G2i3GF" TargetMode="External"/><Relationship Id="rId234" Type="http://schemas.openxmlformats.org/officeDocument/2006/relationships/image" Target="https://web.wps.cn/api/kdocs/object/sdyxpafvKnFR" TargetMode="External"/><Relationship Id="rId233" Type="http://schemas.openxmlformats.org/officeDocument/2006/relationships/image" Target="https://web.wps.cn/api/kdocs/object/shF7CEHYNxcD" TargetMode="External"/><Relationship Id="rId232" Type="http://schemas.openxmlformats.org/officeDocument/2006/relationships/image" Target="https://web.wps.cn/api/kdocs/object/sg8UeqF47UIn" TargetMode="External"/><Relationship Id="rId231" Type="http://schemas.openxmlformats.org/officeDocument/2006/relationships/image" Target="https://web.wps.cn/api/kdocs/object/styNWv77beQr" TargetMode="External"/><Relationship Id="rId230" Type="http://schemas.openxmlformats.org/officeDocument/2006/relationships/image" Target="https://web.wps.cn/api/kdocs/object/stG6duw2AR2L" TargetMode="External"/><Relationship Id="rId23" Type="http://schemas.openxmlformats.org/officeDocument/2006/relationships/image" Target="https://web.wps.cn/api/kdocs/object/sbCcWrPROxFp" TargetMode="External"/><Relationship Id="rId229" Type="http://schemas.openxmlformats.org/officeDocument/2006/relationships/image" Target="https://web.wps.cn/api/kdocs/object/sjbra8RgKa3T" TargetMode="External"/><Relationship Id="rId228" Type="http://schemas.openxmlformats.org/officeDocument/2006/relationships/image" Target="https://web.wps.cn/api/kdocs/object/sbRaTHU8JdUT" TargetMode="External"/><Relationship Id="rId227" Type="http://schemas.openxmlformats.org/officeDocument/2006/relationships/image" Target="https://web.wps.cn/api/kdocs/object/sh0qLT1223DB" TargetMode="External"/><Relationship Id="rId226" Type="http://schemas.openxmlformats.org/officeDocument/2006/relationships/image" Target="https://web.wps.cn/api/kdocs/object/smJ7qMUYP3Jc" TargetMode="External"/><Relationship Id="rId225" Type="http://schemas.openxmlformats.org/officeDocument/2006/relationships/image" Target="https://web.wps.cn/api/kdocs/object/sip5jqNA2UBs" TargetMode="External"/><Relationship Id="rId224" Type="http://schemas.openxmlformats.org/officeDocument/2006/relationships/image" Target="https://web.wps.cn/api/kdocs/object/suc3P6jlBfMd" TargetMode="External"/><Relationship Id="rId223" Type="http://schemas.openxmlformats.org/officeDocument/2006/relationships/image" Target="https://web.wps.cn/api/kdocs/object/sl1HSZWOB8zZ" TargetMode="External"/><Relationship Id="rId222" Type="http://schemas.openxmlformats.org/officeDocument/2006/relationships/image" Target="https://web.wps.cn/api/kdocs/object/stg1cKn44IVe" TargetMode="External"/><Relationship Id="rId221" Type="http://schemas.openxmlformats.org/officeDocument/2006/relationships/image" Target="https://web.wps.cn/api/kdocs/object/sggueKfPg8xZ" TargetMode="External"/><Relationship Id="rId220" Type="http://schemas.openxmlformats.org/officeDocument/2006/relationships/image" Target="https://web.wps.cn/api/kdocs/object/srWpqgzwktgt" TargetMode="External"/><Relationship Id="rId22" Type="http://schemas.openxmlformats.org/officeDocument/2006/relationships/image" Target="https://web.wps.cn/api/kdocs/object/siAQFLNnGkEy" TargetMode="External"/><Relationship Id="rId219" Type="http://schemas.openxmlformats.org/officeDocument/2006/relationships/image" Target="https://web.wps.cn/api/kdocs/object/stLaHdnNhBgK" TargetMode="External"/><Relationship Id="rId218" Type="http://schemas.openxmlformats.org/officeDocument/2006/relationships/image" Target="https://web.wps.cn/api/kdocs/object/srm7IlrxClRu" TargetMode="External"/><Relationship Id="rId217" Type="http://schemas.openxmlformats.org/officeDocument/2006/relationships/image" Target="https://web.wps.cn/api/kdocs/object/sb9l6F2fVSw5" TargetMode="External"/><Relationship Id="rId216" Type="http://schemas.openxmlformats.org/officeDocument/2006/relationships/image" Target="https://web.wps.cn/api/kdocs/object/stJB12PYU3BN" TargetMode="External"/><Relationship Id="rId215" Type="http://schemas.openxmlformats.org/officeDocument/2006/relationships/image" Target="https://web.wps.cn/api/kdocs/object/sgg2ntJkuwLz" TargetMode="External"/><Relationship Id="rId214" Type="http://schemas.openxmlformats.org/officeDocument/2006/relationships/image" Target="https://web.wps.cn/api/kdocs/object/sqx7iGzzosuA" TargetMode="External"/><Relationship Id="rId213" Type="http://schemas.openxmlformats.org/officeDocument/2006/relationships/image" Target="https://web.wps.cn/api/kdocs/object/scK7WFRGzBqn" TargetMode="External"/><Relationship Id="rId212" Type="http://schemas.openxmlformats.org/officeDocument/2006/relationships/image" Target="https://web.wps.cn/api/kdocs/object/shj0gUQHSS8u" TargetMode="External"/><Relationship Id="rId211" Type="http://schemas.openxmlformats.org/officeDocument/2006/relationships/image" Target="https://web.wps.cn/api/kdocs/object/sp9zKuqYWn8n" TargetMode="External"/><Relationship Id="rId210" Type="http://schemas.openxmlformats.org/officeDocument/2006/relationships/image" Target="https://web.wps.cn/api/kdocs/object/soSdcCfZKgdb" TargetMode="External"/><Relationship Id="rId21" Type="http://schemas.openxmlformats.org/officeDocument/2006/relationships/image" Target="https://web.wps.cn/api/kdocs/object/sm0ebCXecO2F" TargetMode="External"/><Relationship Id="rId209" Type="http://schemas.openxmlformats.org/officeDocument/2006/relationships/image" Target="https://web.wps.cn/api/kdocs/object/sdaeiqguBgHQ" TargetMode="External"/><Relationship Id="rId208" Type="http://schemas.openxmlformats.org/officeDocument/2006/relationships/image" Target="https://web.wps.cn/api/kdocs/object/so3aUTOOMetN" TargetMode="External"/><Relationship Id="rId207" Type="http://schemas.openxmlformats.org/officeDocument/2006/relationships/image" Target="https://web.wps.cn/api/kdocs/object/sk4U5rLgSvHi" TargetMode="External"/><Relationship Id="rId206" Type="http://schemas.openxmlformats.org/officeDocument/2006/relationships/image" Target="https://web.wps.cn/api/kdocs/object/smG2wUTnyqO2" TargetMode="External"/><Relationship Id="rId205" Type="http://schemas.openxmlformats.org/officeDocument/2006/relationships/image" Target="https://web.wps.cn/api/kdocs/object/sqZe0fTsQge7" TargetMode="External"/><Relationship Id="rId204" Type="http://schemas.openxmlformats.org/officeDocument/2006/relationships/image" Target="https://web.wps.cn/api/kdocs/object/sc8FTcgKpNEk" TargetMode="External"/><Relationship Id="rId203" Type="http://schemas.openxmlformats.org/officeDocument/2006/relationships/image" Target="https://web.wps.cn/api/kdocs/object/svOSzrCGXLdB" TargetMode="External"/><Relationship Id="rId202" Type="http://schemas.openxmlformats.org/officeDocument/2006/relationships/image" Target="https://web.wps.cn/api/kdocs/object/sn5MqdpRyna0" TargetMode="External"/><Relationship Id="rId201" Type="http://schemas.openxmlformats.org/officeDocument/2006/relationships/image" Target="https://web.wps.cn/api/kdocs/object/scI89xQ86myE" TargetMode="External"/><Relationship Id="rId200" Type="http://schemas.openxmlformats.org/officeDocument/2006/relationships/image" Target="https://web.wps.cn/api/kdocs/object/sgVkBjVSYWyv" TargetMode="External"/><Relationship Id="rId20" Type="http://schemas.openxmlformats.org/officeDocument/2006/relationships/image" Target="https://web.wps.cn/api/kdocs/object/sm562vT90rFt" TargetMode="External"/><Relationship Id="rId2" Type="http://schemas.openxmlformats.org/officeDocument/2006/relationships/image" Target="https://web.wps.cn/api/kdocs/object/slkKHwOvMCxk" TargetMode="External"/><Relationship Id="rId199" Type="http://schemas.openxmlformats.org/officeDocument/2006/relationships/image" Target="https://web.wps.cn/api/kdocs/object/st7v1mAgB16U" TargetMode="External"/><Relationship Id="rId198" Type="http://schemas.openxmlformats.org/officeDocument/2006/relationships/image" Target="https://web.wps.cn/api/kdocs/object/soTdcRudyZyh" TargetMode="External"/><Relationship Id="rId197" Type="http://schemas.openxmlformats.org/officeDocument/2006/relationships/image" Target="https://web.wps.cn/api/kdocs/object/sqgkbsJaNBKK" TargetMode="External"/><Relationship Id="rId196" Type="http://schemas.openxmlformats.org/officeDocument/2006/relationships/image" Target="https://web.wps.cn/api/kdocs/object/svmydMfMORmK" TargetMode="External"/><Relationship Id="rId195" Type="http://schemas.openxmlformats.org/officeDocument/2006/relationships/image" Target="https://web.wps.cn/api/kdocs/object/seVySOajDVl0" TargetMode="External"/><Relationship Id="rId194" Type="http://schemas.openxmlformats.org/officeDocument/2006/relationships/image" Target="https://web.wps.cn/api/kdocs/object/sgHOAPrPOttV" TargetMode="External"/><Relationship Id="rId193" Type="http://schemas.openxmlformats.org/officeDocument/2006/relationships/image" Target="https://web.wps.cn/api/kdocs/object/scDELjo0iANa" TargetMode="External"/><Relationship Id="rId192" Type="http://schemas.openxmlformats.org/officeDocument/2006/relationships/image" Target="https://web.wps.cn/api/kdocs/object/spcaMbLmQ3AP" TargetMode="External"/><Relationship Id="rId191" Type="http://schemas.openxmlformats.org/officeDocument/2006/relationships/image" Target="https://web.wps.cn/api/kdocs/object/srGoTkdjfsRG" TargetMode="External"/><Relationship Id="rId190" Type="http://schemas.openxmlformats.org/officeDocument/2006/relationships/image" Target="https://web.wps.cn/api/kdocs/object/sumIF4TUAjtQ" TargetMode="External"/><Relationship Id="rId19" Type="http://schemas.openxmlformats.org/officeDocument/2006/relationships/image" Target="https://web.wps.cn/api/kdocs/object/sp10irkDVu31" TargetMode="External"/><Relationship Id="rId189" Type="http://schemas.openxmlformats.org/officeDocument/2006/relationships/image" Target="https://web.wps.cn/api/kdocs/object/si0eR9UClIup" TargetMode="External"/><Relationship Id="rId188" Type="http://schemas.openxmlformats.org/officeDocument/2006/relationships/image" Target="https://web.wps.cn/api/kdocs/object/sroo8vNkctJL" TargetMode="External"/><Relationship Id="rId187" Type="http://schemas.openxmlformats.org/officeDocument/2006/relationships/image" Target="https://web.wps.cn/api/kdocs/object/stByDjubLlY6" TargetMode="External"/><Relationship Id="rId186" Type="http://schemas.openxmlformats.org/officeDocument/2006/relationships/image" Target="https://web.wps.cn/api/kdocs/object/sfyBEWHLj41B" TargetMode="External"/><Relationship Id="rId185" Type="http://schemas.openxmlformats.org/officeDocument/2006/relationships/image" Target="https://web.wps.cn/api/kdocs/object/sjHGalI0lmE3" TargetMode="External"/><Relationship Id="rId184" Type="http://schemas.openxmlformats.org/officeDocument/2006/relationships/image" Target="https://web.wps.cn/api/kdocs/object/sigREziUhm4S" TargetMode="External"/><Relationship Id="rId183" Type="http://schemas.openxmlformats.org/officeDocument/2006/relationships/image" Target="https://web.wps.cn/api/kdocs/object/sjKBR2hDgugV" TargetMode="External"/><Relationship Id="rId182" Type="http://schemas.openxmlformats.org/officeDocument/2006/relationships/image" Target="https://web.wps.cn/api/kdocs/object/sk88mqSBjVGv" TargetMode="External"/><Relationship Id="rId181" Type="http://schemas.openxmlformats.org/officeDocument/2006/relationships/image" Target="https://web.wps.cn/api/kdocs/object/srz1xZymbjLj" TargetMode="External"/><Relationship Id="rId180" Type="http://schemas.openxmlformats.org/officeDocument/2006/relationships/image" Target="https://web.wps.cn/api/kdocs/object/saVIgezIdQIv" TargetMode="External"/><Relationship Id="rId18" Type="http://schemas.openxmlformats.org/officeDocument/2006/relationships/image" Target="https://web.wps.cn/api/kdocs/object/sicU1vuqLGlc" TargetMode="External"/><Relationship Id="rId179" Type="http://schemas.openxmlformats.org/officeDocument/2006/relationships/image" Target="https://web.wps.cn/api/kdocs/object/suS36wKj8xHR" TargetMode="External"/><Relationship Id="rId178" Type="http://schemas.openxmlformats.org/officeDocument/2006/relationships/image" Target="https://web.wps.cn/api/kdocs/object/shQB1nlSY0xv" TargetMode="External"/><Relationship Id="rId177" Type="http://schemas.openxmlformats.org/officeDocument/2006/relationships/image" Target="https://web.wps.cn/api/kdocs/object/sfCuc6f2yBHo" TargetMode="External"/><Relationship Id="rId176" Type="http://schemas.openxmlformats.org/officeDocument/2006/relationships/image" Target="https://web.wps.cn/api/kdocs/object/slP80JuXU8Ke" TargetMode="External"/><Relationship Id="rId175" Type="http://schemas.openxmlformats.org/officeDocument/2006/relationships/image" Target="https://web.wps.cn/api/kdocs/object/sq6Hy9EyCmv2" TargetMode="External"/><Relationship Id="rId174" Type="http://schemas.openxmlformats.org/officeDocument/2006/relationships/image" Target="https://web.wps.cn/api/kdocs/object/svrJcCj7nd7L" TargetMode="External"/><Relationship Id="rId173" Type="http://schemas.openxmlformats.org/officeDocument/2006/relationships/image" Target="https://web.wps.cn/api/kdocs/object/scqibj6zHugi" TargetMode="External"/><Relationship Id="rId172" Type="http://schemas.openxmlformats.org/officeDocument/2006/relationships/image" Target="https://web.wps.cn/api/kdocs/object/sp5N0oePuaSz" TargetMode="External"/><Relationship Id="rId171" Type="http://schemas.openxmlformats.org/officeDocument/2006/relationships/image" Target="https://web.wps.cn/api/kdocs/object/spWMjpNyRCWP" TargetMode="External"/><Relationship Id="rId170" Type="http://schemas.openxmlformats.org/officeDocument/2006/relationships/image" Target="https://web.wps.cn/api/kdocs/object/stGx4u3tOw9H" TargetMode="External"/><Relationship Id="rId17" Type="http://schemas.openxmlformats.org/officeDocument/2006/relationships/image" Target="https://web.wps.cn/api/kdocs/object/slHlwSoFF71g" TargetMode="External"/><Relationship Id="rId169" Type="http://schemas.openxmlformats.org/officeDocument/2006/relationships/image" Target="https://web.wps.cn/api/kdocs/object/sk8v2qLJUkRy" TargetMode="External"/><Relationship Id="rId168" Type="http://schemas.openxmlformats.org/officeDocument/2006/relationships/image" Target="https://web.wps.cn/api/kdocs/object/skDnJb2pc0vc" TargetMode="External"/><Relationship Id="rId167" Type="http://schemas.openxmlformats.org/officeDocument/2006/relationships/image" Target="https://web.wps.cn/api/kdocs/object/svHjyUJy9Skc" TargetMode="External"/><Relationship Id="rId166" Type="http://schemas.openxmlformats.org/officeDocument/2006/relationships/image" Target="https://web.wps.cn/api/kdocs/object/sjt18AtmF0Sk" TargetMode="External"/><Relationship Id="rId165" Type="http://schemas.openxmlformats.org/officeDocument/2006/relationships/image" Target="https://web.wps.cn/api/kdocs/object/sbGt6qezlGYZ" TargetMode="External"/><Relationship Id="rId164" Type="http://schemas.openxmlformats.org/officeDocument/2006/relationships/image" Target="https://web.wps.cn/api/kdocs/object/sbGrZxa4S4vr" TargetMode="External"/><Relationship Id="rId163" Type="http://schemas.openxmlformats.org/officeDocument/2006/relationships/image" Target="https://web.wps.cn/api/kdocs/object/svmMXzAaPaLU" TargetMode="External"/><Relationship Id="rId162" Type="http://schemas.openxmlformats.org/officeDocument/2006/relationships/image" Target="https://web.wps.cn/api/kdocs/object/sbJYuZRztRbT" TargetMode="External"/><Relationship Id="rId161" Type="http://schemas.openxmlformats.org/officeDocument/2006/relationships/image" Target="https://web.wps.cn/api/kdocs/object/sekuQ82riiDr" TargetMode="External"/><Relationship Id="rId160" Type="http://schemas.openxmlformats.org/officeDocument/2006/relationships/image" Target="https://web.wps.cn/api/kdocs/object/saY7vRsRdsTX" TargetMode="External"/><Relationship Id="rId16" Type="http://schemas.openxmlformats.org/officeDocument/2006/relationships/image" Target="https://web.wps.cn/api/kdocs/object/su3x8yvLgKPz" TargetMode="External"/><Relationship Id="rId159" Type="http://schemas.openxmlformats.org/officeDocument/2006/relationships/image" Target="https://web.wps.cn/api/kdocs/object/srRo4OkIiOW8" TargetMode="External"/><Relationship Id="rId158" Type="http://schemas.openxmlformats.org/officeDocument/2006/relationships/image" Target="https://web.wps.cn/api/kdocs/object/so8xxgQxnDpl" TargetMode="External"/><Relationship Id="rId157" Type="http://schemas.openxmlformats.org/officeDocument/2006/relationships/image" Target="https://web.wps.cn/api/kdocs/object/som4B0KK2zhC" TargetMode="External"/><Relationship Id="rId156" Type="http://schemas.openxmlformats.org/officeDocument/2006/relationships/image" Target="https://web.wps.cn/api/kdocs/object/sccrhDVIBnaD" TargetMode="External"/><Relationship Id="rId155" Type="http://schemas.openxmlformats.org/officeDocument/2006/relationships/image" Target="https://web.wps.cn/api/kdocs/object/smld3VkkShdu" TargetMode="External"/><Relationship Id="rId154" Type="http://schemas.openxmlformats.org/officeDocument/2006/relationships/image" Target="https://web.wps.cn/api/kdocs/object/stUddUVfyFgg" TargetMode="External"/><Relationship Id="rId153" Type="http://schemas.openxmlformats.org/officeDocument/2006/relationships/image" Target="https://web.wps.cn/api/kdocs/object/sm2DBAPU2Iv7" TargetMode="External"/><Relationship Id="rId152" Type="http://schemas.openxmlformats.org/officeDocument/2006/relationships/image" Target="https://web.wps.cn/api/kdocs/object/si8qFfkdn7hM" TargetMode="External"/><Relationship Id="rId151" Type="http://schemas.openxmlformats.org/officeDocument/2006/relationships/image" Target="https://web.wps.cn/api/kdocs/object/st1iRpLEvGmJ" TargetMode="External"/><Relationship Id="rId150" Type="http://schemas.openxmlformats.org/officeDocument/2006/relationships/image" Target="https://web.wps.cn/api/kdocs/object/snpaFA2tIKNX" TargetMode="External"/><Relationship Id="rId15" Type="http://schemas.openxmlformats.org/officeDocument/2006/relationships/image" Target="https://web.wps.cn/api/kdocs/object/sr66Sv2wNArs" TargetMode="External"/><Relationship Id="rId149" Type="http://schemas.openxmlformats.org/officeDocument/2006/relationships/image" Target="https://web.wps.cn/api/kdocs/object/soQv6cTgbgvj" TargetMode="External"/><Relationship Id="rId148" Type="http://schemas.openxmlformats.org/officeDocument/2006/relationships/image" Target="https://web.wps.cn/api/kdocs/object/slu0dJ4CIUnE" TargetMode="External"/><Relationship Id="rId147" Type="http://schemas.openxmlformats.org/officeDocument/2006/relationships/image" Target="https://web.wps.cn/api/kdocs/object/scyQDiCrvSjR" TargetMode="External"/><Relationship Id="rId146" Type="http://schemas.openxmlformats.org/officeDocument/2006/relationships/image" Target="https://web.wps.cn/api/kdocs/object/svouHzgiXGSD" TargetMode="External"/><Relationship Id="rId145" Type="http://schemas.openxmlformats.org/officeDocument/2006/relationships/image" Target="https://web.wps.cn/api/kdocs/object/sgw8KNNTKgQI" TargetMode="External"/><Relationship Id="rId144" Type="http://schemas.openxmlformats.org/officeDocument/2006/relationships/image" Target="https://web.wps.cn/api/kdocs/object/sofoLOcL0gF4" TargetMode="External"/><Relationship Id="rId143" Type="http://schemas.openxmlformats.org/officeDocument/2006/relationships/image" Target="https://web.wps.cn/api/kdocs/object/shyye8GPI4Lf" TargetMode="External"/><Relationship Id="rId142" Type="http://schemas.openxmlformats.org/officeDocument/2006/relationships/image" Target="https://web.wps.cn/api/kdocs/object/suatwli60FeA" TargetMode="External"/><Relationship Id="rId141" Type="http://schemas.openxmlformats.org/officeDocument/2006/relationships/image" Target="https://web.wps.cn/api/kdocs/object/sqQXDAKMObGZ" TargetMode="External"/><Relationship Id="rId140" Type="http://schemas.openxmlformats.org/officeDocument/2006/relationships/image" Target="https://web.wps.cn/api/kdocs/object/sju3xpoWeCmy" TargetMode="External"/><Relationship Id="rId14" Type="http://schemas.openxmlformats.org/officeDocument/2006/relationships/image" Target="https://web.wps.cn/api/kdocs/object/sbbdFKdoC0IM" TargetMode="External"/><Relationship Id="rId139" Type="http://schemas.openxmlformats.org/officeDocument/2006/relationships/image" Target="https://web.wps.cn/api/kdocs/object/shIyOPJHAaTU" TargetMode="External"/><Relationship Id="rId138" Type="http://schemas.openxmlformats.org/officeDocument/2006/relationships/image" Target="https://web.wps.cn/api/kdocs/object/sc3nn2IVljHN" TargetMode="External"/><Relationship Id="rId137" Type="http://schemas.openxmlformats.org/officeDocument/2006/relationships/image" Target="https://web.wps.cn/api/kdocs/object/siSDTezaLSvC" TargetMode="External"/><Relationship Id="rId136" Type="http://schemas.openxmlformats.org/officeDocument/2006/relationships/image" Target="https://web.wps.cn/api/kdocs/object/sh8Ng0UDYxkE" TargetMode="External"/><Relationship Id="rId135" Type="http://schemas.openxmlformats.org/officeDocument/2006/relationships/image" Target="https://web.wps.cn/api/kdocs/object/sbLMNL5NO2fu" TargetMode="External"/><Relationship Id="rId134" Type="http://schemas.openxmlformats.org/officeDocument/2006/relationships/image" Target="https://web.wps.cn/api/kdocs/object/sbefRBBfdXGC" TargetMode="External"/><Relationship Id="rId133" Type="http://schemas.openxmlformats.org/officeDocument/2006/relationships/image" Target="https://web.wps.cn/api/kdocs/object/stowNPaYKDor" TargetMode="External"/><Relationship Id="rId132" Type="http://schemas.openxmlformats.org/officeDocument/2006/relationships/image" Target="https://web.wps.cn/api/kdocs/object/slVY2N7dinVI" TargetMode="External"/><Relationship Id="rId131" Type="http://schemas.openxmlformats.org/officeDocument/2006/relationships/image" Target="https://web.wps.cn/api/kdocs/object/sqJM8dpVCVBd" TargetMode="External"/><Relationship Id="rId130" Type="http://schemas.openxmlformats.org/officeDocument/2006/relationships/image" Target="https://web.wps.cn/api/kdocs/object/svBOIIIedzs2" TargetMode="External"/><Relationship Id="rId13" Type="http://schemas.openxmlformats.org/officeDocument/2006/relationships/image" Target="https://web.wps.cn/api/kdocs/object/sgbuYkhtvvax" TargetMode="External"/><Relationship Id="rId129" Type="http://schemas.openxmlformats.org/officeDocument/2006/relationships/image" Target="https://web.wps.cn/api/kdocs/object/snVstWWQHgx4" TargetMode="External"/><Relationship Id="rId128" Type="http://schemas.openxmlformats.org/officeDocument/2006/relationships/image" Target="https://web.wps.cn/api/kdocs/object/sgaErJGhgygK" TargetMode="External"/><Relationship Id="rId127" Type="http://schemas.openxmlformats.org/officeDocument/2006/relationships/image" Target="https://web.wps.cn/api/kdocs/object/sjc3cETUiUBQ" TargetMode="External"/><Relationship Id="rId126" Type="http://schemas.openxmlformats.org/officeDocument/2006/relationships/image" Target="https://web.wps.cn/api/kdocs/object/svzZp4UDiZkA" TargetMode="External"/><Relationship Id="rId125" Type="http://schemas.openxmlformats.org/officeDocument/2006/relationships/image" Target="https://web.wps.cn/api/kdocs/object/skK5iRgPr9TM" TargetMode="External"/><Relationship Id="rId124" Type="http://schemas.openxmlformats.org/officeDocument/2006/relationships/image" Target="https://web.wps.cn/api/kdocs/object/sd97aPyVGtCo" TargetMode="External"/><Relationship Id="rId123" Type="http://schemas.openxmlformats.org/officeDocument/2006/relationships/image" Target="https://web.wps.cn/api/kdocs/object/sijoYMxNNpiy" TargetMode="External"/><Relationship Id="rId122" Type="http://schemas.openxmlformats.org/officeDocument/2006/relationships/image" Target="https://web.wps.cn/api/kdocs/object/sgvOuM2AFeig" TargetMode="External"/><Relationship Id="rId121" Type="http://schemas.openxmlformats.org/officeDocument/2006/relationships/image" Target="https://web.wps.cn/api/kdocs/object/sgXAyqEeivgy" TargetMode="External"/><Relationship Id="rId120" Type="http://schemas.openxmlformats.org/officeDocument/2006/relationships/image" Target="https://web.wps.cn/api/kdocs/object/snUETSn25HZN" TargetMode="External"/><Relationship Id="rId12" Type="http://schemas.openxmlformats.org/officeDocument/2006/relationships/image" Target="https://web.wps.cn/api/kdocs/object/sfPkifoCRFdu" TargetMode="External"/><Relationship Id="rId119" Type="http://schemas.openxmlformats.org/officeDocument/2006/relationships/image" Target="https://web.wps.cn/api/kdocs/object/ssWNmipKJqnz" TargetMode="External"/><Relationship Id="rId118" Type="http://schemas.openxmlformats.org/officeDocument/2006/relationships/image" Target="https://web.wps.cn/api/kdocs/object/srgXXnV818Mu" TargetMode="External"/><Relationship Id="rId117" Type="http://schemas.openxmlformats.org/officeDocument/2006/relationships/image" Target="https://web.wps.cn/api/kdocs/object/soSTFV5yXyVJ" TargetMode="External"/><Relationship Id="rId116" Type="http://schemas.openxmlformats.org/officeDocument/2006/relationships/image" Target="https://web.wps.cn/api/kdocs/object/srAmObmiW2R6" TargetMode="External"/><Relationship Id="rId115" Type="http://schemas.openxmlformats.org/officeDocument/2006/relationships/image" Target="https://web.wps.cn/api/kdocs/object/seLKpYqD6wsM" TargetMode="External"/><Relationship Id="rId114" Type="http://schemas.openxmlformats.org/officeDocument/2006/relationships/image" Target="https://web.wps.cn/api/kdocs/object/ssH3b096ulHq" TargetMode="External"/><Relationship Id="rId113" Type="http://schemas.openxmlformats.org/officeDocument/2006/relationships/image" Target="https://web.wps.cn/api/kdocs/object/sgGfUtBHDd1C" TargetMode="External"/><Relationship Id="rId112" Type="http://schemas.openxmlformats.org/officeDocument/2006/relationships/image" Target="https://web.wps.cn/api/kdocs/object/sjhPvfO3TYfO" TargetMode="External"/><Relationship Id="rId111" Type="http://schemas.openxmlformats.org/officeDocument/2006/relationships/image" Target="https://web.wps.cn/api/kdocs/object/sdk1JapG4D5J" TargetMode="External"/><Relationship Id="rId110" Type="http://schemas.openxmlformats.org/officeDocument/2006/relationships/image" Target="https://web.wps.cn/api/kdocs/object/sb6VtomqAIRm" TargetMode="External"/><Relationship Id="rId11" Type="http://schemas.openxmlformats.org/officeDocument/2006/relationships/image" Target="https://web.wps.cn/api/kdocs/object/srPkMABjG0Ex" TargetMode="External"/><Relationship Id="rId109" Type="http://schemas.openxmlformats.org/officeDocument/2006/relationships/image" Target="https://web.wps.cn/api/kdocs/object/sfWM8VCU7r4i" TargetMode="External"/><Relationship Id="rId108" Type="http://schemas.openxmlformats.org/officeDocument/2006/relationships/image" Target="https://web.wps.cn/api/kdocs/object/slUSJy1LFb9T" TargetMode="External"/><Relationship Id="rId107" Type="http://schemas.openxmlformats.org/officeDocument/2006/relationships/image" Target="https://web.wps.cn/api/kdocs/object/shcqloUnZqrM" TargetMode="External"/><Relationship Id="rId106" Type="http://schemas.openxmlformats.org/officeDocument/2006/relationships/image" Target="https://web.wps.cn/api/kdocs/object/sqqpfprGqK8Z" TargetMode="External"/><Relationship Id="rId105" Type="http://schemas.openxmlformats.org/officeDocument/2006/relationships/image" Target="https://web.wps.cn/api/kdocs/object/skAI1ZMwKjaH" TargetMode="External"/><Relationship Id="rId104" Type="http://schemas.openxmlformats.org/officeDocument/2006/relationships/image" Target="https://web.wps.cn/api/kdocs/object/si6gpcYSV5cT" TargetMode="External"/><Relationship Id="rId103" Type="http://schemas.openxmlformats.org/officeDocument/2006/relationships/image" Target="https://web.wps.cn/api/kdocs/object/sqBXyTH013nu" TargetMode="External"/><Relationship Id="rId102" Type="http://schemas.openxmlformats.org/officeDocument/2006/relationships/image" Target="https://web.wps.cn/api/kdocs/object/sgbXPsQtHdnH" TargetMode="External"/><Relationship Id="rId101" Type="http://schemas.openxmlformats.org/officeDocument/2006/relationships/image" Target="https://web.wps.cn/api/kdocs/object/snBVNjhy9MFq" TargetMode="External"/><Relationship Id="rId100" Type="http://schemas.openxmlformats.org/officeDocument/2006/relationships/image" Target="https://web.wps.cn/api/kdocs/object/so054rxJk2OK" TargetMode="External"/><Relationship Id="rId10" Type="http://schemas.openxmlformats.org/officeDocument/2006/relationships/image" Target="https://web.wps.cn/api/kdocs/object/sa1otdaz7aQP" TargetMode="External"/><Relationship Id="rId1" Type="http://schemas.openxmlformats.org/officeDocument/2006/relationships/image" Target="https://web.wps.cn/api/kdocs/object/sdsc4H2h7eBj" TargetMode="External"/></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www.wps.cn/officeDocument/2020/cellImage" Target="cellimages.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customXml" Target="../customXml/item2.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1" Type="http://schemas.openxmlformats.org/officeDocument/2006/relationships/hyperlink" Target="https://Dr.Lu"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r.Lu"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workbookViewId="0">
      <selection activeCell="I27" sqref="I27"/>
    </sheetView>
  </sheetViews>
  <sheetFormatPr defaultColWidth="9" defaultRowHeight="14.4" outlineLevelCol="4"/>
  <cols>
    <col min="1" max="1" width="18.3796296296296" customWidth="1"/>
    <col min="2" max="2" width="17.8796296296296" customWidth="1"/>
    <col min="4" max="4" width="18.3796296296296" style="151" customWidth="1"/>
    <col min="5" max="5" width="9" style="151"/>
  </cols>
  <sheetData>
    <row r="1" s="151" customFormat="1" ht="20" customHeight="1" spans="1:1">
      <c r="A1" s="151" t="s">
        <v>0</v>
      </c>
    </row>
    <row r="2" s="151" customFormat="1" ht="20" customHeight="1" spans="1:5">
      <c r="A2" s="1" t="s">
        <v>1</v>
      </c>
      <c r="B2" s="1" t="s">
        <v>2</v>
      </c>
      <c r="D2" s="1" t="s">
        <v>1</v>
      </c>
      <c r="E2" s="1" t="s">
        <v>2</v>
      </c>
    </row>
    <row r="3" s="151" customFormat="1" ht="20" customHeight="1" spans="1:5">
      <c r="A3" s="1" t="s">
        <v>3</v>
      </c>
      <c r="B3" s="1">
        <v>7</v>
      </c>
      <c r="D3" s="1" t="s">
        <v>3</v>
      </c>
      <c r="E3" s="1">
        <v>6</v>
      </c>
    </row>
    <row r="4" s="151" customFormat="1" ht="20" customHeight="1" spans="1:5">
      <c r="A4" s="1" t="s">
        <v>4</v>
      </c>
      <c r="B4" s="1">
        <v>12</v>
      </c>
      <c r="D4" s="1" t="s">
        <v>4</v>
      </c>
      <c r="E4" s="1">
        <v>12</v>
      </c>
    </row>
    <row r="5" s="151" customFormat="1" ht="20" customHeight="1" spans="1:5">
      <c r="A5" s="1" t="s">
        <v>5</v>
      </c>
      <c r="B5" s="1">
        <v>8</v>
      </c>
      <c r="D5" s="1" t="s">
        <v>5</v>
      </c>
      <c r="E5" s="1">
        <v>8</v>
      </c>
    </row>
    <row r="6" s="151" customFormat="1" ht="20" customHeight="1" spans="1:5">
      <c r="A6" s="1" t="s">
        <v>6</v>
      </c>
      <c r="B6" s="1">
        <v>36</v>
      </c>
      <c r="D6" s="1" t="s">
        <v>6</v>
      </c>
      <c r="E6" s="1">
        <v>36</v>
      </c>
    </row>
    <row r="7" s="151" customFormat="1" ht="20" customHeight="1" spans="1:5">
      <c r="A7" s="1" t="s">
        <v>7</v>
      </c>
      <c r="B7" s="1">
        <v>6</v>
      </c>
      <c r="D7" s="1" t="s">
        <v>7</v>
      </c>
      <c r="E7" s="1">
        <v>6</v>
      </c>
    </row>
    <row r="8" s="151" customFormat="1" ht="20" customHeight="1" spans="1:5">
      <c r="A8" s="1" t="s">
        <v>8</v>
      </c>
      <c r="B8" s="1">
        <v>57</v>
      </c>
      <c r="D8" s="1" t="s">
        <v>8</v>
      </c>
      <c r="E8" s="1">
        <v>56</v>
      </c>
    </row>
    <row r="9" s="151" customFormat="1" ht="20" customHeight="1" spans="1:5">
      <c r="A9" s="1" t="s">
        <v>9</v>
      </c>
      <c r="B9" s="1">
        <v>13</v>
      </c>
      <c r="D9" s="1" t="s">
        <v>9</v>
      </c>
      <c r="E9" s="1">
        <v>11</v>
      </c>
    </row>
    <row r="10" s="151" customFormat="1" ht="20" customHeight="1" spans="1:5">
      <c r="A10" s="1" t="s">
        <v>10</v>
      </c>
      <c r="B10" s="1">
        <v>3</v>
      </c>
      <c r="D10" s="1" t="s">
        <v>10</v>
      </c>
      <c r="E10" s="1">
        <v>2</v>
      </c>
    </row>
    <row r="11" s="151" customFormat="1" ht="20" customHeight="1" spans="1:5">
      <c r="A11" s="1" t="s">
        <v>11</v>
      </c>
      <c r="B11" s="1">
        <v>3</v>
      </c>
      <c r="D11" s="1" t="s">
        <v>11</v>
      </c>
      <c r="E11" s="1">
        <v>2</v>
      </c>
    </row>
    <row r="12" s="151" customFormat="1" ht="20" customHeight="1" spans="1:5">
      <c r="A12" s="1" t="s">
        <v>12</v>
      </c>
      <c r="B12" s="1">
        <v>9</v>
      </c>
      <c r="D12" s="1" t="s">
        <v>12</v>
      </c>
      <c r="E12" s="1">
        <v>9</v>
      </c>
    </row>
    <row r="13" s="151" customFormat="1" ht="20" customHeight="1" spans="1:5">
      <c r="A13" s="1" t="s">
        <v>13</v>
      </c>
      <c r="B13" s="1">
        <v>103</v>
      </c>
      <c r="D13" s="1" t="s">
        <v>13</v>
      </c>
      <c r="E13" s="1">
        <v>96</v>
      </c>
    </row>
    <row r="14" s="151" customFormat="1" ht="20" customHeight="1" spans="1:5">
      <c r="A14" s="1" t="s">
        <v>14</v>
      </c>
      <c r="B14" s="1">
        <v>68</v>
      </c>
      <c r="D14" s="1" t="s">
        <v>14</v>
      </c>
      <c r="E14" s="1">
        <v>65</v>
      </c>
    </row>
    <row r="15" s="151" customFormat="1" ht="20" customHeight="1" spans="1:5">
      <c r="A15" s="1" t="s">
        <v>15</v>
      </c>
      <c r="B15" s="1">
        <v>11</v>
      </c>
      <c r="D15" s="1" t="s">
        <v>15</v>
      </c>
      <c r="E15" s="1">
        <v>10</v>
      </c>
    </row>
    <row r="16" s="151" customFormat="1" ht="20" customHeight="1" spans="1:5">
      <c r="A16" s="1" t="s">
        <v>16</v>
      </c>
      <c r="B16" s="1">
        <v>11</v>
      </c>
      <c r="D16" s="1" t="s">
        <v>16</v>
      </c>
      <c r="E16" s="1">
        <v>11</v>
      </c>
    </row>
    <row r="17" s="151" customFormat="1" ht="20" customHeight="1" spans="1:5">
      <c r="A17" s="1" t="s">
        <v>17</v>
      </c>
      <c r="B17" s="1">
        <v>5</v>
      </c>
      <c r="D17" s="1" t="s">
        <v>17</v>
      </c>
      <c r="E17" s="1">
        <v>5</v>
      </c>
    </row>
    <row r="18" s="151" customFormat="1" ht="20" customHeight="1" spans="1:5">
      <c r="A18" s="1" t="s">
        <v>18</v>
      </c>
      <c r="B18" s="1">
        <v>4</v>
      </c>
      <c r="D18" s="1" t="s">
        <v>18</v>
      </c>
      <c r="E18" s="1">
        <v>4</v>
      </c>
    </row>
    <row r="19" s="151" customFormat="1" ht="20" customHeight="1" spans="1:5">
      <c r="A19" s="1" t="s">
        <v>19</v>
      </c>
      <c r="B19" s="1">
        <v>3</v>
      </c>
      <c r="D19" s="1" t="s">
        <v>19</v>
      </c>
      <c r="E19" s="1">
        <v>3</v>
      </c>
    </row>
    <row r="20" s="151" customFormat="1" ht="20" customHeight="1" spans="1:5">
      <c r="A20" s="1" t="s">
        <v>20</v>
      </c>
      <c r="B20" s="1">
        <v>12</v>
      </c>
      <c r="D20" s="1" t="s">
        <v>20</v>
      </c>
      <c r="E20" s="1">
        <v>12</v>
      </c>
    </row>
    <row r="21" s="151" customFormat="1" ht="20" customHeight="1" spans="1:5">
      <c r="A21" s="1" t="s">
        <v>21</v>
      </c>
      <c r="B21" s="1">
        <v>15</v>
      </c>
      <c r="D21" s="1" t="s">
        <v>21</v>
      </c>
      <c r="E21" s="1">
        <v>14</v>
      </c>
    </row>
    <row r="22" s="151" customFormat="1" ht="20" customHeight="1" spans="1:5">
      <c r="A22" s="1" t="s">
        <v>22</v>
      </c>
      <c r="B22" s="1">
        <v>1</v>
      </c>
      <c r="D22" s="1" t="s">
        <v>22</v>
      </c>
      <c r="E22" s="1">
        <v>1</v>
      </c>
    </row>
    <row r="23" s="151" customFormat="1" ht="20" customHeight="1" spans="1:5">
      <c r="A23" s="1" t="s">
        <v>23</v>
      </c>
      <c r="B23" s="1">
        <v>4</v>
      </c>
      <c r="D23" s="1" t="s">
        <v>23</v>
      </c>
      <c r="E23" s="1">
        <v>4</v>
      </c>
    </row>
    <row r="24" s="151" customFormat="1" ht="20" customHeight="1" spans="1:5">
      <c r="A24" s="1" t="s">
        <v>24</v>
      </c>
      <c r="B24" s="1">
        <v>1</v>
      </c>
      <c r="D24" s="1"/>
      <c r="E24" s="1"/>
    </row>
    <row r="25" s="151" customFormat="1" ht="20" customHeight="1" spans="1:5">
      <c r="A25" s="1" t="s">
        <v>25</v>
      </c>
      <c r="B25" s="1">
        <v>30</v>
      </c>
      <c r="D25" s="1" t="s">
        <v>25</v>
      </c>
      <c r="E25" s="1">
        <v>30</v>
      </c>
    </row>
    <row r="26" s="151" customFormat="1" ht="20" customHeight="1" spans="1:5">
      <c r="A26" s="1" t="s">
        <v>26</v>
      </c>
      <c r="B26" s="1">
        <v>9</v>
      </c>
      <c r="D26" s="1" t="s">
        <v>26</v>
      </c>
      <c r="E26" s="1">
        <v>9</v>
      </c>
    </row>
    <row r="27" s="151" customFormat="1" ht="20" customHeight="1" spans="1:5">
      <c r="A27" s="1" t="s">
        <v>27</v>
      </c>
      <c r="B27" s="1">
        <v>2</v>
      </c>
      <c r="D27" s="1" t="s">
        <v>27</v>
      </c>
      <c r="E27" s="1">
        <v>2</v>
      </c>
    </row>
    <row r="28" s="151" customFormat="1" ht="20" customHeight="1" spans="1:5">
      <c r="A28" s="1" t="s">
        <v>28</v>
      </c>
      <c r="B28" s="1">
        <v>101</v>
      </c>
      <c r="D28" s="1" t="s">
        <v>28</v>
      </c>
      <c r="E28" s="1">
        <v>99</v>
      </c>
    </row>
    <row r="29" s="151" customFormat="1" ht="20" customHeight="1" spans="1:5">
      <c r="A29" s="1" t="s">
        <v>29</v>
      </c>
      <c r="B29" s="1">
        <v>1</v>
      </c>
      <c r="D29" s="1" t="s">
        <v>29</v>
      </c>
      <c r="E29" s="1">
        <v>1</v>
      </c>
    </row>
    <row r="30" s="151" customFormat="1" ht="20" customHeight="1" spans="1:5">
      <c r="A30" s="1" t="s">
        <v>30</v>
      </c>
      <c r="B30" s="1">
        <v>1</v>
      </c>
      <c r="D30" s="1" t="s">
        <v>30</v>
      </c>
      <c r="E30" s="1">
        <v>1</v>
      </c>
    </row>
    <row r="31" s="151" customFormat="1" ht="20" customHeight="1" spans="1:5">
      <c r="A31" s="1"/>
      <c r="B31" s="1">
        <f>SUM(B3:B30)</f>
        <v>536</v>
      </c>
      <c r="D31" s="1"/>
      <c r="E31" s="1">
        <f>SUM(E3:E30)</f>
        <v>515</v>
      </c>
    </row>
  </sheetData>
  <sheetProtection formatCells="0" insertHyperlinks="0" autoFilter="0"/>
  <mergeCells count="1">
    <mergeCell ref="A1:B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7"/>
  <sheetViews>
    <sheetView workbookViewId="0">
      <pane xSplit="1" ySplit="1" topLeftCell="B2" activePane="bottomRight" state="frozen"/>
      <selection/>
      <selection pane="topRight"/>
      <selection pane="bottomLeft"/>
      <selection pane="bottomRight" activeCell="A303" sqref="$A303:$XFD303"/>
    </sheetView>
  </sheetViews>
  <sheetFormatPr defaultColWidth="9" defaultRowHeight="20" customHeight="1"/>
  <cols>
    <col min="1" max="1" width="11.1296296296296" style="7" customWidth="1"/>
    <col min="2" max="2" width="7.37962962962963" style="7" customWidth="1"/>
    <col min="3" max="3" width="21.5" style="7" customWidth="1"/>
    <col min="4" max="4" width="14.3796296296296" style="8" customWidth="1"/>
    <col min="5" max="5" width="13" style="8" customWidth="1"/>
    <col min="6" max="7" width="13" style="7" customWidth="1"/>
    <col min="8" max="8" width="13" style="8" customWidth="1"/>
    <col min="9" max="9" width="27.5" style="8" customWidth="1"/>
    <col min="10" max="10" width="22.1296296296296" style="8" customWidth="1"/>
    <col min="11" max="12" width="13" style="8" customWidth="1"/>
    <col min="13" max="13" width="29.8796296296296" style="8" customWidth="1"/>
    <col min="14" max="17" width="13" style="8" customWidth="1"/>
    <col min="18" max="19" width="13" style="7" customWidth="1"/>
    <col min="20" max="20" width="9.25" style="7" customWidth="1"/>
  </cols>
  <sheetData>
    <row r="1" s="2" customFormat="1" ht="28.8" spans="1:20">
      <c r="A1" s="9" t="s">
        <v>133</v>
      </c>
      <c r="B1" s="9" t="s">
        <v>134</v>
      </c>
      <c r="C1" s="9" t="s">
        <v>135</v>
      </c>
      <c r="D1" s="10" t="s">
        <v>136</v>
      </c>
      <c r="E1" s="9" t="s">
        <v>138</v>
      </c>
      <c r="F1" s="9" t="s">
        <v>1</v>
      </c>
      <c r="G1" s="9" t="s">
        <v>139</v>
      </c>
      <c r="H1" s="9" t="s">
        <v>140</v>
      </c>
      <c r="I1" s="9" t="s">
        <v>141</v>
      </c>
      <c r="J1" s="9" t="s">
        <v>142</v>
      </c>
      <c r="K1" s="9" t="s">
        <v>143</v>
      </c>
      <c r="L1" s="9" t="s">
        <v>144</v>
      </c>
      <c r="M1" s="9" t="s">
        <v>145</v>
      </c>
      <c r="N1" s="9" t="s">
        <v>146</v>
      </c>
      <c r="O1" s="9" t="s">
        <v>147</v>
      </c>
      <c r="P1" s="9" t="s">
        <v>148</v>
      </c>
      <c r="Q1" s="13" t="s">
        <v>149</v>
      </c>
      <c r="R1" s="14" t="s">
        <v>4313</v>
      </c>
      <c r="S1" s="14" t="s">
        <v>32</v>
      </c>
      <c r="T1" s="14" t="s">
        <v>4314</v>
      </c>
    </row>
    <row r="2" s="3" customFormat="1" customHeight="1" spans="1:20">
      <c r="A2" s="166" t="s">
        <v>275</v>
      </c>
      <c r="B2" s="166" t="s">
        <v>165</v>
      </c>
      <c r="C2" s="166" t="s">
        <v>276</v>
      </c>
      <c r="D2" s="11">
        <v>15180601470</v>
      </c>
      <c r="E2" s="167" t="s">
        <v>278</v>
      </c>
      <c r="F2" s="166" t="s">
        <v>28</v>
      </c>
      <c r="G2" s="9">
        <v>202103001</v>
      </c>
      <c r="H2" s="167" t="s">
        <v>279</v>
      </c>
      <c r="I2" s="167" t="s">
        <v>233</v>
      </c>
      <c r="J2" s="167" t="s">
        <v>280</v>
      </c>
      <c r="K2" s="167" t="s">
        <v>170</v>
      </c>
      <c r="L2" s="167" t="s">
        <v>281</v>
      </c>
      <c r="M2" s="167" t="s">
        <v>280</v>
      </c>
      <c r="N2" s="167" t="s">
        <v>282</v>
      </c>
      <c r="O2" s="12" t="str">
        <f>_xlfn.DISPIMG("ID_B65C52FC26C14A83A9F7B47ADDC75EF7",1)</f>
        <v>=DISPIMG("ID_B65C52FC26C14A83A9F7B47ADDC75EF7",1)</v>
      </c>
      <c r="P2" s="9" t="s">
        <v>283</v>
      </c>
      <c r="Q2" s="11">
        <v>15</v>
      </c>
      <c r="R2" s="15" t="s">
        <v>4315</v>
      </c>
      <c r="S2" s="16" t="s">
        <v>36</v>
      </c>
      <c r="T2" s="9">
        <v>6</v>
      </c>
    </row>
    <row r="3" s="3" customFormat="1" customHeight="1" spans="1:20">
      <c r="A3" s="166" t="s">
        <v>336</v>
      </c>
      <c r="B3" s="166" t="s">
        <v>165</v>
      </c>
      <c r="C3" s="166" t="s">
        <v>337</v>
      </c>
      <c r="D3" s="11">
        <v>18397927213</v>
      </c>
      <c r="E3" s="167" t="s">
        <v>278</v>
      </c>
      <c r="F3" s="166" t="s">
        <v>28</v>
      </c>
      <c r="G3" s="9">
        <v>202103001</v>
      </c>
      <c r="H3" s="167" t="s">
        <v>279</v>
      </c>
      <c r="I3" s="167" t="s">
        <v>339</v>
      </c>
      <c r="J3" s="167" t="s">
        <v>280</v>
      </c>
      <c r="K3" s="167" t="s">
        <v>170</v>
      </c>
      <c r="L3" s="167" t="s">
        <v>180</v>
      </c>
      <c r="M3" s="167" t="s">
        <v>340</v>
      </c>
      <c r="N3" s="167" t="s">
        <v>341</v>
      </c>
      <c r="O3" s="12" t="str">
        <f>_xlfn.DISPIMG("ID_FA546082303144F6A5FD61F335F92D18",1)</f>
        <v>=DISPIMG("ID_FA546082303144F6A5FD61F335F92D18",1)</v>
      </c>
      <c r="P3" s="9" t="s">
        <v>342</v>
      </c>
      <c r="Q3" s="11">
        <v>22</v>
      </c>
      <c r="R3" s="78" t="s">
        <v>4316</v>
      </c>
      <c r="S3" s="19" t="s">
        <v>36</v>
      </c>
      <c r="T3" s="9">
        <v>7</v>
      </c>
    </row>
    <row r="4" s="3" customFormat="1" customHeight="1" spans="1:20">
      <c r="A4" s="166" t="s">
        <v>373</v>
      </c>
      <c r="B4" s="166" t="s">
        <v>165</v>
      </c>
      <c r="C4" s="166" t="s">
        <v>374</v>
      </c>
      <c r="D4" s="11">
        <v>15170964571</v>
      </c>
      <c r="E4" s="167" t="s">
        <v>278</v>
      </c>
      <c r="F4" s="166" t="s">
        <v>28</v>
      </c>
      <c r="G4" s="9">
        <v>202103001</v>
      </c>
      <c r="H4" s="167" t="s">
        <v>279</v>
      </c>
      <c r="I4" s="167" t="s">
        <v>367</v>
      </c>
      <c r="J4" s="167" t="s">
        <v>280</v>
      </c>
      <c r="K4" s="167" t="s">
        <v>170</v>
      </c>
      <c r="L4" s="167" t="s">
        <v>224</v>
      </c>
      <c r="M4" s="167" t="s">
        <v>376</v>
      </c>
      <c r="N4" s="167" t="s">
        <v>377</v>
      </c>
      <c r="O4" s="12" t="str">
        <f>_xlfn.DISPIMG("ID_C8327FEC732A4CC39200F90994F97069",1)</f>
        <v>=DISPIMG("ID_C8327FEC732A4CC39200F90994F97069",1)</v>
      </c>
      <c r="P4" s="9" t="s">
        <v>378</v>
      </c>
      <c r="Q4" s="11">
        <v>26</v>
      </c>
      <c r="R4" s="78" t="s">
        <v>4317</v>
      </c>
      <c r="S4" s="19" t="s">
        <v>36</v>
      </c>
      <c r="T4" s="9">
        <v>18</v>
      </c>
    </row>
    <row r="5" s="3" customFormat="1" customHeight="1" spans="1:20">
      <c r="A5" s="166" t="s">
        <v>418</v>
      </c>
      <c r="B5" s="166" t="s">
        <v>165</v>
      </c>
      <c r="C5" s="166" t="s">
        <v>419</v>
      </c>
      <c r="D5" s="11">
        <v>13870260927</v>
      </c>
      <c r="E5" s="167" t="s">
        <v>278</v>
      </c>
      <c r="F5" s="166" t="s">
        <v>28</v>
      </c>
      <c r="G5" s="9">
        <v>202103001</v>
      </c>
      <c r="H5" s="167" t="s">
        <v>279</v>
      </c>
      <c r="I5" s="167" t="s">
        <v>367</v>
      </c>
      <c r="J5" s="167" t="s">
        <v>280</v>
      </c>
      <c r="K5" s="167" t="s">
        <v>170</v>
      </c>
      <c r="L5" s="167" t="s">
        <v>224</v>
      </c>
      <c r="M5" s="167" t="s">
        <v>28</v>
      </c>
      <c r="N5" s="167" t="s">
        <v>421</v>
      </c>
      <c r="O5" s="12" t="str">
        <f>_xlfn.DISPIMG("ID_37FC201A56874EEA918314432BBE8D22",1)</f>
        <v>=DISPIMG("ID_37FC201A56874EEA918314432BBE8D22",1)</v>
      </c>
      <c r="P5" s="9" t="s">
        <v>422</v>
      </c>
      <c r="Q5" s="11">
        <v>31</v>
      </c>
      <c r="R5" s="78" t="s">
        <v>4318</v>
      </c>
      <c r="S5" s="19" t="s">
        <v>36</v>
      </c>
      <c r="T5" s="9">
        <v>19</v>
      </c>
    </row>
    <row r="6" s="3" customFormat="1" customHeight="1" spans="1:20">
      <c r="A6" s="166" t="s">
        <v>477</v>
      </c>
      <c r="B6" s="166" t="s">
        <v>165</v>
      </c>
      <c r="C6" s="166" t="s">
        <v>478</v>
      </c>
      <c r="D6" s="11">
        <v>18770282894</v>
      </c>
      <c r="E6" s="167" t="s">
        <v>278</v>
      </c>
      <c r="F6" s="166" t="s">
        <v>28</v>
      </c>
      <c r="G6" s="9">
        <v>202103001</v>
      </c>
      <c r="H6" s="167" t="s">
        <v>279</v>
      </c>
      <c r="I6" s="167" t="s">
        <v>367</v>
      </c>
      <c r="J6" s="167" t="s">
        <v>280</v>
      </c>
      <c r="K6" s="167" t="s">
        <v>170</v>
      </c>
      <c r="L6" s="167" t="s">
        <v>216</v>
      </c>
      <c r="M6" s="167" t="s">
        <v>340</v>
      </c>
      <c r="N6" s="167" t="s">
        <v>480</v>
      </c>
      <c r="O6" s="12" t="str">
        <f>_xlfn.DISPIMG("ID_CA960935E07F423087EFDE1A92D5AFE3",1)</f>
        <v>=DISPIMG("ID_CA960935E07F423087EFDE1A92D5AFE3",1)</v>
      </c>
      <c r="P6" s="9" t="s">
        <v>481</v>
      </c>
      <c r="Q6" s="11">
        <v>38</v>
      </c>
      <c r="R6" s="78" t="s">
        <v>4319</v>
      </c>
      <c r="S6" s="19" t="s">
        <v>36</v>
      </c>
      <c r="T6" s="9">
        <v>30</v>
      </c>
    </row>
    <row r="7" s="3" customFormat="1" customHeight="1" spans="1:20">
      <c r="A7" s="166" t="s">
        <v>512</v>
      </c>
      <c r="B7" s="166" t="s">
        <v>165</v>
      </c>
      <c r="C7" s="166" t="s">
        <v>513</v>
      </c>
      <c r="D7" s="11">
        <v>15007008219</v>
      </c>
      <c r="E7" s="167" t="s">
        <v>278</v>
      </c>
      <c r="F7" s="166" t="s">
        <v>28</v>
      </c>
      <c r="G7" s="9">
        <v>202103001</v>
      </c>
      <c r="H7" s="167" t="s">
        <v>279</v>
      </c>
      <c r="I7" s="167" t="s">
        <v>515</v>
      </c>
      <c r="J7" s="167" t="s">
        <v>280</v>
      </c>
      <c r="K7" s="167" t="s">
        <v>170</v>
      </c>
      <c r="L7" s="167" t="s">
        <v>516</v>
      </c>
      <c r="M7" s="167" t="s">
        <v>517</v>
      </c>
      <c r="N7" s="167" t="s">
        <v>518</v>
      </c>
      <c r="O7" s="12" t="str">
        <f>_xlfn.DISPIMG("ID_07A071EC50BE4110A9ABC6B339CCBE2D",1)</f>
        <v>=DISPIMG("ID_07A071EC50BE4110A9ABC6B339CCBE2D",1)</v>
      </c>
      <c r="P7" s="9" t="s">
        <v>519</v>
      </c>
      <c r="Q7" s="11">
        <v>43</v>
      </c>
      <c r="R7" s="78" t="s">
        <v>4320</v>
      </c>
      <c r="S7" s="19" t="s">
        <v>36</v>
      </c>
      <c r="T7" s="9">
        <v>5</v>
      </c>
    </row>
    <row r="8" s="3" customFormat="1" customHeight="1" spans="1:20">
      <c r="A8" s="166" t="s">
        <v>573</v>
      </c>
      <c r="B8" s="166" t="s">
        <v>165</v>
      </c>
      <c r="C8" s="166" t="s">
        <v>574</v>
      </c>
      <c r="D8" s="11">
        <v>13387029092</v>
      </c>
      <c r="E8" s="167" t="s">
        <v>278</v>
      </c>
      <c r="F8" s="166" t="s">
        <v>28</v>
      </c>
      <c r="G8" s="9">
        <v>202103001</v>
      </c>
      <c r="H8" s="167" t="s">
        <v>279</v>
      </c>
      <c r="I8" s="167" t="s">
        <v>576</v>
      </c>
      <c r="J8" s="167" t="s">
        <v>280</v>
      </c>
      <c r="K8" s="167" t="s">
        <v>170</v>
      </c>
      <c r="L8" s="167" t="s">
        <v>577</v>
      </c>
      <c r="M8" s="167" t="s">
        <v>280</v>
      </c>
      <c r="N8" s="167" t="s">
        <v>578</v>
      </c>
      <c r="O8" s="12" t="str">
        <f>_xlfn.DISPIMG("ID_82D3A4866E584D37A328F1F75C226980",1)</f>
        <v>=DISPIMG("ID_82D3A4866E584D37A328F1F75C226980",1)</v>
      </c>
      <c r="P8" s="9" t="s">
        <v>579</v>
      </c>
      <c r="Q8" s="11">
        <v>50</v>
      </c>
      <c r="R8" s="78" t="s">
        <v>4321</v>
      </c>
      <c r="S8" s="19" t="s">
        <v>36</v>
      </c>
      <c r="T8" s="9">
        <v>8</v>
      </c>
    </row>
    <row r="9" s="4" customFormat="1" customHeight="1" spans="1:20">
      <c r="A9" s="166" t="s">
        <v>582</v>
      </c>
      <c r="B9" s="166" t="s">
        <v>165</v>
      </c>
      <c r="C9" s="166" t="s">
        <v>583</v>
      </c>
      <c r="D9" s="11">
        <v>18879297924</v>
      </c>
      <c r="E9" s="167" t="s">
        <v>278</v>
      </c>
      <c r="F9" s="166" t="s">
        <v>28</v>
      </c>
      <c r="G9" s="9">
        <v>202103001</v>
      </c>
      <c r="H9" s="167" t="s">
        <v>585</v>
      </c>
      <c r="I9" s="167" t="s">
        <v>367</v>
      </c>
      <c r="J9" s="167" t="s">
        <v>586</v>
      </c>
      <c r="K9" s="167" t="s">
        <v>170</v>
      </c>
      <c r="L9" s="167" t="s">
        <v>587</v>
      </c>
      <c r="M9" s="167" t="s">
        <v>588</v>
      </c>
      <c r="N9" s="167" t="s">
        <v>589</v>
      </c>
      <c r="O9" s="12" t="str">
        <f>_xlfn.DISPIMG("ID_6DA92F60F38D4176A8885E139DCAD5AE",1)</f>
        <v>=DISPIMG("ID_6DA92F60F38D4176A8885E139DCAD5AE",1)</v>
      </c>
      <c r="P9" s="9" t="s">
        <v>590</v>
      </c>
      <c r="Q9" s="11">
        <v>51</v>
      </c>
      <c r="R9" s="78" t="s">
        <v>4322</v>
      </c>
      <c r="S9" s="19" t="s">
        <v>36</v>
      </c>
      <c r="T9" s="9">
        <v>17</v>
      </c>
    </row>
    <row r="10" s="3" customFormat="1" customHeight="1" spans="1:20">
      <c r="A10" s="166" t="s">
        <v>592</v>
      </c>
      <c r="B10" s="166" t="s">
        <v>165</v>
      </c>
      <c r="C10" s="166" t="s">
        <v>593</v>
      </c>
      <c r="D10" s="11">
        <v>13177706682</v>
      </c>
      <c r="E10" s="167" t="s">
        <v>278</v>
      </c>
      <c r="F10" s="166" t="s">
        <v>28</v>
      </c>
      <c r="G10" s="9">
        <v>202103001</v>
      </c>
      <c r="H10" s="167" t="s">
        <v>279</v>
      </c>
      <c r="I10" s="167" t="s">
        <v>595</v>
      </c>
      <c r="J10" s="167" t="s">
        <v>280</v>
      </c>
      <c r="K10" s="167" t="s">
        <v>170</v>
      </c>
      <c r="L10" s="167" t="s">
        <v>281</v>
      </c>
      <c r="M10" s="167" t="s">
        <v>28</v>
      </c>
      <c r="N10" s="167" t="s">
        <v>596</v>
      </c>
      <c r="O10" s="12" t="str">
        <f>_xlfn.DISPIMG("ID_4A2B45245E6541EDAAF502188C295214",1)</f>
        <v>=DISPIMG("ID_4A2B45245E6541EDAAF502188C295214",1)</v>
      </c>
      <c r="P10" s="9" t="s">
        <v>597</v>
      </c>
      <c r="Q10" s="11">
        <v>52</v>
      </c>
      <c r="R10" s="78" t="s">
        <v>4323</v>
      </c>
      <c r="S10" s="19" t="s">
        <v>36</v>
      </c>
      <c r="T10" s="9">
        <v>20</v>
      </c>
    </row>
    <row r="11" s="3" customFormat="1" customHeight="1" spans="1:20">
      <c r="A11" s="166" t="s">
        <v>614</v>
      </c>
      <c r="B11" s="166" t="s">
        <v>165</v>
      </c>
      <c r="C11" s="166" t="s">
        <v>615</v>
      </c>
      <c r="D11" s="11">
        <v>13755265925</v>
      </c>
      <c r="E11" s="167" t="s">
        <v>278</v>
      </c>
      <c r="F11" s="166" t="s">
        <v>28</v>
      </c>
      <c r="G11" s="9">
        <v>202103001</v>
      </c>
      <c r="H11" s="167" t="s">
        <v>585</v>
      </c>
      <c r="I11" s="167" t="s">
        <v>595</v>
      </c>
      <c r="J11" s="167" t="s">
        <v>280</v>
      </c>
      <c r="K11" s="167" t="s">
        <v>170</v>
      </c>
      <c r="L11" s="167" t="s">
        <v>281</v>
      </c>
      <c r="M11" s="167" t="s">
        <v>28</v>
      </c>
      <c r="N11" s="167" t="s">
        <v>617</v>
      </c>
      <c r="O11" s="12" t="str">
        <f>_xlfn.DISPIMG("ID_85355BEE288D4456A9F8FBBF22F43B44",1)</f>
        <v>=DISPIMG("ID_85355BEE288D4456A9F8FBBF22F43B44",1)</v>
      </c>
      <c r="P11" s="9" t="s">
        <v>618</v>
      </c>
      <c r="Q11" s="11">
        <v>55</v>
      </c>
      <c r="R11" s="78" t="s">
        <v>4324</v>
      </c>
      <c r="S11" s="19" t="s">
        <v>36</v>
      </c>
      <c r="T11" s="9">
        <v>29</v>
      </c>
    </row>
    <row r="12" s="3" customFormat="1" customHeight="1" spans="1:20">
      <c r="A12" s="166" t="s">
        <v>620</v>
      </c>
      <c r="B12" s="166" t="s">
        <v>165</v>
      </c>
      <c r="C12" s="166" t="s">
        <v>621</v>
      </c>
      <c r="D12" s="11">
        <v>18370123772</v>
      </c>
      <c r="E12" s="167" t="s">
        <v>278</v>
      </c>
      <c r="F12" s="166" t="s">
        <v>28</v>
      </c>
      <c r="G12" s="9">
        <v>202103001</v>
      </c>
      <c r="H12" s="167" t="s">
        <v>585</v>
      </c>
      <c r="I12" s="167" t="s">
        <v>595</v>
      </c>
      <c r="J12" s="167" t="s">
        <v>280</v>
      </c>
      <c r="K12" s="167" t="s">
        <v>170</v>
      </c>
      <c r="L12" s="167" t="s">
        <v>368</v>
      </c>
      <c r="M12" s="167" t="s">
        <v>28</v>
      </c>
      <c r="N12" s="167" t="s">
        <v>623</v>
      </c>
      <c r="O12" s="12" t="str">
        <f>_xlfn.DISPIMG("ID_109F9871D9934FD3B362EB8D2EAFD060",1)</f>
        <v>=DISPIMG("ID_109F9871D9934FD3B362EB8D2EAFD060",1)</v>
      </c>
      <c r="P12" s="9" t="s">
        <v>624</v>
      </c>
      <c r="Q12" s="11">
        <v>56</v>
      </c>
      <c r="R12" s="78" t="s">
        <v>4325</v>
      </c>
      <c r="S12" s="19" t="s">
        <v>36</v>
      </c>
      <c r="T12" s="9">
        <v>4</v>
      </c>
    </row>
    <row r="13" s="3" customFormat="1" customHeight="1" spans="1:20">
      <c r="A13" s="166" t="s">
        <v>659</v>
      </c>
      <c r="B13" s="166" t="s">
        <v>165</v>
      </c>
      <c r="C13" s="166" t="s">
        <v>660</v>
      </c>
      <c r="D13" s="11">
        <v>18370120304</v>
      </c>
      <c r="E13" s="167" t="s">
        <v>278</v>
      </c>
      <c r="F13" s="166" t="s">
        <v>28</v>
      </c>
      <c r="G13" s="9">
        <v>202103001</v>
      </c>
      <c r="H13" s="167" t="s">
        <v>279</v>
      </c>
      <c r="I13" s="167" t="s">
        <v>662</v>
      </c>
      <c r="J13" s="167" t="s">
        <v>280</v>
      </c>
      <c r="K13" s="167" t="s">
        <v>170</v>
      </c>
      <c r="L13" s="167" t="s">
        <v>368</v>
      </c>
      <c r="M13" s="167" t="s">
        <v>663</v>
      </c>
      <c r="N13" s="167" t="s">
        <v>664</v>
      </c>
      <c r="O13" s="12" t="str">
        <f>_xlfn.DISPIMG("ID_4AE3C77D21184B118F491A1655043931",1)</f>
        <v>=DISPIMG("ID_4AE3C77D21184B118F491A1655043931",1)</v>
      </c>
      <c r="P13" s="9" t="s">
        <v>665</v>
      </c>
      <c r="Q13" s="11">
        <v>61</v>
      </c>
      <c r="R13" s="78" t="s">
        <v>4326</v>
      </c>
      <c r="S13" s="19" t="s">
        <v>36</v>
      </c>
      <c r="T13" s="9">
        <v>9</v>
      </c>
    </row>
    <row r="14" s="3" customFormat="1" customHeight="1" spans="1:20">
      <c r="A14" s="166" t="s">
        <v>694</v>
      </c>
      <c r="B14" s="166" t="s">
        <v>165</v>
      </c>
      <c r="C14" s="166" t="s">
        <v>695</v>
      </c>
      <c r="D14" s="11">
        <v>15779270127</v>
      </c>
      <c r="E14" s="167" t="s">
        <v>278</v>
      </c>
      <c r="F14" s="166" t="s">
        <v>28</v>
      </c>
      <c r="G14" s="9">
        <v>202103001</v>
      </c>
      <c r="H14" s="167" t="s">
        <v>279</v>
      </c>
      <c r="I14" s="167" t="s">
        <v>697</v>
      </c>
      <c r="J14" s="167" t="s">
        <v>280</v>
      </c>
      <c r="K14" s="167" t="s">
        <v>160</v>
      </c>
      <c r="L14" s="167" t="s">
        <v>180</v>
      </c>
      <c r="M14" s="167" t="s">
        <v>28</v>
      </c>
      <c r="N14" s="167" t="s">
        <v>698</v>
      </c>
      <c r="O14" s="12" t="str">
        <f>_xlfn.DISPIMG("ID_E6AFBB076E18415F8E4E8CB1E3BFC1A0",1)</f>
        <v>=DISPIMG("ID_E6AFBB076E18415F8E4E8CB1E3BFC1A0",1)</v>
      </c>
      <c r="P14" s="9" t="s">
        <v>699</v>
      </c>
      <c r="Q14" s="11">
        <v>65</v>
      </c>
      <c r="R14" s="78" t="s">
        <v>4327</v>
      </c>
      <c r="S14" s="19" t="s">
        <v>36</v>
      </c>
      <c r="T14" s="9">
        <v>16</v>
      </c>
    </row>
    <row r="15" s="3" customFormat="1" customHeight="1" spans="1:20">
      <c r="A15" s="166" t="s">
        <v>712</v>
      </c>
      <c r="B15" s="166" t="s">
        <v>165</v>
      </c>
      <c r="C15" s="166" t="s">
        <v>713</v>
      </c>
      <c r="D15" s="11">
        <v>18379282600</v>
      </c>
      <c r="E15" s="167" t="s">
        <v>278</v>
      </c>
      <c r="F15" s="166" t="s">
        <v>28</v>
      </c>
      <c r="G15" s="9">
        <v>202103001</v>
      </c>
      <c r="H15" s="167" t="s">
        <v>279</v>
      </c>
      <c r="I15" s="167" t="s">
        <v>168</v>
      </c>
      <c r="J15" s="167" t="s">
        <v>280</v>
      </c>
      <c r="K15" s="167" t="s">
        <v>170</v>
      </c>
      <c r="L15" s="167" t="s">
        <v>199</v>
      </c>
      <c r="M15" s="167" t="s">
        <v>715</v>
      </c>
      <c r="N15" s="167" t="s">
        <v>716</v>
      </c>
      <c r="O15" s="12" t="str">
        <f>_xlfn.DISPIMG("ID_CF0B9D1514D24BCEBECEF1FC59445AFE",1)</f>
        <v>=DISPIMG("ID_CF0B9D1514D24BCEBECEF1FC59445AFE",1)</v>
      </c>
      <c r="P15" s="9" t="s">
        <v>717</v>
      </c>
      <c r="Q15" s="11">
        <v>67</v>
      </c>
      <c r="R15" s="78" t="s">
        <v>4328</v>
      </c>
      <c r="S15" s="19" t="s">
        <v>36</v>
      </c>
      <c r="T15" s="9">
        <v>21</v>
      </c>
    </row>
    <row r="16" s="3" customFormat="1" customHeight="1" spans="1:20">
      <c r="A16" s="166" t="s">
        <v>729</v>
      </c>
      <c r="B16" s="166" t="s">
        <v>165</v>
      </c>
      <c r="C16" s="166" t="s">
        <v>730</v>
      </c>
      <c r="D16" s="11">
        <v>18270279001</v>
      </c>
      <c r="E16" s="167" t="s">
        <v>278</v>
      </c>
      <c r="F16" s="166" t="s">
        <v>28</v>
      </c>
      <c r="G16" s="9">
        <v>202103001</v>
      </c>
      <c r="H16" s="167" t="s">
        <v>279</v>
      </c>
      <c r="I16" s="167" t="s">
        <v>732</v>
      </c>
      <c r="J16" s="167" t="s">
        <v>280</v>
      </c>
      <c r="K16" s="167" t="s">
        <v>170</v>
      </c>
      <c r="L16" s="167" t="s">
        <v>733</v>
      </c>
      <c r="M16" s="167" t="s">
        <v>517</v>
      </c>
      <c r="N16" s="167" t="s">
        <v>734</v>
      </c>
      <c r="O16" s="12" t="str">
        <f>_xlfn.DISPIMG("ID_9786F64DF5E04D0EBFF7257960884627",1)</f>
        <v>=DISPIMG("ID_9786F64DF5E04D0EBFF7257960884627",1)</v>
      </c>
      <c r="P16" s="9" t="s">
        <v>735</v>
      </c>
      <c r="Q16" s="11">
        <v>69</v>
      </c>
      <c r="R16" s="78" t="s">
        <v>4329</v>
      </c>
      <c r="S16" s="19" t="s">
        <v>36</v>
      </c>
      <c r="T16" s="9">
        <v>28</v>
      </c>
    </row>
    <row r="17" s="3" customFormat="1" customHeight="1" spans="1:20">
      <c r="A17" s="166" t="s">
        <v>754</v>
      </c>
      <c r="B17" s="166" t="s">
        <v>165</v>
      </c>
      <c r="C17" s="166" t="s">
        <v>755</v>
      </c>
      <c r="D17" s="11">
        <v>18679201139</v>
      </c>
      <c r="E17" s="167" t="s">
        <v>278</v>
      </c>
      <c r="F17" s="166" t="s">
        <v>28</v>
      </c>
      <c r="G17" s="9">
        <v>202103001</v>
      </c>
      <c r="H17" s="167" t="s">
        <v>585</v>
      </c>
      <c r="I17" s="167" t="s">
        <v>576</v>
      </c>
      <c r="J17" s="167" t="s">
        <v>757</v>
      </c>
      <c r="K17" s="167" t="s">
        <v>170</v>
      </c>
      <c r="L17" s="167" t="s">
        <v>224</v>
      </c>
      <c r="M17" s="167" t="s">
        <v>376</v>
      </c>
      <c r="N17" s="167" t="s">
        <v>758</v>
      </c>
      <c r="O17" s="12" t="str">
        <f>_xlfn.DISPIMG("ID_7BB67F893C7640E3B6FEA6424D027990",1)</f>
        <v>=DISPIMG("ID_7BB67F893C7640E3B6FEA6424D027990",1)</v>
      </c>
      <c r="P17" s="9" t="s">
        <v>759</v>
      </c>
      <c r="Q17" s="11">
        <v>72</v>
      </c>
      <c r="R17" s="78" t="s">
        <v>4330</v>
      </c>
      <c r="S17" s="19" t="s">
        <v>36</v>
      </c>
      <c r="T17" s="9">
        <v>3</v>
      </c>
    </row>
    <row r="18" s="3" customFormat="1" customHeight="1" spans="1:20">
      <c r="A18" s="166" t="s">
        <v>762</v>
      </c>
      <c r="B18" s="166" t="s">
        <v>165</v>
      </c>
      <c r="C18" s="166" t="s">
        <v>763</v>
      </c>
      <c r="D18" s="11">
        <v>13697921659</v>
      </c>
      <c r="E18" s="167" t="s">
        <v>278</v>
      </c>
      <c r="F18" s="166" t="s">
        <v>28</v>
      </c>
      <c r="G18" s="9">
        <v>202103001</v>
      </c>
      <c r="H18" s="167" t="s">
        <v>279</v>
      </c>
      <c r="I18" s="167" t="s">
        <v>765</v>
      </c>
      <c r="J18" s="167" t="s">
        <v>280</v>
      </c>
      <c r="K18" s="167" t="s">
        <v>170</v>
      </c>
      <c r="L18" s="167" t="s">
        <v>235</v>
      </c>
      <c r="M18" s="167" t="s">
        <v>340</v>
      </c>
      <c r="N18" s="167" t="s">
        <v>766</v>
      </c>
      <c r="O18" s="12" t="str">
        <f>_xlfn.DISPIMG("ID_4E1CCA66E504445CA5B7AB8D0FB70FB1",1)</f>
        <v>=DISPIMG("ID_4E1CCA66E504445CA5B7AB8D0FB70FB1",1)</v>
      </c>
      <c r="P18" s="9" t="s">
        <v>767</v>
      </c>
      <c r="Q18" s="11">
        <v>73</v>
      </c>
      <c r="R18" s="78" t="s">
        <v>4331</v>
      </c>
      <c r="S18" s="19" t="s">
        <v>36</v>
      </c>
      <c r="T18" s="9">
        <v>10</v>
      </c>
    </row>
    <row r="19" s="3" customFormat="1" customHeight="1" spans="1:20">
      <c r="A19" s="166" t="s">
        <v>794</v>
      </c>
      <c r="B19" s="166" t="s">
        <v>165</v>
      </c>
      <c r="C19" s="166" t="s">
        <v>795</v>
      </c>
      <c r="D19" s="11">
        <v>18707021672</v>
      </c>
      <c r="E19" s="167" t="s">
        <v>278</v>
      </c>
      <c r="F19" s="166" t="s">
        <v>28</v>
      </c>
      <c r="G19" s="9">
        <v>202103001</v>
      </c>
      <c r="H19" s="167" t="s">
        <v>279</v>
      </c>
      <c r="I19" s="167" t="s">
        <v>367</v>
      </c>
      <c r="J19" s="167" t="s">
        <v>280</v>
      </c>
      <c r="K19" s="167" t="s">
        <v>170</v>
      </c>
      <c r="L19" s="167" t="s">
        <v>306</v>
      </c>
      <c r="M19" s="167" t="s">
        <v>376</v>
      </c>
      <c r="N19" s="167" t="s">
        <v>797</v>
      </c>
      <c r="O19" s="12" t="str">
        <f>_xlfn.DISPIMG("ID_639B898E1B304FC0A6FA0E13C551BEC4",1)</f>
        <v>=DISPIMG("ID_639B898E1B304FC0A6FA0E13C551BEC4",1)</v>
      </c>
      <c r="P19" s="9" t="s">
        <v>798</v>
      </c>
      <c r="Q19" s="11">
        <v>77</v>
      </c>
      <c r="R19" s="78" t="s">
        <v>4332</v>
      </c>
      <c r="S19" s="19" t="s">
        <v>36</v>
      </c>
      <c r="T19" s="9">
        <v>15</v>
      </c>
    </row>
    <row r="20" s="3" customFormat="1" customHeight="1" spans="1:20">
      <c r="A20" s="166" t="s">
        <v>801</v>
      </c>
      <c r="B20" s="166" t="s">
        <v>165</v>
      </c>
      <c r="C20" s="166" t="s">
        <v>802</v>
      </c>
      <c r="D20" s="11">
        <v>13698021995</v>
      </c>
      <c r="E20" s="167" t="s">
        <v>278</v>
      </c>
      <c r="F20" s="166" t="s">
        <v>28</v>
      </c>
      <c r="G20" s="9">
        <v>202103001</v>
      </c>
      <c r="H20" s="167" t="s">
        <v>585</v>
      </c>
      <c r="I20" s="167" t="s">
        <v>804</v>
      </c>
      <c r="J20" s="167" t="s">
        <v>280</v>
      </c>
      <c r="K20" s="167" t="s">
        <v>170</v>
      </c>
      <c r="L20" s="167" t="s">
        <v>805</v>
      </c>
      <c r="M20" s="167" t="s">
        <v>376</v>
      </c>
      <c r="N20" s="167" t="s">
        <v>806</v>
      </c>
      <c r="O20" s="12" t="str">
        <f>_xlfn.DISPIMG("ID_AEB241E66C41495DBC633E36C32A72C8",1)</f>
        <v>=DISPIMG("ID_AEB241E66C41495DBC633E36C32A72C8",1)</v>
      </c>
      <c r="P20" s="9" t="s">
        <v>807</v>
      </c>
      <c r="Q20" s="11">
        <v>78</v>
      </c>
      <c r="R20" s="78" t="s">
        <v>4333</v>
      </c>
      <c r="S20" s="19" t="s">
        <v>36</v>
      </c>
      <c r="T20" s="9">
        <v>22</v>
      </c>
    </row>
    <row r="21" s="3" customFormat="1" customHeight="1" spans="1:20">
      <c r="A21" s="166" t="s">
        <v>840</v>
      </c>
      <c r="B21" s="166" t="s">
        <v>165</v>
      </c>
      <c r="C21" s="166" t="s">
        <v>841</v>
      </c>
      <c r="D21" s="11">
        <v>15059878679</v>
      </c>
      <c r="E21" s="167" t="s">
        <v>278</v>
      </c>
      <c r="F21" s="166" t="s">
        <v>28</v>
      </c>
      <c r="G21" s="9">
        <v>202103001</v>
      </c>
      <c r="H21" s="167" t="s">
        <v>279</v>
      </c>
      <c r="I21" s="167" t="s">
        <v>339</v>
      </c>
      <c r="J21" s="167" t="s">
        <v>280</v>
      </c>
      <c r="K21" s="167" t="s">
        <v>170</v>
      </c>
      <c r="L21" s="167" t="s">
        <v>843</v>
      </c>
      <c r="M21" s="167" t="s">
        <v>376</v>
      </c>
      <c r="N21" s="167" t="s">
        <v>844</v>
      </c>
      <c r="O21" s="12" t="str">
        <f>_xlfn.DISPIMG("ID_424B9BE152D1418A818313627A199A3A",1)</f>
        <v>=DISPIMG("ID_424B9BE152D1418A818313627A199A3A",1)</v>
      </c>
      <c r="P21" s="9" t="s">
        <v>845</v>
      </c>
      <c r="Q21" s="11">
        <v>83</v>
      </c>
      <c r="R21" s="78" t="s">
        <v>4334</v>
      </c>
      <c r="S21" s="19" t="s">
        <v>36</v>
      </c>
      <c r="T21" s="9">
        <v>27</v>
      </c>
    </row>
    <row r="22" s="3" customFormat="1" customHeight="1" spans="1:20">
      <c r="A22" s="166" t="s">
        <v>848</v>
      </c>
      <c r="B22" s="166" t="s">
        <v>165</v>
      </c>
      <c r="C22" s="166" t="s">
        <v>849</v>
      </c>
      <c r="D22" s="11">
        <v>18379626219</v>
      </c>
      <c r="E22" s="167" t="s">
        <v>278</v>
      </c>
      <c r="F22" s="166" t="s">
        <v>28</v>
      </c>
      <c r="G22" s="9">
        <v>202103001</v>
      </c>
      <c r="H22" s="167" t="s">
        <v>279</v>
      </c>
      <c r="I22" s="167" t="s">
        <v>851</v>
      </c>
      <c r="J22" s="167" t="s">
        <v>280</v>
      </c>
      <c r="K22" s="167" t="s">
        <v>170</v>
      </c>
      <c r="L22" s="167" t="s">
        <v>235</v>
      </c>
      <c r="M22" s="167" t="s">
        <v>340</v>
      </c>
      <c r="N22" s="167" t="s">
        <v>852</v>
      </c>
      <c r="O22" s="12" t="str">
        <f>_xlfn.DISPIMG("ID_42372BFB4B414C38BA1598FF5C930944",1)</f>
        <v>=DISPIMG("ID_42372BFB4B414C38BA1598FF5C930944",1)</v>
      </c>
      <c r="P22" s="9" t="s">
        <v>853</v>
      </c>
      <c r="Q22" s="11">
        <v>84</v>
      </c>
      <c r="R22" s="78" t="s">
        <v>4335</v>
      </c>
      <c r="S22" s="19" t="s">
        <v>36</v>
      </c>
      <c r="T22" s="9">
        <v>2</v>
      </c>
    </row>
    <row r="23" s="3" customFormat="1" customHeight="1" spans="1:20">
      <c r="A23" s="166" t="s">
        <v>873</v>
      </c>
      <c r="B23" s="166" t="s">
        <v>165</v>
      </c>
      <c r="C23" s="166" t="s">
        <v>874</v>
      </c>
      <c r="D23" s="11">
        <v>15070424036</v>
      </c>
      <c r="E23" s="167" t="s">
        <v>278</v>
      </c>
      <c r="F23" s="166" t="s">
        <v>28</v>
      </c>
      <c r="G23" s="9">
        <v>202103001</v>
      </c>
      <c r="H23" s="167" t="s">
        <v>279</v>
      </c>
      <c r="I23" s="167" t="s">
        <v>876</v>
      </c>
      <c r="J23" s="167" t="s">
        <v>280</v>
      </c>
      <c r="K23" s="167" t="s">
        <v>170</v>
      </c>
      <c r="L23" s="167" t="s">
        <v>180</v>
      </c>
      <c r="M23" s="167" t="s">
        <v>517</v>
      </c>
      <c r="N23" s="167" t="s">
        <v>877</v>
      </c>
      <c r="O23" s="12" t="str">
        <f>_xlfn.DISPIMG("ID_FA24C7A6F2FA44B892B9DF563FC4E960",1)</f>
        <v>=DISPIMG("ID_FA24C7A6F2FA44B892B9DF563FC4E960",1)</v>
      </c>
      <c r="P23" s="9" t="s">
        <v>878</v>
      </c>
      <c r="Q23" s="11">
        <v>87</v>
      </c>
      <c r="R23" s="78" t="s">
        <v>4336</v>
      </c>
      <c r="S23" s="19" t="s">
        <v>36</v>
      </c>
      <c r="T23" s="9">
        <v>11</v>
      </c>
    </row>
    <row r="24" s="5" customFormat="1" customHeight="1" spans="1:20">
      <c r="A24" s="166" t="s">
        <v>881</v>
      </c>
      <c r="B24" s="166" t="s">
        <v>165</v>
      </c>
      <c r="C24" s="166" t="s">
        <v>882</v>
      </c>
      <c r="D24" s="11">
        <v>15279260286</v>
      </c>
      <c r="E24" s="167" t="s">
        <v>278</v>
      </c>
      <c r="F24" s="166" t="s">
        <v>28</v>
      </c>
      <c r="G24" s="9">
        <v>202103001</v>
      </c>
      <c r="H24" s="167" t="s">
        <v>279</v>
      </c>
      <c r="I24" s="167" t="s">
        <v>884</v>
      </c>
      <c r="J24" s="167" t="s">
        <v>223</v>
      </c>
      <c r="K24" s="167" t="s">
        <v>170</v>
      </c>
      <c r="L24" s="167" t="s">
        <v>733</v>
      </c>
      <c r="M24" s="167" t="s">
        <v>885</v>
      </c>
      <c r="N24" s="167" t="s">
        <v>886</v>
      </c>
      <c r="O24" s="12" t="str">
        <f>_xlfn.DISPIMG("ID_79374B2C837849A79ABAFBB6FF76D11C",1)</f>
        <v>=DISPIMG("ID_79374B2C837849A79ABAFBB6FF76D11C",1)</v>
      </c>
      <c r="P24" s="9" t="s">
        <v>887</v>
      </c>
      <c r="Q24" s="11">
        <v>88</v>
      </c>
      <c r="R24" s="78" t="s">
        <v>4337</v>
      </c>
      <c r="S24" s="19" t="s">
        <v>36</v>
      </c>
      <c r="T24" s="9">
        <v>14</v>
      </c>
    </row>
    <row r="25" s="3" customFormat="1" customHeight="1" spans="1:20">
      <c r="A25" s="166" t="s">
        <v>890</v>
      </c>
      <c r="B25" s="166" t="s">
        <v>165</v>
      </c>
      <c r="C25" s="166" t="s">
        <v>891</v>
      </c>
      <c r="D25" s="11">
        <v>15270271332</v>
      </c>
      <c r="E25" s="167" t="s">
        <v>278</v>
      </c>
      <c r="F25" s="166" t="s">
        <v>28</v>
      </c>
      <c r="G25" s="9">
        <v>202103001</v>
      </c>
      <c r="H25" s="167" t="s">
        <v>279</v>
      </c>
      <c r="I25" s="167" t="s">
        <v>765</v>
      </c>
      <c r="J25" s="167" t="s">
        <v>893</v>
      </c>
      <c r="K25" s="167" t="s">
        <v>170</v>
      </c>
      <c r="L25" s="167" t="s">
        <v>161</v>
      </c>
      <c r="M25" s="167" t="s">
        <v>340</v>
      </c>
      <c r="N25" s="167" t="s">
        <v>894</v>
      </c>
      <c r="O25" s="12" t="str">
        <f>_xlfn.DISPIMG("ID_85B3DA5A290A4196889B653600FB42ED",1)</f>
        <v>=DISPIMG("ID_85B3DA5A290A4196889B653600FB42ED",1)</v>
      </c>
      <c r="P25" s="9" t="s">
        <v>895</v>
      </c>
      <c r="Q25" s="11">
        <v>89</v>
      </c>
      <c r="R25" s="78" t="s">
        <v>4338</v>
      </c>
      <c r="S25" s="19" t="s">
        <v>36</v>
      </c>
      <c r="T25" s="9">
        <v>23</v>
      </c>
    </row>
    <row r="26" s="3" customFormat="1" customHeight="1" spans="1:20">
      <c r="A26" s="166" t="s">
        <v>924</v>
      </c>
      <c r="B26" s="166" t="s">
        <v>165</v>
      </c>
      <c r="C26" s="166" t="s">
        <v>925</v>
      </c>
      <c r="D26" s="11">
        <v>13979203425</v>
      </c>
      <c r="E26" s="167" t="s">
        <v>278</v>
      </c>
      <c r="F26" s="166" t="s">
        <v>28</v>
      </c>
      <c r="G26" s="9">
        <v>202103001</v>
      </c>
      <c r="H26" s="167" t="s">
        <v>585</v>
      </c>
      <c r="I26" s="167" t="s">
        <v>927</v>
      </c>
      <c r="J26" s="167" t="s">
        <v>928</v>
      </c>
      <c r="K26" s="167" t="s">
        <v>170</v>
      </c>
      <c r="L26" s="167" t="s">
        <v>349</v>
      </c>
      <c r="M26" s="167" t="s">
        <v>376</v>
      </c>
      <c r="N26" s="167" t="s">
        <v>929</v>
      </c>
      <c r="O26" s="12" t="str">
        <f>_xlfn.DISPIMG("ID_8862CF8F67E94F49BA25AF43C58A74CB",1)</f>
        <v>=DISPIMG("ID_8862CF8F67E94F49BA25AF43C58A74CB",1)</v>
      </c>
      <c r="P26" s="9" t="s">
        <v>930</v>
      </c>
      <c r="Q26" s="11">
        <v>93</v>
      </c>
      <c r="R26" s="78" t="s">
        <v>4339</v>
      </c>
      <c r="S26" s="19" t="s">
        <v>36</v>
      </c>
      <c r="T26" s="9">
        <v>26</v>
      </c>
    </row>
    <row r="27" s="3" customFormat="1" customHeight="1" spans="1:20">
      <c r="A27" s="166" t="s">
        <v>957</v>
      </c>
      <c r="B27" s="166" t="s">
        <v>165</v>
      </c>
      <c r="C27" s="166" t="s">
        <v>958</v>
      </c>
      <c r="D27" s="11">
        <v>15579232085</v>
      </c>
      <c r="E27" s="167" t="s">
        <v>278</v>
      </c>
      <c r="F27" s="166" t="s">
        <v>28</v>
      </c>
      <c r="G27" s="9">
        <v>202103001</v>
      </c>
      <c r="H27" s="167" t="s">
        <v>279</v>
      </c>
      <c r="I27" s="167" t="s">
        <v>367</v>
      </c>
      <c r="J27" s="167" t="s">
        <v>960</v>
      </c>
      <c r="K27" s="167" t="s">
        <v>160</v>
      </c>
      <c r="L27" s="167" t="s">
        <v>261</v>
      </c>
      <c r="M27" s="167" t="s">
        <v>961</v>
      </c>
      <c r="N27" s="11">
        <v>0</v>
      </c>
      <c r="O27" s="12" t="str">
        <f>_xlfn.DISPIMG("ID_4CCFD0700027401988C293FD5FDA33FE",1)</f>
        <v>=DISPIMG("ID_4CCFD0700027401988C293FD5FDA33FE",1)</v>
      </c>
      <c r="P27" s="9" t="s">
        <v>962</v>
      </c>
      <c r="Q27" s="11">
        <v>97</v>
      </c>
      <c r="R27" s="78" t="s">
        <v>4340</v>
      </c>
      <c r="S27" s="19" t="s">
        <v>36</v>
      </c>
      <c r="T27" s="9">
        <v>1</v>
      </c>
    </row>
    <row r="28" s="3" customFormat="1" customHeight="1" spans="1:20">
      <c r="A28" s="166" t="s">
        <v>1010</v>
      </c>
      <c r="B28" s="166" t="s">
        <v>165</v>
      </c>
      <c r="C28" s="166" t="s">
        <v>1011</v>
      </c>
      <c r="D28" s="11">
        <v>13065115241</v>
      </c>
      <c r="E28" s="167" t="s">
        <v>278</v>
      </c>
      <c r="F28" s="166" t="s">
        <v>28</v>
      </c>
      <c r="G28" s="9">
        <v>202103001</v>
      </c>
      <c r="H28" s="167" t="s">
        <v>279</v>
      </c>
      <c r="I28" s="167" t="s">
        <v>662</v>
      </c>
      <c r="J28" s="167" t="s">
        <v>280</v>
      </c>
      <c r="K28" s="167" t="s">
        <v>170</v>
      </c>
      <c r="L28" s="167" t="s">
        <v>161</v>
      </c>
      <c r="M28" s="167" t="s">
        <v>1013</v>
      </c>
      <c r="N28" s="167" t="s">
        <v>1014</v>
      </c>
      <c r="O28" s="12" t="str">
        <f>_xlfn.DISPIMG("ID_723B44C496604BFA92AC4D10BD64E9FC",1)</f>
        <v>=DISPIMG("ID_723B44C496604BFA92AC4D10BD64E9FC",1)</v>
      </c>
      <c r="P28" s="9" t="s">
        <v>1015</v>
      </c>
      <c r="Q28" s="11">
        <v>103</v>
      </c>
      <c r="R28" s="78" t="s">
        <v>4341</v>
      </c>
      <c r="S28" s="19" t="s">
        <v>36</v>
      </c>
      <c r="T28" s="9">
        <v>12</v>
      </c>
    </row>
    <row r="29" s="3" customFormat="1" customHeight="1" spans="1:20">
      <c r="A29" s="166" t="s">
        <v>1027</v>
      </c>
      <c r="B29" s="166" t="s">
        <v>165</v>
      </c>
      <c r="C29" s="166" t="s">
        <v>1028</v>
      </c>
      <c r="D29" s="11">
        <v>15579180298</v>
      </c>
      <c r="E29" s="167" t="s">
        <v>278</v>
      </c>
      <c r="F29" s="166" t="s">
        <v>28</v>
      </c>
      <c r="G29" s="9">
        <v>202103001</v>
      </c>
      <c r="H29" s="167" t="s">
        <v>279</v>
      </c>
      <c r="I29" s="167" t="s">
        <v>662</v>
      </c>
      <c r="J29" s="167" t="s">
        <v>280</v>
      </c>
      <c r="K29" s="167" t="s">
        <v>170</v>
      </c>
      <c r="L29" s="167" t="s">
        <v>161</v>
      </c>
      <c r="M29" s="167" t="s">
        <v>376</v>
      </c>
      <c r="N29" s="167" t="s">
        <v>1030</v>
      </c>
      <c r="O29" s="12" t="str">
        <f>_xlfn.DISPIMG("ID_1619E0FF3AE04637958459633AD8C1B8",1)</f>
        <v>=DISPIMG("ID_1619E0FF3AE04637958459633AD8C1B8",1)</v>
      </c>
      <c r="P29" s="9" t="s">
        <v>1031</v>
      </c>
      <c r="Q29" s="11">
        <v>105</v>
      </c>
      <c r="R29" s="78" t="s">
        <v>4342</v>
      </c>
      <c r="S29" s="19" t="s">
        <v>36</v>
      </c>
      <c r="T29" s="9">
        <v>13</v>
      </c>
    </row>
    <row r="30" s="3" customFormat="1" customHeight="1" spans="1:20">
      <c r="A30" s="166" t="s">
        <v>1043</v>
      </c>
      <c r="B30" s="166" t="s">
        <v>165</v>
      </c>
      <c r="C30" s="166" t="s">
        <v>1044</v>
      </c>
      <c r="D30" s="11">
        <v>13257081497</v>
      </c>
      <c r="E30" s="167" t="s">
        <v>278</v>
      </c>
      <c r="F30" s="166" t="s">
        <v>28</v>
      </c>
      <c r="G30" s="9">
        <v>202103001</v>
      </c>
      <c r="H30" s="167" t="s">
        <v>279</v>
      </c>
      <c r="I30" s="167" t="s">
        <v>515</v>
      </c>
      <c r="J30" s="167" t="s">
        <v>280</v>
      </c>
      <c r="K30" s="167" t="s">
        <v>170</v>
      </c>
      <c r="L30" s="167" t="s">
        <v>216</v>
      </c>
      <c r="M30" s="167" t="s">
        <v>28</v>
      </c>
      <c r="N30" s="167" t="s">
        <v>1046</v>
      </c>
      <c r="O30" s="12" t="str">
        <f>_xlfn.DISPIMG("ID_95C77A057E51453F847E60BE7A6D3C93",1)</f>
        <v>=DISPIMG("ID_95C77A057E51453F847E60BE7A6D3C93",1)</v>
      </c>
      <c r="P30" s="9" t="s">
        <v>1047</v>
      </c>
      <c r="Q30" s="11">
        <v>107</v>
      </c>
      <c r="R30" s="78" t="s">
        <v>4343</v>
      </c>
      <c r="S30" s="19" t="s">
        <v>36</v>
      </c>
      <c r="T30" s="9">
        <v>24</v>
      </c>
    </row>
    <row r="31" s="3" customFormat="1" customHeight="1" spans="1:20">
      <c r="A31" s="166" t="s">
        <v>1094</v>
      </c>
      <c r="B31" s="166" t="s">
        <v>165</v>
      </c>
      <c r="C31" s="166" t="s">
        <v>1095</v>
      </c>
      <c r="D31" s="11">
        <v>18279284539</v>
      </c>
      <c r="E31" s="167" t="s">
        <v>278</v>
      </c>
      <c r="F31" s="166" t="s">
        <v>28</v>
      </c>
      <c r="G31" s="9">
        <v>202103001</v>
      </c>
      <c r="H31" s="167" t="s">
        <v>279</v>
      </c>
      <c r="I31" s="167" t="s">
        <v>1097</v>
      </c>
      <c r="J31" s="167" t="s">
        <v>280</v>
      </c>
      <c r="K31" s="167" t="s">
        <v>170</v>
      </c>
      <c r="L31" s="167" t="s">
        <v>455</v>
      </c>
      <c r="M31" s="167" t="s">
        <v>1098</v>
      </c>
      <c r="N31" s="11">
        <v>0</v>
      </c>
      <c r="O31" s="12" t="str">
        <f>_xlfn.DISPIMG("ID_FAFFBB147A2A46E5B294F9119A127E5F",1)</f>
        <v>=DISPIMG("ID_FAFFBB147A2A46E5B294F9119A127E5F",1)</v>
      </c>
      <c r="P31" s="9" t="s">
        <v>1099</v>
      </c>
      <c r="Q31" s="11">
        <v>114</v>
      </c>
      <c r="R31" s="78" t="s">
        <v>4344</v>
      </c>
      <c r="S31" s="19" t="s">
        <v>36</v>
      </c>
      <c r="T31" s="9">
        <v>25</v>
      </c>
    </row>
    <row r="32" s="3" customFormat="1" customHeight="1" spans="1:20">
      <c r="A32" s="166" t="s">
        <v>1218</v>
      </c>
      <c r="B32" s="166" t="s">
        <v>165</v>
      </c>
      <c r="C32" s="166" t="s">
        <v>1219</v>
      </c>
      <c r="D32" s="11">
        <v>17679241558</v>
      </c>
      <c r="E32" s="167" t="s">
        <v>278</v>
      </c>
      <c r="F32" s="166" t="s">
        <v>28</v>
      </c>
      <c r="G32" s="9">
        <v>202103001</v>
      </c>
      <c r="H32" s="167" t="s">
        <v>279</v>
      </c>
      <c r="I32" s="167" t="s">
        <v>1221</v>
      </c>
      <c r="J32" s="167" t="s">
        <v>280</v>
      </c>
      <c r="K32" s="167" t="s">
        <v>170</v>
      </c>
      <c r="L32" s="167" t="s">
        <v>161</v>
      </c>
      <c r="M32" s="167" t="s">
        <v>1222</v>
      </c>
      <c r="N32" s="167" t="s">
        <v>1223</v>
      </c>
      <c r="O32" s="12" t="str">
        <f>_xlfn.DISPIMG("ID_9D5D5082709049DE9F85EE45C9D21765",1)</f>
        <v>=DISPIMG("ID_9D5D5082709049DE9F85EE45C9D21765",1)</v>
      </c>
      <c r="P32" s="9" t="s">
        <v>1224</v>
      </c>
      <c r="Q32" s="11">
        <v>129</v>
      </c>
      <c r="R32" s="78" t="s">
        <v>4345</v>
      </c>
      <c r="S32" s="19" t="s">
        <v>38</v>
      </c>
      <c r="T32" s="9">
        <v>6</v>
      </c>
    </row>
    <row r="33" s="3" customFormat="1" customHeight="1" spans="1:20">
      <c r="A33" s="166" t="s">
        <v>1234</v>
      </c>
      <c r="B33" s="166" t="s">
        <v>165</v>
      </c>
      <c r="C33" s="166" t="s">
        <v>1235</v>
      </c>
      <c r="D33" s="11">
        <v>18870682713</v>
      </c>
      <c r="E33" s="167" t="s">
        <v>278</v>
      </c>
      <c r="F33" s="166" t="s">
        <v>28</v>
      </c>
      <c r="G33" s="9">
        <v>202103001</v>
      </c>
      <c r="H33" s="167" t="s">
        <v>279</v>
      </c>
      <c r="I33" s="167" t="s">
        <v>1237</v>
      </c>
      <c r="J33" s="167" t="s">
        <v>280</v>
      </c>
      <c r="K33" s="167" t="s">
        <v>170</v>
      </c>
      <c r="L33" s="167" t="s">
        <v>161</v>
      </c>
      <c r="M33" s="167" t="s">
        <v>340</v>
      </c>
      <c r="N33" s="167" t="s">
        <v>1238</v>
      </c>
      <c r="O33" s="12" t="str">
        <f>_xlfn.DISPIMG("ID_BE82B2F060544F05BBDE4FAB7F0C0521",1)</f>
        <v>=DISPIMG("ID_BE82B2F060544F05BBDE4FAB7F0C0521",1)</v>
      </c>
      <c r="P33" s="9" t="s">
        <v>1239</v>
      </c>
      <c r="Q33" s="11">
        <v>131</v>
      </c>
      <c r="R33" s="78" t="s">
        <v>4346</v>
      </c>
      <c r="S33" s="19" t="s">
        <v>38</v>
      </c>
      <c r="T33" s="9">
        <v>7</v>
      </c>
    </row>
    <row r="34" s="3" customFormat="1" customHeight="1" spans="1:20">
      <c r="A34" s="166" t="s">
        <v>1242</v>
      </c>
      <c r="B34" s="166" t="s">
        <v>165</v>
      </c>
      <c r="C34" s="166" t="s">
        <v>1243</v>
      </c>
      <c r="D34" s="11">
        <v>18870899233</v>
      </c>
      <c r="E34" s="167" t="s">
        <v>278</v>
      </c>
      <c r="F34" s="166" t="s">
        <v>28</v>
      </c>
      <c r="G34" s="9">
        <v>202103001</v>
      </c>
      <c r="H34" s="167" t="s">
        <v>279</v>
      </c>
      <c r="I34" s="167" t="s">
        <v>1237</v>
      </c>
      <c r="J34" s="167" t="s">
        <v>280</v>
      </c>
      <c r="K34" s="167" t="s">
        <v>170</v>
      </c>
      <c r="L34" s="167" t="s">
        <v>161</v>
      </c>
      <c r="M34" s="167" t="s">
        <v>340</v>
      </c>
      <c r="N34" s="167" t="s">
        <v>1245</v>
      </c>
      <c r="O34" s="12" t="str">
        <f>_xlfn.DISPIMG("ID_1047B30E34C949B594403C816BBC2C68",1)</f>
        <v>=DISPIMG("ID_1047B30E34C949B594403C816BBC2C68",1)</v>
      </c>
      <c r="P34" s="9" t="s">
        <v>1246</v>
      </c>
      <c r="Q34" s="11">
        <v>132</v>
      </c>
      <c r="R34" s="78" t="s">
        <v>4347</v>
      </c>
      <c r="S34" s="19" t="s">
        <v>38</v>
      </c>
      <c r="T34" s="9">
        <v>18</v>
      </c>
    </row>
    <row r="35" s="3" customFormat="1" customHeight="1" spans="1:20">
      <c r="A35" s="166" t="s">
        <v>1249</v>
      </c>
      <c r="B35" s="166" t="s">
        <v>153</v>
      </c>
      <c r="C35" s="166" t="s">
        <v>1250</v>
      </c>
      <c r="D35" s="11">
        <v>13687914090</v>
      </c>
      <c r="E35" s="167" t="s">
        <v>278</v>
      </c>
      <c r="F35" s="166" t="s">
        <v>28</v>
      </c>
      <c r="G35" s="9">
        <v>202103001</v>
      </c>
      <c r="H35" s="167" t="s">
        <v>279</v>
      </c>
      <c r="I35" s="167" t="s">
        <v>515</v>
      </c>
      <c r="J35" s="167" t="s">
        <v>280</v>
      </c>
      <c r="K35" s="167" t="s">
        <v>170</v>
      </c>
      <c r="L35" s="167" t="s">
        <v>541</v>
      </c>
      <c r="M35" s="167" t="s">
        <v>376</v>
      </c>
      <c r="N35" s="11">
        <v>0</v>
      </c>
      <c r="O35" s="12" t="str">
        <f>_xlfn.DISPIMG("ID_42B7E9B54AA84CB08052198053CBAE81",1)</f>
        <v>=DISPIMG("ID_42B7E9B54AA84CB08052198053CBAE81",1)</v>
      </c>
      <c r="P35" s="9" t="s">
        <v>1252</v>
      </c>
      <c r="Q35" s="11">
        <v>133</v>
      </c>
      <c r="R35" s="78" t="s">
        <v>4348</v>
      </c>
      <c r="S35" s="19" t="s">
        <v>38</v>
      </c>
      <c r="T35" s="9">
        <v>19</v>
      </c>
    </row>
    <row r="36" s="3" customFormat="1" customHeight="1" spans="1:20">
      <c r="A36" s="166" t="s">
        <v>1280</v>
      </c>
      <c r="B36" s="166" t="s">
        <v>165</v>
      </c>
      <c r="C36" s="166" t="s">
        <v>1281</v>
      </c>
      <c r="D36" s="11">
        <v>15779415003</v>
      </c>
      <c r="E36" s="167" t="s">
        <v>278</v>
      </c>
      <c r="F36" s="166" t="s">
        <v>28</v>
      </c>
      <c r="G36" s="9">
        <v>202103001</v>
      </c>
      <c r="H36" s="167" t="s">
        <v>279</v>
      </c>
      <c r="I36" s="167" t="s">
        <v>367</v>
      </c>
      <c r="J36" s="167" t="s">
        <v>280</v>
      </c>
      <c r="K36" s="167" t="s">
        <v>170</v>
      </c>
      <c r="L36" s="167" t="s">
        <v>368</v>
      </c>
      <c r="M36" s="167" t="s">
        <v>340</v>
      </c>
      <c r="N36" s="167" t="s">
        <v>1283</v>
      </c>
      <c r="O36" s="12" t="str">
        <f>_xlfn.DISPIMG("ID_7CFB1AF7BB454AE0866D54E1D87E03E1",1)</f>
        <v>=DISPIMG("ID_7CFB1AF7BB454AE0866D54E1D87E03E1",1)</v>
      </c>
      <c r="P36" s="9" t="s">
        <v>1284</v>
      </c>
      <c r="Q36" s="11">
        <v>138</v>
      </c>
      <c r="R36" s="78" t="s">
        <v>4349</v>
      </c>
      <c r="S36" s="19" t="s">
        <v>38</v>
      </c>
      <c r="T36" s="9">
        <v>30</v>
      </c>
    </row>
    <row r="37" s="4" customFormat="1" customHeight="1" spans="1:20">
      <c r="A37" s="166" t="s">
        <v>1286</v>
      </c>
      <c r="B37" s="166" t="s">
        <v>165</v>
      </c>
      <c r="C37" s="166" t="s">
        <v>1287</v>
      </c>
      <c r="D37" s="11">
        <v>18296159811</v>
      </c>
      <c r="E37" s="167" t="s">
        <v>278</v>
      </c>
      <c r="F37" s="166" t="s">
        <v>28</v>
      </c>
      <c r="G37" s="9">
        <v>202103001</v>
      </c>
      <c r="H37" s="167" t="s">
        <v>279</v>
      </c>
      <c r="I37" s="167" t="s">
        <v>1289</v>
      </c>
      <c r="J37" s="167" t="s">
        <v>280</v>
      </c>
      <c r="K37" s="167" t="s">
        <v>170</v>
      </c>
      <c r="L37" s="167" t="s">
        <v>216</v>
      </c>
      <c r="M37" s="167" t="s">
        <v>960</v>
      </c>
      <c r="N37" s="167" t="s">
        <v>1290</v>
      </c>
      <c r="O37" s="12" t="str">
        <f>_xlfn.DISPIMG("ID_FACC95E727304010BE372974F21E9256",1)</f>
        <v>=DISPIMG("ID_FACC95E727304010BE372974F21E9256",1)</v>
      </c>
      <c r="P37" s="9" t="s">
        <v>1291</v>
      </c>
      <c r="Q37" s="11">
        <v>139</v>
      </c>
      <c r="R37" s="78" t="s">
        <v>4350</v>
      </c>
      <c r="S37" s="19" t="s">
        <v>38</v>
      </c>
      <c r="T37" s="9">
        <v>5</v>
      </c>
    </row>
    <row r="38" s="5" customFormat="1" customHeight="1" spans="1:20">
      <c r="A38" s="166" t="s">
        <v>1344</v>
      </c>
      <c r="B38" s="166" t="s">
        <v>165</v>
      </c>
      <c r="C38" s="166" t="s">
        <v>1345</v>
      </c>
      <c r="D38" s="11">
        <v>15179298712</v>
      </c>
      <c r="E38" s="167" t="s">
        <v>278</v>
      </c>
      <c r="F38" s="166" t="s">
        <v>28</v>
      </c>
      <c r="G38" s="9">
        <v>202103001</v>
      </c>
      <c r="H38" s="167" t="s">
        <v>279</v>
      </c>
      <c r="I38" s="167" t="s">
        <v>158</v>
      </c>
      <c r="J38" s="167" t="s">
        <v>179</v>
      </c>
      <c r="K38" s="167" t="s">
        <v>170</v>
      </c>
      <c r="L38" s="167" t="s">
        <v>1346</v>
      </c>
      <c r="M38" s="167" t="s">
        <v>1013</v>
      </c>
      <c r="N38" s="11">
        <v>0</v>
      </c>
      <c r="O38" s="12" t="str">
        <f>_xlfn.DISPIMG("ID_249FF3C1A0EA4CE88757DD6F52651ECC",1)</f>
        <v>=DISPIMG("ID_249FF3C1A0EA4CE88757DD6F52651ECC",1)</v>
      </c>
      <c r="P38" s="9" t="s">
        <v>1347</v>
      </c>
      <c r="Q38" s="11">
        <v>146</v>
      </c>
      <c r="R38" s="78" t="s">
        <v>4351</v>
      </c>
      <c r="S38" s="19" t="s">
        <v>38</v>
      </c>
      <c r="T38" s="9">
        <v>8</v>
      </c>
    </row>
    <row r="39" s="3" customFormat="1" customHeight="1" spans="1:20">
      <c r="A39" s="166" t="s">
        <v>1327</v>
      </c>
      <c r="B39" s="166" t="s">
        <v>165</v>
      </c>
      <c r="C39" s="166" t="s">
        <v>1328</v>
      </c>
      <c r="D39" s="11">
        <v>15870865214</v>
      </c>
      <c r="E39" s="167" t="s">
        <v>278</v>
      </c>
      <c r="F39" s="166" t="s">
        <v>28</v>
      </c>
      <c r="G39" s="9">
        <v>202103001</v>
      </c>
      <c r="H39" s="167" t="s">
        <v>279</v>
      </c>
      <c r="I39" s="167" t="s">
        <v>1330</v>
      </c>
      <c r="J39" s="167" t="s">
        <v>1331</v>
      </c>
      <c r="K39" s="167" t="s">
        <v>160</v>
      </c>
      <c r="L39" s="167" t="s">
        <v>368</v>
      </c>
      <c r="M39" s="167" t="s">
        <v>1418</v>
      </c>
      <c r="N39" s="11">
        <v>0</v>
      </c>
      <c r="O39" s="12" t="str">
        <f>_xlfn.DISPIMG("ID_042121583D6C4BE29ACF5C4CE545F254",1)</f>
        <v>=DISPIMG("ID_042121583D6C4BE29ACF5C4CE545F254",1)</v>
      </c>
      <c r="P39" s="9" t="s">
        <v>1333</v>
      </c>
      <c r="Q39" s="11">
        <v>156</v>
      </c>
      <c r="R39" s="78" t="s">
        <v>4352</v>
      </c>
      <c r="S39" s="19" t="s">
        <v>38</v>
      </c>
      <c r="T39" s="9">
        <v>17</v>
      </c>
    </row>
    <row r="40" s="3" customFormat="1" customHeight="1" spans="1:20">
      <c r="A40" s="166" t="s">
        <v>1446</v>
      </c>
      <c r="B40" s="166" t="s">
        <v>165</v>
      </c>
      <c r="C40" s="166" t="s">
        <v>1447</v>
      </c>
      <c r="D40" s="11">
        <v>13970292674</v>
      </c>
      <c r="E40" s="167" t="s">
        <v>278</v>
      </c>
      <c r="F40" s="166" t="s">
        <v>28</v>
      </c>
      <c r="G40" s="9">
        <v>202103001</v>
      </c>
      <c r="H40" s="167" t="s">
        <v>585</v>
      </c>
      <c r="I40" s="167" t="s">
        <v>367</v>
      </c>
      <c r="J40" s="167" t="s">
        <v>280</v>
      </c>
      <c r="K40" s="167" t="s">
        <v>170</v>
      </c>
      <c r="L40" s="167" t="s">
        <v>306</v>
      </c>
      <c r="M40" s="167" t="s">
        <v>1449</v>
      </c>
      <c r="N40" s="167" t="s">
        <v>1450</v>
      </c>
      <c r="O40" s="12" t="str">
        <f>_xlfn.DISPIMG("ID_C58710654847468A83F51047999B3A07",1)</f>
        <v>=DISPIMG("ID_C58710654847468A83F51047999B3A07",1)</v>
      </c>
      <c r="P40" s="9" t="s">
        <v>1451</v>
      </c>
      <c r="Q40" s="11">
        <v>160</v>
      </c>
      <c r="R40" s="78" t="s">
        <v>4353</v>
      </c>
      <c r="S40" s="19" t="s">
        <v>38</v>
      </c>
      <c r="T40" s="9">
        <v>20</v>
      </c>
    </row>
    <row r="41" s="3" customFormat="1" customHeight="1" spans="1:20">
      <c r="A41" s="166" t="s">
        <v>1454</v>
      </c>
      <c r="B41" s="166" t="s">
        <v>165</v>
      </c>
      <c r="C41" s="166" t="s">
        <v>1455</v>
      </c>
      <c r="D41" s="11">
        <v>15679261175</v>
      </c>
      <c r="E41" s="167" t="s">
        <v>278</v>
      </c>
      <c r="F41" s="166" t="s">
        <v>28</v>
      </c>
      <c r="G41" s="9">
        <v>202103001</v>
      </c>
      <c r="H41" s="167" t="s">
        <v>157</v>
      </c>
      <c r="I41" s="167" t="s">
        <v>1457</v>
      </c>
      <c r="J41" s="167" t="s">
        <v>280</v>
      </c>
      <c r="K41" s="167" t="s">
        <v>160</v>
      </c>
      <c r="L41" s="167" t="s">
        <v>368</v>
      </c>
      <c r="M41" s="167" t="s">
        <v>1458</v>
      </c>
      <c r="N41" s="167" t="s">
        <v>1459</v>
      </c>
      <c r="O41" s="12" t="str">
        <f>_xlfn.DISPIMG("ID_B3F35F8B340047F693855C9AE3461262",1)</f>
        <v>=DISPIMG("ID_B3F35F8B340047F693855C9AE3461262",1)</v>
      </c>
      <c r="P41" s="9" t="s">
        <v>1460</v>
      </c>
      <c r="Q41" s="11">
        <v>161</v>
      </c>
      <c r="R41" s="78" t="s">
        <v>4354</v>
      </c>
      <c r="S41" s="19" t="s">
        <v>38</v>
      </c>
      <c r="T41" s="9">
        <v>29</v>
      </c>
    </row>
    <row r="42" s="3" customFormat="1" customHeight="1" spans="1:20">
      <c r="A42" s="166" t="s">
        <v>1520</v>
      </c>
      <c r="B42" s="166" t="s">
        <v>165</v>
      </c>
      <c r="C42" s="166" t="s">
        <v>1521</v>
      </c>
      <c r="D42" s="11">
        <v>18370105501</v>
      </c>
      <c r="E42" s="167" t="s">
        <v>278</v>
      </c>
      <c r="F42" s="166" t="s">
        <v>28</v>
      </c>
      <c r="G42" s="9">
        <v>202103001</v>
      </c>
      <c r="H42" s="167" t="s">
        <v>279</v>
      </c>
      <c r="I42" s="167" t="s">
        <v>1523</v>
      </c>
      <c r="J42" s="167" t="s">
        <v>280</v>
      </c>
      <c r="K42" s="167" t="s">
        <v>170</v>
      </c>
      <c r="L42" s="167" t="s">
        <v>235</v>
      </c>
      <c r="M42" s="167" t="s">
        <v>28</v>
      </c>
      <c r="N42" s="167" t="s">
        <v>1524</v>
      </c>
      <c r="O42" s="12" t="str">
        <f>_xlfn.DISPIMG("ID_289CC567200648A4AB5780D725CC9684",1)</f>
        <v>=DISPIMG("ID_289CC567200648A4AB5780D725CC9684",1)</v>
      </c>
      <c r="P42" s="9" t="s">
        <v>1525</v>
      </c>
      <c r="Q42" s="11">
        <v>169</v>
      </c>
      <c r="R42" s="78" t="s">
        <v>4355</v>
      </c>
      <c r="S42" s="19" t="s">
        <v>38</v>
      </c>
      <c r="T42" s="9">
        <v>4</v>
      </c>
    </row>
    <row r="43" s="3" customFormat="1" customHeight="1" spans="1:20">
      <c r="A43" s="166" t="s">
        <v>1535</v>
      </c>
      <c r="B43" s="166" t="s">
        <v>165</v>
      </c>
      <c r="C43" s="166" t="s">
        <v>1536</v>
      </c>
      <c r="D43" s="11">
        <v>17779207332</v>
      </c>
      <c r="E43" s="167" t="s">
        <v>278</v>
      </c>
      <c r="F43" s="166" t="s">
        <v>28</v>
      </c>
      <c r="G43" s="9">
        <v>202103001</v>
      </c>
      <c r="H43" s="167" t="s">
        <v>279</v>
      </c>
      <c r="I43" s="167" t="s">
        <v>765</v>
      </c>
      <c r="J43" s="167" t="s">
        <v>280</v>
      </c>
      <c r="K43" s="167" t="s">
        <v>170</v>
      </c>
      <c r="L43" s="167" t="s">
        <v>235</v>
      </c>
      <c r="M43" s="167" t="s">
        <v>517</v>
      </c>
      <c r="N43" s="167" t="s">
        <v>1538</v>
      </c>
      <c r="O43" s="12" t="str">
        <f>_xlfn.DISPIMG("ID_E53DAA599F9A40239F1135427FCA9C4F",1)</f>
        <v>=DISPIMG("ID_E53DAA599F9A40239F1135427FCA9C4F",1)</v>
      </c>
      <c r="P43" s="9" t="s">
        <v>1539</v>
      </c>
      <c r="Q43" s="11">
        <v>171</v>
      </c>
      <c r="R43" s="78" t="s">
        <v>4356</v>
      </c>
      <c r="S43" s="19" t="s">
        <v>38</v>
      </c>
      <c r="T43" s="9">
        <v>9</v>
      </c>
    </row>
    <row r="44" s="3" customFormat="1" customHeight="1" spans="1:20">
      <c r="A44" s="166" t="s">
        <v>1559</v>
      </c>
      <c r="B44" s="166" t="s">
        <v>165</v>
      </c>
      <c r="C44" s="166" t="s">
        <v>1560</v>
      </c>
      <c r="D44" s="11">
        <v>18720242536</v>
      </c>
      <c r="E44" s="167" t="s">
        <v>278</v>
      </c>
      <c r="F44" s="166" t="s">
        <v>28</v>
      </c>
      <c r="G44" s="9">
        <v>202103001</v>
      </c>
      <c r="H44" s="167" t="s">
        <v>279</v>
      </c>
      <c r="I44" s="167" t="s">
        <v>876</v>
      </c>
      <c r="J44" s="167" t="s">
        <v>960</v>
      </c>
      <c r="K44" s="167" t="s">
        <v>170</v>
      </c>
      <c r="L44" s="167" t="s">
        <v>171</v>
      </c>
      <c r="M44" s="167" t="s">
        <v>340</v>
      </c>
      <c r="N44" s="167" t="s">
        <v>1562</v>
      </c>
      <c r="O44" s="12" t="str">
        <f>_xlfn.DISPIMG("ID_9804FB5AA98E4D44BBA382539FDAF7F0",1)</f>
        <v>=DISPIMG("ID_9804FB5AA98E4D44BBA382539FDAF7F0",1)</v>
      </c>
      <c r="P44" s="9" t="s">
        <v>1563</v>
      </c>
      <c r="Q44" s="11">
        <v>174</v>
      </c>
      <c r="R44" s="78" t="s">
        <v>4357</v>
      </c>
      <c r="S44" s="19" t="s">
        <v>38</v>
      </c>
      <c r="T44" s="9">
        <v>16</v>
      </c>
    </row>
    <row r="45" s="3" customFormat="1" customHeight="1" spans="1:20">
      <c r="A45" s="166" t="s">
        <v>1665</v>
      </c>
      <c r="B45" s="166" t="s">
        <v>165</v>
      </c>
      <c r="C45" s="166" t="s">
        <v>1666</v>
      </c>
      <c r="D45" s="11">
        <v>19126781619</v>
      </c>
      <c r="E45" s="167" t="s">
        <v>278</v>
      </c>
      <c r="F45" s="166" t="s">
        <v>28</v>
      </c>
      <c r="G45" s="9">
        <v>202103001</v>
      </c>
      <c r="H45" s="167" t="s">
        <v>585</v>
      </c>
      <c r="I45" s="167" t="s">
        <v>168</v>
      </c>
      <c r="J45" s="167" t="s">
        <v>280</v>
      </c>
      <c r="K45" s="167" t="s">
        <v>170</v>
      </c>
      <c r="L45" s="167" t="s">
        <v>548</v>
      </c>
      <c r="M45" s="167" t="s">
        <v>376</v>
      </c>
      <c r="N45" s="167" t="s">
        <v>1668</v>
      </c>
      <c r="O45" s="12" t="str">
        <f>_xlfn.DISPIMG("ID_B5AB63FC8A81490B8ED2FED7AE302A44",1)</f>
        <v>=DISPIMG("ID_B5AB63FC8A81490B8ED2FED7AE302A44",1)</v>
      </c>
      <c r="P45" s="9" t="s">
        <v>1669</v>
      </c>
      <c r="Q45" s="11">
        <v>188</v>
      </c>
      <c r="R45" s="78" t="s">
        <v>4358</v>
      </c>
      <c r="S45" s="19" t="s">
        <v>38</v>
      </c>
      <c r="T45" s="9">
        <v>21</v>
      </c>
    </row>
    <row r="46" s="3" customFormat="1" customHeight="1" spans="1:20">
      <c r="A46" s="166" t="s">
        <v>1681</v>
      </c>
      <c r="B46" s="166" t="s">
        <v>165</v>
      </c>
      <c r="C46" s="166" t="s">
        <v>1682</v>
      </c>
      <c r="D46" s="11">
        <v>15707021172</v>
      </c>
      <c r="E46" s="167" t="s">
        <v>278</v>
      </c>
      <c r="F46" s="166" t="s">
        <v>28</v>
      </c>
      <c r="G46" s="9">
        <v>202103001</v>
      </c>
      <c r="H46" s="167" t="s">
        <v>279</v>
      </c>
      <c r="I46" s="167" t="s">
        <v>367</v>
      </c>
      <c r="J46" s="167" t="s">
        <v>1684</v>
      </c>
      <c r="K46" s="167" t="s">
        <v>170</v>
      </c>
      <c r="L46" s="167" t="s">
        <v>368</v>
      </c>
      <c r="M46" s="167" t="s">
        <v>376</v>
      </c>
      <c r="N46" s="167" t="s">
        <v>1685</v>
      </c>
      <c r="O46" s="12" t="str">
        <f>_xlfn.DISPIMG("ID_F515C4DE5D464F10B51159D5558C7D1A",1)</f>
        <v>=DISPIMG("ID_F515C4DE5D464F10B51159D5558C7D1A",1)</v>
      </c>
      <c r="P46" s="9" t="s">
        <v>1686</v>
      </c>
      <c r="Q46" s="11">
        <v>190</v>
      </c>
      <c r="R46" s="78" t="s">
        <v>4359</v>
      </c>
      <c r="S46" s="19" t="s">
        <v>38</v>
      </c>
      <c r="T46" s="9">
        <v>28</v>
      </c>
    </row>
    <row r="47" s="3" customFormat="1" customHeight="1" spans="1:20">
      <c r="A47" s="166" t="s">
        <v>1751</v>
      </c>
      <c r="B47" s="166" t="s">
        <v>165</v>
      </c>
      <c r="C47" s="166" t="s">
        <v>1752</v>
      </c>
      <c r="D47" s="11">
        <v>18770825920</v>
      </c>
      <c r="E47" s="167" t="s">
        <v>278</v>
      </c>
      <c r="F47" s="166" t="s">
        <v>28</v>
      </c>
      <c r="G47" s="9">
        <v>202103001</v>
      </c>
      <c r="H47" s="167" t="s">
        <v>585</v>
      </c>
      <c r="I47" s="167" t="s">
        <v>367</v>
      </c>
      <c r="J47" s="167" t="s">
        <v>280</v>
      </c>
      <c r="K47" s="167" t="s">
        <v>160</v>
      </c>
      <c r="L47" s="167" t="s">
        <v>396</v>
      </c>
      <c r="M47" s="167" t="s">
        <v>1754</v>
      </c>
      <c r="N47" s="167" t="s">
        <v>1755</v>
      </c>
      <c r="O47" s="12" t="str">
        <f>_xlfn.DISPIMG("ID_11BD6E6070704D3C9E8B19CABEC53565",1)</f>
        <v>=DISPIMG("ID_11BD6E6070704D3C9E8B19CABEC53565",1)</v>
      </c>
      <c r="P47" s="9" t="s">
        <v>1756</v>
      </c>
      <c r="Q47" s="11">
        <v>199</v>
      </c>
      <c r="R47" s="78" t="s">
        <v>4360</v>
      </c>
      <c r="S47" s="19" t="s">
        <v>38</v>
      </c>
      <c r="T47" s="9">
        <v>3</v>
      </c>
    </row>
    <row r="48" s="3" customFormat="1" customHeight="1" spans="1:20">
      <c r="A48" s="166" t="s">
        <v>1773</v>
      </c>
      <c r="B48" s="166" t="s">
        <v>165</v>
      </c>
      <c r="C48" s="166" t="s">
        <v>1774</v>
      </c>
      <c r="D48" s="11">
        <v>15070865413</v>
      </c>
      <c r="E48" s="167" t="s">
        <v>278</v>
      </c>
      <c r="F48" s="166" t="s">
        <v>28</v>
      </c>
      <c r="G48" s="9">
        <v>202103001</v>
      </c>
      <c r="H48" s="167" t="s">
        <v>279</v>
      </c>
      <c r="I48" s="167" t="s">
        <v>662</v>
      </c>
      <c r="J48" s="167" t="s">
        <v>280</v>
      </c>
      <c r="K48" s="167" t="s">
        <v>170</v>
      </c>
      <c r="L48" s="167" t="s">
        <v>161</v>
      </c>
      <c r="M48" s="167" t="s">
        <v>1776</v>
      </c>
      <c r="N48" s="167" t="s">
        <v>1777</v>
      </c>
      <c r="O48" s="12" t="str">
        <f>_xlfn.DISPIMG("ID_870E78DB9450493E87561F4FC105D429",1)</f>
        <v>=DISPIMG("ID_870E78DB9450493E87561F4FC105D429",1)</v>
      </c>
      <c r="P48" s="9" t="s">
        <v>1778</v>
      </c>
      <c r="Q48" s="11">
        <v>202</v>
      </c>
      <c r="R48" s="78" t="s">
        <v>4361</v>
      </c>
      <c r="S48" s="19" t="s">
        <v>38</v>
      </c>
      <c r="T48" s="9">
        <v>10</v>
      </c>
    </row>
    <row r="49" s="3" customFormat="1" customHeight="1" spans="1:20">
      <c r="A49" s="166" t="s">
        <v>1814</v>
      </c>
      <c r="B49" s="166" t="s">
        <v>165</v>
      </c>
      <c r="C49" s="166" t="s">
        <v>1815</v>
      </c>
      <c r="D49" s="11">
        <v>15879170317</v>
      </c>
      <c r="E49" s="167" t="s">
        <v>278</v>
      </c>
      <c r="F49" s="166" t="s">
        <v>28</v>
      </c>
      <c r="G49" s="9">
        <v>202103001</v>
      </c>
      <c r="H49" s="167" t="s">
        <v>279</v>
      </c>
      <c r="I49" s="167" t="s">
        <v>732</v>
      </c>
      <c r="J49" s="167" t="s">
        <v>280</v>
      </c>
      <c r="K49" s="167" t="s">
        <v>170</v>
      </c>
      <c r="L49" s="167" t="s">
        <v>306</v>
      </c>
      <c r="M49" s="167" t="s">
        <v>1013</v>
      </c>
      <c r="N49" s="167" t="s">
        <v>1817</v>
      </c>
      <c r="O49" s="12" t="str">
        <f>_xlfn.DISPIMG("ID_6DE4E02A017F4BA2AD59ACE3034B4E4E",1)</f>
        <v>=DISPIMG("ID_6DE4E02A017F4BA2AD59ACE3034B4E4E",1)</v>
      </c>
      <c r="P49" s="9" t="s">
        <v>1818</v>
      </c>
      <c r="Q49" s="11">
        <v>207</v>
      </c>
      <c r="R49" s="78" t="s">
        <v>4362</v>
      </c>
      <c r="S49" s="19" t="s">
        <v>38</v>
      </c>
      <c r="T49" s="9">
        <v>15</v>
      </c>
    </row>
    <row r="50" s="5" customFormat="1" customHeight="1" spans="1:20">
      <c r="A50" s="166" t="s">
        <v>1855</v>
      </c>
      <c r="B50" s="166" t="s">
        <v>165</v>
      </c>
      <c r="C50" s="166" t="s">
        <v>1856</v>
      </c>
      <c r="D50" s="11">
        <v>18070128291</v>
      </c>
      <c r="E50" s="167" t="s">
        <v>278</v>
      </c>
      <c r="F50" s="166" t="s">
        <v>28</v>
      </c>
      <c r="G50" s="9">
        <v>202103001</v>
      </c>
      <c r="H50" s="167" t="s">
        <v>279</v>
      </c>
      <c r="I50" s="167" t="s">
        <v>732</v>
      </c>
      <c r="J50" s="167" t="s">
        <v>1489</v>
      </c>
      <c r="K50" s="167" t="s">
        <v>170</v>
      </c>
      <c r="L50" s="167" t="s">
        <v>733</v>
      </c>
      <c r="M50" s="167" t="s">
        <v>517</v>
      </c>
      <c r="N50" s="167" t="s">
        <v>1858</v>
      </c>
      <c r="O50" s="12" t="str">
        <f>_xlfn.DISPIMG("ID_2E8A5FF2C7EA4CF3BCF137C2FDB07272",1)</f>
        <v>=DISPIMG("ID_2E8A5FF2C7EA4CF3BCF137C2FDB07272",1)</v>
      </c>
      <c r="P50" s="9" t="s">
        <v>1859</v>
      </c>
      <c r="Q50" s="11">
        <v>212</v>
      </c>
      <c r="R50" s="78" t="s">
        <v>4363</v>
      </c>
      <c r="S50" s="19" t="s">
        <v>38</v>
      </c>
      <c r="T50" s="9">
        <v>22</v>
      </c>
    </row>
    <row r="51" s="98" customFormat="1" customHeight="1" spans="1:20">
      <c r="A51" s="170" t="s">
        <v>1862</v>
      </c>
      <c r="B51" s="170" t="s">
        <v>165</v>
      </c>
      <c r="C51" s="170" t="s">
        <v>1863</v>
      </c>
      <c r="D51" s="21">
        <v>18279208748</v>
      </c>
      <c r="E51" s="163" t="s">
        <v>278</v>
      </c>
      <c r="F51" s="170" t="s">
        <v>28</v>
      </c>
      <c r="G51" s="99">
        <v>202102022</v>
      </c>
      <c r="H51" s="163" t="s">
        <v>279</v>
      </c>
      <c r="I51" s="163" t="s">
        <v>1258</v>
      </c>
      <c r="J51" s="163" t="s">
        <v>280</v>
      </c>
      <c r="K51" s="163" t="s">
        <v>170</v>
      </c>
      <c r="L51" s="163" t="s">
        <v>199</v>
      </c>
      <c r="M51" s="163" t="s">
        <v>376</v>
      </c>
      <c r="N51" s="21">
        <v>0</v>
      </c>
      <c r="O51" s="100" t="str">
        <f>_xlfn.DISPIMG("ID_017E111E073649D082B1F8432485C7B9",1)</f>
        <v>=DISPIMG("ID_017E111E073649D082B1F8432485C7B9",1)</v>
      </c>
      <c r="P51" s="99" t="s">
        <v>1865</v>
      </c>
      <c r="Q51" s="21">
        <v>213</v>
      </c>
      <c r="R51" s="101" t="s">
        <v>4364</v>
      </c>
      <c r="S51" s="102" t="s">
        <v>38</v>
      </c>
      <c r="T51" s="99">
        <v>27</v>
      </c>
    </row>
    <row r="52" s="3" customFormat="1" customHeight="1" spans="1:20">
      <c r="A52" s="166" t="s">
        <v>1919</v>
      </c>
      <c r="B52" s="166" t="s">
        <v>153</v>
      </c>
      <c r="C52" s="166" t="s">
        <v>1920</v>
      </c>
      <c r="D52" s="11">
        <v>18046826639</v>
      </c>
      <c r="E52" s="167" t="s">
        <v>278</v>
      </c>
      <c r="F52" s="166" t="s">
        <v>28</v>
      </c>
      <c r="G52" s="9">
        <v>202103001</v>
      </c>
      <c r="H52" s="167" t="s">
        <v>279</v>
      </c>
      <c r="I52" s="167" t="s">
        <v>765</v>
      </c>
      <c r="J52" s="167" t="s">
        <v>280</v>
      </c>
      <c r="K52" s="167" t="s">
        <v>170</v>
      </c>
      <c r="L52" s="167" t="s">
        <v>455</v>
      </c>
      <c r="M52" s="167" t="s">
        <v>376</v>
      </c>
      <c r="N52" s="11">
        <v>0</v>
      </c>
      <c r="O52" s="12" t="str">
        <f>_xlfn.DISPIMG("ID_A79FF9B64919489DB578A9ECC96B1C96",1)</f>
        <v>=DISPIMG("ID_A79FF9B64919489DB578A9ECC96B1C96",1)</v>
      </c>
      <c r="P52" s="9" t="s">
        <v>1922</v>
      </c>
      <c r="Q52" s="11">
        <v>221</v>
      </c>
      <c r="R52" s="78" t="s">
        <v>4365</v>
      </c>
      <c r="S52" s="19" t="s">
        <v>38</v>
      </c>
      <c r="T52" s="9">
        <v>2</v>
      </c>
    </row>
    <row r="53" s="3" customFormat="1" customHeight="1" spans="1:20">
      <c r="A53" s="166" t="s">
        <v>1969</v>
      </c>
      <c r="B53" s="166" t="s">
        <v>165</v>
      </c>
      <c r="C53" s="166" t="s">
        <v>1970</v>
      </c>
      <c r="D53" s="11">
        <v>13767214799</v>
      </c>
      <c r="E53" s="167" t="s">
        <v>278</v>
      </c>
      <c r="F53" s="166" t="s">
        <v>28</v>
      </c>
      <c r="G53" s="9">
        <v>202103001</v>
      </c>
      <c r="H53" s="167" t="s">
        <v>279</v>
      </c>
      <c r="I53" s="167" t="s">
        <v>1972</v>
      </c>
      <c r="J53" s="167" t="s">
        <v>280</v>
      </c>
      <c r="K53" s="167" t="s">
        <v>170</v>
      </c>
      <c r="L53" s="167" t="s">
        <v>368</v>
      </c>
      <c r="M53" s="167" t="s">
        <v>121</v>
      </c>
      <c r="N53" s="167" t="s">
        <v>1973</v>
      </c>
      <c r="O53" s="12" t="str">
        <f>_xlfn.DISPIMG("ID_AAF95BF9A1304A0693E0346D90E4CF2C",1)</f>
        <v>=DISPIMG("ID_AAF95BF9A1304A0693E0346D90E4CF2C",1)</v>
      </c>
      <c r="P53" s="9" t="s">
        <v>1974</v>
      </c>
      <c r="Q53" s="11">
        <v>228</v>
      </c>
      <c r="R53" s="78" t="s">
        <v>4366</v>
      </c>
      <c r="S53" s="19" t="s">
        <v>38</v>
      </c>
      <c r="T53" s="9">
        <v>11</v>
      </c>
    </row>
    <row r="54" s="3" customFormat="1" customHeight="1" spans="1:20">
      <c r="A54" s="166" t="s">
        <v>2060</v>
      </c>
      <c r="B54" s="166" t="s">
        <v>165</v>
      </c>
      <c r="C54" s="166" t="s">
        <v>2061</v>
      </c>
      <c r="D54" s="11">
        <v>15112002923</v>
      </c>
      <c r="E54" s="167" t="s">
        <v>278</v>
      </c>
      <c r="F54" s="166" t="s">
        <v>28</v>
      </c>
      <c r="G54" s="9">
        <v>202103001</v>
      </c>
      <c r="H54" s="167" t="s">
        <v>157</v>
      </c>
      <c r="I54" s="167" t="s">
        <v>2063</v>
      </c>
      <c r="J54" s="167" t="s">
        <v>280</v>
      </c>
      <c r="K54" s="167" t="s">
        <v>170</v>
      </c>
      <c r="L54" s="167" t="s">
        <v>2064</v>
      </c>
      <c r="M54" s="167" t="s">
        <v>517</v>
      </c>
      <c r="N54" s="167" t="s">
        <v>2065</v>
      </c>
      <c r="O54" s="12" t="str">
        <f>_xlfn.DISPIMG("ID_BF9AE392AFDD4458A2909A9A2C941241",1)</f>
        <v>=DISPIMG("ID_BF9AE392AFDD4458A2909A9A2C941241",1)</v>
      </c>
      <c r="P54" s="9" t="s">
        <v>2066</v>
      </c>
      <c r="Q54" s="11">
        <v>240</v>
      </c>
      <c r="R54" s="78" t="s">
        <v>4367</v>
      </c>
      <c r="S54" s="19" t="s">
        <v>38</v>
      </c>
      <c r="T54" s="9">
        <v>14</v>
      </c>
    </row>
    <row r="55" s="3" customFormat="1" customHeight="1" spans="1:20">
      <c r="A55" s="166" t="s">
        <v>2083</v>
      </c>
      <c r="B55" s="166" t="s">
        <v>165</v>
      </c>
      <c r="C55" s="166" t="s">
        <v>2084</v>
      </c>
      <c r="D55" s="11">
        <v>18816407325</v>
      </c>
      <c r="E55" s="167" t="s">
        <v>278</v>
      </c>
      <c r="F55" s="166" t="s">
        <v>28</v>
      </c>
      <c r="G55" s="9">
        <v>202103001</v>
      </c>
      <c r="H55" s="167" t="s">
        <v>157</v>
      </c>
      <c r="I55" s="167" t="s">
        <v>1258</v>
      </c>
      <c r="J55" s="167" t="s">
        <v>280</v>
      </c>
      <c r="K55" s="167" t="s">
        <v>170</v>
      </c>
      <c r="L55" s="167" t="s">
        <v>180</v>
      </c>
      <c r="M55" s="167" t="s">
        <v>340</v>
      </c>
      <c r="N55" s="167" t="s">
        <v>2086</v>
      </c>
      <c r="O55" s="12" t="str">
        <f>_xlfn.DISPIMG("ID_B2FD46FB94FD4BE298F143BADCF00B8C",1)</f>
        <v>=DISPIMG("ID_B2FD46FB94FD4BE298F143BADCF00B8C",1)</v>
      </c>
      <c r="P55" s="9" t="s">
        <v>2087</v>
      </c>
      <c r="Q55" s="11">
        <v>243</v>
      </c>
      <c r="R55" s="78" t="s">
        <v>4368</v>
      </c>
      <c r="S55" s="19" t="s">
        <v>38</v>
      </c>
      <c r="T55" s="9">
        <v>23</v>
      </c>
    </row>
    <row r="56" s="3" customFormat="1" customHeight="1" spans="1:20">
      <c r="A56" s="166" t="s">
        <v>2098</v>
      </c>
      <c r="B56" s="166" t="s">
        <v>165</v>
      </c>
      <c r="C56" s="166" t="s">
        <v>2099</v>
      </c>
      <c r="D56" s="11">
        <v>18070222825</v>
      </c>
      <c r="E56" s="167" t="s">
        <v>278</v>
      </c>
      <c r="F56" s="166" t="s">
        <v>28</v>
      </c>
      <c r="G56" s="9">
        <v>202103001</v>
      </c>
      <c r="H56" s="167" t="s">
        <v>279</v>
      </c>
      <c r="I56" s="167" t="s">
        <v>732</v>
      </c>
      <c r="J56" s="167" t="s">
        <v>169</v>
      </c>
      <c r="K56" s="167" t="s">
        <v>170</v>
      </c>
      <c r="L56" s="167" t="s">
        <v>733</v>
      </c>
      <c r="M56" s="167" t="s">
        <v>517</v>
      </c>
      <c r="N56" s="167" t="s">
        <v>2101</v>
      </c>
      <c r="O56" s="12" t="str">
        <f>_xlfn.DISPIMG("ID_005BE0017F024C98A2D8AF15B9E0DE6A",1)</f>
        <v>=DISPIMG("ID_005BE0017F024C98A2D8AF15B9E0DE6A",1)</v>
      </c>
      <c r="P56" s="9" t="s">
        <v>2102</v>
      </c>
      <c r="Q56" s="11">
        <v>245</v>
      </c>
      <c r="R56" s="78" t="s">
        <v>4369</v>
      </c>
      <c r="S56" s="19" t="s">
        <v>38</v>
      </c>
      <c r="T56" s="9">
        <v>26</v>
      </c>
    </row>
    <row r="57" s="3" customFormat="1" customHeight="1" spans="1:20">
      <c r="A57" s="166" t="s">
        <v>2226</v>
      </c>
      <c r="B57" s="166" t="s">
        <v>165</v>
      </c>
      <c r="C57" s="166" t="s">
        <v>2227</v>
      </c>
      <c r="D57" s="11">
        <v>15720952167</v>
      </c>
      <c r="E57" s="167" t="s">
        <v>278</v>
      </c>
      <c r="F57" s="166" t="s">
        <v>28</v>
      </c>
      <c r="G57" s="9">
        <v>202103001</v>
      </c>
      <c r="H57" s="167" t="s">
        <v>279</v>
      </c>
      <c r="I57" s="167" t="s">
        <v>2229</v>
      </c>
      <c r="J57" s="167" t="s">
        <v>280</v>
      </c>
      <c r="K57" s="167" t="s">
        <v>170</v>
      </c>
      <c r="L57" s="167" t="s">
        <v>161</v>
      </c>
      <c r="M57" s="167" t="s">
        <v>517</v>
      </c>
      <c r="N57" s="11">
        <v>0</v>
      </c>
      <c r="O57" s="12" t="str">
        <f>_xlfn.DISPIMG("ID_D66F2E0905214E97988618639B1556CA",1)</f>
        <v>=DISPIMG("ID_D66F2E0905214E97988618639B1556CA",1)</v>
      </c>
      <c r="P57" s="9" t="s">
        <v>2230</v>
      </c>
      <c r="Q57" s="11">
        <v>262</v>
      </c>
      <c r="R57" s="78" t="s">
        <v>4370</v>
      </c>
      <c r="S57" s="19" t="s">
        <v>38</v>
      </c>
      <c r="T57" s="9">
        <v>1</v>
      </c>
    </row>
    <row r="58" s="3" customFormat="1" customHeight="1" spans="1:20">
      <c r="A58" s="166" t="s">
        <v>2249</v>
      </c>
      <c r="B58" s="166" t="s">
        <v>165</v>
      </c>
      <c r="C58" s="166" t="s">
        <v>2250</v>
      </c>
      <c r="D58" s="11">
        <v>15270289287</v>
      </c>
      <c r="E58" s="167" t="s">
        <v>278</v>
      </c>
      <c r="F58" s="166" t="s">
        <v>28</v>
      </c>
      <c r="G58" s="9">
        <v>202103001</v>
      </c>
      <c r="H58" s="167" t="s">
        <v>279</v>
      </c>
      <c r="I58" s="167" t="s">
        <v>1258</v>
      </c>
      <c r="J58" s="167" t="s">
        <v>280</v>
      </c>
      <c r="K58" s="167" t="s">
        <v>170</v>
      </c>
      <c r="L58" s="167" t="s">
        <v>180</v>
      </c>
      <c r="M58" s="167" t="s">
        <v>340</v>
      </c>
      <c r="N58" s="167" t="s">
        <v>2252</v>
      </c>
      <c r="O58" s="12" t="str">
        <f>_xlfn.DISPIMG("ID_7985CE250554486189D8524B45608623",1)</f>
        <v>=DISPIMG("ID_7985CE250554486189D8524B45608623",1)</v>
      </c>
      <c r="P58" s="9" t="s">
        <v>2253</v>
      </c>
      <c r="Q58" s="11">
        <v>265</v>
      </c>
      <c r="R58" s="78" t="s">
        <v>4371</v>
      </c>
      <c r="S58" s="19" t="s">
        <v>38</v>
      </c>
      <c r="T58" s="9">
        <v>12</v>
      </c>
    </row>
    <row r="59" s="3" customFormat="1" customHeight="1" spans="1:20">
      <c r="A59" s="166" t="s">
        <v>2273</v>
      </c>
      <c r="B59" s="166" t="s">
        <v>165</v>
      </c>
      <c r="C59" s="166" t="s">
        <v>2274</v>
      </c>
      <c r="D59" s="11">
        <v>18897920642</v>
      </c>
      <c r="E59" s="167" t="s">
        <v>278</v>
      </c>
      <c r="F59" s="166" t="s">
        <v>28</v>
      </c>
      <c r="G59" s="9">
        <v>202103001</v>
      </c>
      <c r="H59" s="167" t="s">
        <v>279</v>
      </c>
      <c r="I59" s="167" t="s">
        <v>367</v>
      </c>
      <c r="J59" s="167" t="s">
        <v>960</v>
      </c>
      <c r="K59" s="167" t="s">
        <v>170</v>
      </c>
      <c r="L59" s="167" t="s">
        <v>171</v>
      </c>
      <c r="M59" s="167" t="s">
        <v>340</v>
      </c>
      <c r="N59" s="167" t="s">
        <v>2276</v>
      </c>
      <c r="O59" s="12" t="str">
        <f>_xlfn.DISPIMG("ID_61B07218C9EC426CBE977F3567B765DD",1)</f>
        <v>=DISPIMG("ID_61B07218C9EC426CBE977F3567B765DD",1)</v>
      </c>
      <c r="P59" s="9" t="s">
        <v>2277</v>
      </c>
      <c r="Q59" s="11">
        <v>268</v>
      </c>
      <c r="R59" s="78" t="s">
        <v>4372</v>
      </c>
      <c r="S59" s="19" t="s">
        <v>38</v>
      </c>
      <c r="T59" s="9">
        <v>13</v>
      </c>
    </row>
    <row r="60" s="3" customFormat="1" customHeight="1" spans="1:20">
      <c r="A60" s="166" t="s">
        <v>2323</v>
      </c>
      <c r="B60" s="166" t="s">
        <v>165</v>
      </c>
      <c r="C60" s="166" t="s">
        <v>2324</v>
      </c>
      <c r="D60" s="11">
        <v>15979178539</v>
      </c>
      <c r="E60" s="167" t="s">
        <v>278</v>
      </c>
      <c r="F60" s="166" t="s">
        <v>28</v>
      </c>
      <c r="G60" s="9">
        <v>202103001</v>
      </c>
      <c r="H60" s="167" t="s">
        <v>157</v>
      </c>
      <c r="I60" s="167" t="s">
        <v>1071</v>
      </c>
      <c r="J60" s="167" t="s">
        <v>2326</v>
      </c>
      <c r="K60" s="167" t="s">
        <v>160</v>
      </c>
      <c r="L60" s="167" t="s">
        <v>1942</v>
      </c>
      <c r="M60" s="167" t="s">
        <v>340</v>
      </c>
      <c r="N60" s="167" t="s">
        <v>2327</v>
      </c>
      <c r="O60" s="12" t="str">
        <f>_xlfn.DISPIMG("ID_A33976891DCF46C9B1DFAD5ADCC8729D",1)</f>
        <v>=DISPIMG("ID_A33976891DCF46C9B1DFAD5ADCC8729D",1)</v>
      </c>
      <c r="P60" s="9" t="s">
        <v>2328</v>
      </c>
      <c r="Q60" s="11">
        <v>275</v>
      </c>
      <c r="R60" s="78" t="s">
        <v>4373</v>
      </c>
      <c r="S60" s="19" t="s">
        <v>38</v>
      </c>
      <c r="T60" s="9">
        <v>24</v>
      </c>
    </row>
    <row r="61" s="3" customFormat="1" customHeight="1" spans="1:20">
      <c r="A61" s="166" t="s">
        <v>2354</v>
      </c>
      <c r="B61" s="166" t="s">
        <v>165</v>
      </c>
      <c r="C61" s="166" t="s">
        <v>2355</v>
      </c>
      <c r="D61" s="11">
        <v>18870202615</v>
      </c>
      <c r="E61" s="167" t="s">
        <v>278</v>
      </c>
      <c r="F61" s="166" t="s">
        <v>28</v>
      </c>
      <c r="G61" s="9">
        <v>202103001</v>
      </c>
      <c r="H61" s="167" t="s">
        <v>279</v>
      </c>
      <c r="I61" s="167" t="s">
        <v>765</v>
      </c>
      <c r="J61" s="167" t="s">
        <v>280</v>
      </c>
      <c r="K61" s="167" t="s">
        <v>170</v>
      </c>
      <c r="L61" s="167" t="s">
        <v>252</v>
      </c>
      <c r="M61" s="167" t="s">
        <v>340</v>
      </c>
      <c r="N61" s="167" t="s">
        <v>2357</v>
      </c>
      <c r="O61" s="12" t="str">
        <f>_xlfn.DISPIMG("ID_1E1BF7CF64ED4C9392E00D748E2CFF78",1)</f>
        <v>=DISPIMG("ID_1E1BF7CF64ED4C9392E00D748E2CFF78",1)</v>
      </c>
      <c r="P61" s="9" t="s">
        <v>2358</v>
      </c>
      <c r="Q61" s="11">
        <v>279</v>
      </c>
      <c r="R61" s="78" t="s">
        <v>4374</v>
      </c>
      <c r="S61" s="19" t="s">
        <v>38</v>
      </c>
      <c r="T61" s="9">
        <v>25</v>
      </c>
    </row>
    <row r="62" s="3" customFormat="1" customHeight="1" spans="1:20">
      <c r="A62" s="166" t="s">
        <v>2368</v>
      </c>
      <c r="B62" s="166" t="s">
        <v>165</v>
      </c>
      <c r="C62" s="166" t="s">
        <v>2369</v>
      </c>
      <c r="D62" s="11">
        <v>13870275403</v>
      </c>
      <c r="E62" s="167" t="s">
        <v>278</v>
      </c>
      <c r="F62" s="166" t="s">
        <v>28</v>
      </c>
      <c r="G62" s="9">
        <v>202103001</v>
      </c>
      <c r="H62" s="167" t="s">
        <v>279</v>
      </c>
      <c r="I62" s="167" t="s">
        <v>367</v>
      </c>
      <c r="J62" s="167" t="s">
        <v>960</v>
      </c>
      <c r="K62" s="167" t="s">
        <v>170</v>
      </c>
      <c r="L62" s="167" t="s">
        <v>161</v>
      </c>
      <c r="M62" s="167" t="s">
        <v>2371</v>
      </c>
      <c r="N62" s="167" t="s">
        <v>2372</v>
      </c>
      <c r="O62" s="12" t="str">
        <f>_xlfn.DISPIMG("ID_8367FF7FCE354E85A6B58C07A55F59C4",1)</f>
        <v>=DISPIMG("ID_8367FF7FCE354E85A6B58C07A55F59C4",1)</v>
      </c>
      <c r="P62" s="9" t="s">
        <v>2373</v>
      </c>
      <c r="Q62" s="11">
        <v>281</v>
      </c>
      <c r="R62" s="78" t="s">
        <v>4375</v>
      </c>
      <c r="S62" s="19" t="s">
        <v>39</v>
      </c>
      <c r="T62" s="9">
        <v>6</v>
      </c>
    </row>
    <row r="63" s="3" customFormat="1" customHeight="1" spans="1:20">
      <c r="A63" s="166" t="s">
        <v>2384</v>
      </c>
      <c r="B63" s="166" t="s">
        <v>165</v>
      </c>
      <c r="C63" s="166" t="s">
        <v>2385</v>
      </c>
      <c r="D63" s="11">
        <v>18779249182</v>
      </c>
      <c r="E63" s="167" t="s">
        <v>278</v>
      </c>
      <c r="F63" s="166" t="s">
        <v>28</v>
      </c>
      <c r="G63" s="9">
        <v>202103001</v>
      </c>
      <c r="H63" s="167" t="s">
        <v>279</v>
      </c>
      <c r="I63" s="167" t="s">
        <v>178</v>
      </c>
      <c r="J63" s="167" t="s">
        <v>280</v>
      </c>
      <c r="K63" s="167" t="s">
        <v>170</v>
      </c>
      <c r="L63" s="167" t="s">
        <v>548</v>
      </c>
      <c r="M63" s="167" t="s">
        <v>517</v>
      </c>
      <c r="N63" s="167" t="s">
        <v>2387</v>
      </c>
      <c r="O63" s="12" t="str">
        <f>_xlfn.DISPIMG("ID_8CF817D3A8834773857DA1D47188BF1C",1)</f>
        <v>=DISPIMG("ID_8CF817D3A8834773857DA1D47188BF1C",1)</v>
      </c>
      <c r="P63" s="9" t="s">
        <v>2388</v>
      </c>
      <c r="Q63" s="11">
        <v>283</v>
      </c>
      <c r="R63" s="78" t="s">
        <v>4376</v>
      </c>
      <c r="S63" s="19" t="s">
        <v>39</v>
      </c>
      <c r="T63" s="9">
        <v>7</v>
      </c>
    </row>
    <row r="64" s="3" customFormat="1" customHeight="1" spans="1:20">
      <c r="A64" s="166" t="s">
        <v>2445</v>
      </c>
      <c r="B64" s="166" t="s">
        <v>165</v>
      </c>
      <c r="C64" s="166" t="s">
        <v>2446</v>
      </c>
      <c r="D64" s="11">
        <v>15270593089</v>
      </c>
      <c r="E64" s="167" t="s">
        <v>278</v>
      </c>
      <c r="F64" s="166" t="s">
        <v>28</v>
      </c>
      <c r="G64" s="9">
        <v>202103001</v>
      </c>
      <c r="H64" s="167" t="s">
        <v>279</v>
      </c>
      <c r="I64" s="167" t="s">
        <v>367</v>
      </c>
      <c r="J64" s="167" t="s">
        <v>280</v>
      </c>
      <c r="K64" s="167" t="s">
        <v>170</v>
      </c>
      <c r="L64" s="167" t="s">
        <v>161</v>
      </c>
      <c r="M64" s="167" t="s">
        <v>517</v>
      </c>
      <c r="N64" s="167" t="s">
        <v>2448</v>
      </c>
      <c r="O64" s="12" t="str">
        <f>_xlfn.DISPIMG("ID_5A60F5CEF6FD4D2AB2A12133308D2C7D",1)</f>
        <v>=DISPIMG("ID_5A60F5CEF6FD4D2AB2A12133308D2C7D",1)</v>
      </c>
      <c r="P64" s="9" t="s">
        <v>2449</v>
      </c>
      <c r="Q64" s="11">
        <v>291</v>
      </c>
      <c r="R64" s="78" t="s">
        <v>4377</v>
      </c>
      <c r="S64" s="19" t="s">
        <v>39</v>
      </c>
      <c r="T64" s="9">
        <v>18</v>
      </c>
    </row>
    <row r="65" s="3" customFormat="1" customHeight="1" spans="1:20">
      <c r="A65" s="166" t="s">
        <v>2487</v>
      </c>
      <c r="B65" s="166" t="s">
        <v>165</v>
      </c>
      <c r="C65" s="166" t="s">
        <v>2488</v>
      </c>
      <c r="D65" s="11">
        <v>18979216011</v>
      </c>
      <c r="E65" s="167" t="s">
        <v>278</v>
      </c>
      <c r="F65" s="166" t="s">
        <v>28</v>
      </c>
      <c r="G65" s="9">
        <v>202103001</v>
      </c>
      <c r="H65" s="167" t="s">
        <v>157</v>
      </c>
      <c r="I65" s="167" t="s">
        <v>178</v>
      </c>
      <c r="J65" s="167" t="s">
        <v>280</v>
      </c>
      <c r="K65" s="167" t="s">
        <v>170</v>
      </c>
      <c r="L65" s="167" t="s">
        <v>2490</v>
      </c>
      <c r="M65" s="167" t="s">
        <v>28</v>
      </c>
      <c r="N65" s="167" t="s">
        <v>2491</v>
      </c>
      <c r="O65" s="12" t="str">
        <f>_xlfn.DISPIMG("ID_53B9839AEAC4407495ABBD356F420DDD",1)</f>
        <v>=DISPIMG("ID_53B9839AEAC4407495ABBD356F420DDD",1)</v>
      </c>
      <c r="P65" s="9" t="s">
        <v>2492</v>
      </c>
      <c r="Q65" s="11">
        <v>297</v>
      </c>
      <c r="R65" s="78" t="s">
        <v>4378</v>
      </c>
      <c r="S65" s="19" t="s">
        <v>39</v>
      </c>
      <c r="T65" s="9">
        <v>19</v>
      </c>
    </row>
    <row r="66" s="3" customFormat="1" customHeight="1" spans="1:20">
      <c r="A66" s="166" t="s">
        <v>2501</v>
      </c>
      <c r="B66" s="166" t="s">
        <v>165</v>
      </c>
      <c r="C66" s="166" t="s">
        <v>2502</v>
      </c>
      <c r="D66" s="11">
        <v>18779413916</v>
      </c>
      <c r="E66" s="167" t="s">
        <v>278</v>
      </c>
      <c r="F66" s="166" t="s">
        <v>28</v>
      </c>
      <c r="G66" s="9">
        <v>202103001</v>
      </c>
      <c r="H66" s="167" t="s">
        <v>279</v>
      </c>
      <c r="I66" s="167" t="s">
        <v>876</v>
      </c>
      <c r="J66" s="167" t="s">
        <v>1684</v>
      </c>
      <c r="K66" s="167" t="s">
        <v>170</v>
      </c>
      <c r="L66" s="167" t="s">
        <v>171</v>
      </c>
      <c r="M66" s="167" t="s">
        <v>2504</v>
      </c>
      <c r="N66" s="167" t="s">
        <v>2505</v>
      </c>
      <c r="O66" s="12" t="str">
        <f>_xlfn.DISPIMG("ID_515277FD8D2D40318D429A7BA8ADC69C",1)</f>
        <v>=DISPIMG("ID_515277FD8D2D40318D429A7BA8ADC69C",1)</v>
      </c>
      <c r="P66" s="9" t="s">
        <v>2506</v>
      </c>
      <c r="Q66" s="11">
        <v>299</v>
      </c>
      <c r="R66" s="78" t="s">
        <v>4379</v>
      </c>
      <c r="S66" s="19" t="s">
        <v>39</v>
      </c>
      <c r="T66" s="9">
        <v>30</v>
      </c>
    </row>
    <row r="67" s="3" customFormat="1" customHeight="1" spans="1:20">
      <c r="A67" s="166" t="s">
        <v>2509</v>
      </c>
      <c r="B67" s="166" t="s">
        <v>165</v>
      </c>
      <c r="C67" s="166" t="s">
        <v>2510</v>
      </c>
      <c r="D67" s="11">
        <v>15170261589</v>
      </c>
      <c r="E67" s="167" t="s">
        <v>278</v>
      </c>
      <c r="F67" s="166" t="s">
        <v>28</v>
      </c>
      <c r="G67" s="9">
        <v>202103001</v>
      </c>
      <c r="H67" s="167" t="s">
        <v>279</v>
      </c>
      <c r="I67" s="167" t="s">
        <v>168</v>
      </c>
      <c r="J67" s="167" t="s">
        <v>280</v>
      </c>
      <c r="K67" s="167" t="s">
        <v>170</v>
      </c>
      <c r="L67" s="167" t="s">
        <v>171</v>
      </c>
      <c r="M67" s="167" t="s">
        <v>28</v>
      </c>
      <c r="N67" s="167" t="s">
        <v>2512</v>
      </c>
      <c r="O67" s="12" t="str">
        <f>_xlfn.DISPIMG("ID_7074182E322C4D868E189D169988DEEF",1)</f>
        <v>=DISPIMG("ID_7074182E322C4D868E189D169988DEEF",1)</v>
      </c>
      <c r="P67" s="9" t="s">
        <v>2513</v>
      </c>
      <c r="Q67" s="11">
        <v>300</v>
      </c>
      <c r="R67" s="78" t="s">
        <v>4380</v>
      </c>
      <c r="S67" s="19" t="s">
        <v>39</v>
      </c>
      <c r="T67" s="9">
        <v>5</v>
      </c>
    </row>
    <row r="68" s="3" customFormat="1" customHeight="1" spans="1:20">
      <c r="A68" s="166" t="s">
        <v>2615</v>
      </c>
      <c r="B68" s="166" t="s">
        <v>165</v>
      </c>
      <c r="C68" s="166" t="s">
        <v>2616</v>
      </c>
      <c r="D68" s="11">
        <v>18779299651</v>
      </c>
      <c r="E68" s="167" t="s">
        <v>278</v>
      </c>
      <c r="F68" s="166" t="s">
        <v>28</v>
      </c>
      <c r="G68" s="9">
        <v>202103001</v>
      </c>
      <c r="H68" s="167" t="s">
        <v>585</v>
      </c>
      <c r="I68" s="167" t="s">
        <v>367</v>
      </c>
      <c r="J68" s="167" t="s">
        <v>280</v>
      </c>
      <c r="K68" s="167" t="s">
        <v>170</v>
      </c>
      <c r="L68" s="167" t="s">
        <v>306</v>
      </c>
      <c r="M68" s="167" t="s">
        <v>585</v>
      </c>
      <c r="N68" s="167" t="s">
        <v>2617</v>
      </c>
      <c r="O68" s="12" t="str">
        <f>_xlfn.DISPIMG("ID_D88361D0AC4F40C29B491840D8C35568",1)</f>
        <v>=DISPIMG("ID_D88361D0AC4F40C29B491840D8C35568",1)</v>
      </c>
      <c r="P68" s="9" t="s">
        <v>2618</v>
      </c>
      <c r="Q68" s="11">
        <v>314</v>
      </c>
      <c r="R68" s="78" t="s">
        <v>4381</v>
      </c>
      <c r="S68" s="19" t="s">
        <v>39</v>
      </c>
      <c r="T68" s="9">
        <v>8</v>
      </c>
    </row>
    <row r="69" s="3" customFormat="1" customHeight="1" spans="1:20">
      <c r="A69" s="166" t="s">
        <v>2651</v>
      </c>
      <c r="B69" s="166" t="s">
        <v>165</v>
      </c>
      <c r="C69" s="166" t="s">
        <v>2652</v>
      </c>
      <c r="D69" s="11">
        <v>18779275146</v>
      </c>
      <c r="E69" s="167" t="s">
        <v>278</v>
      </c>
      <c r="F69" s="166" t="s">
        <v>28</v>
      </c>
      <c r="G69" s="9">
        <v>202103001</v>
      </c>
      <c r="H69" s="167" t="s">
        <v>279</v>
      </c>
      <c r="I69" s="167" t="s">
        <v>367</v>
      </c>
      <c r="J69" s="167" t="s">
        <v>960</v>
      </c>
      <c r="K69" s="167" t="s">
        <v>170</v>
      </c>
      <c r="L69" s="167" t="s">
        <v>261</v>
      </c>
      <c r="M69" s="167" t="s">
        <v>2654</v>
      </c>
      <c r="N69" s="167" t="s">
        <v>2655</v>
      </c>
      <c r="O69" s="12" t="str">
        <f>_xlfn.DISPIMG("ID_1078F268CB1D42879EB5D176263AD754",1)</f>
        <v>=DISPIMG("ID_1078F268CB1D42879EB5D176263AD754",1)</v>
      </c>
      <c r="P69" s="9" t="s">
        <v>2656</v>
      </c>
      <c r="Q69" s="11">
        <v>319</v>
      </c>
      <c r="R69" s="78" t="s">
        <v>4382</v>
      </c>
      <c r="S69" s="19" t="s">
        <v>39</v>
      </c>
      <c r="T69" s="9">
        <v>17</v>
      </c>
    </row>
    <row r="70" s="3" customFormat="1" customHeight="1" spans="1:20">
      <c r="A70" s="166" t="s">
        <v>2666</v>
      </c>
      <c r="B70" s="166" t="s">
        <v>165</v>
      </c>
      <c r="C70" s="166" t="s">
        <v>2667</v>
      </c>
      <c r="D70" s="11">
        <v>13367011157</v>
      </c>
      <c r="E70" s="167" t="s">
        <v>278</v>
      </c>
      <c r="F70" s="166" t="s">
        <v>28</v>
      </c>
      <c r="G70" s="9">
        <v>202103001</v>
      </c>
      <c r="H70" s="167" t="s">
        <v>279</v>
      </c>
      <c r="I70" s="167" t="s">
        <v>2669</v>
      </c>
      <c r="J70" s="167" t="s">
        <v>280</v>
      </c>
      <c r="K70" s="167" t="s">
        <v>170</v>
      </c>
      <c r="L70" s="167" t="s">
        <v>368</v>
      </c>
      <c r="M70" s="167" t="s">
        <v>340</v>
      </c>
      <c r="N70" s="167" t="s">
        <v>2670</v>
      </c>
      <c r="O70" s="12" t="str">
        <f>_xlfn.DISPIMG("ID_F3E1E6ADC00F4323859304E86EC6B8D9",1)</f>
        <v>=DISPIMG("ID_F3E1E6ADC00F4323859304E86EC6B8D9",1)</v>
      </c>
      <c r="P70" s="9" t="s">
        <v>2671</v>
      </c>
      <c r="Q70" s="11">
        <v>321</v>
      </c>
      <c r="R70" s="78" t="s">
        <v>4383</v>
      </c>
      <c r="S70" s="19" t="s">
        <v>39</v>
      </c>
      <c r="T70" s="9">
        <v>20</v>
      </c>
    </row>
    <row r="71" s="3" customFormat="1" customHeight="1" spans="1:20">
      <c r="A71" s="166" t="s">
        <v>2691</v>
      </c>
      <c r="B71" s="166" t="s">
        <v>165</v>
      </c>
      <c r="C71" s="166" t="s">
        <v>2692</v>
      </c>
      <c r="D71" s="11">
        <v>13361724916</v>
      </c>
      <c r="E71" s="167" t="s">
        <v>278</v>
      </c>
      <c r="F71" s="166" t="s">
        <v>28</v>
      </c>
      <c r="G71" s="9">
        <v>202103001</v>
      </c>
      <c r="H71" s="167" t="s">
        <v>585</v>
      </c>
      <c r="I71" s="167" t="s">
        <v>367</v>
      </c>
      <c r="J71" s="167" t="s">
        <v>586</v>
      </c>
      <c r="K71" s="167" t="s">
        <v>170</v>
      </c>
      <c r="L71" s="167" t="s">
        <v>2685</v>
      </c>
      <c r="M71" s="167" t="s">
        <v>2686</v>
      </c>
      <c r="N71" s="167" t="s">
        <v>2694</v>
      </c>
      <c r="O71" s="12" t="str">
        <f>_xlfn.DISPIMG("ID_80BD79931C0D4F069B4BB278F0D6EACF",1)</f>
        <v>=DISPIMG("ID_80BD79931C0D4F069B4BB278F0D6EACF",1)</v>
      </c>
      <c r="P71" s="9" t="s">
        <v>2695</v>
      </c>
      <c r="Q71" s="11">
        <v>324</v>
      </c>
      <c r="R71" s="78" t="s">
        <v>4384</v>
      </c>
      <c r="S71" s="19" t="s">
        <v>39</v>
      </c>
      <c r="T71" s="9">
        <v>29</v>
      </c>
    </row>
    <row r="72" s="3" customFormat="1" customHeight="1" spans="1:20">
      <c r="A72" s="166" t="s">
        <v>2739</v>
      </c>
      <c r="B72" s="166" t="s">
        <v>165</v>
      </c>
      <c r="C72" s="166" t="s">
        <v>2740</v>
      </c>
      <c r="D72" s="11">
        <v>15180645133</v>
      </c>
      <c r="E72" s="167" t="s">
        <v>278</v>
      </c>
      <c r="F72" s="166" t="s">
        <v>28</v>
      </c>
      <c r="G72" s="9">
        <v>202103001</v>
      </c>
      <c r="H72" s="167" t="s">
        <v>279</v>
      </c>
      <c r="I72" s="167" t="s">
        <v>2741</v>
      </c>
      <c r="J72" s="167" t="s">
        <v>2742</v>
      </c>
      <c r="K72" s="167" t="s">
        <v>160</v>
      </c>
      <c r="L72" s="167" t="s">
        <v>577</v>
      </c>
      <c r="M72" s="167" t="s">
        <v>28</v>
      </c>
      <c r="N72" s="11">
        <v>0</v>
      </c>
      <c r="O72" s="12" t="str">
        <f>_xlfn.DISPIMG("ID_DBC66D2ED4394B2EABDB1526C646D9F0",1)</f>
        <v>=DISPIMG("ID_DBC66D2ED4394B2EABDB1526C646D9F0",1)</v>
      </c>
      <c r="P72" s="9" t="s">
        <v>2743</v>
      </c>
      <c r="Q72" s="11">
        <v>331</v>
      </c>
      <c r="R72" s="78" t="s">
        <v>4385</v>
      </c>
      <c r="S72" s="19" t="s">
        <v>39</v>
      </c>
      <c r="T72" s="9">
        <v>4</v>
      </c>
    </row>
    <row r="73" s="3" customFormat="1" customHeight="1" spans="1:20">
      <c r="A73" s="166" t="s">
        <v>2746</v>
      </c>
      <c r="B73" s="166" t="s">
        <v>165</v>
      </c>
      <c r="C73" s="166" t="s">
        <v>2747</v>
      </c>
      <c r="D73" s="11">
        <v>13479871563</v>
      </c>
      <c r="E73" s="167" t="s">
        <v>278</v>
      </c>
      <c r="F73" s="166" t="s">
        <v>28</v>
      </c>
      <c r="G73" s="9">
        <v>202103001</v>
      </c>
      <c r="H73" s="167" t="s">
        <v>279</v>
      </c>
      <c r="I73" s="167" t="s">
        <v>1432</v>
      </c>
      <c r="J73" s="167" t="s">
        <v>280</v>
      </c>
      <c r="K73" s="167" t="s">
        <v>170</v>
      </c>
      <c r="L73" s="167" t="s">
        <v>2221</v>
      </c>
      <c r="M73" s="167" t="s">
        <v>340</v>
      </c>
      <c r="N73" s="167" t="s">
        <v>2749</v>
      </c>
      <c r="O73" s="12" t="str">
        <f>_xlfn.DISPIMG("ID_88F87A068C9F46F1A08F32919B53F4F3",1)</f>
        <v>=DISPIMG("ID_88F87A068C9F46F1A08F32919B53F4F3",1)</v>
      </c>
      <c r="P73" s="9" t="s">
        <v>2750</v>
      </c>
      <c r="Q73" s="11">
        <v>332</v>
      </c>
      <c r="R73" s="78" t="s">
        <v>4386</v>
      </c>
      <c r="S73" s="19" t="s">
        <v>39</v>
      </c>
      <c r="T73" s="9">
        <v>9</v>
      </c>
    </row>
    <row r="74" s="3" customFormat="1" customHeight="1" spans="1:20">
      <c r="A74" s="166" t="s">
        <v>2796</v>
      </c>
      <c r="B74" s="166" t="s">
        <v>165</v>
      </c>
      <c r="C74" s="166" t="s">
        <v>2797</v>
      </c>
      <c r="D74" s="11">
        <v>15079245341</v>
      </c>
      <c r="E74" s="167" t="s">
        <v>278</v>
      </c>
      <c r="F74" s="166" t="s">
        <v>28</v>
      </c>
      <c r="G74" s="9">
        <v>202103001</v>
      </c>
      <c r="H74" s="167" t="s">
        <v>279</v>
      </c>
      <c r="I74" s="167" t="s">
        <v>2799</v>
      </c>
      <c r="J74" s="167" t="s">
        <v>1489</v>
      </c>
      <c r="K74" s="167" t="s">
        <v>170</v>
      </c>
      <c r="L74" s="167" t="s">
        <v>2800</v>
      </c>
      <c r="M74" s="167" t="s">
        <v>28</v>
      </c>
      <c r="N74" s="167" t="s">
        <v>2801</v>
      </c>
      <c r="O74" s="12" t="str">
        <f>_xlfn.DISPIMG("ID_CE28F2C62DED40E5A2B6EB31752867C6",1)</f>
        <v>=DISPIMG("ID_CE28F2C62DED40E5A2B6EB31752867C6",1)</v>
      </c>
      <c r="P74" s="9" t="s">
        <v>2802</v>
      </c>
      <c r="Q74" s="11">
        <v>339</v>
      </c>
      <c r="R74" s="78" t="s">
        <v>4387</v>
      </c>
      <c r="S74" s="19" t="s">
        <v>39</v>
      </c>
      <c r="T74" s="9">
        <v>16</v>
      </c>
    </row>
    <row r="75" s="3" customFormat="1" customHeight="1" spans="1:20">
      <c r="A75" s="166" t="s">
        <v>2825</v>
      </c>
      <c r="B75" s="166" t="s">
        <v>165</v>
      </c>
      <c r="C75" s="166" t="s">
        <v>2826</v>
      </c>
      <c r="D75" s="11">
        <v>13177721280</v>
      </c>
      <c r="E75" s="167" t="s">
        <v>278</v>
      </c>
      <c r="F75" s="166" t="s">
        <v>28</v>
      </c>
      <c r="G75" s="9">
        <v>202103001</v>
      </c>
      <c r="H75" s="167" t="s">
        <v>279</v>
      </c>
      <c r="I75" s="167" t="s">
        <v>1237</v>
      </c>
      <c r="J75" s="167" t="s">
        <v>280</v>
      </c>
      <c r="K75" s="167" t="s">
        <v>170</v>
      </c>
      <c r="L75" s="167" t="s">
        <v>261</v>
      </c>
      <c r="M75" s="167" t="s">
        <v>340</v>
      </c>
      <c r="N75" s="11">
        <v>0</v>
      </c>
      <c r="O75" s="12" t="str">
        <f>_xlfn.DISPIMG("ID_F08BB5C3B75D4962A37212B4DDDA960C",1)</f>
        <v>=DISPIMG("ID_F08BB5C3B75D4962A37212B4DDDA960C",1)</v>
      </c>
      <c r="P75" s="9" t="s">
        <v>2828</v>
      </c>
      <c r="Q75" s="11">
        <v>343</v>
      </c>
      <c r="R75" s="78" t="s">
        <v>4388</v>
      </c>
      <c r="S75" s="19" t="s">
        <v>39</v>
      </c>
      <c r="T75" s="9">
        <v>21</v>
      </c>
    </row>
    <row r="76" s="3" customFormat="1" customHeight="1" spans="1:20">
      <c r="A76" s="166" t="s">
        <v>2854</v>
      </c>
      <c r="B76" s="166" t="s">
        <v>165</v>
      </c>
      <c r="C76" s="166" t="s">
        <v>2855</v>
      </c>
      <c r="D76" s="11">
        <v>18720256092</v>
      </c>
      <c r="E76" s="167" t="s">
        <v>278</v>
      </c>
      <c r="F76" s="166" t="s">
        <v>28</v>
      </c>
      <c r="G76" s="9">
        <v>202103001</v>
      </c>
      <c r="H76" s="167" t="s">
        <v>279</v>
      </c>
      <c r="I76" s="167" t="s">
        <v>2857</v>
      </c>
      <c r="J76" s="167" t="s">
        <v>586</v>
      </c>
      <c r="K76" s="167" t="s">
        <v>170</v>
      </c>
      <c r="L76" s="167" t="s">
        <v>235</v>
      </c>
      <c r="M76" s="167" t="s">
        <v>586</v>
      </c>
      <c r="N76" s="167" t="s">
        <v>2858</v>
      </c>
      <c r="O76" s="12" t="str">
        <f>_xlfn.DISPIMG("ID_11ED1DBBC626428D97C7101FAED1566F",1)</f>
        <v>=DISPIMG("ID_11ED1DBBC626428D97C7101FAED1566F",1)</v>
      </c>
      <c r="P76" s="9" t="s">
        <v>2859</v>
      </c>
      <c r="Q76" s="11">
        <v>347</v>
      </c>
      <c r="R76" s="78" t="s">
        <v>4389</v>
      </c>
      <c r="S76" s="19" t="s">
        <v>39</v>
      </c>
      <c r="T76" s="9">
        <v>28</v>
      </c>
    </row>
    <row r="77" s="3" customFormat="1" customHeight="1" spans="1:20">
      <c r="A77" s="166" t="s">
        <v>2862</v>
      </c>
      <c r="B77" s="166" t="s">
        <v>165</v>
      </c>
      <c r="C77" s="166" t="s">
        <v>2863</v>
      </c>
      <c r="D77" s="11">
        <v>16623154389</v>
      </c>
      <c r="E77" s="167" t="s">
        <v>278</v>
      </c>
      <c r="F77" s="166" t="s">
        <v>28</v>
      </c>
      <c r="G77" s="9">
        <v>202103001</v>
      </c>
      <c r="H77" s="167" t="s">
        <v>585</v>
      </c>
      <c r="I77" s="167" t="s">
        <v>2865</v>
      </c>
      <c r="J77" s="167" t="s">
        <v>280</v>
      </c>
      <c r="K77" s="167" t="s">
        <v>170</v>
      </c>
      <c r="L77" s="167" t="s">
        <v>577</v>
      </c>
      <c r="M77" s="167" t="s">
        <v>2866</v>
      </c>
      <c r="N77" s="167" t="s">
        <v>2867</v>
      </c>
      <c r="O77" s="12" t="str">
        <f>_xlfn.DISPIMG("ID_2A4EA762BC734560A58995F31757BD03",1)</f>
        <v>=DISPIMG("ID_2A4EA762BC734560A58995F31757BD03",1)</v>
      </c>
      <c r="P77" s="9" t="s">
        <v>2868</v>
      </c>
      <c r="Q77" s="11">
        <v>348</v>
      </c>
      <c r="R77" s="78" t="s">
        <v>4390</v>
      </c>
      <c r="S77" s="19" t="s">
        <v>39</v>
      </c>
      <c r="T77" s="9">
        <v>3</v>
      </c>
    </row>
    <row r="78" s="3" customFormat="1" customHeight="1" spans="1:20">
      <c r="A78" s="166" t="s">
        <v>2887</v>
      </c>
      <c r="B78" s="166" t="s">
        <v>165</v>
      </c>
      <c r="C78" s="166" t="s">
        <v>2888</v>
      </c>
      <c r="D78" s="11">
        <v>15879243291</v>
      </c>
      <c r="E78" s="167" t="s">
        <v>278</v>
      </c>
      <c r="F78" s="166" t="s">
        <v>28</v>
      </c>
      <c r="G78" s="9">
        <v>202103001</v>
      </c>
      <c r="H78" s="167" t="s">
        <v>279</v>
      </c>
      <c r="I78" s="167" t="s">
        <v>2890</v>
      </c>
      <c r="J78" s="167" t="s">
        <v>280</v>
      </c>
      <c r="K78" s="167" t="s">
        <v>170</v>
      </c>
      <c r="L78" s="167" t="s">
        <v>261</v>
      </c>
      <c r="M78" s="167" t="s">
        <v>2462</v>
      </c>
      <c r="N78" s="167" t="s">
        <v>2891</v>
      </c>
      <c r="O78" s="12" t="str">
        <f>_xlfn.DISPIMG("ID_0C2059A8D9A84C38B1CE4EFB24FA358E",1)</f>
        <v>=DISPIMG("ID_0C2059A8D9A84C38B1CE4EFB24FA358E",1)</v>
      </c>
      <c r="P78" s="9" t="s">
        <v>2892</v>
      </c>
      <c r="Q78" s="11">
        <v>351</v>
      </c>
      <c r="R78" s="78" t="s">
        <v>4391</v>
      </c>
      <c r="S78" s="19" t="s">
        <v>39</v>
      </c>
      <c r="T78" s="9">
        <v>10</v>
      </c>
    </row>
    <row r="79" s="3" customFormat="1" customHeight="1" spans="1:20">
      <c r="A79" s="166" t="s">
        <v>2908</v>
      </c>
      <c r="B79" s="166" t="s">
        <v>165</v>
      </c>
      <c r="C79" s="166" t="s">
        <v>2909</v>
      </c>
      <c r="D79" s="11">
        <v>15180608812</v>
      </c>
      <c r="E79" s="167" t="s">
        <v>278</v>
      </c>
      <c r="F79" s="166" t="s">
        <v>28</v>
      </c>
      <c r="G79" s="9">
        <v>202103001</v>
      </c>
      <c r="H79" s="167" t="s">
        <v>279</v>
      </c>
      <c r="I79" s="167" t="s">
        <v>732</v>
      </c>
      <c r="J79" s="167" t="s">
        <v>280</v>
      </c>
      <c r="K79" s="167" t="s">
        <v>170</v>
      </c>
      <c r="L79" s="167" t="s">
        <v>216</v>
      </c>
      <c r="M79" s="167" t="s">
        <v>340</v>
      </c>
      <c r="N79" s="167" t="s">
        <v>2911</v>
      </c>
      <c r="O79" s="12" t="str">
        <f>_xlfn.DISPIMG("ID_2372D216C4084B2F90A1624776C89F44",1)</f>
        <v>=DISPIMG("ID_2372D216C4084B2F90A1624776C89F44",1)</v>
      </c>
      <c r="P79" s="9" t="s">
        <v>2912</v>
      </c>
      <c r="Q79" s="11">
        <v>354</v>
      </c>
      <c r="R79" s="78" t="s">
        <v>4392</v>
      </c>
      <c r="S79" s="19" t="s">
        <v>39</v>
      </c>
      <c r="T79" s="9">
        <v>15</v>
      </c>
    </row>
    <row r="80" s="3" customFormat="1" customHeight="1" spans="1:20">
      <c r="A80" s="166" t="s">
        <v>3015</v>
      </c>
      <c r="B80" s="166" t="s">
        <v>165</v>
      </c>
      <c r="C80" s="166" t="s">
        <v>3016</v>
      </c>
      <c r="D80" s="11">
        <v>15779237225</v>
      </c>
      <c r="E80" s="167" t="s">
        <v>278</v>
      </c>
      <c r="F80" s="166" t="s">
        <v>28</v>
      </c>
      <c r="G80" s="9">
        <v>202103001</v>
      </c>
      <c r="H80" s="167" t="s">
        <v>585</v>
      </c>
      <c r="I80" s="167" t="s">
        <v>3018</v>
      </c>
      <c r="J80" s="167" t="s">
        <v>586</v>
      </c>
      <c r="K80" s="167" t="s">
        <v>170</v>
      </c>
      <c r="L80" s="167" t="s">
        <v>1346</v>
      </c>
      <c r="M80" s="167" t="s">
        <v>340</v>
      </c>
      <c r="N80" s="167" t="s">
        <v>3019</v>
      </c>
      <c r="O80" s="12" t="str">
        <f>_xlfn.DISPIMG("ID_5D71807FA9B14D55B579AC354805CDFB",1)</f>
        <v>=DISPIMG("ID_5D71807FA9B14D55B579AC354805CDFB",1)</v>
      </c>
      <c r="P80" s="9" t="s">
        <v>3020</v>
      </c>
      <c r="Q80" s="11">
        <v>372</v>
      </c>
      <c r="R80" s="78" t="s">
        <v>4393</v>
      </c>
      <c r="S80" s="19" t="s">
        <v>39</v>
      </c>
      <c r="T80" s="9">
        <v>22</v>
      </c>
    </row>
    <row r="81" s="4" customFormat="1" customHeight="1" spans="1:20">
      <c r="A81" s="166" t="s">
        <v>3136</v>
      </c>
      <c r="B81" s="166" t="s">
        <v>165</v>
      </c>
      <c r="C81" s="166" t="s">
        <v>3137</v>
      </c>
      <c r="D81" s="11">
        <v>13207912916</v>
      </c>
      <c r="E81" s="167" t="s">
        <v>278</v>
      </c>
      <c r="F81" s="166" t="s">
        <v>28</v>
      </c>
      <c r="G81" s="9">
        <v>202103001</v>
      </c>
      <c r="H81" s="167" t="s">
        <v>157</v>
      </c>
      <c r="I81" s="167" t="s">
        <v>233</v>
      </c>
      <c r="J81" s="167" t="s">
        <v>280</v>
      </c>
      <c r="K81" s="167" t="s">
        <v>170</v>
      </c>
      <c r="L81" s="167" t="s">
        <v>199</v>
      </c>
      <c r="M81" s="167" t="s">
        <v>517</v>
      </c>
      <c r="N81" s="167" t="s">
        <v>3139</v>
      </c>
      <c r="O81" s="12" t="str">
        <f>_xlfn.DISPIMG("ID_5DD0D632EE9F43A696BEAC7A2AD60F9E",1)</f>
        <v>=DISPIMG("ID_5DD0D632EE9F43A696BEAC7A2AD60F9E",1)</v>
      </c>
      <c r="P81" s="9" t="s">
        <v>3140</v>
      </c>
      <c r="Q81" s="11">
        <v>388</v>
      </c>
      <c r="R81" s="78" t="s">
        <v>4394</v>
      </c>
      <c r="S81" s="19" t="s">
        <v>39</v>
      </c>
      <c r="T81" s="9">
        <v>27</v>
      </c>
    </row>
    <row r="82" s="3" customFormat="1" customHeight="1" spans="1:20">
      <c r="A82" s="166" t="s">
        <v>3143</v>
      </c>
      <c r="B82" s="166" t="s">
        <v>165</v>
      </c>
      <c r="C82" s="166" t="s">
        <v>3144</v>
      </c>
      <c r="D82" s="11">
        <v>18046721566</v>
      </c>
      <c r="E82" s="167" t="s">
        <v>278</v>
      </c>
      <c r="F82" s="166" t="s">
        <v>28</v>
      </c>
      <c r="G82" s="9">
        <v>202103001</v>
      </c>
      <c r="H82" s="167" t="s">
        <v>279</v>
      </c>
      <c r="I82" s="167" t="s">
        <v>367</v>
      </c>
      <c r="J82" s="167" t="s">
        <v>169</v>
      </c>
      <c r="K82" s="167" t="s">
        <v>170</v>
      </c>
      <c r="L82" s="167" t="s">
        <v>2685</v>
      </c>
      <c r="M82" s="167" t="s">
        <v>3146</v>
      </c>
      <c r="N82" s="167" t="s">
        <v>3147</v>
      </c>
      <c r="O82" s="12" t="str">
        <f>_xlfn.DISPIMG("ID_A94A4E6038894CA88A82184D1877D675",1)</f>
        <v>=DISPIMG("ID_A94A4E6038894CA88A82184D1877D675",1)</v>
      </c>
      <c r="P82" s="9" t="s">
        <v>3148</v>
      </c>
      <c r="Q82" s="11">
        <v>389</v>
      </c>
      <c r="R82" s="78" t="s">
        <v>4395</v>
      </c>
      <c r="S82" s="19" t="s">
        <v>39</v>
      </c>
      <c r="T82" s="9">
        <v>2</v>
      </c>
    </row>
    <row r="83" s="3" customFormat="1" customHeight="1" spans="1:20">
      <c r="A83" s="166" t="s">
        <v>1429</v>
      </c>
      <c r="B83" s="166" t="s">
        <v>165</v>
      </c>
      <c r="C83" s="166" t="s">
        <v>1430</v>
      </c>
      <c r="D83" s="11">
        <v>15779219115</v>
      </c>
      <c r="E83" s="167" t="s">
        <v>278</v>
      </c>
      <c r="F83" s="166" t="s">
        <v>28</v>
      </c>
      <c r="G83" s="9">
        <v>202103001</v>
      </c>
      <c r="H83" s="167" t="s">
        <v>279</v>
      </c>
      <c r="I83" s="167" t="s">
        <v>1432</v>
      </c>
      <c r="J83" s="167" t="s">
        <v>1433</v>
      </c>
      <c r="K83" s="167" t="s">
        <v>170</v>
      </c>
      <c r="L83" s="167" t="s">
        <v>261</v>
      </c>
      <c r="M83" s="167" t="s">
        <v>1013</v>
      </c>
      <c r="N83" s="167" t="s">
        <v>1435</v>
      </c>
      <c r="O83" s="12" t="str">
        <f>_xlfn.DISPIMG("ID_2AA0C0867EDA4E25AC1B455524935955",1)</f>
        <v>=DISPIMG("ID_2AA0C0867EDA4E25AC1B455524935955",1)</v>
      </c>
      <c r="P83" s="9" t="s">
        <v>1436</v>
      </c>
      <c r="Q83" s="11">
        <v>391</v>
      </c>
      <c r="R83" s="78" t="s">
        <v>4396</v>
      </c>
      <c r="S83" s="19" t="s">
        <v>39</v>
      </c>
      <c r="T83" s="9">
        <v>11</v>
      </c>
    </row>
    <row r="84" s="3" customFormat="1" customHeight="1" spans="1:20">
      <c r="A84" s="166" t="s">
        <v>3172</v>
      </c>
      <c r="B84" s="166" t="s">
        <v>165</v>
      </c>
      <c r="C84" s="166" t="s">
        <v>3173</v>
      </c>
      <c r="D84" s="11">
        <v>18970280941</v>
      </c>
      <c r="E84" s="167" t="s">
        <v>278</v>
      </c>
      <c r="F84" s="166" t="s">
        <v>28</v>
      </c>
      <c r="G84" s="9">
        <v>202103001</v>
      </c>
      <c r="H84" s="167" t="s">
        <v>585</v>
      </c>
      <c r="I84" s="167" t="s">
        <v>3174</v>
      </c>
      <c r="J84" s="167" t="s">
        <v>586</v>
      </c>
      <c r="K84" s="167" t="s">
        <v>170</v>
      </c>
      <c r="L84" s="167" t="s">
        <v>3039</v>
      </c>
      <c r="M84" s="167" t="s">
        <v>340</v>
      </c>
      <c r="N84" s="167" t="s">
        <v>3175</v>
      </c>
      <c r="O84" s="12" t="str">
        <f>_xlfn.DISPIMG("ID_0094E289D6FF483F911D447623CD2A7B",1)</f>
        <v>=DISPIMG("ID_0094E289D6FF483F911D447623CD2A7B",1)</v>
      </c>
      <c r="P84" s="9" t="s">
        <v>3176</v>
      </c>
      <c r="Q84" s="11">
        <v>394</v>
      </c>
      <c r="R84" s="78" t="s">
        <v>4397</v>
      </c>
      <c r="S84" s="19" t="s">
        <v>39</v>
      </c>
      <c r="T84" s="9">
        <v>14</v>
      </c>
    </row>
    <row r="85" s="3" customFormat="1" customHeight="1" spans="1:20">
      <c r="A85" s="166" t="s">
        <v>3234</v>
      </c>
      <c r="B85" s="166" t="s">
        <v>165</v>
      </c>
      <c r="C85" s="166" t="s">
        <v>3235</v>
      </c>
      <c r="D85" s="11">
        <v>15083801983</v>
      </c>
      <c r="E85" s="167" t="s">
        <v>278</v>
      </c>
      <c r="F85" s="166" t="s">
        <v>28</v>
      </c>
      <c r="G85" s="9">
        <v>202103001</v>
      </c>
      <c r="H85" s="167" t="s">
        <v>279</v>
      </c>
      <c r="I85" s="167" t="s">
        <v>339</v>
      </c>
      <c r="J85" s="167" t="s">
        <v>960</v>
      </c>
      <c r="K85" s="167" t="s">
        <v>170</v>
      </c>
      <c r="L85" s="167" t="s">
        <v>2935</v>
      </c>
      <c r="M85" s="167" t="s">
        <v>376</v>
      </c>
      <c r="N85" s="167" t="s">
        <v>3237</v>
      </c>
      <c r="O85" s="12" t="str">
        <f>_xlfn.DISPIMG("ID_6E77F2441F654B1DACC44E4FDEC025B1",1)</f>
        <v>=DISPIMG("ID_6E77F2441F654B1DACC44E4FDEC025B1",1)</v>
      </c>
      <c r="P85" s="9" t="s">
        <v>3238</v>
      </c>
      <c r="Q85" s="11">
        <v>403</v>
      </c>
      <c r="R85" s="78" t="s">
        <v>4398</v>
      </c>
      <c r="S85" s="19" t="s">
        <v>39</v>
      </c>
      <c r="T85" s="9">
        <v>23</v>
      </c>
    </row>
    <row r="86" s="3" customFormat="1" customHeight="1" spans="1:20">
      <c r="A86" s="166" t="s">
        <v>3293</v>
      </c>
      <c r="B86" s="166" t="s">
        <v>165</v>
      </c>
      <c r="C86" s="166" t="s">
        <v>3294</v>
      </c>
      <c r="D86" s="11">
        <v>18170265828</v>
      </c>
      <c r="E86" s="167" t="s">
        <v>278</v>
      </c>
      <c r="F86" s="166" t="s">
        <v>28</v>
      </c>
      <c r="G86" s="9">
        <v>202103001</v>
      </c>
      <c r="H86" s="167" t="s">
        <v>157</v>
      </c>
      <c r="I86" s="167" t="s">
        <v>233</v>
      </c>
      <c r="J86" s="167" t="s">
        <v>280</v>
      </c>
      <c r="K86" s="167" t="s">
        <v>170</v>
      </c>
      <c r="L86" s="167" t="s">
        <v>3061</v>
      </c>
      <c r="M86" s="167" t="s">
        <v>3296</v>
      </c>
      <c r="N86" s="167" t="s">
        <v>3297</v>
      </c>
      <c r="O86" s="12" t="str">
        <f>_xlfn.DISPIMG("ID_1A8F20F988244300AFCAF70BDC1F337C",1)</f>
        <v>=DISPIMG("ID_1A8F20F988244300AFCAF70BDC1F337C",1)</v>
      </c>
      <c r="P86" s="9" t="s">
        <v>3298</v>
      </c>
      <c r="Q86" s="11">
        <v>413</v>
      </c>
      <c r="R86" s="78" t="s">
        <v>4399</v>
      </c>
      <c r="S86" s="19" t="s">
        <v>39</v>
      </c>
      <c r="T86" s="9">
        <v>26</v>
      </c>
    </row>
    <row r="87" s="3" customFormat="1" customHeight="1" spans="1:20">
      <c r="A87" s="166" t="s">
        <v>3307</v>
      </c>
      <c r="B87" s="166" t="s">
        <v>165</v>
      </c>
      <c r="C87" s="166" t="s">
        <v>3308</v>
      </c>
      <c r="D87" s="11">
        <v>15570243314</v>
      </c>
      <c r="E87" s="167" t="s">
        <v>278</v>
      </c>
      <c r="F87" s="166" t="s">
        <v>28</v>
      </c>
      <c r="G87" s="9">
        <v>202103001</v>
      </c>
      <c r="H87" s="167" t="s">
        <v>279</v>
      </c>
      <c r="I87" s="167" t="s">
        <v>3309</v>
      </c>
      <c r="J87" s="167" t="s">
        <v>2326</v>
      </c>
      <c r="K87" s="167" t="s">
        <v>170</v>
      </c>
      <c r="L87" s="167" t="s">
        <v>396</v>
      </c>
      <c r="M87" s="167" t="s">
        <v>517</v>
      </c>
      <c r="N87" s="167" t="s">
        <v>3310</v>
      </c>
      <c r="O87" s="12" t="str">
        <f>_xlfn.DISPIMG("ID_354EF343CD5243F482E0D228CE19598F",1)</f>
        <v>=DISPIMG("ID_354EF343CD5243F482E0D228CE19598F",1)</v>
      </c>
      <c r="P87" s="9" t="s">
        <v>3311</v>
      </c>
      <c r="Q87" s="11">
        <v>415</v>
      </c>
      <c r="R87" s="78" t="s">
        <v>4400</v>
      </c>
      <c r="S87" s="19" t="s">
        <v>39</v>
      </c>
      <c r="T87" s="9">
        <v>1</v>
      </c>
    </row>
    <row r="88" s="3" customFormat="1" customHeight="1" spans="1:20">
      <c r="A88" s="166" t="s">
        <v>3320</v>
      </c>
      <c r="B88" s="166" t="s">
        <v>165</v>
      </c>
      <c r="C88" s="166" t="s">
        <v>3321</v>
      </c>
      <c r="D88" s="11">
        <v>13979205561</v>
      </c>
      <c r="E88" s="167" t="s">
        <v>278</v>
      </c>
      <c r="F88" s="166" t="s">
        <v>28</v>
      </c>
      <c r="G88" s="9">
        <v>202103001</v>
      </c>
      <c r="H88" s="167" t="s">
        <v>585</v>
      </c>
      <c r="I88" s="167" t="s">
        <v>168</v>
      </c>
      <c r="J88" s="167" t="s">
        <v>280</v>
      </c>
      <c r="K88" s="167" t="s">
        <v>170</v>
      </c>
      <c r="L88" s="167" t="s">
        <v>2047</v>
      </c>
      <c r="M88" s="167" t="s">
        <v>340</v>
      </c>
      <c r="N88" s="167" t="s">
        <v>3322</v>
      </c>
      <c r="O88" s="12" t="str">
        <f>_xlfn.DISPIMG("ID_98A98A82D5AD4E03ADF0E8FE54980276",1)</f>
        <v>=DISPIMG("ID_98A98A82D5AD4E03ADF0E8FE54980276",1)</v>
      </c>
      <c r="P88" s="9" t="s">
        <v>3323</v>
      </c>
      <c r="Q88" s="11">
        <v>417</v>
      </c>
      <c r="R88" s="78" t="s">
        <v>4401</v>
      </c>
      <c r="S88" s="19" t="s">
        <v>39</v>
      </c>
      <c r="T88" s="9">
        <v>12</v>
      </c>
    </row>
    <row r="89" s="4" customFormat="1" customHeight="1" spans="1:20">
      <c r="A89" s="166" t="s">
        <v>3326</v>
      </c>
      <c r="B89" s="166" t="s">
        <v>165</v>
      </c>
      <c r="C89" s="166" t="s">
        <v>3327</v>
      </c>
      <c r="D89" s="11">
        <v>15979970756</v>
      </c>
      <c r="E89" s="167" t="s">
        <v>278</v>
      </c>
      <c r="F89" s="166" t="s">
        <v>28</v>
      </c>
      <c r="G89" s="9">
        <v>202103001</v>
      </c>
      <c r="H89" s="167" t="s">
        <v>279</v>
      </c>
      <c r="I89" s="167" t="s">
        <v>3329</v>
      </c>
      <c r="J89" s="167" t="s">
        <v>280</v>
      </c>
      <c r="K89" s="167" t="s">
        <v>170</v>
      </c>
      <c r="L89" s="167" t="s">
        <v>368</v>
      </c>
      <c r="M89" s="167" t="s">
        <v>376</v>
      </c>
      <c r="N89" s="167" t="s">
        <v>3330</v>
      </c>
      <c r="O89" s="12" t="str">
        <f>_xlfn.DISPIMG("ID_35E61F5727C7442282FC0637F60D57FC",1)</f>
        <v>=DISPIMG("ID_35E61F5727C7442282FC0637F60D57FC",1)</v>
      </c>
      <c r="P89" s="9" t="s">
        <v>3331</v>
      </c>
      <c r="Q89" s="11">
        <v>418</v>
      </c>
      <c r="R89" s="78" t="s">
        <v>4402</v>
      </c>
      <c r="S89" s="19" t="s">
        <v>39</v>
      </c>
      <c r="T89" s="9">
        <v>13</v>
      </c>
    </row>
    <row r="90" s="3" customFormat="1" customHeight="1" spans="1:20">
      <c r="A90" s="166" t="s">
        <v>2682</v>
      </c>
      <c r="B90" s="166" t="s">
        <v>165</v>
      </c>
      <c r="C90" s="166" t="s">
        <v>2683</v>
      </c>
      <c r="D90" s="11">
        <v>18079206353</v>
      </c>
      <c r="E90" s="167" t="s">
        <v>278</v>
      </c>
      <c r="F90" s="166" t="s">
        <v>28</v>
      </c>
      <c r="G90" s="9">
        <v>202103001</v>
      </c>
      <c r="H90" s="167" t="s">
        <v>585</v>
      </c>
      <c r="I90" s="167" t="s">
        <v>367</v>
      </c>
      <c r="J90" s="167" t="s">
        <v>586</v>
      </c>
      <c r="K90" s="167" t="s">
        <v>170</v>
      </c>
      <c r="L90" s="167" t="s">
        <v>2685</v>
      </c>
      <c r="M90" s="167" t="s">
        <v>2686</v>
      </c>
      <c r="N90" s="167" t="s">
        <v>2687</v>
      </c>
      <c r="O90" s="12" t="str">
        <f>_xlfn.DISPIMG("ID_5B48971EF1B54F2AA5263A5C67E87781",1)</f>
        <v>=DISPIMG("ID_5B48971EF1B54F2AA5263A5C67E87781",1)</v>
      </c>
      <c r="P90" s="9" t="s">
        <v>2688</v>
      </c>
      <c r="Q90" s="11">
        <v>419</v>
      </c>
      <c r="R90" s="78" t="s">
        <v>4403</v>
      </c>
      <c r="S90" s="19" t="s">
        <v>39</v>
      </c>
      <c r="T90" s="9">
        <v>24</v>
      </c>
    </row>
    <row r="91" s="3" customFormat="1" customHeight="1" spans="1:20">
      <c r="A91" s="166" t="s">
        <v>3342</v>
      </c>
      <c r="B91" s="166" t="s">
        <v>165</v>
      </c>
      <c r="C91" s="166" t="s">
        <v>3343</v>
      </c>
      <c r="D91" s="11">
        <v>18320666217</v>
      </c>
      <c r="E91" s="167" t="s">
        <v>278</v>
      </c>
      <c r="F91" s="166" t="s">
        <v>28</v>
      </c>
      <c r="G91" s="9">
        <v>202103001</v>
      </c>
      <c r="H91" s="167" t="s">
        <v>157</v>
      </c>
      <c r="I91" s="167" t="s">
        <v>3345</v>
      </c>
      <c r="J91" s="167" t="s">
        <v>280</v>
      </c>
      <c r="K91" s="167" t="s">
        <v>170</v>
      </c>
      <c r="L91" s="167" t="s">
        <v>235</v>
      </c>
      <c r="M91" s="167" t="s">
        <v>3346</v>
      </c>
      <c r="N91" s="167" t="s">
        <v>3347</v>
      </c>
      <c r="O91" s="12" t="str">
        <f>_xlfn.DISPIMG("ID_E18EEBC59F6A4BD3BA9929CD3773910D",1)</f>
        <v>=DISPIMG("ID_E18EEBC59F6A4BD3BA9929CD3773910D",1)</v>
      </c>
      <c r="P91" s="9" t="s">
        <v>3348</v>
      </c>
      <c r="Q91" s="11">
        <v>421</v>
      </c>
      <c r="R91" s="78" t="s">
        <v>4404</v>
      </c>
      <c r="S91" s="19" t="s">
        <v>39</v>
      </c>
      <c r="T91" s="9">
        <v>25</v>
      </c>
    </row>
    <row r="92" s="98" customFormat="1" customHeight="1" spans="1:20">
      <c r="A92" s="170" t="s">
        <v>3393</v>
      </c>
      <c r="B92" s="170" t="s">
        <v>165</v>
      </c>
      <c r="C92" s="170" t="s">
        <v>3394</v>
      </c>
      <c r="D92" s="21">
        <v>13755222258</v>
      </c>
      <c r="E92" s="163" t="s">
        <v>278</v>
      </c>
      <c r="F92" s="170" t="s">
        <v>28</v>
      </c>
      <c r="G92" s="99">
        <v>202101003</v>
      </c>
      <c r="H92" s="163" t="s">
        <v>585</v>
      </c>
      <c r="I92" s="163" t="s">
        <v>3396</v>
      </c>
      <c r="J92" s="163" t="s">
        <v>586</v>
      </c>
      <c r="K92" s="163" t="s">
        <v>170</v>
      </c>
      <c r="L92" s="163" t="s">
        <v>3397</v>
      </c>
      <c r="M92" s="163" t="s">
        <v>3398</v>
      </c>
      <c r="N92" s="163" t="s">
        <v>3399</v>
      </c>
      <c r="O92" s="100" t="str">
        <f>_xlfn.DISPIMG("ID_7B9E4020F2C94CC099858598DA5339A8",1)</f>
        <v>=DISPIMG("ID_7B9E4020F2C94CC099858598DA5339A8",1)</v>
      </c>
      <c r="P92" s="99" t="s">
        <v>3400</v>
      </c>
      <c r="Q92" s="21">
        <v>428</v>
      </c>
      <c r="R92" s="101" t="s">
        <v>4405</v>
      </c>
      <c r="S92" s="102" t="s">
        <v>40</v>
      </c>
      <c r="T92" s="99">
        <v>6</v>
      </c>
    </row>
    <row r="93" s="4" customFormat="1" customHeight="1" spans="1:20">
      <c r="A93" s="166" t="s">
        <v>3403</v>
      </c>
      <c r="B93" s="166" t="s">
        <v>165</v>
      </c>
      <c r="C93" s="166" t="s">
        <v>3404</v>
      </c>
      <c r="D93" s="11">
        <v>18000721221</v>
      </c>
      <c r="E93" s="167" t="s">
        <v>278</v>
      </c>
      <c r="F93" s="166" t="s">
        <v>28</v>
      </c>
      <c r="G93" s="9">
        <v>202103001</v>
      </c>
      <c r="H93" s="167" t="s">
        <v>279</v>
      </c>
      <c r="I93" s="167" t="s">
        <v>168</v>
      </c>
      <c r="J93" s="167" t="s">
        <v>280</v>
      </c>
      <c r="K93" s="167" t="s">
        <v>170</v>
      </c>
      <c r="L93" s="167" t="s">
        <v>516</v>
      </c>
      <c r="M93" s="167" t="s">
        <v>280</v>
      </c>
      <c r="N93" s="167" t="s">
        <v>3405</v>
      </c>
      <c r="O93" s="12" t="str">
        <f>_xlfn.DISPIMG("ID_7EFAC0679406489199323C08AE652767",1)</f>
        <v>=DISPIMG("ID_7EFAC0679406489199323C08AE652767",1)</v>
      </c>
      <c r="P93" s="9" t="s">
        <v>3406</v>
      </c>
      <c r="Q93" s="20">
        <v>429</v>
      </c>
      <c r="R93" s="78" t="s">
        <v>4406</v>
      </c>
      <c r="S93" s="19" t="s">
        <v>40</v>
      </c>
      <c r="T93" s="9">
        <v>7</v>
      </c>
    </row>
    <row r="94" s="3" customFormat="1" customHeight="1" spans="1:20">
      <c r="A94" s="166" t="s">
        <v>3429</v>
      </c>
      <c r="B94" s="166" t="s">
        <v>165</v>
      </c>
      <c r="C94" s="166" t="s">
        <v>3430</v>
      </c>
      <c r="D94" s="11">
        <v>18279285118</v>
      </c>
      <c r="E94" s="167" t="s">
        <v>278</v>
      </c>
      <c r="F94" s="166" t="s">
        <v>28</v>
      </c>
      <c r="G94" s="9">
        <v>202103001</v>
      </c>
      <c r="H94" s="167" t="s">
        <v>585</v>
      </c>
      <c r="I94" s="167" t="s">
        <v>3018</v>
      </c>
      <c r="J94" s="167" t="s">
        <v>586</v>
      </c>
      <c r="K94" s="167" t="s">
        <v>170</v>
      </c>
      <c r="L94" s="167" t="s">
        <v>3431</v>
      </c>
      <c r="M94" s="167" t="s">
        <v>586</v>
      </c>
      <c r="N94" s="167" t="s">
        <v>3432</v>
      </c>
      <c r="O94" s="12" t="str">
        <f>_xlfn.DISPIMG("ID_E1216B8DC47A44DFAB6AC1BAFDBCD62B",1)</f>
        <v>=DISPIMG("ID_E1216B8DC47A44DFAB6AC1BAFDBCD62B",1)</v>
      </c>
      <c r="P94" s="9" t="s">
        <v>3433</v>
      </c>
      <c r="Q94" s="20">
        <v>433</v>
      </c>
      <c r="R94" s="78" t="s">
        <v>4411</v>
      </c>
      <c r="S94" s="19" t="s">
        <v>40</v>
      </c>
      <c r="T94" s="9">
        <v>5</v>
      </c>
    </row>
    <row r="95" s="3" customFormat="1" customHeight="1" spans="1:20">
      <c r="A95" s="166" t="s">
        <v>3443</v>
      </c>
      <c r="B95" s="166" t="s">
        <v>165</v>
      </c>
      <c r="C95" s="166" t="s">
        <v>3444</v>
      </c>
      <c r="D95" s="11">
        <v>18607912074</v>
      </c>
      <c r="E95" s="167" t="s">
        <v>278</v>
      </c>
      <c r="F95" s="166" t="s">
        <v>28</v>
      </c>
      <c r="G95" s="9">
        <v>202103001</v>
      </c>
      <c r="H95" s="167" t="s">
        <v>279</v>
      </c>
      <c r="I95" s="167" t="s">
        <v>515</v>
      </c>
      <c r="J95" s="167" t="s">
        <v>280</v>
      </c>
      <c r="K95" s="167" t="s">
        <v>170</v>
      </c>
      <c r="L95" s="167" t="s">
        <v>224</v>
      </c>
      <c r="M95" s="167" t="s">
        <v>517</v>
      </c>
      <c r="N95" s="167" t="s">
        <v>3446</v>
      </c>
      <c r="O95" s="12" t="str">
        <f>_xlfn.DISPIMG("ID_BD52B8A2C60C41F6B5F6C165401F5CB1",1)</f>
        <v>=DISPIMG("ID_BD52B8A2C60C41F6B5F6C165401F5CB1",1)</v>
      </c>
      <c r="P95" s="9" t="s">
        <v>3447</v>
      </c>
      <c r="Q95" s="20">
        <v>435</v>
      </c>
      <c r="R95" s="78" t="s">
        <v>4412</v>
      </c>
      <c r="S95" s="19" t="s">
        <v>40</v>
      </c>
      <c r="T95" s="9">
        <v>8</v>
      </c>
    </row>
    <row r="96" s="3" customFormat="1" customHeight="1" spans="1:20">
      <c r="A96" s="166" t="s">
        <v>3488</v>
      </c>
      <c r="B96" s="166" t="s">
        <v>165</v>
      </c>
      <c r="C96" s="166" t="s">
        <v>3489</v>
      </c>
      <c r="D96" s="11">
        <v>13755200519</v>
      </c>
      <c r="E96" s="167" t="s">
        <v>278</v>
      </c>
      <c r="F96" s="166" t="s">
        <v>28</v>
      </c>
      <c r="G96" s="9">
        <v>202103001</v>
      </c>
      <c r="H96" s="167" t="s">
        <v>279</v>
      </c>
      <c r="I96" s="167" t="s">
        <v>3490</v>
      </c>
      <c r="J96" s="167" t="s">
        <v>404</v>
      </c>
      <c r="K96" s="167" t="s">
        <v>160</v>
      </c>
      <c r="L96" s="167" t="s">
        <v>1346</v>
      </c>
      <c r="M96" s="167" t="s">
        <v>517</v>
      </c>
      <c r="N96" s="167" t="s">
        <v>3491</v>
      </c>
      <c r="O96" s="12" t="str">
        <f>_xlfn.DISPIMG("ID_6A8C51914B494C9CBD5F245F39A2E519",1)</f>
        <v>=DISPIMG("ID_6A8C51914B494C9CBD5F245F39A2E519",1)</v>
      </c>
      <c r="P96" s="9" t="s">
        <v>3492</v>
      </c>
      <c r="Q96" s="11">
        <v>441</v>
      </c>
      <c r="R96" s="78" t="s">
        <v>4415</v>
      </c>
      <c r="S96" s="19" t="s">
        <v>40</v>
      </c>
      <c r="T96" s="9">
        <v>4</v>
      </c>
    </row>
    <row r="97" s="3" customFormat="1" customHeight="1" spans="1:20">
      <c r="A97" s="166" t="s">
        <v>3608</v>
      </c>
      <c r="B97" s="166" t="s">
        <v>165</v>
      </c>
      <c r="C97" s="166" t="s">
        <v>3609</v>
      </c>
      <c r="D97" s="11">
        <v>18279283769</v>
      </c>
      <c r="E97" s="167" t="s">
        <v>278</v>
      </c>
      <c r="F97" s="166" t="s">
        <v>28</v>
      </c>
      <c r="G97" s="9">
        <v>202103001</v>
      </c>
      <c r="H97" s="167" t="s">
        <v>585</v>
      </c>
      <c r="I97" s="167" t="s">
        <v>3174</v>
      </c>
      <c r="J97" s="167" t="s">
        <v>280</v>
      </c>
      <c r="K97" s="167" t="s">
        <v>170</v>
      </c>
      <c r="L97" s="167" t="s">
        <v>3039</v>
      </c>
      <c r="M97" s="167" t="s">
        <v>2686</v>
      </c>
      <c r="N97" s="167" t="s">
        <v>3611</v>
      </c>
      <c r="O97" s="12" t="str">
        <f>_xlfn.DISPIMG("ID_39BF594A37E3442B8E4FFF60E8863D45",1)</f>
        <v>=DISPIMG("ID_39BF594A37E3442B8E4FFF60E8863D45",1)</v>
      </c>
      <c r="P97" s="9" t="s">
        <v>3612</v>
      </c>
      <c r="Q97" s="11">
        <v>459</v>
      </c>
      <c r="R97" s="78" t="s">
        <v>4416</v>
      </c>
      <c r="S97" s="19" t="s">
        <v>40</v>
      </c>
      <c r="T97" s="9">
        <v>9</v>
      </c>
    </row>
    <row r="98" s="3" customFormat="1" customHeight="1" spans="1:20">
      <c r="A98" s="166" t="s">
        <v>3676</v>
      </c>
      <c r="B98" s="166" t="s">
        <v>165</v>
      </c>
      <c r="C98" s="166" t="s">
        <v>3677</v>
      </c>
      <c r="D98" s="11">
        <v>18296221374</v>
      </c>
      <c r="E98" s="167" t="s">
        <v>278</v>
      </c>
      <c r="F98" s="166" t="s">
        <v>28</v>
      </c>
      <c r="G98" s="9">
        <v>202103001</v>
      </c>
      <c r="H98" s="167" t="s">
        <v>585</v>
      </c>
      <c r="I98" s="167" t="s">
        <v>3679</v>
      </c>
      <c r="J98" s="167" t="s">
        <v>586</v>
      </c>
      <c r="K98" s="167" t="s">
        <v>170</v>
      </c>
      <c r="L98" s="167" t="s">
        <v>1089</v>
      </c>
      <c r="M98" s="167" t="s">
        <v>3680</v>
      </c>
      <c r="N98" s="167" t="s">
        <v>3681</v>
      </c>
      <c r="O98" s="12" t="str">
        <f>_xlfn.DISPIMG("ID_B6A72806890947DEB45EA914FD393A84",1)</f>
        <v>=DISPIMG("ID_B6A72806890947DEB45EA914FD393A84",1)</v>
      </c>
      <c r="P98" s="9" t="s">
        <v>3682</v>
      </c>
      <c r="Q98" s="11">
        <v>468</v>
      </c>
      <c r="R98" s="78" t="s">
        <v>4418</v>
      </c>
      <c r="S98" s="19" t="s">
        <v>40</v>
      </c>
      <c r="T98" s="9">
        <v>3</v>
      </c>
    </row>
    <row r="99" s="3" customFormat="1" customHeight="1" spans="1:20">
      <c r="A99" s="166" t="s">
        <v>3712</v>
      </c>
      <c r="B99" s="166" t="s">
        <v>165</v>
      </c>
      <c r="C99" s="166" t="s">
        <v>3713</v>
      </c>
      <c r="D99" s="11">
        <v>18720196269</v>
      </c>
      <c r="E99" s="167" t="s">
        <v>278</v>
      </c>
      <c r="F99" s="166" t="s">
        <v>28</v>
      </c>
      <c r="G99" s="9">
        <v>202103001</v>
      </c>
      <c r="H99" s="167" t="s">
        <v>585</v>
      </c>
      <c r="I99" s="167" t="s">
        <v>367</v>
      </c>
      <c r="J99" s="167" t="s">
        <v>2686</v>
      </c>
      <c r="K99" s="167" t="s">
        <v>160</v>
      </c>
      <c r="L99" s="167" t="s">
        <v>3039</v>
      </c>
      <c r="M99" s="167" t="s">
        <v>3715</v>
      </c>
      <c r="N99" s="167" t="s">
        <v>3716</v>
      </c>
      <c r="O99" s="12" t="str">
        <f>_xlfn.DISPIMG("ID_059DAEED1F3E457C93C0A1610046F2A5",1)</f>
        <v>=DISPIMG("ID_059DAEED1F3E457C93C0A1610046F2A5",1)</v>
      </c>
      <c r="P99" s="9" t="s">
        <v>3717</v>
      </c>
      <c r="Q99" s="11">
        <v>473</v>
      </c>
      <c r="R99" s="78" t="s">
        <v>4419</v>
      </c>
      <c r="S99" s="19" t="s">
        <v>40</v>
      </c>
      <c r="T99" s="9">
        <v>10</v>
      </c>
    </row>
    <row r="100" s="3" customFormat="1" customHeight="1" spans="1:20">
      <c r="A100" s="166" t="s">
        <v>3720</v>
      </c>
      <c r="B100" s="166" t="s">
        <v>165</v>
      </c>
      <c r="C100" s="166" t="s">
        <v>3721</v>
      </c>
      <c r="D100" s="11">
        <v>15970603423</v>
      </c>
      <c r="E100" s="167" t="s">
        <v>278</v>
      </c>
      <c r="F100" s="166" t="s">
        <v>28</v>
      </c>
      <c r="G100" s="9">
        <v>202103001</v>
      </c>
      <c r="H100" s="167" t="s">
        <v>157</v>
      </c>
      <c r="I100" s="167" t="s">
        <v>178</v>
      </c>
      <c r="J100" s="167" t="s">
        <v>960</v>
      </c>
      <c r="K100" s="167" t="s">
        <v>170</v>
      </c>
      <c r="L100" s="167" t="s">
        <v>180</v>
      </c>
      <c r="M100" s="167" t="s">
        <v>340</v>
      </c>
      <c r="N100" s="167" t="s">
        <v>3723</v>
      </c>
      <c r="O100" s="12" t="str">
        <f>_xlfn.DISPIMG("ID_38A4C94876C044A5A6F3E884E1CD36B4",1)</f>
        <v>=DISPIMG("ID_38A4C94876C044A5A6F3E884E1CD36B4",1)</v>
      </c>
      <c r="P100" s="9" t="s">
        <v>3724</v>
      </c>
      <c r="Q100" s="11">
        <v>474</v>
      </c>
      <c r="R100" s="78" t="s">
        <v>4421</v>
      </c>
      <c r="S100" s="19" t="s">
        <v>40</v>
      </c>
      <c r="T100" s="9">
        <v>2</v>
      </c>
    </row>
    <row r="101" s="3" customFormat="1" customHeight="1" spans="1:20">
      <c r="A101" s="166" t="s">
        <v>4237</v>
      </c>
      <c r="B101" s="166" t="s">
        <v>165</v>
      </c>
      <c r="C101" s="166" t="s">
        <v>4238</v>
      </c>
      <c r="D101" s="11">
        <v>15170274665</v>
      </c>
      <c r="E101" s="167" t="s">
        <v>278</v>
      </c>
      <c r="F101" s="166" t="s">
        <v>28</v>
      </c>
      <c r="G101" s="9">
        <v>202103001</v>
      </c>
      <c r="H101" s="167" t="s">
        <v>585</v>
      </c>
      <c r="I101" s="167" t="s">
        <v>367</v>
      </c>
      <c r="J101" s="167" t="s">
        <v>280</v>
      </c>
      <c r="K101" s="167" t="s">
        <v>170</v>
      </c>
      <c r="L101" s="167" t="s">
        <v>368</v>
      </c>
      <c r="M101" s="167" t="s">
        <v>376</v>
      </c>
      <c r="N101" s="167" t="s">
        <v>4240</v>
      </c>
      <c r="O101" s="12" t="str">
        <f>_xlfn.DISPIMG("ID_7116E6EB313E4CDBB6AEC2C13A4D6810",1)</f>
        <v>=DISPIMG("ID_7116E6EB313E4CDBB6AEC2C13A4D6810",1)</v>
      </c>
      <c r="P101" s="9" t="s">
        <v>4241</v>
      </c>
      <c r="Q101" s="11">
        <v>542</v>
      </c>
      <c r="R101" s="78" t="s">
        <v>4422</v>
      </c>
      <c r="S101" s="19" t="s">
        <v>40</v>
      </c>
      <c r="T101" s="9">
        <v>11</v>
      </c>
    </row>
    <row r="102" s="3" customFormat="1" customHeight="1" spans="1:20">
      <c r="A102" s="166" t="s">
        <v>4259</v>
      </c>
      <c r="B102" s="166" t="s">
        <v>165</v>
      </c>
      <c r="C102" s="166" t="s">
        <v>4260</v>
      </c>
      <c r="D102" s="11">
        <v>15270817874</v>
      </c>
      <c r="E102" s="167" t="s">
        <v>278</v>
      </c>
      <c r="F102" s="166" t="s">
        <v>28</v>
      </c>
      <c r="G102" s="9">
        <v>202103001</v>
      </c>
      <c r="H102" s="167" t="s">
        <v>279</v>
      </c>
      <c r="I102" s="167" t="s">
        <v>339</v>
      </c>
      <c r="J102" s="167" t="s">
        <v>280</v>
      </c>
      <c r="K102" s="167" t="s">
        <v>170</v>
      </c>
      <c r="L102" s="167" t="s">
        <v>368</v>
      </c>
      <c r="M102" s="167" t="s">
        <v>4262</v>
      </c>
      <c r="N102" s="167" t="s">
        <v>4263</v>
      </c>
      <c r="O102" s="12" t="str">
        <f>_xlfn.DISPIMG("ID_7ED866D6DEDB4511B970FE38712BEDF5",1)</f>
        <v>=DISPIMG("ID_7ED866D6DEDB4511B970FE38712BEDF5",1)</v>
      </c>
      <c r="P102" s="9" t="s">
        <v>4264</v>
      </c>
      <c r="Q102" s="20">
        <v>545</v>
      </c>
      <c r="R102" s="78" t="s">
        <v>4424</v>
      </c>
      <c r="S102" s="19" t="s">
        <v>40</v>
      </c>
      <c r="T102" s="9">
        <v>1</v>
      </c>
    </row>
    <row r="103" s="98" customFormat="1" customHeight="1" spans="1:20">
      <c r="A103" s="170" t="s">
        <v>4152</v>
      </c>
      <c r="B103" s="170" t="s">
        <v>165</v>
      </c>
      <c r="C103" s="170" t="s">
        <v>4153</v>
      </c>
      <c r="D103" s="21">
        <v>13979229512</v>
      </c>
      <c r="E103" s="163" t="s">
        <v>156</v>
      </c>
      <c r="F103" s="170" t="s">
        <v>24</v>
      </c>
      <c r="G103" s="99">
        <v>202102010</v>
      </c>
      <c r="H103" s="163" t="s">
        <v>157</v>
      </c>
      <c r="I103" s="163" t="s">
        <v>4155</v>
      </c>
      <c r="J103" s="163" t="s">
        <v>445</v>
      </c>
      <c r="K103" s="163" t="s">
        <v>170</v>
      </c>
      <c r="L103" s="163" t="s">
        <v>199</v>
      </c>
      <c r="M103" s="163" t="s">
        <v>4156</v>
      </c>
      <c r="N103" s="163" t="s">
        <v>4157</v>
      </c>
      <c r="O103" s="100" t="str">
        <f>_xlfn.DISPIMG("ID_7BA4E5E144144DF79E326679F08F6F4B",1)</f>
        <v>=DISPIMG("ID_7BA4E5E144144DF79E326679F08F6F4B",1)</v>
      </c>
      <c r="P103" s="99" t="s">
        <v>4158</v>
      </c>
      <c r="Q103" s="21">
        <v>531</v>
      </c>
      <c r="R103" s="101" t="s">
        <v>4425</v>
      </c>
      <c r="S103" s="102" t="s">
        <v>40</v>
      </c>
      <c r="T103" s="99">
        <v>12</v>
      </c>
    </row>
    <row r="104" s="3" customFormat="1" customHeight="1" spans="1:20">
      <c r="A104" s="166" t="s">
        <v>175</v>
      </c>
      <c r="B104" s="166" t="s">
        <v>165</v>
      </c>
      <c r="C104" s="166" t="s">
        <v>176</v>
      </c>
      <c r="D104" s="11">
        <v>18046603817</v>
      </c>
      <c r="E104" s="167" t="s">
        <v>156</v>
      </c>
      <c r="F104" s="166" t="s">
        <v>14</v>
      </c>
      <c r="G104" s="9">
        <v>202102001</v>
      </c>
      <c r="H104" s="167" t="s">
        <v>157</v>
      </c>
      <c r="I104" s="167" t="s">
        <v>178</v>
      </c>
      <c r="J104" s="167" t="s">
        <v>179</v>
      </c>
      <c r="K104" s="167" t="s">
        <v>170</v>
      </c>
      <c r="L104" s="167" t="s">
        <v>180</v>
      </c>
      <c r="M104" s="167" t="s">
        <v>14</v>
      </c>
      <c r="N104" s="11">
        <v>0</v>
      </c>
      <c r="O104" s="12" t="str">
        <f>_xlfn.DISPIMG("ID_BD43028E6BB24443B06241FE37DC179A",1)</f>
        <v>=DISPIMG("ID_BD43028E6BB24443B06241FE37DC179A",1)</v>
      </c>
      <c r="P104" s="9" t="s">
        <v>181</v>
      </c>
      <c r="Q104" s="11">
        <v>4</v>
      </c>
      <c r="R104" s="78" t="s">
        <v>4407</v>
      </c>
      <c r="S104" s="19" t="s">
        <v>40</v>
      </c>
      <c r="T104" s="9">
        <v>18</v>
      </c>
    </row>
    <row r="105" s="3" customFormat="1" customHeight="1" spans="1:20">
      <c r="A105" s="166" t="s">
        <v>345</v>
      </c>
      <c r="B105" s="166" t="s">
        <v>165</v>
      </c>
      <c r="C105" s="166" t="s">
        <v>346</v>
      </c>
      <c r="D105" s="11">
        <v>15179246525</v>
      </c>
      <c r="E105" s="167" t="s">
        <v>156</v>
      </c>
      <c r="F105" s="166" t="s">
        <v>14</v>
      </c>
      <c r="G105" s="9">
        <v>202102001</v>
      </c>
      <c r="H105" s="167" t="s">
        <v>279</v>
      </c>
      <c r="I105" s="167" t="s">
        <v>158</v>
      </c>
      <c r="J105" s="167" t="s">
        <v>348</v>
      </c>
      <c r="K105" s="167" t="s">
        <v>170</v>
      </c>
      <c r="L105" s="167" t="s">
        <v>349</v>
      </c>
      <c r="M105" s="167" t="s">
        <v>350</v>
      </c>
      <c r="N105" s="167" t="s">
        <v>351</v>
      </c>
      <c r="O105" s="12" t="str">
        <f>_xlfn.DISPIMG("ID_0FE66397D3464536A23D26C93FD62495",1)</f>
        <v>=DISPIMG("ID_0FE66397D3464536A23D26C93FD62495",1)</v>
      </c>
      <c r="P105" s="9" t="s">
        <v>352</v>
      </c>
      <c r="Q105" s="20">
        <v>23</v>
      </c>
      <c r="R105" s="78" t="s">
        <v>4408</v>
      </c>
      <c r="S105" s="19" t="s">
        <v>40</v>
      </c>
      <c r="T105" s="9">
        <v>19</v>
      </c>
    </row>
    <row r="106" s="3" customFormat="1" customHeight="1" spans="1:20">
      <c r="A106" s="166" t="s">
        <v>364</v>
      </c>
      <c r="B106" s="166" t="s">
        <v>153</v>
      </c>
      <c r="C106" s="166" t="s">
        <v>365</v>
      </c>
      <c r="D106" s="11">
        <v>15879225309</v>
      </c>
      <c r="E106" s="167" t="s">
        <v>156</v>
      </c>
      <c r="F106" s="166" t="s">
        <v>14</v>
      </c>
      <c r="G106" s="9">
        <v>202102001</v>
      </c>
      <c r="H106" s="167" t="s">
        <v>157</v>
      </c>
      <c r="I106" s="167" t="s">
        <v>367</v>
      </c>
      <c r="J106" s="167" t="s">
        <v>348</v>
      </c>
      <c r="K106" s="167" t="s">
        <v>170</v>
      </c>
      <c r="L106" s="167" t="s">
        <v>368</v>
      </c>
      <c r="M106" s="167" t="s">
        <v>14</v>
      </c>
      <c r="N106" s="167" t="s">
        <v>369</v>
      </c>
      <c r="O106" s="12" t="str">
        <f>_xlfn.DISPIMG("ID_08B1C5991BF641D590EC606BAB378CA1",1)</f>
        <v>=DISPIMG("ID_08B1C5991BF641D590EC606BAB378CA1",1)</v>
      </c>
      <c r="P106" s="9" t="s">
        <v>370</v>
      </c>
      <c r="Q106" s="11">
        <v>25</v>
      </c>
      <c r="R106" s="78" t="s">
        <v>4413</v>
      </c>
      <c r="S106" s="19" t="s">
        <v>40</v>
      </c>
      <c r="T106" s="9">
        <v>17</v>
      </c>
    </row>
    <row r="107" s="3" customFormat="1" customHeight="1" spans="1:20">
      <c r="A107" s="166" t="s">
        <v>451</v>
      </c>
      <c r="B107" s="166" t="s">
        <v>165</v>
      </c>
      <c r="C107" s="166" t="s">
        <v>452</v>
      </c>
      <c r="D107" s="11">
        <v>15870856801</v>
      </c>
      <c r="E107" s="167" t="s">
        <v>156</v>
      </c>
      <c r="F107" s="166" t="s">
        <v>14</v>
      </c>
      <c r="G107" s="9">
        <v>202102001</v>
      </c>
      <c r="H107" s="167" t="s">
        <v>157</v>
      </c>
      <c r="I107" s="167" t="s">
        <v>158</v>
      </c>
      <c r="J107" s="167" t="s">
        <v>454</v>
      </c>
      <c r="K107" s="167" t="s">
        <v>170</v>
      </c>
      <c r="L107" s="167" t="s">
        <v>455</v>
      </c>
      <c r="M107" s="167" t="s">
        <v>14</v>
      </c>
      <c r="N107" s="11">
        <v>0</v>
      </c>
      <c r="O107" s="12" t="str">
        <f>_xlfn.DISPIMG("ID_B55181394FEF4B858E10F092AB43BFBB",1)</f>
        <v>=DISPIMG("ID_B55181394FEF4B858E10F092AB43BFBB",1)</v>
      </c>
      <c r="P107" s="9" t="s">
        <v>456</v>
      </c>
      <c r="Q107" s="11">
        <v>35</v>
      </c>
      <c r="R107" s="78" t="s">
        <v>4414</v>
      </c>
      <c r="S107" s="19" t="s">
        <v>40</v>
      </c>
      <c r="T107" s="9">
        <v>20</v>
      </c>
    </row>
    <row r="108" s="3" customFormat="1" customHeight="1" spans="1:20">
      <c r="A108" s="166" t="s">
        <v>529</v>
      </c>
      <c r="B108" s="166" t="s">
        <v>165</v>
      </c>
      <c r="C108" s="166" t="s">
        <v>530</v>
      </c>
      <c r="D108" s="11">
        <v>13870852168</v>
      </c>
      <c r="E108" s="167" t="s">
        <v>156</v>
      </c>
      <c r="F108" s="166" t="s">
        <v>14</v>
      </c>
      <c r="G108" s="9">
        <v>202102001</v>
      </c>
      <c r="H108" s="167" t="s">
        <v>157</v>
      </c>
      <c r="I108" s="167" t="s">
        <v>532</v>
      </c>
      <c r="J108" s="167" t="s">
        <v>533</v>
      </c>
      <c r="K108" s="167" t="s">
        <v>160</v>
      </c>
      <c r="L108" s="167" t="s">
        <v>516</v>
      </c>
      <c r="M108" s="167" t="s">
        <v>14</v>
      </c>
      <c r="N108" s="11">
        <v>0</v>
      </c>
      <c r="O108" s="12" t="str">
        <f>_xlfn.DISPIMG("ID_DE54808A64424090BF3B2071C574D915",1)</f>
        <v>=DISPIMG("ID_DE54808A64424090BF3B2071C574D915",1)</v>
      </c>
      <c r="P108" s="9" t="s">
        <v>534</v>
      </c>
      <c r="Q108" s="11">
        <v>45</v>
      </c>
      <c r="R108" s="78" t="s">
        <v>4417</v>
      </c>
      <c r="S108" s="19" t="s">
        <v>40</v>
      </c>
      <c r="T108" s="9">
        <v>16</v>
      </c>
    </row>
    <row r="109" s="3" customFormat="1" customHeight="1" spans="1:20">
      <c r="A109" s="166" t="s">
        <v>635</v>
      </c>
      <c r="B109" s="166" t="s">
        <v>165</v>
      </c>
      <c r="C109" s="166" t="s">
        <v>636</v>
      </c>
      <c r="D109" s="11">
        <v>15070232391</v>
      </c>
      <c r="E109" s="167" t="s">
        <v>156</v>
      </c>
      <c r="F109" s="166" t="s">
        <v>14</v>
      </c>
      <c r="G109" s="9">
        <v>202102001</v>
      </c>
      <c r="H109" s="167" t="s">
        <v>279</v>
      </c>
      <c r="I109" s="167" t="s">
        <v>158</v>
      </c>
      <c r="J109" s="167" t="s">
        <v>348</v>
      </c>
      <c r="K109" s="167" t="s">
        <v>170</v>
      </c>
      <c r="L109" s="167" t="s">
        <v>548</v>
      </c>
      <c r="M109" s="167" t="s">
        <v>638</v>
      </c>
      <c r="N109" s="167" t="s">
        <v>639</v>
      </c>
      <c r="O109" s="12" t="str">
        <f>_xlfn.DISPIMG("ID_89E406E2AE894B018BFF7E7198130BCA",1)</f>
        <v>=DISPIMG("ID_89E406E2AE894B018BFF7E7198130BCA",1)</v>
      </c>
      <c r="P109" s="9" t="s">
        <v>640</v>
      </c>
      <c r="Q109" s="11">
        <v>58</v>
      </c>
      <c r="R109" s="78" t="s">
        <v>4420</v>
      </c>
      <c r="S109" s="19" t="s">
        <v>40</v>
      </c>
      <c r="T109" s="9">
        <v>15</v>
      </c>
    </row>
    <row r="110" s="3" customFormat="1" customHeight="1" spans="1:20">
      <c r="A110" s="166" t="s">
        <v>643</v>
      </c>
      <c r="B110" s="166" t="s">
        <v>165</v>
      </c>
      <c r="C110" s="166" t="s">
        <v>644</v>
      </c>
      <c r="D110" s="11">
        <v>17808826021</v>
      </c>
      <c r="E110" s="167" t="s">
        <v>156</v>
      </c>
      <c r="F110" s="166" t="s">
        <v>14</v>
      </c>
      <c r="G110" s="9">
        <v>202102001</v>
      </c>
      <c r="H110" s="167" t="s">
        <v>157</v>
      </c>
      <c r="I110" s="167" t="s">
        <v>646</v>
      </c>
      <c r="J110" s="167" t="s">
        <v>454</v>
      </c>
      <c r="K110" s="167" t="s">
        <v>160</v>
      </c>
      <c r="L110" s="167" t="s">
        <v>224</v>
      </c>
      <c r="M110" s="167" t="s">
        <v>14</v>
      </c>
      <c r="N110" s="167" t="s">
        <v>647</v>
      </c>
      <c r="O110" s="12" t="str">
        <f>_xlfn.DISPIMG("ID_905C387E694F4B30B6CB8B8291B01F38",1)</f>
        <v>=DISPIMG("ID_905C387E694F4B30B6CB8B8291B01F38",1)</v>
      </c>
      <c r="P110" s="9" t="s">
        <v>648</v>
      </c>
      <c r="Q110" s="11">
        <v>59</v>
      </c>
      <c r="R110" s="78" t="s">
        <v>4423</v>
      </c>
      <c r="S110" s="19" t="s">
        <v>40</v>
      </c>
      <c r="T110" s="9">
        <v>14</v>
      </c>
    </row>
    <row r="111" s="3" customFormat="1" customHeight="1" spans="1:20">
      <c r="A111" s="166" t="s">
        <v>651</v>
      </c>
      <c r="B111" s="166" t="s">
        <v>165</v>
      </c>
      <c r="C111" s="166" t="s">
        <v>652</v>
      </c>
      <c r="D111" s="11">
        <v>13677913381</v>
      </c>
      <c r="E111" s="167" t="s">
        <v>156</v>
      </c>
      <c r="F111" s="166" t="s">
        <v>14</v>
      </c>
      <c r="G111" s="9">
        <v>202102001</v>
      </c>
      <c r="H111" s="167" t="s">
        <v>279</v>
      </c>
      <c r="I111" s="167" t="s">
        <v>339</v>
      </c>
      <c r="J111" s="167" t="s">
        <v>348</v>
      </c>
      <c r="K111" s="167" t="s">
        <v>170</v>
      </c>
      <c r="L111" s="167" t="s">
        <v>171</v>
      </c>
      <c r="M111" s="167" t="s">
        <v>654</v>
      </c>
      <c r="N111" s="167" t="s">
        <v>655</v>
      </c>
      <c r="O111" s="12" t="str">
        <f>_xlfn.DISPIMG("ID_F245B8B6D20E4BBA8409FA8C63902E06",1)</f>
        <v>=DISPIMG("ID_F245B8B6D20E4BBA8409FA8C63902E06",1)</v>
      </c>
      <c r="P111" s="9" t="s">
        <v>656</v>
      </c>
      <c r="Q111" s="11">
        <v>60</v>
      </c>
      <c r="R111" s="78" t="s">
        <v>4426</v>
      </c>
      <c r="S111" s="19" t="s">
        <v>40</v>
      </c>
      <c r="T111" s="9">
        <v>13</v>
      </c>
    </row>
    <row r="112" s="3" customFormat="1" customHeight="1" spans="1:20">
      <c r="A112" s="166" t="s">
        <v>687</v>
      </c>
      <c r="B112" s="166" t="s">
        <v>153</v>
      </c>
      <c r="C112" s="166" t="s">
        <v>688</v>
      </c>
      <c r="D112" s="11">
        <v>18370106328</v>
      </c>
      <c r="E112" s="167" t="s">
        <v>156</v>
      </c>
      <c r="F112" s="166" t="s">
        <v>14</v>
      </c>
      <c r="G112" s="9">
        <v>202102001</v>
      </c>
      <c r="H112" s="167" t="s">
        <v>279</v>
      </c>
      <c r="I112" s="167" t="s">
        <v>158</v>
      </c>
      <c r="J112" s="167" t="s">
        <v>348</v>
      </c>
      <c r="K112" s="167" t="s">
        <v>170</v>
      </c>
      <c r="L112" s="167" t="s">
        <v>281</v>
      </c>
      <c r="M112" s="167" t="s">
        <v>689</v>
      </c>
      <c r="N112" s="167" t="s">
        <v>690</v>
      </c>
      <c r="O112" s="12" t="str">
        <f>_xlfn.DISPIMG("ID_54204C01855F423A99B7E1E3FD940E61",1)</f>
        <v>=DISPIMG("ID_54204C01855F423A99B7E1E3FD940E61",1)</v>
      </c>
      <c r="P112" s="9" t="s">
        <v>691</v>
      </c>
      <c r="Q112" s="11">
        <v>64</v>
      </c>
      <c r="R112" s="78" t="s">
        <v>4427</v>
      </c>
      <c r="S112" s="19" t="s">
        <v>43</v>
      </c>
      <c r="T112" s="9">
        <v>6</v>
      </c>
    </row>
    <row r="113" s="5" customFormat="1" customHeight="1" spans="1:20">
      <c r="A113" s="166" t="s">
        <v>738</v>
      </c>
      <c r="B113" s="166" t="s">
        <v>165</v>
      </c>
      <c r="C113" s="166" t="s">
        <v>739</v>
      </c>
      <c r="D113" s="11">
        <v>15279225160</v>
      </c>
      <c r="E113" s="167" t="s">
        <v>156</v>
      </c>
      <c r="F113" s="166" t="s">
        <v>14</v>
      </c>
      <c r="G113" s="9">
        <v>202102001</v>
      </c>
      <c r="H113" s="167" t="s">
        <v>279</v>
      </c>
      <c r="I113" s="167" t="s">
        <v>576</v>
      </c>
      <c r="J113" s="167" t="s">
        <v>348</v>
      </c>
      <c r="K113" s="167" t="s">
        <v>170</v>
      </c>
      <c r="L113" s="167" t="s">
        <v>224</v>
      </c>
      <c r="M113" s="167" t="s">
        <v>741</v>
      </c>
      <c r="N113" s="167" t="s">
        <v>742</v>
      </c>
      <c r="O113" s="12" t="str">
        <f>_xlfn.DISPIMG("ID_05F523224C924653A8F56CD5737A4E8C",1)</f>
        <v>=DISPIMG("ID_05F523224C924653A8F56CD5737A4E8C",1)</v>
      </c>
      <c r="P113" s="9" t="s">
        <v>743</v>
      </c>
      <c r="Q113" s="11">
        <v>70</v>
      </c>
      <c r="R113" s="78" t="s">
        <v>4428</v>
      </c>
      <c r="S113" s="19" t="s">
        <v>43</v>
      </c>
      <c r="T113" s="9">
        <v>7</v>
      </c>
    </row>
    <row r="114" s="3" customFormat="1" customHeight="1" spans="1:20">
      <c r="A114" s="166" t="s">
        <v>916</v>
      </c>
      <c r="B114" s="166" t="s">
        <v>165</v>
      </c>
      <c r="C114" s="166" t="s">
        <v>917</v>
      </c>
      <c r="D114" s="11">
        <v>15070951954</v>
      </c>
      <c r="E114" s="167" t="s">
        <v>156</v>
      </c>
      <c r="F114" s="166" t="s">
        <v>14</v>
      </c>
      <c r="G114" s="9">
        <v>202102001</v>
      </c>
      <c r="H114" s="167" t="s">
        <v>157</v>
      </c>
      <c r="I114" s="167" t="s">
        <v>233</v>
      </c>
      <c r="J114" s="167" t="s">
        <v>454</v>
      </c>
      <c r="K114" s="167" t="s">
        <v>160</v>
      </c>
      <c r="L114" s="167" t="s">
        <v>919</v>
      </c>
      <c r="M114" s="167" t="s">
        <v>14</v>
      </c>
      <c r="N114" s="167" t="s">
        <v>920</v>
      </c>
      <c r="O114" s="12" t="str">
        <f>_xlfn.DISPIMG("ID_ADE94A403A29454787C6186CC5AA20B8",1)</f>
        <v>=DISPIMG("ID_ADE94A403A29454787C6186CC5AA20B8",1)</v>
      </c>
      <c r="P114" s="9" t="s">
        <v>921</v>
      </c>
      <c r="Q114" s="11">
        <v>92</v>
      </c>
      <c r="R114" s="78" t="s">
        <v>4429</v>
      </c>
      <c r="S114" s="19" t="s">
        <v>43</v>
      </c>
      <c r="T114" s="9">
        <v>18</v>
      </c>
    </row>
    <row r="115" s="3" customFormat="1" customHeight="1" spans="1:20">
      <c r="A115" s="166" t="s">
        <v>1102</v>
      </c>
      <c r="B115" s="166" t="s">
        <v>165</v>
      </c>
      <c r="C115" s="166" t="s">
        <v>1103</v>
      </c>
      <c r="D115" s="11">
        <v>18890061239</v>
      </c>
      <c r="E115" s="167" t="s">
        <v>156</v>
      </c>
      <c r="F115" s="166" t="s">
        <v>14</v>
      </c>
      <c r="G115" s="9">
        <v>202102001</v>
      </c>
      <c r="H115" s="167" t="s">
        <v>157</v>
      </c>
      <c r="I115" s="167" t="s">
        <v>1105</v>
      </c>
      <c r="J115" s="167" t="s">
        <v>454</v>
      </c>
      <c r="K115" s="167" t="s">
        <v>160</v>
      </c>
      <c r="L115" s="167" t="s">
        <v>161</v>
      </c>
      <c r="M115" s="167" t="s">
        <v>14</v>
      </c>
      <c r="N115" s="11">
        <v>0</v>
      </c>
      <c r="O115" s="12" t="str">
        <f>_xlfn.DISPIMG("ID_85B66E0F069149898E44BCE57E5EBF40",1)</f>
        <v>=DISPIMG("ID_85B66E0F069149898E44BCE57E5EBF40",1)</v>
      </c>
      <c r="P115" s="9" t="s">
        <v>1106</v>
      </c>
      <c r="Q115" s="11">
        <v>115</v>
      </c>
      <c r="R115" s="78" t="s">
        <v>4430</v>
      </c>
      <c r="S115" s="19" t="s">
        <v>43</v>
      </c>
      <c r="T115" s="9">
        <v>19</v>
      </c>
    </row>
    <row r="116" s="3" customFormat="1" customHeight="1" spans="1:20">
      <c r="A116" s="166" t="s">
        <v>1255</v>
      </c>
      <c r="B116" s="166" t="s">
        <v>165</v>
      </c>
      <c r="C116" s="166" t="s">
        <v>1256</v>
      </c>
      <c r="D116" s="11">
        <v>18370224457</v>
      </c>
      <c r="E116" s="167" t="s">
        <v>506</v>
      </c>
      <c r="F116" s="166" t="s">
        <v>14</v>
      </c>
      <c r="G116" s="9">
        <v>202102014</v>
      </c>
      <c r="H116" s="167" t="s">
        <v>279</v>
      </c>
      <c r="I116" s="167" t="s">
        <v>1258</v>
      </c>
      <c r="J116" s="167" t="s">
        <v>348</v>
      </c>
      <c r="K116" s="167" t="s">
        <v>170</v>
      </c>
      <c r="L116" s="167" t="s">
        <v>161</v>
      </c>
      <c r="M116" s="167" t="s">
        <v>121</v>
      </c>
      <c r="N116" s="167" t="s">
        <v>1259</v>
      </c>
      <c r="O116" s="12" t="str">
        <f>_xlfn.DISPIMG("ID_AF9D4A23BC36463DA48841C24B1BEB6F",1)</f>
        <v>=DISPIMG("ID_AF9D4A23BC36463DA48841C24B1BEB6F",1)</v>
      </c>
      <c r="P116" s="9" t="s">
        <v>1260</v>
      </c>
      <c r="Q116" s="11">
        <v>134</v>
      </c>
      <c r="R116" s="78" t="s">
        <v>4431</v>
      </c>
      <c r="S116" s="19" t="s">
        <v>43</v>
      </c>
      <c r="T116" s="9">
        <v>30</v>
      </c>
    </row>
    <row r="117" s="3" customFormat="1" customHeight="1" spans="1:20">
      <c r="A117" s="166" t="s">
        <v>1350</v>
      </c>
      <c r="B117" s="166" t="s">
        <v>165</v>
      </c>
      <c r="C117" s="166" t="s">
        <v>1351</v>
      </c>
      <c r="D117" s="11">
        <v>13767415091</v>
      </c>
      <c r="E117" s="167" t="s">
        <v>156</v>
      </c>
      <c r="F117" s="166" t="s">
        <v>14</v>
      </c>
      <c r="G117" s="9">
        <v>202102001</v>
      </c>
      <c r="H117" s="167" t="s">
        <v>157</v>
      </c>
      <c r="I117" s="167" t="s">
        <v>827</v>
      </c>
      <c r="J117" s="167" t="s">
        <v>223</v>
      </c>
      <c r="K117" s="167" t="s">
        <v>170</v>
      </c>
      <c r="L117" s="167" t="s">
        <v>306</v>
      </c>
      <c r="M117" s="167" t="s">
        <v>1353</v>
      </c>
      <c r="N117" s="11">
        <v>0</v>
      </c>
      <c r="O117" s="12" t="str">
        <f>_xlfn.DISPIMG("ID_7AB2E23FEFF940D9992E8955A95BEDD5",1)</f>
        <v>=DISPIMG("ID_7AB2E23FEFF940D9992E8955A95BEDD5",1)</v>
      </c>
      <c r="P117" s="9" t="s">
        <v>1354</v>
      </c>
      <c r="Q117" s="11">
        <v>147</v>
      </c>
      <c r="R117" s="78" t="s">
        <v>4432</v>
      </c>
      <c r="S117" s="19" t="s">
        <v>43</v>
      </c>
      <c r="T117" s="9">
        <v>5</v>
      </c>
    </row>
    <row r="118" s="3" customFormat="1" customHeight="1" spans="1:20">
      <c r="A118" s="166" t="s">
        <v>1380</v>
      </c>
      <c r="B118" s="166" t="s">
        <v>165</v>
      </c>
      <c r="C118" s="166" t="s">
        <v>1381</v>
      </c>
      <c r="D118" s="11">
        <v>15279288135</v>
      </c>
      <c r="E118" s="167" t="s">
        <v>156</v>
      </c>
      <c r="F118" s="166" t="s">
        <v>14</v>
      </c>
      <c r="G118" s="9">
        <v>202102001</v>
      </c>
      <c r="H118" s="167" t="s">
        <v>279</v>
      </c>
      <c r="I118" s="167" t="s">
        <v>339</v>
      </c>
      <c r="J118" s="167" t="s">
        <v>348</v>
      </c>
      <c r="K118" s="167" t="s">
        <v>170</v>
      </c>
      <c r="L118" s="167" t="s">
        <v>368</v>
      </c>
      <c r="M118" s="167" t="s">
        <v>350</v>
      </c>
      <c r="N118" s="167" t="s">
        <v>1383</v>
      </c>
      <c r="O118" s="12" t="str">
        <f>_xlfn.DISPIMG("ID_05A4371881E64A5ABCF18AC5C0DCA23F",1)</f>
        <v>=DISPIMG("ID_05A4371881E64A5ABCF18AC5C0DCA23F",1)</v>
      </c>
      <c r="P118" s="9" t="s">
        <v>1384</v>
      </c>
      <c r="Q118" s="11">
        <v>151</v>
      </c>
      <c r="R118" s="78" t="s">
        <v>4433</v>
      </c>
      <c r="S118" s="19" t="s">
        <v>43</v>
      </c>
      <c r="T118" s="9">
        <v>8</v>
      </c>
    </row>
    <row r="119" s="3" customFormat="1" customHeight="1" spans="1:20">
      <c r="A119" s="166" t="s">
        <v>1496</v>
      </c>
      <c r="B119" s="166" t="s">
        <v>165</v>
      </c>
      <c r="C119" s="166" t="s">
        <v>1497</v>
      </c>
      <c r="D119" s="11">
        <v>18770916920</v>
      </c>
      <c r="E119" s="167" t="s">
        <v>156</v>
      </c>
      <c r="F119" s="166" t="s">
        <v>14</v>
      </c>
      <c r="G119" s="9">
        <v>202102001</v>
      </c>
      <c r="H119" s="167" t="s">
        <v>157</v>
      </c>
      <c r="I119" s="167" t="s">
        <v>876</v>
      </c>
      <c r="J119" s="167" t="s">
        <v>1499</v>
      </c>
      <c r="K119" s="167" t="s">
        <v>160</v>
      </c>
      <c r="L119" s="167" t="s">
        <v>396</v>
      </c>
      <c r="M119" s="167" t="s">
        <v>14</v>
      </c>
      <c r="N119" s="11">
        <v>0</v>
      </c>
      <c r="O119" s="12" t="str">
        <f>_xlfn.DISPIMG("ID_F699C2D8D57643CC8A99CF3C2C6B152A",1)</f>
        <v>=DISPIMG("ID_F699C2D8D57643CC8A99CF3C2C6B152A",1)</v>
      </c>
      <c r="P119" s="9" t="s">
        <v>1500</v>
      </c>
      <c r="Q119" s="11">
        <v>166</v>
      </c>
      <c r="R119" s="78" t="s">
        <v>4434</v>
      </c>
      <c r="S119" s="19" t="s">
        <v>43</v>
      </c>
      <c r="T119" s="9">
        <v>17</v>
      </c>
    </row>
    <row r="120" s="3" customFormat="1" customHeight="1" spans="1:20">
      <c r="A120" s="166" t="s">
        <v>1542</v>
      </c>
      <c r="B120" s="166" t="s">
        <v>153</v>
      </c>
      <c r="C120" s="166" t="s">
        <v>1543</v>
      </c>
      <c r="D120" s="11">
        <v>15270866526</v>
      </c>
      <c r="E120" s="167" t="s">
        <v>156</v>
      </c>
      <c r="F120" s="166" t="s">
        <v>14</v>
      </c>
      <c r="G120" s="9">
        <v>202102001</v>
      </c>
      <c r="H120" s="167" t="s">
        <v>157</v>
      </c>
      <c r="I120" s="167" t="s">
        <v>1545</v>
      </c>
      <c r="J120" s="167" t="s">
        <v>1546</v>
      </c>
      <c r="K120" s="167" t="s">
        <v>170</v>
      </c>
      <c r="L120" s="167" t="s">
        <v>235</v>
      </c>
      <c r="M120" s="167" t="s">
        <v>1547</v>
      </c>
      <c r="N120" s="167" t="s">
        <v>1548</v>
      </c>
      <c r="O120" s="12" t="str">
        <f>_xlfn.DISPIMG("ID_08EA3F14C88D463E8A5342E5A111BC99",1)</f>
        <v>=DISPIMG("ID_08EA3F14C88D463E8A5342E5A111BC99",1)</v>
      </c>
      <c r="P120" s="9" t="s">
        <v>1549</v>
      </c>
      <c r="Q120" s="11">
        <v>172</v>
      </c>
      <c r="R120" s="78" t="s">
        <v>4435</v>
      </c>
      <c r="S120" s="19" t="s">
        <v>43</v>
      </c>
      <c r="T120" s="9">
        <v>20</v>
      </c>
    </row>
    <row r="121" s="3" customFormat="1" customHeight="1" spans="1:20">
      <c r="A121" s="166" t="s">
        <v>1697</v>
      </c>
      <c r="B121" s="166" t="s">
        <v>165</v>
      </c>
      <c r="C121" s="166" t="s">
        <v>1698</v>
      </c>
      <c r="D121" s="11">
        <v>13732925421</v>
      </c>
      <c r="E121" s="167" t="s">
        <v>156</v>
      </c>
      <c r="F121" s="166" t="s">
        <v>14</v>
      </c>
      <c r="G121" s="9">
        <v>202102001</v>
      </c>
      <c r="H121" s="167" t="s">
        <v>157</v>
      </c>
      <c r="I121" s="167" t="s">
        <v>1654</v>
      </c>
      <c r="J121" s="167" t="s">
        <v>1700</v>
      </c>
      <c r="K121" s="167" t="s">
        <v>160</v>
      </c>
      <c r="L121" s="167" t="s">
        <v>235</v>
      </c>
      <c r="M121" s="167" t="s">
        <v>1701</v>
      </c>
      <c r="N121" s="167" t="s">
        <v>1702</v>
      </c>
      <c r="O121" s="12" t="str">
        <f>_xlfn.DISPIMG("ID_9C3AAF7BA09C4626832FC4C49E6F802D",1)</f>
        <v>=DISPIMG("ID_9C3AAF7BA09C4626832FC4C49E6F802D",1)</v>
      </c>
      <c r="P121" s="9" t="s">
        <v>1703</v>
      </c>
      <c r="Q121" s="11">
        <v>192</v>
      </c>
      <c r="R121" s="78" t="s">
        <v>4436</v>
      </c>
      <c r="S121" s="19" t="s">
        <v>43</v>
      </c>
      <c r="T121" s="9">
        <v>29</v>
      </c>
    </row>
    <row r="122" s="3" customFormat="1" customHeight="1" spans="1:20">
      <c r="A122" s="166" t="s">
        <v>1723</v>
      </c>
      <c r="B122" s="166" t="s">
        <v>165</v>
      </c>
      <c r="C122" s="166" t="s">
        <v>1724</v>
      </c>
      <c r="D122" s="11">
        <v>13697028942</v>
      </c>
      <c r="E122" s="167" t="s">
        <v>156</v>
      </c>
      <c r="F122" s="166" t="s">
        <v>14</v>
      </c>
      <c r="G122" s="9">
        <v>202102001</v>
      </c>
      <c r="H122" s="167" t="s">
        <v>157</v>
      </c>
      <c r="I122" s="167" t="s">
        <v>827</v>
      </c>
      <c r="J122" s="167" t="s">
        <v>454</v>
      </c>
      <c r="K122" s="167" t="s">
        <v>170</v>
      </c>
      <c r="L122" s="167" t="s">
        <v>261</v>
      </c>
      <c r="M122" s="167" t="s">
        <v>26</v>
      </c>
      <c r="N122" s="11">
        <v>0</v>
      </c>
      <c r="O122" s="12" t="str">
        <f>_xlfn.DISPIMG("ID_9F3C5B09040D438283C530134A5BD84D",1)</f>
        <v>=DISPIMG("ID_9F3C5B09040D438283C530134A5BD84D",1)</v>
      </c>
      <c r="P122" s="9" t="s">
        <v>1726</v>
      </c>
      <c r="Q122" s="11">
        <v>195</v>
      </c>
      <c r="R122" s="78" t="s">
        <v>4437</v>
      </c>
      <c r="S122" s="19" t="s">
        <v>43</v>
      </c>
      <c r="T122" s="9">
        <v>4</v>
      </c>
    </row>
    <row r="123" s="3" customFormat="1" customHeight="1" spans="1:20">
      <c r="A123" s="166" t="s">
        <v>1828</v>
      </c>
      <c r="B123" s="166" t="s">
        <v>165</v>
      </c>
      <c r="C123" s="166" t="s">
        <v>1829</v>
      </c>
      <c r="D123" s="11">
        <v>18797851564</v>
      </c>
      <c r="E123" s="167" t="s">
        <v>156</v>
      </c>
      <c r="F123" s="166" t="s">
        <v>14</v>
      </c>
      <c r="G123" s="9">
        <v>202102001</v>
      </c>
      <c r="H123" s="167" t="s">
        <v>157</v>
      </c>
      <c r="I123" s="167" t="s">
        <v>1831</v>
      </c>
      <c r="J123" s="167" t="s">
        <v>1832</v>
      </c>
      <c r="K123" s="167" t="s">
        <v>160</v>
      </c>
      <c r="L123" s="167" t="s">
        <v>171</v>
      </c>
      <c r="M123" s="167" t="s">
        <v>14</v>
      </c>
      <c r="N123" s="167" t="s">
        <v>1833</v>
      </c>
      <c r="O123" s="12" t="str">
        <f>_xlfn.DISPIMG("ID_9C01FBB9DB4A4DB19EA599EA9C699E26",1)</f>
        <v>=DISPIMG("ID_9C01FBB9DB4A4DB19EA599EA9C699E26",1)</v>
      </c>
      <c r="P123" s="9" t="s">
        <v>1834</v>
      </c>
      <c r="Q123" s="11">
        <v>209</v>
      </c>
      <c r="R123" s="78" t="s">
        <v>4438</v>
      </c>
      <c r="S123" s="19" t="s">
        <v>43</v>
      </c>
      <c r="T123" s="9">
        <v>9</v>
      </c>
    </row>
    <row r="124" s="3" customFormat="1" customHeight="1" spans="1:20">
      <c r="A124" s="166" t="s">
        <v>1939</v>
      </c>
      <c r="B124" s="166" t="s">
        <v>165</v>
      </c>
      <c r="C124" s="166" t="s">
        <v>1940</v>
      </c>
      <c r="D124" s="11">
        <v>15727538228</v>
      </c>
      <c r="E124" s="167" t="s">
        <v>156</v>
      </c>
      <c r="F124" s="166" t="s">
        <v>14</v>
      </c>
      <c r="G124" s="9">
        <v>202102001</v>
      </c>
      <c r="H124" s="167" t="s">
        <v>157</v>
      </c>
      <c r="I124" s="167" t="s">
        <v>233</v>
      </c>
      <c r="J124" s="167" t="s">
        <v>454</v>
      </c>
      <c r="K124" s="167" t="s">
        <v>170</v>
      </c>
      <c r="L124" s="167" t="s">
        <v>1942</v>
      </c>
      <c r="M124" s="167" t="s">
        <v>498</v>
      </c>
      <c r="N124" s="167" t="s">
        <v>1943</v>
      </c>
      <c r="O124" s="12" t="str">
        <f>_xlfn.DISPIMG("ID_1C58977D34D3459483FD1AF3B2109430",1)</f>
        <v>=DISPIMG("ID_1C58977D34D3459483FD1AF3B2109430",1)</v>
      </c>
      <c r="P124" s="9" t="s">
        <v>1944</v>
      </c>
      <c r="Q124" s="11">
        <v>224</v>
      </c>
      <c r="R124" s="78" t="s">
        <v>4439</v>
      </c>
      <c r="S124" s="19" t="s">
        <v>43</v>
      </c>
      <c r="T124" s="9">
        <v>16</v>
      </c>
    </row>
    <row r="125" s="3" customFormat="1" customHeight="1" spans="1:20">
      <c r="A125" s="166" t="s">
        <v>1947</v>
      </c>
      <c r="B125" s="166" t="s">
        <v>165</v>
      </c>
      <c r="C125" s="166" t="s">
        <v>1948</v>
      </c>
      <c r="D125" s="11">
        <v>15070578947</v>
      </c>
      <c r="E125" s="167" t="s">
        <v>156</v>
      </c>
      <c r="F125" s="166" t="s">
        <v>14</v>
      </c>
      <c r="G125" s="9">
        <v>202102001</v>
      </c>
      <c r="H125" s="167" t="s">
        <v>279</v>
      </c>
      <c r="I125" s="167" t="s">
        <v>1523</v>
      </c>
      <c r="J125" s="167" t="s">
        <v>1950</v>
      </c>
      <c r="K125" s="167" t="s">
        <v>170</v>
      </c>
      <c r="L125" s="167" t="s">
        <v>396</v>
      </c>
      <c r="M125" s="167" t="s">
        <v>14</v>
      </c>
      <c r="N125" s="167" t="s">
        <v>1951</v>
      </c>
      <c r="O125" s="12" t="str">
        <f>_xlfn.DISPIMG("ID_86A99051306F46439DFFA2E8604105B2",1)</f>
        <v>=DISPIMG("ID_86A99051306F46439DFFA2E8604105B2",1)</v>
      </c>
      <c r="P125" s="9" t="s">
        <v>1952</v>
      </c>
      <c r="Q125" s="11">
        <v>225</v>
      </c>
      <c r="R125" s="78" t="s">
        <v>4440</v>
      </c>
      <c r="S125" s="19" t="s">
        <v>43</v>
      </c>
      <c r="T125" s="9">
        <v>21</v>
      </c>
    </row>
    <row r="126" s="3" customFormat="1" customHeight="1" spans="1:20">
      <c r="A126" s="166" t="s">
        <v>1955</v>
      </c>
      <c r="B126" s="166" t="s">
        <v>165</v>
      </c>
      <c r="C126" s="166" t="s">
        <v>1956</v>
      </c>
      <c r="D126" s="11">
        <v>13687028289</v>
      </c>
      <c r="E126" s="167" t="s">
        <v>156</v>
      </c>
      <c r="F126" s="166" t="s">
        <v>14</v>
      </c>
      <c r="G126" s="9">
        <v>202102001</v>
      </c>
      <c r="H126" s="167" t="s">
        <v>279</v>
      </c>
      <c r="I126" s="167" t="s">
        <v>339</v>
      </c>
      <c r="J126" s="167" t="s">
        <v>348</v>
      </c>
      <c r="K126" s="167" t="s">
        <v>170</v>
      </c>
      <c r="L126" s="167" t="s">
        <v>180</v>
      </c>
      <c r="M126" s="167" t="s">
        <v>638</v>
      </c>
      <c r="N126" s="167" t="s">
        <v>1958</v>
      </c>
      <c r="O126" s="12" t="str">
        <f>_xlfn.DISPIMG("ID_2D011236909B4AB48CEACAF4EB3A9013",1)</f>
        <v>=DISPIMG("ID_2D011236909B4AB48CEACAF4EB3A9013",1)</v>
      </c>
      <c r="P126" s="9" t="s">
        <v>1959</v>
      </c>
      <c r="Q126" s="11">
        <v>226</v>
      </c>
      <c r="R126" s="78" t="s">
        <v>4441</v>
      </c>
      <c r="S126" s="19" t="s">
        <v>43</v>
      </c>
      <c r="T126" s="9">
        <v>28</v>
      </c>
    </row>
    <row r="127" s="3" customFormat="1" customHeight="1" spans="1:20">
      <c r="A127" s="166" t="s">
        <v>1962</v>
      </c>
      <c r="B127" s="166" t="s">
        <v>165</v>
      </c>
      <c r="C127" s="166" t="s">
        <v>1963</v>
      </c>
      <c r="D127" s="11">
        <v>18279199773</v>
      </c>
      <c r="E127" s="167" t="s">
        <v>156</v>
      </c>
      <c r="F127" s="166" t="s">
        <v>14</v>
      </c>
      <c r="G127" s="9">
        <v>202102001</v>
      </c>
      <c r="H127" s="167" t="s">
        <v>157</v>
      </c>
      <c r="I127" s="167" t="s">
        <v>1121</v>
      </c>
      <c r="J127" s="167" t="s">
        <v>813</v>
      </c>
      <c r="K127" s="167" t="s">
        <v>160</v>
      </c>
      <c r="L127" s="167" t="s">
        <v>199</v>
      </c>
      <c r="M127" s="167" t="s">
        <v>14</v>
      </c>
      <c r="N127" s="167" t="s">
        <v>1965</v>
      </c>
      <c r="O127" s="12" t="str">
        <f>_xlfn.DISPIMG("ID_978F05F9424741AE81F8E8335A7E991E",1)</f>
        <v>=DISPIMG("ID_978F05F9424741AE81F8E8335A7E991E",1)</v>
      </c>
      <c r="P127" s="9" t="s">
        <v>1966</v>
      </c>
      <c r="Q127" s="11">
        <v>227</v>
      </c>
      <c r="R127" s="78" t="s">
        <v>4442</v>
      </c>
      <c r="S127" s="19" t="s">
        <v>43</v>
      </c>
      <c r="T127" s="9">
        <v>3</v>
      </c>
    </row>
    <row r="128" s="3" customFormat="1" customHeight="1" spans="1:20">
      <c r="A128" s="166" t="s">
        <v>1983</v>
      </c>
      <c r="B128" s="166" t="s">
        <v>165</v>
      </c>
      <c r="C128" s="166" t="s">
        <v>1984</v>
      </c>
      <c r="D128" s="11">
        <v>15070924105</v>
      </c>
      <c r="E128" s="167" t="s">
        <v>156</v>
      </c>
      <c r="F128" s="166" t="s">
        <v>14</v>
      </c>
      <c r="G128" s="9">
        <v>202102001</v>
      </c>
      <c r="H128" s="167" t="s">
        <v>279</v>
      </c>
      <c r="I128" s="167" t="s">
        <v>515</v>
      </c>
      <c r="J128" s="167" t="s">
        <v>223</v>
      </c>
      <c r="K128" s="167" t="s">
        <v>170</v>
      </c>
      <c r="L128" s="167" t="s">
        <v>224</v>
      </c>
      <c r="M128" s="167" t="s">
        <v>14</v>
      </c>
      <c r="N128" s="11">
        <v>0</v>
      </c>
      <c r="O128" s="12" t="str">
        <f>_xlfn.DISPIMG("ID_88D6D1C166864D0C988B38CB94A18A2D",1)</f>
        <v>=DISPIMG("ID_88D6D1C166864D0C988B38CB94A18A2D",1)</v>
      </c>
      <c r="P128" s="9" t="s">
        <v>1986</v>
      </c>
      <c r="Q128" s="11">
        <v>230</v>
      </c>
      <c r="R128" s="78" t="s">
        <v>4443</v>
      </c>
      <c r="S128" s="19" t="s">
        <v>43</v>
      </c>
      <c r="T128" s="9">
        <v>10</v>
      </c>
    </row>
    <row r="129" s="3" customFormat="1" customHeight="1" spans="1:20">
      <c r="A129" s="166" t="s">
        <v>1989</v>
      </c>
      <c r="B129" s="166" t="s">
        <v>165</v>
      </c>
      <c r="C129" s="166" t="s">
        <v>1990</v>
      </c>
      <c r="D129" s="11">
        <v>18720291086</v>
      </c>
      <c r="E129" s="167" t="s">
        <v>156</v>
      </c>
      <c r="F129" s="166" t="s">
        <v>14</v>
      </c>
      <c r="G129" s="9">
        <v>202102001</v>
      </c>
      <c r="H129" s="167" t="s">
        <v>279</v>
      </c>
      <c r="I129" s="167" t="s">
        <v>367</v>
      </c>
      <c r="J129" s="167" t="s">
        <v>348</v>
      </c>
      <c r="K129" s="167" t="s">
        <v>170</v>
      </c>
      <c r="L129" s="167" t="s">
        <v>180</v>
      </c>
      <c r="M129" s="167" t="s">
        <v>1992</v>
      </c>
      <c r="N129" s="167" t="s">
        <v>1993</v>
      </c>
      <c r="O129" s="12" t="str">
        <f>_xlfn.DISPIMG("ID_08685AD380B84575A97C010891A129EA",1)</f>
        <v>=DISPIMG("ID_08685AD380B84575A97C010891A129EA",1)</v>
      </c>
      <c r="P129" s="9" t="s">
        <v>1994</v>
      </c>
      <c r="Q129" s="11">
        <v>231</v>
      </c>
      <c r="R129" s="78" t="s">
        <v>4444</v>
      </c>
      <c r="S129" s="19" t="s">
        <v>43</v>
      </c>
      <c r="T129" s="9">
        <v>15</v>
      </c>
    </row>
    <row r="130" s="3" customFormat="1" customHeight="1" spans="1:20">
      <c r="A130" s="166" t="s">
        <v>2028</v>
      </c>
      <c r="B130" s="166" t="s">
        <v>165</v>
      </c>
      <c r="C130" s="166" t="s">
        <v>2029</v>
      </c>
      <c r="D130" s="11">
        <v>18379220348</v>
      </c>
      <c r="E130" s="167" t="s">
        <v>156</v>
      </c>
      <c r="F130" s="166" t="s">
        <v>14</v>
      </c>
      <c r="G130" s="9">
        <v>202102001</v>
      </c>
      <c r="H130" s="167" t="s">
        <v>157</v>
      </c>
      <c r="I130" s="167" t="s">
        <v>158</v>
      </c>
      <c r="J130" s="167" t="s">
        <v>1546</v>
      </c>
      <c r="K130" s="167" t="s">
        <v>170</v>
      </c>
      <c r="L130" s="167" t="s">
        <v>161</v>
      </c>
      <c r="M130" s="167" t="s">
        <v>2031</v>
      </c>
      <c r="N130" s="167" t="s">
        <v>2032</v>
      </c>
      <c r="O130" s="12" t="str">
        <f>_xlfn.DISPIMG("ID_23D2336FF3CB4EA6B1558E965302CC98",1)</f>
        <v>=DISPIMG("ID_23D2336FF3CB4EA6B1558E965302CC98",1)</v>
      </c>
      <c r="P130" s="9" t="s">
        <v>2033</v>
      </c>
      <c r="Q130" s="11">
        <v>236</v>
      </c>
      <c r="R130" s="78" t="s">
        <v>4445</v>
      </c>
      <c r="S130" s="19" t="s">
        <v>43</v>
      </c>
      <c r="T130" s="9">
        <v>22</v>
      </c>
    </row>
    <row r="131" s="3" customFormat="1" customHeight="1" spans="1:20">
      <c r="A131" s="166" t="s">
        <v>2053</v>
      </c>
      <c r="B131" s="166" t="s">
        <v>165</v>
      </c>
      <c r="C131" s="166" t="s">
        <v>2054</v>
      </c>
      <c r="D131" s="11">
        <v>15079910015</v>
      </c>
      <c r="E131" s="167" t="s">
        <v>156</v>
      </c>
      <c r="F131" s="166" t="s">
        <v>14</v>
      </c>
      <c r="G131" s="9">
        <v>202102001</v>
      </c>
      <c r="H131" s="167" t="s">
        <v>279</v>
      </c>
      <c r="I131" s="167" t="s">
        <v>1424</v>
      </c>
      <c r="J131" s="167" t="s">
        <v>348</v>
      </c>
      <c r="K131" s="167" t="s">
        <v>170</v>
      </c>
      <c r="L131" s="167" t="s">
        <v>199</v>
      </c>
      <c r="M131" s="167" t="s">
        <v>14</v>
      </c>
      <c r="N131" s="167" t="s">
        <v>2056</v>
      </c>
      <c r="O131" s="12" t="str">
        <f>_xlfn.DISPIMG("ID_4A26FAD7BD014883BE19E7EBABEADF70",1)</f>
        <v>=DISPIMG("ID_4A26FAD7BD014883BE19E7EBABEADF70",1)</v>
      </c>
      <c r="P131" s="9" t="s">
        <v>2057</v>
      </c>
      <c r="Q131" s="11">
        <v>239</v>
      </c>
      <c r="R131" s="78" t="s">
        <v>4446</v>
      </c>
      <c r="S131" s="19" t="s">
        <v>43</v>
      </c>
      <c r="T131" s="9">
        <v>27</v>
      </c>
    </row>
    <row r="132" s="3" customFormat="1" customHeight="1" spans="1:20">
      <c r="A132" s="166" t="s">
        <v>2165</v>
      </c>
      <c r="B132" s="166" t="s">
        <v>165</v>
      </c>
      <c r="C132" s="166" t="s">
        <v>2166</v>
      </c>
      <c r="D132" s="11">
        <v>15270256109</v>
      </c>
      <c r="E132" s="167" t="s">
        <v>156</v>
      </c>
      <c r="F132" s="166" t="s">
        <v>14</v>
      </c>
      <c r="G132" s="9">
        <v>202102001</v>
      </c>
      <c r="H132" s="167" t="s">
        <v>279</v>
      </c>
      <c r="I132" s="167" t="s">
        <v>158</v>
      </c>
      <c r="J132" s="167" t="s">
        <v>348</v>
      </c>
      <c r="K132" s="167" t="s">
        <v>170</v>
      </c>
      <c r="L132" s="167" t="s">
        <v>306</v>
      </c>
      <c r="M132" s="167" t="s">
        <v>638</v>
      </c>
      <c r="N132" s="167" t="s">
        <v>2168</v>
      </c>
      <c r="O132" s="12" t="str">
        <f>_xlfn.DISPIMG("ID_3CABC7DA53ED4401B09BC2C27086B239",1)</f>
        <v>=DISPIMG("ID_3CABC7DA53ED4401B09BC2C27086B239",1)</v>
      </c>
      <c r="P132" s="9" t="s">
        <v>2169</v>
      </c>
      <c r="Q132" s="11">
        <v>254</v>
      </c>
      <c r="R132" s="78" t="s">
        <v>4447</v>
      </c>
      <c r="S132" s="19" t="s">
        <v>43</v>
      </c>
      <c r="T132" s="9">
        <v>2</v>
      </c>
    </row>
    <row r="133" s="3" customFormat="1" customHeight="1" spans="1:20">
      <c r="A133" s="166" t="s">
        <v>2218</v>
      </c>
      <c r="B133" s="166" t="s">
        <v>165</v>
      </c>
      <c r="C133" s="166" t="s">
        <v>2219</v>
      </c>
      <c r="D133" s="11">
        <v>15179156312</v>
      </c>
      <c r="E133" s="167" t="s">
        <v>156</v>
      </c>
      <c r="F133" s="166" t="s">
        <v>14</v>
      </c>
      <c r="G133" s="9">
        <v>202102001</v>
      </c>
      <c r="H133" s="167" t="s">
        <v>157</v>
      </c>
      <c r="I133" s="167" t="s">
        <v>233</v>
      </c>
      <c r="J133" s="167" t="s">
        <v>1195</v>
      </c>
      <c r="K133" s="167" t="s">
        <v>160</v>
      </c>
      <c r="L133" s="167" t="s">
        <v>2221</v>
      </c>
      <c r="M133" s="167" t="s">
        <v>638</v>
      </c>
      <c r="N133" s="167" t="s">
        <v>2222</v>
      </c>
      <c r="O133" s="12" t="str">
        <f>_xlfn.DISPIMG("ID_D4DBACC4389B49D6B9C508C515595D5D",1)</f>
        <v>=DISPIMG("ID_D4DBACC4389B49D6B9C508C515595D5D",1)</v>
      </c>
      <c r="P133" s="9" t="s">
        <v>2223</v>
      </c>
      <c r="Q133" s="11">
        <v>261</v>
      </c>
      <c r="R133" s="78" t="s">
        <v>4448</v>
      </c>
      <c r="S133" s="19" t="s">
        <v>43</v>
      </c>
      <c r="T133" s="9">
        <v>11</v>
      </c>
    </row>
    <row r="134" s="3" customFormat="1" customHeight="1" spans="1:20">
      <c r="A134" s="166" t="s">
        <v>2400</v>
      </c>
      <c r="B134" s="166" t="s">
        <v>165</v>
      </c>
      <c r="C134" s="166" t="s">
        <v>2401</v>
      </c>
      <c r="D134" s="11">
        <v>18879267195</v>
      </c>
      <c r="E134" s="167" t="s">
        <v>156</v>
      </c>
      <c r="F134" s="166" t="s">
        <v>14</v>
      </c>
      <c r="G134" s="9">
        <v>202102001</v>
      </c>
      <c r="H134" s="167" t="s">
        <v>279</v>
      </c>
      <c r="I134" s="167" t="s">
        <v>339</v>
      </c>
      <c r="J134" s="167" t="s">
        <v>348</v>
      </c>
      <c r="K134" s="167" t="s">
        <v>170</v>
      </c>
      <c r="L134" s="167" t="s">
        <v>180</v>
      </c>
      <c r="M134" s="167" t="s">
        <v>14</v>
      </c>
      <c r="N134" s="167" t="s">
        <v>2403</v>
      </c>
      <c r="O134" s="12" t="str">
        <f>_xlfn.DISPIMG("ID_FE029F69B78E439BA992D666A5ADF87E",1)</f>
        <v>=DISPIMG("ID_FE029F69B78E439BA992D666A5ADF87E",1)</v>
      </c>
      <c r="P134" s="9" t="s">
        <v>2404</v>
      </c>
      <c r="Q134" s="11">
        <v>285</v>
      </c>
      <c r="R134" s="78" t="s">
        <v>4449</v>
      </c>
      <c r="S134" s="19" t="s">
        <v>43</v>
      </c>
      <c r="T134" s="9">
        <v>14</v>
      </c>
    </row>
    <row r="135" s="3" customFormat="1" customHeight="1" spans="1:20">
      <c r="A135" s="166" t="s">
        <v>2430</v>
      </c>
      <c r="B135" s="166" t="s">
        <v>165</v>
      </c>
      <c r="C135" s="166" t="s">
        <v>2431</v>
      </c>
      <c r="D135" s="11">
        <v>18379086106</v>
      </c>
      <c r="E135" s="167" t="s">
        <v>156</v>
      </c>
      <c r="F135" s="166" t="s">
        <v>14</v>
      </c>
      <c r="G135" s="9">
        <v>202102001</v>
      </c>
      <c r="H135" s="167" t="s">
        <v>279</v>
      </c>
      <c r="I135" s="167" t="s">
        <v>178</v>
      </c>
      <c r="J135" s="167" t="s">
        <v>348</v>
      </c>
      <c r="K135" s="167" t="s">
        <v>170</v>
      </c>
      <c r="L135" s="167" t="s">
        <v>396</v>
      </c>
      <c r="M135" s="167" t="s">
        <v>14</v>
      </c>
      <c r="N135" s="167" t="s">
        <v>2433</v>
      </c>
      <c r="O135" s="12" t="str">
        <f>_xlfn.DISPIMG("ID_490114996A5646149508AE2796C7FCA8",1)</f>
        <v>=DISPIMG("ID_490114996A5646149508AE2796C7FCA8",1)</v>
      </c>
      <c r="P135" s="9" t="s">
        <v>2434</v>
      </c>
      <c r="Q135" s="11">
        <v>289</v>
      </c>
      <c r="R135" s="78" t="s">
        <v>4450</v>
      </c>
      <c r="S135" s="19" t="s">
        <v>43</v>
      </c>
      <c r="T135" s="9">
        <v>23</v>
      </c>
    </row>
    <row r="136" s="3" customFormat="1" customHeight="1" spans="1:20">
      <c r="A136" s="166" t="s">
        <v>2452</v>
      </c>
      <c r="B136" s="166" t="s">
        <v>165</v>
      </c>
      <c r="C136" s="166" t="s">
        <v>2453</v>
      </c>
      <c r="D136" s="11">
        <v>18720955003</v>
      </c>
      <c r="E136" s="167" t="s">
        <v>156</v>
      </c>
      <c r="F136" s="166" t="s">
        <v>14</v>
      </c>
      <c r="G136" s="9">
        <v>202102001</v>
      </c>
      <c r="H136" s="167" t="s">
        <v>157</v>
      </c>
      <c r="I136" s="167" t="s">
        <v>197</v>
      </c>
      <c r="J136" s="167" t="s">
        <v>454</v>
      </c>
      <c r="K136" s="167" t="s">
        <v>160</v>
      </c>
      <c r="L136" s="167" t="s">
        <v>216</v>
      </c>
      <c r="M136" s="167" t="s">
        <v>14</v>
      </c>
      <c r="N136" s="167" t="s">
        <v>2455</v>
      </c>
      <c r="O136" s="12" t="str">
        <f>_xlfn.DISPIMG("ID_FC7219DD86F84BE1856628C95CBE9A35",1)</f>
        <v>=DISPIMG("ID_FC7219DD86F84BE1856628C95CBE9A35",1)</v>
      </c>
      <c r="P136" s="9" t="s">
        <v>2456</v>
      </c>
      <c r="Q136" s="11">
        <v>292</v>
      </c>
      <c r="R136" s="78" t="s">
        <v>4451</v>
      </c>
      <c r="S136" s="19" t="s">
        <v>43</v>
      </c>
      <c r="T136" s="9">
        <v>26</v>
      </c>
    </row>
    <row r="137" s="3" customFormat="1" customHeight="1" spans="1:20">
      <c r="A137" s="166" t="s">
        <v>2466</v>
      </c>
      <c r="B137" s="166" t="s">
        <v>165</v>
      </c>
      <c r="C137" s="166" t="s">
        <v>2467</v>
      </c>
      <c r="D137" s="11">
        <v>18296295635</v>
      </c>
      <c r="E137" s="167" t="s">
        <v>156</v>
      </c>
      <c r="F137" s="166" t="s">
        <v>14</v>
      </c>
      <c r="G137" s="9">
        <v>202102001</v>
      </c>
      <c r="H137" s="167" t="s">
        <v>279</v>
      </c>
      <c r="I137" s="167" t="s">
        <v>233</v>
      </c>
      <c r="J137" s="167" t="s">
        <v>348</v>
      </c>
      <c r="K137" s="167" t="s">
        <v>170</v>
      </c>
      <c r="L137" s="167" t="s">
        <v>368</v>
      </c>
      <c r="M137" s="167" t="s">
        <v>14</v>
      </c>
      <c r="N137" s="167" t="s">
        <v>2469</v>
      </c>
      <c r="O137" s="12" t="str">
        <f>_xlfn.DISPIMG("ID_F16EE101B40044CF89D1DFEEC618BA53",1)</f>
        <v>=DISPIMG("ID_F16EE101B40044CF89D1DFEEC618BA53",1)</v>
      </c>
      <c r="P137" s="9" t="s">
        <v>2470</v>
      </c>
      <c r="Q137" s="11">
        <v>294</v>
      </c>
      <c r="R137" s="78" t="s">
        <v>4452</v>
      </c>
      <c r="S137" s="19" t="s">
        <v>43</v>
      </c>
      <c r="T137" s="9">
        <v>1</v>
      </c>
    </row>
    <row r="138" s="3" customFormat="1" customHeight="1" spans="1:20">
      <c r="A138" s="166" t="s">
        <v>2562</v>
      </c>
      <c r="B138" s="166" t="s">
        <v>165</v>
      </c>
      <c r="C138" s="166" t="s">
        <v>2563</v>
      </c>
      <c r="D138" s="11">
        <v>18279531380</v>
      </c>
      <c r="E138" s="167" t="s">
        <v>156</v>
      </c>
      <c r="F138" s="166" t="s">
        <v>14</v>
      </c>
      <c r="G138" s="9">
        <v>202102001</v>
      </c>
      <c r="H138" s="167" t="s">
        <v>705</v>
      </c>
      <c r="I138" s="167" t="s">
        <v>2565</v>
      </c>
      <c r="J138" s="167" t="s">
        <v>790</v>
      </c>
      <c r="K138" s="167" t="s">
        <v>160</v>
      </c>
      <c r="L138" s="167" t="s">
        <v>455</v>
      </c>
      <c r="M138" s="167" t="s">
        <v>14</v>
      </c>
      <c r="N138" s="167" t="s">
        <v>2566</v>
      </c>
      <c r="O138" s="12" t="str">
        <f>_xlfn.DISPIMG("ID_DA928F2BE2B24AF3ABF5D40BAC268946",1)</f>
        <v>=DISPIMG("ID_DA928F2BE2B24AF3ABF5D40BAC268946",1)</v>
      </c>
      <c r="P138" s="9" t="s">
        <v>2567</v>
      </c>
      <c r="Q138" s="11">
        <v>307</v>
      </c>
      <c r="R138" s="78" t="s">
        <v>4453</v>
      </c>
      <c r="S138" s="19" t="s">
        <v>43</v>
      </c>
      <c r="T138" s="9">
        <v>12</v>
      </c>
    </row>
    <row r="139" s="98" customFormat="1" customHeight="1" spans="1:20">
      <c r="A139" s="170" t="s">
        <v>2628</v>
      </c>
      <c r="B139" s="170" t="s">
        <v>165</v>
      </c>
      <c r="C139" s="170" t="s">
        <v>2629</v>
      </c>
      <c r="D139" s="21">
        <v>13870213240</v>
      </c>
      <c r="E139" s="163" t="s">
        <v>156</v>
      </c>
      <c r="F139" s="170" t="s">
        <v>14</v>
      </c>
      <c r="G139" s="99">
        <v>202101001</v>
      </c>
      <c r="H139" s="163" t="s">
        <v>157</v>
      </c>
      <c r="I139" s="163" t="s">
        <v>233</v>
      </c>
      <c r="J139" s="163" t="s">
        <v>454</v>
      </c>
      <c r="K139" s="163" t="s">
        <v>170</v>
      </c>
      <c r="L139" s="163" t="s">
        <v>2550</v>
      </c>
      <c r="M139" s="163" t="s">
        <v>638</v>
      </c>
      <c r="N139" s="163" t="s">
        <v>2631</v>
      </c>
      <c r="O139" s="100" t="str">
        <f>_xlfn.DISPIMG("ID_CBC3FBFBAE354D589BD3606A77A20D02",1)</f>
        <v>=DISPIMG("ID_CBC3FBFBAE354D589BD3606A77A20D02",1)</v>
      </c>
      <c r="P139" s="99" t="s">
        <v>2632</v>
      </c>
      <c r="Q139" s="21">
        <v>316</v>
      </c>
      <c r="R139" s="101" t="s">
        <v>4454</v>
      </c>
      <c r="S139" s="102" t="s">
        <v>43</v>
      </c>
      <c r="T139" s="99">
        <v>13</v>
      </c>
    </row>
    <row r="140" s="3" customFormat="1" customHeight="1" spans="1:20">
      <c r="A140" s="166" t="s">
        <v>2635</v>
      </c>
      <c r="B140" s="166" t="s">
        <v>165</v>
      </c>
      <c r="C140" s="166" t="s">
        <v>2636</v>
      </c>
      <c r="D140" s="11">
        <v>15170208662</v>
      </c>
      <c r="E140" s="167" t="s">
        <v>156</v>
      </c>
      <c r="F140" s="166" t="s">
        <v>14</v>
      </c>
      <c r="G140" s="9">
        <v>202102001</v>
      </c>
      <c r="H140" s="167" t="s">
        <v>157</v>
      </c>
      <c r="I140" s="167" t="s">
        <v>233</v>
      </c>
      <c r="J140" s="167" t="s">
        <v>454</v>
      </c>
      <c r="K140" s="167" t="s">
        <v>170</v>
      </c>
      <c r="L140" s="167" t="s">
        <v>349</v>
      </c>
      <c r="M140" s="167" t="s">
        <v>2638</v>
      </c>
      <c r="N140" s="167" t="s">
        <v>2639</v>
      </c>
      <c r="O140" s="12" t="str">
        <f>_xlfn.DISPIMG("ID_E1D95DAB49404461BEFC75E6320DFECC",1)</f>
        <v>=DISPIMG("ID_E1D95DAB49404461BEFC75E6320DFECC",1)</v>
      </c>
      <c r="P140" s="9" t="s">
        <v>2640</v>
      </c>
      <c r="Q140" s="11">
        <v>317</v>
      </c>
      <c r="R140" s="78" t="s">
        <v>4455</v>
      </c>
      <c r="S140" s="19" t="s">
        <v>43</v>
      </c>
      <c r="T140" s="9">
        <v>24</v>
      </c>
    </row>
    <row r="141" s="3" customFormat="1" customHeight="1" spans="1:20">
      <c r="A141" s="166" t="s">
        <v>2659</v>
      </c>
      <c r="B141" s="166" t="s">
        <v>165</v>
      </c>
      <c r="C141" s="166" t="s">
        <v>2660</v>
      </c>
      <c r="D141" s="11">
        <v>13627065761</v>
      </c>
      <c r="E141" s="167" t="s">
        <v>156</v>
      </c>
      <c r="F141" s="166" t="s">
        <v>14</v>
      </c>
      <c r="G141" s="9">
        <v>202102001</v>
      </c>
      <c r="H141" s="167" t="s">
        <v>157</v>
      </c>
      <c r="I141" s="167" t="s">
        <v>269</v>
      </c>
      <c r="J141" s="167" t="s">
        <v>454</v>
      </c>
      <c r="K141" s="167" t="s">
        <v>170</v>
      </c>
      <c r="L141" s="167" t="s">
        <v>161</v>
      </c>
      <c r="M141" s="167" t="s">
        <v>26</v>
      </c>
      <c r="N141" s="167" t="s">
        <v>2662</v>
      </c>
      <c r="O141" s="12" t="str">
        <f>_xlfn.DISPIMG("ID_4750BE615CAB4B2790251BC514AE2277",1)</f>
        <v>=DISPIMG("ID_4750BE615CAB4B2790251BC514AE2277",1)</v>
      </c>
      <c r="P141" s="9" t="s">
        <v>2663</v>
      </c>
      <c r="Q141" s="11">
        <v>320</v>
      </c>
      <c r="R141" s="78" t="s">
        <v>4456</v>
      </c>
      <c r="S141" s="19" t="s">
        <v>43</v>
      </c>
      <c r="T141" s="9">
        <v>25</v>
      </c>
    </row>
    <row r="142" s="3" customFormat="1" customHeight="1" spans="1:20">
      <c r="A142" s="166" t="s">
        <v>2726</v>
      </c>
      <c r="B142" s="166" t="s">
        <v>165</v>
      </c>
      <c r="C142" s="166" t="s">
        <v>2727</v>
      </c>
      <c r="D142" s="11">
        <v>18770822590</v>
      </c>
      <c r="E142" s="167" t="s">
        <v>156</v>
      </c>
      <c r="F142" s="166" t="s">
        <v>14</v>
      </c>
      <c r="G142" s="9">
        <v>202102001</v>
      </c>
      <c r="H142" s="167" t="s">
        <v>157</v>
      </c>
      <c r="I142" s="167" t="s">
        <v>233</v>
      </c>
      <c r="J142" s="167" t="s">
        <v>1570</v>
      </c>
      <c r="K142" s="167" t="s">
        <v>160</v>
      </c>
      <c r="L142" s="167" t="s">
        <v>252</v>
      </c>
      <c r="M142" s="167" t="s">
        <v>26</v>
      </c>
      <c r="N142" s="167" t="s">
        <v>2728</v>
      </c>
      <c r="O142" s="12" t="str">
        <f>_xlfn.DISPIMG("ID_BA1DF7BF960547A0983F8DB11C878B07",1)</f>
        <v>=DISPIMG("ID_BA1DF7BF960547A0983F8DB11C878B07",1)</v>
      </c>
      <c r="P142" s="9" t="s">
        <v>2729</v>
      </c>
      <c r="Q142" s="11">
        <v>329</v>
      </c>
      <c r="R142" s="78" t="s">
        <v>4457</v>
      </c>
      <c r="S142" s="19" t="s">
        <v>45</v>
      </c>
      <c r="T142" s="9">
        <v>6</v>
      </c>
    </row>
    <row r="143" s="3" customFormat="1" customHeight="1" spans="1:20">
      <c r="A143" s="166" t="s">
        <v>2767</v>
      </c>
      <c r="B143" s="166" t="s">
        <v>165</v>
      </c>
      <c r="C143" s="166" t="s">
        <v>2768</v>
      </c>
      <c r="D143" s="11">
        <v>18270257502</v>
      </c>
      <c r="E143" s="167" t="s">
        <v>506</v>
      </c>
      <c r="F143" s="166" t="s">
        <v>14</v>
      </c>
      <c r="G143" s="9">
        <v>202102014</v>
      </c>
      <c r="H143" s="167" t="s">
        <v>279</v>
      </c>
      <c r="I143" s="167" t="s">
        <v>367</v>
      </c>
      <c r="J143" s="167" t="s">
        <v>1878</v>
      </c>
      <c r="K143" s="167" t="s">
        <v>170</v>
      </c>
      <c r="L143" s="167" t="s">
        <v>161</v>
      </c>
      <c r="M143" s="167" t="s">
        <v>14</v>
      </c>
      <c r="N143" s="167" t="s">
        <v>2770</v>
      </c>
      <c r="O143" s="12" t="str">
        <f>_xlfn.DISPIMG("ID_599781AB8A9B405FA1C45AEDC9F43F4B",1)</f>
        <v>=DISPIMG("ID_599781AB8A9B405FA1C45AEDC9F43F4B",1)</v>
      </c>
      <c r="P143" s="9" t="s">
        <v>2771</v>
      </c>
      <c r="Q143" s="11">
        <v>335</v>
      </c>
      <c r="R143" s="78" t="s">
        <v>4458</v>
      </c>
      <c r="S143" s="19" t="s">
        <v>45</v>
      </c>
      <c r="T143" s="9">
        <v>7</v>
      </c>
    </row>
    <row r="144" s="98" customFormat="1" customHeight="1" spans="1:20">
      <c r="A144" s="170" t="s">
        <v>2976</v>
      </c>
      <c r="B144" s="170" t="s">
        <v>165</v>
      </c>
      <c r="C144" s="170" t="s">
        <v>2977</v>
      </c>
      <c r="D144" s="21">
        <v>18370138345</v>
      </c>
      <c r="E144" s="163" t="s">
        <v>156</v>
      </c>
      <c r="F144" s="170" t="s">
        <v>14</v>
      </c>
      <c r="G144" s="99">
        <v>202101001</v>
      </c>
      <c r="H144" s="163" t="s">
        <v>279</v>
      </c>
      <c r="I144" s="163" t="s">
        <v>367</v>
      </c>
      <c r="J144" s="163" t="s">
        <v>348</v>
      </c>
      <c r="K144" s="163" t="s">
        <v>170</v>
      </c>
      <c r="L144" s="163" t="s">
        <v>199</v>
      </c>
      <c r="M144" s="163" t="s">
        <v>2031</v>
      </c>
      <c r="N144" s="163" t="s">
        <v>2979</v>
      </c>
      <c r="O144" s="100" t="str">
        <f>_xlfn.DISPIMG("ID_4F34FA9D170F4006AB964A8F2850EA2E",1)</f>
        <v>=DISPIMG("ID_4F34FA9D170F4006AB964A8F2850EA2E",1)</v>
      </c>
      <c r="P144" s="99" t="s">
        <v>2980</v>
      </c>
      <c r="Q144" s="21">
        <v>366</v>
      </c>
      <c r="R144" s="101" t="s">
        <v>4459</v>
      </c>
      <c r="S144" s="102" t="s">
        <v>45</v>
      </c>
      <c r="T144" s="99">
        <v>18</v>
      </c>
    </row>
    <row r="145" s="3" customFormat="1" customHeight="1" spans="1:20">
      <c r="A145" s="166" t="s">
        <v>2991</v>
      </c>
      <c r="B145" s="166" t="s">
        <v>165</v>
      </c>
      <c r="C145" s="166" t="s">
        <v>2992</v>
      </c>
      <c r="D145" s="11">
        <v>18720220590</v>
      </c>
      <c r="E145" s="167" t="s">
        <v>156</v>
      </c>
      <c r="F145" s="166" t="s">
        <v>14</v>
      </c>
      <c r="G145" s="9">
        <v>202102001</v>
      </c>
      <c r="H145" s="167" t="s">
        <v>157</v>
      </c>
      <c r="I145" s="167" t="s">
        <v>611</v>
      </c>
      <c r="J145" s="167" t="s">
        <v>179</v>
      </c>
      <c r="K145" s="167" t="s">
        <v>160</v>
      </c>
      <c r="L145" s="167" t="s">
        <v>216</v>
      </c>
      <c r="M145" s="167" t="s">
        <v>14</v>
      </c>
      <c r="N145" s="11">
        <v>0</v>
      </c>
      <c r="O145" s="12" t="str">
        <f>_xlfn.DISPIMG("ID_AFAEC7F47E5847F688912010DE531FF7",1)</f>
        <v>=DISPIMG("ID_AFAEC7F47E5847F688912010DE531FF7",1)</v>
      </c>
      <c r="P145" s="9" t="s">
        <v>2994</v>
      </c>
      <c r="Q145" s="11">
        <v>368</v>
      </c>
      <c r="R145" s="78" t="s">
        <v>4460</v>
      </c>
      <c r="S145" s="19" t="s">
        <v>45</v>
      </c>
      <c r="T145" s="9">
        <v>19</v>
      </c>
    </row>
    <row r="146" s="3" customFormat="1" customHeight="1" spans="1:20">
      <c r="A146" s="166" t="s">
        <v>3036</v>
      </c>
      <c r="B146" s="166" t="s">
        <v>165</v>
      </c>
      <c r="C146" s="166" t="s">
        <v>3037</v>
      </c>
      <c r="D146" s="11">
        <v>13755268380</v>
      </c>
      <c r="E146" s="167" t="s">
        <v>156</v>
      </c>
      <c r="F146" s="166" t="s">
        <v>14</v>
      </c>
      <c r="G146" s="9">
        <v>202102001</v>
      </c>
      <c r="H146" s="167" t="s">
        <v>279</v>
      </c>
      <c r="I146" s="167" t="s">
        <v>1674</v>
      </c>
      <c r="J146" s="167" t="s">
        <v>348</v>
      </c>
      <c r="K146" s="167" t="s">
        <v>170</v>
      </c>
      <c r="L146" s="167" t="s">
        <v>3039</v>
      </c>
      <c r="M146" s="167" t="s">
        <v>2395</v>
      </c>
      <c r="N146" s="167" t="s">
        <v>3040</v>
      </c>
      <c r="O146" s="12" t="str">
        <f>_xlfn.DISPIMG("ID_BCD8D492551D473299BE1D3404EC1A74",1)</f>
        <v>=DISPIMG("ID_BCD8D492551D473299BE1D3404EC1A74",1)</v>
      </c>
      <c r="P146" s="9" t="s">
        <v>3041</v>
      </c>
      <c r="Q146" s="11">
        <v>375</v>
      </c>
      <c r="R146" s="78" t="s">
        <v>4461</v>
      </c>
      <c r="S146" s="19" t="s">
        <v>45</v>
      </c>
      <c r="T146" s="9">
        <v>30</v>
      </c>
    </row>
    <row r="147" s="3" customFormat="1" customHeight="1" spans="1:20">
      <c r="A147" s="166" t="s">
        <v>3058</v>
      </c>
      <c r="B147" s="166" t="s">
        <v>165</v>
      </c>
      <c r="C147" s="166" t="s">
        <v>3059</v>
      </c>
      <c r="D147" s="11">
        <v>18616047542</v>
      </c>
      <c r="E147" s="167" t="s">
        <v>156</v>
      </c>
      <c r="F147" s="166" t="s">
        <v>14</v>
      </c>
      <c r="G147" s="9">
        <v>202102001</v>
      </c>
      <c r="H147" s="167" t="s">
        <v>157</v>
      </c>
      <c r="I147" s="167" t="s">
        <v>233</v>
      </c>
      <c r="J147" s="167" t="s">
        <v>1489</v>
      </c>
      <c r="K147" s="167" t="s">
        <v>170</v>
      </c>
      <c r="L147" s="167" t="s">
        <v>3061</v>
      </c>
      <c r="M147" s="167" t="s">
        <v>3062</v>
      </c>
      <c r="N147" s="167" t="s">
        <v>3063</v>
      </c>
      <c r="O147" s="12" t="str">
        <f>_xlfn.DISPIMG("ID_0F24A07024DD4EC28C638A81C28E0099",1)</f>
        <v>=DISPIMG("ID_0F24A07024DD4EC28C638A81C28E0099",1)</v>
      </c>
      <c r="P147" s="9" t="s">
        <v>3064</v>
      </c>
      <c r="Q147" s="11">
        <v>378</v>
      </c>
      <c r="R147" s="78" t="s">
        <v>4462</v>
      </c>
      <c r="S147" s="19" t="s">
        <v>45</v>
      </c>
      <c r="T147" s="9">
        <v>5</v>
      </c>
    </row>
    <row r="148" s="3" customFormat="1" customHeight="1" spans="1:20">
      <c r="A148" s="166" t="s">
        <v>3067</v>
      </c>
      <c r="B148" s="166" t="s">
        <v>165</v>
      </c>
      <c r="C148" s="166" t="s">
        <v>3068</v>
      </c>
      <c r="D148" s="11">
        <v>18070525525</v>
      </c>
      <c r="E148" s="167" t="s">
        <v>156</v>
      </c>
      <c r="F148" s="166" t="s">
        <v>14</v>
      </c>
      <c r="G148" s="9">
        <v>202102001</v>
      </c>
      <c r="H148" s="167" t="s">
        <v>157</v>
      </c>
      <c r="I148" s="167" t="s">
        <v>3070</v>
      </c>
      <c r="J148" s="167" t="s">
        <v>454</v>
      </c>
      <c r="K148" s="167" t="s">
        <v>170</v>
      </c>
      <c r="L148" s="167" t="s">
        <v>577</v>
      </c>
      <c r="M148" s="167" t="s">
        <v>1579</v>
      </c>
      <c r="N148" s="167" t="s">
        <v>3071</v>
      </c>
      <c r="O148" s="12" t="str">
        <f>_xlfn.DISPIMG("ID_2CCF9645E24E4A3B81BAE72B8AED314D",1)</f>
        <v>=DISPIMG("ID_2CCF9645E24E4A3B81BAE72B8AED314D",1)</v>
      </c>
      <c r="P148" s="9" t="s">
        <v>3072</v>
      </c>
      <c r="Q148" s="11">
        <v>379</v>
      </c>
      <c r="R148" s="78" t="s">
        <v>4463</v>
      </c>
      <c r="S148" s="19" t="s">
        <v>45</v>
      </c>
      <c r="T148" s="9">
        <v>8</v>
      </c>
    </row>
    <row r="149" s="3" customFormat="1" customHeight="1" spans="1:20">
      <c r="A149" s="166" t="s">
        <v>3166</v>
      </c>
      <c r="B149" s="166" t="s">
        <v>165</v>
      </c>
      <c r="C149" s="166" t="s">
        <v>3167</v>
      </c>
      <c r="D149" s="11">
        <v>18797976473</v>
      </c>
      <c r="E149" s="167" t="s">
        <v>156</v>
      </c>
      <c r="F149" s="166" t="s">
        <v>14</v>
      </c>
      <c r="G149" s="9">
        <v>202102001</v>
      </c>
      <c r="H149" s="167" t="s">
        <v>157</v>
      </c>
      <c r="I149" s="167" t="s">
        <v>158</v>
      </c>
      <c r="J149" s="167" t="s">
        <v>395</v>
      </c>
      <c r="K149" s="167" t="s">
        <v>160</v>
      </c>
      <c r="L149" s="167" t="s">
        <v>587</v>
      </c>
      <c r="M149" s="167" t="s">
        <v>14</v>
      </c>
      <c r="N149" s="11">
        <v>0</v>
      </c>
      <c r="O149" s="12" t="str">
        <f>_xlfn.DISPIMG("ID_F2E559AD12664A6E81B51441D537B134",1)</f>
        <v>=DISPIMG("ID_F2E559AD12664A6E81B51441D537B134",1)</v>
      </c>
      <c r="P149" s="9" t="s">
        <v>3169</v>
      </c>
      <c r="Q149" s="11">
        <v>393</v>
      </c>
      <c r="R149" s="78" t="s">
        <v>4464</v>
      </c>
      <c r="S149" s="19" t="s">
        <v>45</v>
      </c>
      <c r="T149" s="9">
        <v>17</v>
      </c>
    </row>
    <row r="150" s="3" customFormat="1" customHeight="1" spans="1:20">
      <c r="A150" s="166" t="s">
        <v>3268</v>
      </c>
      <c r="B150" s="166" t="s">
        <v>165</v>
      </c>
      <c r="C150" s="166" t="s">
        <v>3269</v>
      </c>
      <c r="D150" s="11">
        <v>18770914454</v>
      </c>
      <c r="E150" s="167" t="s">
        <v>156</v>
      </c>
      <c r="F150" s="166" t="s">
        <v>14</v>
      </c>
      <c r="G150" s="9">
        <v>202102001</v>
      </c>
      <c r="H150" s="167" t="s">
        <v>279</v>
      </c>
      <c r="I150" s="167" t="s">
        <v>178</v>
      </c>
      <c r="J150" s="167" t="s">
        <v>348</v>
      </c>
      <c r="K150" s="167" t="s">
        <v>170</v>
      </c>
      <c r="L150" s="167" t="s">
        <v>216</v>
      </c>
      <c r="M150" s="167" t="s">
        <v>638</v>
      </c>
      <c r="N150" s="167" t="s">
        <v>3271</v>
      </c>
      <c r="O150" s="12" t="str">
        <f>_xlfn.DISPIMG("ID_A7E75D79E714426086202D465053808C",1)</f>
        <v>=DISPIMG("ID_A7E75D79E714426086202D465053808C",1)</v>
      </c>
      <c r="P150" s="9" t="s">
        <v>3272</v>
      </c>
      <c r="Q150" s="11">
        <v>408</v>
      </c>
      <c r="R150" s="78" t="s">
        <v>4465</v>
      </c>
      <c r="S150" s="19" t="s">
        <v>45</v>
      </c>
      <c r="T150" s="9">
        <v>20</v>
      </c>
    </row>
    <row r="151" s="3" customFormat="1" customHeight="1" spans="1:20">
      <c r="A151" s="166" t="s">
        <v>3283</v>
      </c>
      <c r="B151" s="166" t="s">
        <v>165</v>
      </c>
      <c r="C151" s="166" t="s">
        <v>3284</v>
      </c>
      <c r="D151" s="11">
        <v>18970283911</v>
      </c>
      <c r="E151" s="167" t="s">
        <v>156</v>
      </c>
      <c r="F151" s="166" t="s">
        <v>14</v>
      </c>
      <c r="G151" s="9">
        <v>202102001</v>
      </c>
      <c r="H151" s="167" t="s">
        <v>157</v>
      </c>
      <c r="I151" s="167" t="s">
        <v>178</v>
      </c>
      <c r="J151" s="167" t="s">
        <v>3286</v>
      </c>
      <c r="K151" s="167" t="s">
        <v>170</v>
      </c>
      <c r="L151" s="167" t="s">
        <v>199</v>
      </c>
      <c r="M151" s="167" t="s">
        <v>14</v>
      </c>
      <c r="N151" s="167" t="s">
        <v>3287</v>
      </c>
      <c r="O151" s="12" t="str">
        <f>_xlfn.DISPIMG("ID_CEC6054CEEDC4B7EB64CEFDE8D077DB1",1)</f>
        <v>=DISPIMG("ID_CEC6054CEEDC4B7EB64CEFDE8D077DB1",1)</v>
      </c>
      <c r="P151" s="9" t="s">
        <v>3288</v>
      </c>
      <c r="Q151" s="11">
        <v>410</v>
      </c>
      <c r="R151" s="78" t="s">
        <v>4466</v>
      </c>
      <c r="S151" s="19" t="s">
        <v>45</v>
      </c>
      <c r="T151" s="9">
        <v>29</v>
      </c>
    </row>
    <row r="152" s="3" customFormat="1" customHeight="1" spans="1:20">
      <c r="A152" s="166" t="s">
        <v>3374</v>
      </c>
      <c r="B152" s="166" t="s">
        <v>165</v>
      </c>
      <c r="C152" s="166" t="s">
        <v>3375</v>
      </c>
      <c r="D152" s="11">
        <v>18879135233</v>
      </c>
      <c r="E152" s="167" t="s">
        <v>156</v>
      </c>
      <c r="F152" s="166" t="s">
        <v>14</v>
      </c>
      <c r="G152" s="9">
        <v>202102001</v>
      </c>
      <c r="H152" s="167" t="s">
        <v>279</v>
      </c>
      <c r="I152" s="167" t="s">
        <v>339</v>
      </c>
      <c r="J152" s="167" t="s">
        <v>1950</v>
      </c>
      <c r="K152" s="167" t="s">
        <v>170</v>
      </c>
      <c r="L152" s="167" t="s">
        <v>216</v>
      </c>
      <c r="M152" s="167" t="s">
        <v>350</v>
      </c>
      <c r="N152" s="167" t="s">
        <v>3377</v>
      </c>
      <c r="O152" s="12" t="str">
        <f>_xlfn.DISPIMG("ID_A4F86B02E8AC4C77B083B94B4997B486",1)</f>
        <v>=DISPIMG("ID_A4F86B02E8AC4C77B083B94B4997B486",1)</v>
      </c>
      <c r="P152" s="9" t="s">
        <v>3378</v>
      </c>
      <c r="Q152" s="11">
        <v>425</v>
      </c>
      <c r="R152" s="78" t="s">
        <v>4467</v>
      </c>
      <c r="S152" s="19" t="s">
        <v>45</v>
      </c>
      <c r="T152" s="9">
        <v>4</v>
      </c>
    </row>
    <row r="153" s="3" customFormat="1" customHeight="1" spans="1:20">
      <c r="A153" s="166" t="s">
        <v>3381</v>
      </c>
      <c r="B153" s="166" t="s">
        <v>165</v>
      </c>
      <c r="C153" s="166" t="s">
        <v>3382</v>
      </c>
      <c r="D153" s="11">
        <v>15070017489</v>
      </c>
      <c r="E153" s="167" t="s">
        <v>156</v>
      </c>
      <c r="F153" s="166" t="s">
        <v>14</v>
      </c>
      <c r="G153" s="9">
        <v>202102001</v>
      </c>
      <c r="H153" s="167" t="s">
        <v>157</v>
      </c>
      <c r="I153" s="167" t="s">
        <v>1121</v>
      </c>
      <c r="J153" s="167" t="s">
        <v>1832</v>
      </c>
      <c r="K153" s="167" t="s">
        <v>160</v>
      </c>
      <c r="L153" s="167" t="s">
        <v>199</v>
      </c>
      <c r="M153" s="167" t="s">
        <v>14</v>
      </c>
      <c r="N153" s="11">
        <v>0</v>
      </c>
      <c r="O153" s="12" t="str">
        <f>_xlfn.DISPIMG("ID_755EB9C887424753BE38DCDA04F5D53F",1)</f>
        <v>=DISPIMG("ID_755EB9C887424753BE38DCDA04F5D53F",1)</v>
      </c>
      <c r="P153" s="9" t="s">
        <v>3384</v>
      </c>
      <c r="Q153" s="11">
        <v>426</v>
      </c>
      <c r="R153" s="78" t="s">
        <v>4468</v>
      </c>
      <c r="S153" s="19" t="s">
        <v>45</v>
      </c>
      <c r="T153" s="9">
        <v>9</v>
      </c>
    </row>
    <row r="154" s="3" customFormat="1" customHeight="1" spans="1:20">
      <c r="A154" s="166" t="s">
        <v>3436</v>
      </c>
      <c r="B154" s="166" t="s">
        <v>165</v>
      </c>
      <c r="C154" s="166" t="s">
        <v>3437</v>
      </c>
      <c r="D154" s="11">
        <v>15396816962</v>
      </c>
      <c r="E154" s="167" t="s">
        <v>156</v>
      </c>
      <c r="F154" s="166" t="s">
        <v>14</v>
      </c>
      <c r="G154" s="9">
        <v>202102001</v>
      </c>
      <c r="H154" s="167" t="s">
        <v>279</v>
      </c>
      <c r="I154" s="167" t="s">
        <v>367</v>
      </c>
      <c r="J154" s="167" t="s">
        <v>348</v>
      </c>
      <c r="K154" s="167" t="s">
        <v>170</v>
      </c>
      <c r="L154" s="167" t="s">
        <v>180</v>
      </c>
      <c r="M154" s="167" t="s">
        <v>638</v>
      </c>
      <c r="N154" s="167" t="s">
        <v>3439</v>
      </c>
      <c r="O154" s="12" t="str">
        <f>_xlfn.DISPIMG("ID_82244367FBEE45C5B0219468F4CFBAF4",1)</f>
        <v>=DISPIMG("ID_82244367FBEE45C5B0219468F4CFBAF4",1)</v>
      </c>
      <c r="P154" s="9" t="s">
        <v>3440</v>
      </c>
      <c r="Q154" s="11">
        <v>434</v>
      </c>
      <c r="R154" s="78" t="s">
        <v>4469</v>
      </c>
      <c r="S154" s="19" t="s">
        <v>45</v>
      </c>
      <c r="T154" s="9">
        <v>16</v>
      </c>
    </row>
    <row r="155" s="3" customFormat="1" customHeight="1" spans="1:20">
      <c r="A155" s="166" t="s">
        <v>3494</v>
      </c>
      <c r="B155" s="166" t="s">
        <v>165</v>
      </c>
      <c r="C155" s="166" t="s">
        <v>3495</v>
      </c>
      <c r="D155" s="11">
        <v>18000225971</v>
      </c>
      <c r="E155" s="167" t="s">
        <v>156</v>
      </c>
      <c r="F155" s="166" t="s">
        <v>14</v>
      </c>
      <c r="G155" s="9">
        <v>202102001</v>
      </c>
      <c r="H155" s="167" t="s">
        <v>157</v>
      </c>
      <c r="I155" s="167" t="s">
        <v>158</v>
      </c>
      <c r="J155" s="167" t="s">
        <v>348</v>
      </c>
      <c r="K155" s="167" t="s">
        <v>170</v>
      </c>
      <c r="L155" s="167" t="s">
        <v>349</v>
      </c>
      <c r="M155" s="167" t="s">
        <v>689</v>
      </c>
      <c r="N155" s="167" t="s">
        <v>3496</v>
      </c>
      <c r="O155" s="12" t="str">
        <f>_xlfn.DISPIMG("ID_92399A40D7B44F3B89AA85711A99D812",1)</f>
        <v>=DISPIMG("ID_92399A40D7B44F3B89AA85711A99D812",1)</v>
      </c>
      <c r="P155" s="9" t="s">
        <v>3497</v>
      </c>
      <c r="Q155" s="11">
        <v>442</v>
      </c>
      <c r="R155" s="78" t="s">
        <v>4470</v>
      </c>
      <c r="S155" s="19" t="s">
        <v>45</v>
      </c>
      <c r="T155" s="9">
        <v>21</v>
      </c>
    </row>
    <row r="156" s="4" customFormat="1" customHeight="1" spans="1:20">
      <c r="A156" s="166" t="s">
        <v>3500</v>
      </c>
      <c r="B156" s="166" t="s">
        <v>165</v>
      </c>
      <c r="C156" s="166" t="s">
        <v>3501</v>
      </c>
      <c r="D156" s="11">
        <v>15070192175</v>
      </c>
      <c r="E156" s="167" t="s">
        <v>156</v>
      </c>
      <c r="F156" s="166" t="s">
        <v>14</v>
      </c>
      <c r="G156" s="9">
        <v>202102001</v>
      </c>
      <c r="H156" s="167" t="s">
        <v>279</v>
      </c>
      <c r="I156" s="167" t="s">
        <v>1545</v>
      </c>
      <c r="J156" s="167" t="s">
        <v>348</v>
      </c>
      <c r="K156" s="167" t="s">
        <v>170</v>
      </c>
      <c r="L156" s="167" t="s">
        <v>577</v>
      </c>
      <c r="M156" s="167" t="s">
        <v>638</v>
      </c>
      <c r="N156" s="167" t="s">
        <v>3503</v>
      </c>
      <c r="O156" s="12" t="str">
        <f>_xlfn.DISPIMG("ID_582DA32893494A1CB2F261C9DF30C5FF",1)</f>
        <v>=DISPIMG("ID_582DA32893494A1CB2F261C9DF30C5FF",1)</v>
      </c>
      <c r="P156" s="9" t="s">
        <v>3504</v>
      </c>
      <c r="Q156" s="11">
        <v>443</v>
      </c>
      <c r="R156" s="78" t="s">
        <v>4471</v>
      </c>
      <c r="S156" s="19" t="s">
        <v>45</v>
      </c>
      <c r="T156" s="9">
        <v>28</v>
      </c>
    </row>
    <row r="157" s="3" customFormat="1" customHeight="1" spans="1:20">
      <c r="A157" s="166" t="s">
        <v>3602</v>
      </c>
      <c r="B157" s="166" t="s">
        <v>165</v>
      </c>
      <c r="C157" s="166" t="s">
        <v>3603</v>
      </c>
      <c r="D157" s="11">
        <v>18507927596</v>
      </c>
      <c r="E157" s="167" t="s">
        <v>156</v>
      </c>
      <c r="F157" s="166" t="s">
        <v>14</v>
      </c>
      <c r="G157" s="9">
        <v>202102001</v>
      </c>
      <c r="H157" s="167" t="s">
        <v>279</v>
      </c>
      <c r="I157" s="167" t="s">
        <v>158</v>
      </c>
      <c r="J157" s="167" t="s">
        <v>348</v>
      </c>
      <c r="K157" s="167" t="s">
        <v>170</v>
      </c>
      <c r="L157" s="167" t="s">
        <v>281</v>
      </c>
      <c r="M157" s="167" t="s">
        <v>14</v>
      </c>
      <c r="N157" s="167" t="s">
        <v>3604</v>
      </c>
      <c r="O157" s="12" t="str">
        <f>_xlfn.DISPIMG("ID_ADF263347E1B436A9E9869CDB170C299",1)</f>
        <v>=DISPIMG("ID_ADF263347E1B436A9E9869CDB170C299",1)</v>
      </c>
      <c r="P157" s="9" t="s">
        <v>3605</v>
      </c>
      <c r="Q157" s="11">
        <v>458</v>
      </c>
      <c r="R157" s="78" t="s">
        <v>4472</v>
      </c>
      <c r="S157" s="19" t="s">
        <v>45</v>
      </c>
      <c r="T157" s="9">
        <v>3</v>
      </c>
    </row>
    <row r="158" s="98" customFormat="1" customHeight="1" spans="1:20">
      <c r="A158" s="170" t="s">
        <v>3639</v>
      </c>
      <c r="B158" s="170" t="s">
        <v>165</v>
      </c>
      <c r="C158" s="170" t="s">
        <v>3640</v>
      </c>
      <c r="D158" s="21">
        <v>18370771770</v>
      </c>
      <c r="E158" s="163" t="s">
        <v>268</v>
      </c>
      <c r="F158" s="170" t="s">
        <v>14</v>
      </c>
      <c r="G158" s="99">
        <v>202102001</v>
      </c>
      <c r="H158" s="163" t="s">
        <v>157</v>
      </c>
      <c r="I158" s="163" t="s">
        <v>1413</v>
      </c>
      <c r="J158" s="163" t="s">
        <v>3642</v>
      </c>
      <c r="K158" s="163" t="s">
        <v>170</v>
      </c>
      <c r="L158" s="163" t="s">
        <v>161</v>
      </c>
      <c r="M158" s="163" t="s">
        <v>350</v>
      </c>
      <c r="N158" s="163" t="s">
        <v>3643</v>
      </c>
      <c r="O158" s="100" t="str">
        <f>_xlfn.DISPIMG("ID_711901E3E72645DEB928FFCE78C71328",1)</f>
        <v>=DISPIMG("ID_711901E3E72645DEB928FFCE78C71328",1)</v>
      </c>
      <c r="P158" s="99" t="s">
        <v>3644</v>
      </c>
      <c r="Q158" s="21">
        <v>463</v>
      </c>
      <c r="R158" s="101" t="s">
        <v>4473</v>
      </c>
      <c r="S158" s="102" t="s">
        <v>45</v>
      </c>
      <c r="T158" s="99">
        <v>10</v>
      </c>
    </row>
    <row r="159" s="3" customFormat="1" customHeight="1" spans="1:20">
      <c r="A159" s="166" t="s">
        <v>3705</v>
      </c>
      <c r="B159" s="166" t="s">
        <v>165</v>
      </c>
      <c r="C159" s="166" t="s">
        <v>3706</v>
      </c>
      <c r="D159" s="11">
        <v>15079123471</v>
      </c>
      <c r="E159" s="167" t="s">
        <v>156</v>
      </c>
      <c r="F159" s="166" t="s">
        <v>14</v>
      </c>
      <c r="G159" s="9">
        <v>202102011</v>
      </c>
      <c r="H159" s="167" t="s">
        <v>157</v>
      </c>
      <c r="I159" s="167" t="s">
        <v>233</v>
      </c>
      <c r="J159" s="167" t="s">
        <v>3708</v>
      </c>
      <c r="K159" s="167" t="s">
        <v>170</v>
      </c>
      <c r="L159" s="167" t="s">
        <v>216</v>
      </c>
      <c r="M159" s="167" t="s">
        <v>14</v>
      </c>
      <c r="N159" s="167" t="s">
        <v>3709</v>
      </c>
      <c r="O159" s="12" t="str">
        <f>_xlfn.DISPIMG("ID_BF7D6285C9C043E7887E7AA2FA4C62A7",1)</f>
        <v>=DISPIMG("ID_BF7D6285C9C043E7887E7AA2FA4C62A7",1)</v>
      </c>
      <c r="P159" s="9" t="s">
        <v>3710</v>
      </c>
      <c r="Q159" s="20">
        <v>472</v>
      </c>
      <c r="R159" s="78" t="s">
        <v>4474</v>
      </c>
      <c r="S159" s="19" t="s">
        <v>45</v>
      </c>
      <c r="T159" s="9">
        <v>15</v>
      </c>
    </row>
    <row r="160" s="3" customFormat="1" customHeight="1" spans="1:20">
      <c r="A160" s="166" t="s">
        <v>3773</v>
      </c>
      <c r="B160" s="166" t="s">
        <v>165</v>
      </c>
      <c r="C160" s="166" t="s">
        <v>3774</v>
      </c>
      <c r="D160" s="11">
        <v>15083553694</v>
      </c>
      <c r="E160" s="167" t="s">
        <v>156</v>
      </c>
      <c r="F160" s="166" t="s">
        <v>14</v>
      </c>
      <c r="G160" s="9">
        <v>202102001</v>
      </c>
      <c r="H160" s="167" t="s">
        <v>279</v>
      </c>
      <c r="I160" s="167" t="s">
        <v>178</v>
      </c>
      <c r="J160" s="167" t="s">
        <v>348</v>
      </c>
      <c r="K160" s="167" t="s">
        <v>170</v>
      </c>
      <c r="L160" s="167" t="s">
        <v>180</v>
      </c>
      <c r="M160" s="167" t="s">
        <v>14</v>
      </c>
      <c r="N160" s="167" t="s">
        <v>3776</v>
      </c>
      <c r="O160" s="12" t="str">
        <f>_xlfn.DISPIMG("ID_CF1C1431032D4C21956EAEFBC2630095",1)</f>
        <v>=DISPIMG("ID_CF1C1431032D4C21956EAEFBC2630095",1)</v>
      </c>
      <c r="P160" s="9" t="s">
        <v>3777</v>
      </c>
      <c r="Q160" s="20">
        <v>481</v>
      </c>
      <c r="R160" s="78" t="s">
        <v>4475</v>
      </c>
      <c r="S160" s="19" t="s">
        <v>45</v>
      </c>
      <c r="T160" s="9">
        <v>22</v>
      </c>
    </row>
    <row r="161" s="3" customFormat="1" customHeight="1" spans="1:20">
      <c r="A161" s="166" t="s">
        <v>3858</v>
      </c>
      <c r="B161" s="166" t="s">
        <v>165</v>
      </c>
      <c r="C161" s="166" t="s">
        <v>3859</v>
      </c>
      <c r="D161" s="11">
        <v>15374225748</v>
      </c>
      <c r="E161" s="167" t="s">
        <v>156</v>
      </c>
      <c r="F161" s="166" t="s">
        <v>14</v>
      </c>
      <c r="G161" s="9">
        <v>202102001</v>
      </c>
      <c r="H161" s="167" t="s">
        <v>279</v>
      </c>
      <c r="I161" s="167" t="s">
        <v>3861</v>
      </c>
      <c r="J161" s="167" t="s">
        <v>298</v>
      </c>
      <c r="K161" s="167" t="s">
        <v>160</v>
      </c>
      <c r="L161" s="167" t="s">
        <v>805</v>
      </c>
      <c r="M161" s="167" t="s">
        <v>121</v>
      </c>
      <c r="N161" s="11">
        <v>0</v>
      </c>
      <c r="O161" s="12" t="str">
        <f>_xlfn.DISPIMG("ID_8CF8C6C0A559454996AB6FB606BDA1DD",1)</f>
        <v>=DISPIMG("ID_8CF8C6C0A559454996AB6FB606BDA1DD",1)</v>
      </c>
      <c r="P161" s="9" t="s">
        <v>3862</v>
      </c>
      <c r="Q161" s="20">
        <v>492</v>
      </c>
      <c r="R161" s="78" t="s">
        <v>4476</v>
      </c>
      <c r="S161" s="19" t="s">
        <v>45</v>
      </c>
      <c r="T161" s="9">
        <v>27</v>
      </c>
    </row>
    <row r="162" s="3" customFormat="1" customHeight="1" spans="1:20">
      <c r="A162" s="166" t="s">
        <v>3881</v>
      </c>
      <c r="B162" s="166" t="s">
        <v>165</v>
      </c>
      <c r="C162" s="166" t="s">
        <v>3882</v>
      </c>
      <c r="D162" s="11">
        <v>18770914505</v>
      </c>
      <c r="E162" s="167" t="s">
        <v>156</v>
      </c>
      <c r="F162" s="166" t="s">
        <v>14</v>
      </c>
      <c r="G162" s="9">
        <v>202102001</v>
      </c>
      <c r="H162" s="167" t="s">
        <v>279</v>
      </c>
      <c r="I162" s="167" t="s">
        <v>178</v>
      </c>
      <c r="J162" s="167" t="s">
        <v>348</v>
      </c>
      <c r="K162" s="167" t="s">
        <v>170</v>
      </c>
      <c r="L162" s="167" t="s">
        <v>281</v>
      </c>
      <c r="M162" s="167" t="s">
        <v>498</v>
      </c>
      <c r="N162" s="167" t="s">
        <v>3884</v>
      </c>
      <c r="O162" s="12" t="str">
        <f>_xlfn.DISPIMG("ID_3C6B462D1CF047DC951D0874F80418DC",1)</f>
        <v>=DISPIMG("ID_3C6B462D1CF047DC951D0874F80418DC",1)</v>
      </c>
      <c r="P162" s="9" t="s">
        <v>3885</v>
      </c>
      <c r="Q162" s="20">
        <v>495</v>
      </c>
      <c r="R162" s="78" t="s">
        <v>4477</v>
      </c>
      <c r="S162" s="19" t="s">
        <v>45</v>
      </c>
      <c r="T162" s="9">
        <v>2</v>
      </c>
    </row>
    <row r="163" s="3" customFormat="1" customHeight="1" spans="1:20">
      <c r="A163" s="166" t="s">
        <v>3888</v>
      </c>
      <c r="B163" s="166" t="s">
        <v>165</v>
      </c>
      <c r="C163" s="166" t="s">
        <v>3889</v>
      </c>
      <c r="D163" s="11">
        <v>15949598955</v>
      </c>
      <c r="E163" s="167" t="s">
        <v>156</v>
      </c>
      <c r="F163" s="166" t="s">
        <v>14</v>
      </c>
      <c r="G163" s="9">
        <v>202102001</v>
      </c>
      <c r="H163" s="167" t="s">
        <v>279</v>
      </c>
      <c r="I163" s="167" t="s">
        <v>367</v>
      </c>
      <c r="J163" s="167" t="s">
        <v>348</v>
      </c>
      <c r="K163" s="167" t="s">
        <v>170</v>
      </c>
      <c r="L163" s="167" t="s">
        <v>587</v>
      </c>
      <c r="M163" s="167" t="s">
        <v>14</v>
      </c>
      <c r="N163" s="167" t="s">
        <v>3891</v>
      </c>
      <c r="O163" s="12" t="str">
        <f>_xlfn.DISPIMG("ID_2410E866E9B946F380BB65E1492A0355",1)</f>
        <v>=DISPIMG("ID_2410E866E9B946F380BB65E1492A0355",1)</v>
      </c>
      <c r="P163" s="9" t="s">
        <v>3892</v>
      </c>
      <c r="Q163" s="20">
        <v>496</v>
      </c>
      <c r="R163" s="78" t="s">
        <v>4478</v>
      </c>
      <c r="S163" s="19" t="s">
        <v>45</v>
      </c>
      <c r="T163" s="9">
        <v>11</v>
      </c>
    </row>
    <row r="164" s="3" customFormat="1" customHeight="1" spans="1:20">
      <c r="A164" s="166" t="s">
        <v>3910</v>
      </c>
      <c r="B164" s="166" t="s">
        <v>165</v>
      </c>
      <c r="C164" s="166" t="s">
        <v>3911</v>
      </c>
      <c r="D164" s="11">
        <v>13627096197</v>
      </c>
      <c r="E164" s="167" t="s">
        <v>156</v>
      </c>
      <c r="F164" s="166" t="s">
        <v>14</v>
      </c>
      <c r="G164" s="9">
        <v>202102001</v>
      </c>
      <c r="H164" s="167" t="s">
        <v>157</v>
      </c>
      <c r="I164" s="167" t="s">
        <v>233</v>
      </c>
      <c r="J164" s="167" t="s">
        <v>454</v>
      </c>
      <c r="K164" s="167" t="s">
        <v>170</v>
      </c>
      <c r="L164" s="167" t="s">
        <v>516</v>
      </c>
      <c r="M164" s="167" t="s">
        <v>3913</v>
      </c>
      <c r="N164" s="167" t="s">
        <v>3914</v>
      </c>
      <c r="O164" s="12" t="str">
        <f>_xlfn.DISPIMG("ID_2CCA277749F14624BD11838DCC078340",1)</f>
        <v>=DISPIMG("ID_2CCA277749F14624BD11838DCC078340",1)</v>
      </c>
      <c r="P164" s="9" t="s">
        <v>3915</v>
      </c>
      <c r="Q164" s="20">
        <v>499</v>
      </c>
      <c r="R164" s="78" t="s">
        <v>4479</v>
      </c>
      <c r="S164" s="19" t="s">
        <v>45</v>
      </c>
      <c r="T164" s="9">
        <v>14</v>
      </c>
    </row>
    <row r="165" s="3" customFormat="1" customHeight="1" spans="1:20">
      <c r="A165" s="166" t="s">
        <v>3931</v>
      </c>
      <c r="B165" s="166" t="s">
        <v>165</v>
      </c>
      <c r="C165" s="166" t="s">
        <v>3932</v>
      </c>
      <c r="D165" s="11">
        <v>13064153607</v>
      </c>
      <c r="E165" s="167" t="s">
        <v>156</v>
      </c>
      <c r="F165" s="166" t="s">
        <v>14</v>
      </c>
      <c r="G165" s="9">
        <v>202102001</v>
      </c>
      <c r="H165" s="167" t="s">
        <v>279</v>
      </c>
      <c r="I165" s="167" t="s">
        <v>3934</v>
      </c>
      <c r="J165" s="167" t="s">
        <v>348</v>
      </c>
      <c r="K165" s="167" t="s">
        <v>170</v>
      </c>
      <c r="L165" s="167" t="s">
        <v>349</v>
      </c>
      <c r="M165" s="167" t="s">
        <v>3935</v>
      </c>
      <c r="N165" s="167" t="s">
        <v>3936</v>
      </c>
      <c r="O165" s="12" t="str">
        <f>_xlfn.DISPIMG("ID_FD6A12B7DDFB4497A1625AEB18B6C93E",1)</f>
        <v>=DISPIMG("ID_FD6A12B7DDFB4497A1625AEB18B6C93E",1)</v>
      </c>
      <c r="P165" s="9" t="s">
        <v>3937</v>
      </c>
      <c r="Q165" s="20">
        <v>502</v>
      </c>
      <c r="R165" s="78" t="s">
        <v>4480</v>
      </c>
      <c r="S165" s="19" t="s">
        <v>45</v>
      </c>
      <c r="T165" s="9">
        <v>23</v>
      </c>
    </row>
    <row r="166" s="3" customFormat="1" customHeight="1" spans="1:20">
      <c r="A166" s="166" t="s">
        <v>4036</v>
      </c>
      <c r="B166" s="166" t="s">
        <v>165</v>
      </c>
      <c r="C166" s="166" t="s">
        <v>4037</v>
      </c>
      <c r="D166" s="11">
        <v>13755593629</v>
      </c>
      <c r="E166" s="167" t="s">
        <v>156</v>
      </c>
      <c r="F166" s="166" t="s">
        <v>14</v>
      </c>
      <c r="G166" s="9">
        <v>202102001</v>
      </c>
      <c r="H166" s="167" t="s">
        <v>279</v>
      </c>
      <c r="I166" s="167" t="s">
        <v>1545</v>
      </c>
      <c r="J166" s="167" t="s">
        <v>348</v>
      </c>
      <c r="K166" s="167" t="s">
        <v>170</v>
      </c>
      <c r="L166" s="167" t="s">
        <v>216</v>
      </c>
      <c r="M166" s="167" t="s">
        <v>14</v>
      </c>
      <c r="N166" s="167" t="s">
        <v>4039</v>
      </c>
      <c r="O166" s="12" t="str">
        <f>_xlfn.DISPIMG("ID_25A2772C2A4349D4AAD4F2B8F942612C",1)</f>
        <v>=DISPIMG("ID_25A2772C2A4349D4AAD4F2B8F942612C",1)</v>
      </c>
      <c r="P166" s="9" t="s">
        <v>4040</v>
      </c>
      <c r="Q166" s="20">
        <v>516</v>
      </c>
      <c r="R166" s="78" t="s">
        <v>4481</v>
      </c>
      <c r="S166" s="19" t="s">
        <v>45</v>
      </c>
      <c r="T166" s="9">
        <v>26</v>
      </c>
    </row>
    <row r="167" s="3" customFormat="1" customHeight="1" spans="1:20">
      <c r="A167" s="166" t="s">
        <v>4082</v>
      </c>
      <c r="B167" s="166" t="s">
        <v>165</v>
      </c>
      <c r="C167" s="166" t="s">
        <v>4083</v>
      </c>
      <c r="D167" s="11">
        <v>17352963741</v>
      </c>
      <c r="E167" s="167" t="s">
        <v>506</v>
      </c>
      <c r="F167" s="166" t="s">
        <v>14</v>
      </c>
      <c r="G167" s="9">
        <v>202102014</v>
      </c>
      <c r="H167" s="167" t="s">
        <v>157</v>
      </c>
      <c r="I167" s="167" t="s">
        <v>178</v>
      </c>
      <c r="J167" s="167" t="s">
        <v>348</v>
      </c>
      <c r="K167" s="167" t="s">
        <v>170</v>
      </c>
      <c r="L167" s="167" t="s">
        <v>548</v>
      </c>
      <c r="M167" s="167" t="s">
        <v>4084</v>
      </c>
      <c r="N167" s="167" t="s">
        <v>4085</v>
      </c>
      <c r="O167" s="12" t="str">
        <f>_xlfn.DISPIMG("ID_C5311387C2FF404D8FA717D4979E175B",1)</f>
        <v>=DISPIMG("ID_C5311387C2FF404D8FA717D4979E175B",1)</v>
      </c>
      <c r="P167" s="9" t="s">
        <v>4086</v>
      </c>
      <c r="Q167" s="20">
        <v>522</v>
      </c>
      <c r="R167" s="78" t="s">
        <v>4482</v>
      </c>
      <c r="S167" s="19" t="s">
        <v>45</v>
      </c>
      <c r="T167" s="9">
        <v>1</v>
      </c>
    </row>
    <row r="168" s="4" customFormat="1" customHeight="1" spans="1:20">
      <c r="A168" s="171" t="s">
        <v>4103</v>
      </c>
      <c r="B168" s="171" t="s">
        <v>165</v>
      </c>
      <c r="C168" s="171" t="s">
        <v>4104</v>
      </c>
      <c r="D168" s="22">
        <v>15270173371</v>
      </c>
      <c r="E168" s="164" t="s">
        <v>384</v>
      </c>
      <c r="F168" s="171" t="s">
        <v>14</v>
      </c>
      <c r="G168" s="103">
        <v>202102001</v>
      </c>
      <c r="H168" s="164" t="s">
        <v>157</v>
      </c>
      <c r="I168" s="164" t="s">
        <v>233</v>
      </c>
      <c r="J168" s="164" t="s">
        <v>454</v>
      </c>
      <c r="K168" s="164" t="s">
        <v>170</v>
      </c>
      <c r="L168" s="164" t="s">
        <v>4106</v>
      </c>
      <c r="M168" s="164" t="s">
        <v>14</v>
      </c>
      <c r="N168" s="164" t="s">
        <v>4107</v>
      </c>
      <c r="O168" s="23" t="str">
        <f>_xlfn.DISPIMG("ID_EDE9A315C64A4BE2AC2F986557EA53FC",1)</f>
        <v>=DISPIMG("ID_EDE9A315C64A4BE2AC2F986557EA53FC",1)</v>
      </c>
      <c r="P168" s="103" t="s">
        <v>4108</v>
      </c>
      <c r="Q168" s="24">
        <v>525</v>
      </c>
      <c r="R168" s="75" t="s">
        <v>4483</v>
      </c>
      <c r="S168" s="76" t="s">
        <v>45</v>
      </c>
      <c r="T168" s="103">
        <v>12</v>
      </c>
    </row>
    <row r="169" s="3" customFormat="1" customHeight="1" spans="1:20">
      <c r="A169" s="166" t="s">
        <v>4177</v>
      </c>
      <c r="B169" s="166" t="s">
        <v>165</v>
      </c>
      <c r="C169" s="166" t="s">
        <v>4178</v>
      </c>
      <c r="D169" s="11">
        <v>18759251284</v>
      </c>
      <c r="E169" s="167" t="s">
        <v>156</v>
      </c>
      <c r="F169" s="166" t="s">
        <v>14</v>
      </c>
      <c r="G169" s="9">
        <v>202102001</v>
      </c>
      <c r="H169" s="167" t="s">
        <v>157</v>
      </c>
      <c r="I169" s="167" t="s">
        <v>2363</v>
      </c>
      <c r="J169" s="167" t="s">
        <v>454</v>
      </c>
      <c r="K169" s="167" t="s">
        <v>170</v>
      </c>
      <c r="L169" s="167" t="s">
        <v>455</v>
      </c>
      <c r="M169" s="167" t="s">
        <v>26</v>
      </c>
      <c r="N169" s="167" t="s">
        <v>4180</v>
      </c>
      <c r="O169" s="12" t="str">
        <f>_xlfn.DISPIMG("ID_E9338F1098B64D83A2AE0E9576D18B92",1)</f>
        <v>=DISPIMG("ID_E9338F1098B64D83A2AE0E9576D18B92",1)</v>
      </c>
      <c r="P169" s="9" t="s">
        <v>4181</v>
      </c>
      <c r="Q169" s="20">
        <v>534</v>
      </c>
      <c r="R169" s="78" t="s">
        <v>4484</v>
      </c>
      <c r="S169" s="19" t="s">
        <v>45</v>
      </c>
      <c r="T169" s="9">
        <v>13</v>
      </c>
    </row>
    <row r="170" s="3" customFormat="1" customHeight="1" spans="1:20">
      <c r="A170" s="166" t="s">
        <v>4214</v>
      </c>
      <c r="B170" s="166" t="s">
        <v>165</v>
      </c>
      <c r="C170" s="166" t="s">
        <v>4215</v>
      </c>
      <c r="D170" s="11">
        <v>19979263918</v>
      </c>
      <c r="E170" s="167" t="s">
        <v>156</v>
      </c>
      <c r="F170" s="166" t="s">
        <v>14</v>
      </c>
      <c r="G170" s="9">
        <v>202102001</v>
      </c>
      <c r="H170" s="167" t="s">
        <v>157</v>
      </c>
      <c r="I170" s="167" t="s">
        <v>412</v>
      </c>
      <c r="J170" s="167" t="s">
        <v>4217</v>
      </c>
      <c r="K170" s="167" t="s">
        <v>160</v>
      </c>
      <c r="L170" s="167" t="s">
        <v>180</v>
      </c>
      <c r="M170" s="167" t="s">
        <v>26</v>
      </c>
      <c r="N170" s="167" t="s">
        <v>4218</v>
      </c>
      <c r="O170" s="12" t="str">
        <f>_xlfn.DISPIMG("ID_458825B7ED724C7B8EAA7308C4517BC8",1)</f>
        <v>=DISPIMG("ID_458825B7ED724C7B8EAA7308C4517BC8",1)</v>
      </c>
      <c r="P170" s="9" t="s">
        <v>4219</v>
      </c>
      <c r="Q170" s="20">
        <v>539</v>
      </c>
      <c r="R170" s="78" t="s">
        <v>4485</v>
      </c>
      <c r="S170" s="19" t="s">
        <v>45</v>
      </c>
      <c r="T170" s="9">
        <v>24</v>
      </c>
    </row>
    <row r="171" s="3" customFormat="1" customHeight="1" spans="1:20">
      <c r="A171" s="166" t="s">
        <v>4308</v>
      </c>
      <c r="B171" s="166" t="s">
        <v>165</v>
      </c>
      <c r="C171" s="166" t="s">
        <v>4309</v>
      </c>
      <c r="D171" s="11">
        <v>17770159034</v>
      </c>
      <c r="E171" s="167" t="s">
        <v>156</v>
      </c>
      <c r="F171" s="166" t="s">
        <v>14</v>
      </c>
      <c r="G171" s="9">
        <v>202102001</v>
      </c>
      <c r="H171" s="167" t="s">
        <v>279</v>
      </c>
      <c r="I171" s="167" t="s">
        <v>1237</v>
      </c>
      <c r="J171" s="167" t="s">
        <v>348</v>
      </c>
      <c r="K171" s="167" t="s">
        <v>170</v>
      </c>
      <c r="L171" s="167" t="s">
        <v>180</v>
      </c>
      <c r="M171" s="167" t="s">
        <v>2395</v>
      </c>
      <c r="N171" s="167" t="s">
        <v>4310</v>
      </c>
      <c r="O171" s="12" t="str">
        <f>_xlfn.DISPIMG("ID_E6307ECF32B442B8A8FC80EADAF6E26D",1)</f>
        <v>=DISPIMG("ID_E6307ECF32B442B8A8FC80EADAF6E26D",1)</v>
      </c>
      <c r="P171" s="9" t="s">
        <v>4311</v>
      </c>
      <c r="Q171" s="20">
        <v>552</v>
      </c>
      <c r="R171" s="78" t="s">
        <v>4486</v>
      </c>
      <c r="S171" s="19" t="s">
        <v>45</v>
      </c>
      <c r="T171" s="9">
        <v>25</v>
      </c>
    </row>
    <row r="172" s="3" customFormat="1" customHeight="1" spans="1:20">
      <c r="A172" s="166" t="s">
        <v>494</v>
      </c>
      <c r="B172" s="166" t="s">
        <v>165</v>
      </c>
      <c r="C172" s="166" t="s">
        <v>495</v>
      </c>
      <c r="D172" s="11">
        <v>13662204471</v>
      </c>
      <c r="E172" s="167" t="s">
        <v>156</v>
      </c>
      <c r="F172" s="166" t="s">
        <v>8</v>
      </c>
      <c r="G172" s="9">
        <v>202102002</v>
      </c>
      <c r="H172" s="167" t="s">
        <v>279</v>
      </c>
      <c r="I172" s="167" t="s">
        <v>158</v>
      </c>
      <c r="J172" s="167" t="s">
        <v>497</v>
      </c>
      <c r="K172" s="167" t="s">
        <v>170</v>
      </c>
      <c r="L172" s="167" t="s">
        <v>180</v>
      </c>
      <c r="M172" s="167" t="s">
        <v>498</v>
      </c>
      <c r="N172" s="167" t="s">
        <v>499</v>
      </c>
      <c r="O172" s="12" t="str">
        <f>_xlfn.DISPIMG("ID_83DE97F5DD9E4626804875394FE0FC9C",1)</f>
        <v>=DISPIMG("ID_83DE97F5DD9E4626804875394FE0FC9C",1)</v>
      </c>
      <c r="P172" s="9" t="s">
        <v>500</v>
      </c>
      <c r="Q172" s="11">
        <v>41</v>
      </c>
      <c r="R172" s="78" t="s">
        <v>4487</v>
      </c>
      <c r="S172" s="19" t="s">
        <v>46</v>
      </c>
      <c r="T172" s="9">
        <v>6</v>
      </c>
    </row>
    <row r="173" s="3" customFormat="1" customHeight="1" spans="1:20">
      <c r="A173" s="166" t="s">
        <v>565</v>
      </c>
      <c r="B173" s="166" t="s">
        <v>165</v>
      </c>
      <c r="C173" s="166" t="s">
        <v>566</v>
      </c>
      <c r="D173" s="11">
        <v>13184588975</v>
      </c>
      <c r="E173" s="167" t="s">
        <v>156</v>
      </c>
      <c r="F173" s="166" t="s">
        <v>8</v>
      </c>
      <c r="G173" s="9">
        <v>202102002</v>
      </c>
      <c r="H173" s="167" t="s">
        <v>279</v>
      </c>
      <c r="I173" s="167" t="s">
        <v>178</v>
      </c>
      <c r="J173" s="167" t="s">
        <v>497</v>
      </c>
      <c r="K173" s="167" t="s">
        <v>170</v>
      </c>
      <c r="L173" s="167" t="s">
        <v>368</v>
      </c>
      <c r="M173" s="167" t="s">
        <v>568</v>
      </c>
      <c r="N173" s="167" t="s">
        <v>569</v>
      </c>
      <c r="O173" s="12" t="str">
        <f>_xlfn.DISPIMG("ID_937169E203CF4CFF91192737B547BFCD",1)</f>
        <v>=DISPIMG("ID_937169E203CF4CFF91192737B547BFCD",1)</v>
      </c>
      <c r="P173" s="9" t="s">
        <v>570</v>
      </c>
      <c r="Q173" s="11">
        <v>49</v>
      </c>
      <c r="R173" s="78" t="s">
        <v>4488</v>
      </c>
      <c r="S173" s="19" t="s">
        <v>46</v>
      </c>
      <c r="T173" s="9">
        <v>7</v>
      </c>
    </row>
    <row r="174" s="3" customFormat="1" customHeight="1" spans="1:20">
      <c r="A174" s="166" t="s">
        <v>668</v>
      </c>
      <c r="B174" s="166" t="s">
        <v>165</v>
      </c>
      <c r="C174" s="166" t="s">
        <v>669</v>
      </c>
      <c r="D174" s="11">
        <v>19970219155</v>
      </c>
      <c r="E174" s="167" t="s">
        <v>156</v>
      </c>
      <c r="F174" s="166" t="s">
        <v>8</v>
      </c>
      <c r="G174" s="9">
        <v>202102002</v>
      </c>
      <c r="H174" s="167" t="s">
        <v>279</v>
      </c>
      <c r="I174" s="167" t="s">
        <v>671</v>
      </c>
      <c r="J174" s="167" t="s">
        <v>672</v>
      </c>
      <c r="K174" s="167" t="s">
        <v>160</v>
      </c>
      <c r="L174" s="167" t="s">
        <v>673</v>
      </c>
      <c r="M174" s="167" t="s">
        <v>674</v>
      </c>
      <c r="N174" s="167" t="s">
        <v>675</v>
      </c>
      <c r="O174" s="12" t="str">
        <f>_xlfn.DISPIMG("ID_350951056247403B99D5F5C96BCE4CA8",1)</f>
        <v>=DISPIMG("ID_350951056247403B99D5F5C96BCE4CA8",1)</v>
      </c>
      <c r="P174" s="9" t="s">
        <v>676</v>
      </c>
      <c r="Q174" s="11">
        <v>62</v>
      </c>
      <c r="R174" s="78" t="s">
        <v>4489</v>
      </c>
      <c r="S174" s="19" t="s">
        <v>46</v>
      </c>
      <c r="T174" s="9">
        <v>18</v>
      </c>
    </row>
    <row r="175" s="3" customFormat="1" customHeight="1" spans="1:20">
      <c r="A175" s="166" t="s">
        <v>779</v>
      </c>
      <c r="B175" s="166" t="s">
        <v>165</v>
      </c>
      <c r="C175" s="166" t="s">
        <v>780</v>
      </c>
      <c r="D175" s="11">
        <v>18379173946</v>
      </c>
      <c r="E175" s="167" t="s">
        <v>506</v>
      </c>
      <c r="F175" s="166" t="s">
        <v>8</v>
      </c>
      <c r="G175" s="9">
        <v>202102015</v>
      </c>
      <c r="H175" s="167" t="s">
        <v>279</v>
      </c>
      <c r="I175" s="167" t="s">
        <v>662</v>
      </c>
      <c r="J175" s="167" t="s">
        <v>497</v>
      </c>
      <c r="K175" s="167" t="s">
        <v>170</v>
      </c>
      <c r="L175" s="167" t="s">
        <v>171</v>
      </c>
      <c r="M175" s="167" t="s">
        <v>568</v>
      </c>
      <c r="N175" s="167" t="s">
        <v>782</v>
      </c>
      <c r="O175" s="12" t="str">
        <f>_xlfn.DISPIMG("ID_F2E1FDE086E6423DAF30A93C1D5DA4A4",1)</f>
        <v>=DISPIMG("ID_F2E1FDE086E6423DAF30A93C1D5DA4A4",1)</v>
      </c>
      <c r="P175" s="9" t="s">
        <v>783</v>
      </c>
      <c r="Q175" s="11">
        <v>75</v>
      </c>
      <c r="R175" s="78" t="s">
        <v>4490</v>
      </c>
      <c r="S175" s="19" t="s">
        <v>46</v>
      </c>
      <c r="T175" s="9">
        <v>19</v>
      </c>
    </row>
    <row r="176" s="3" customFormat="1" customHeight="1" spans="1:20">
      <c r="A176" s="166" t="s">
        <v>810</v>
      </c>
      <c r="B176" s="166" t="s">
        <v>165</v>
      </c>
      <c r="C176" s="166" t="s">
        <v>811</v>
      </c>
      <c r="D176" s="11">
        <v>13767213363</v>
      </c>
      <c r="E176" s="167" t="s">
        <v>156</v>
      </c>
      <c r="F176" s="166" t="s">
        <v>8</v>
      </c>
      <c r="G176" s="9">
        <v>202102002</v>
      </c>
      <c r="H176" s="167" t="s">
        <v>157</v>
      </c>
      <c r="I176" s="167" t="s">
        <v>158</v>
      </c>
      <c r="J176" s="167" t="s">
        <v>813</v>
      </c>
      <c r="K176" s="167" t="s">
        <v>160</v>
      </c>
      <c r="L176" s="167" t="s">
        <v>161</v>
      </c>
      <c r="M176" s="167" t="s">
        <v>8</v>
      </c>
      <c r="N176" s="11">
        <v>0</v>
      </c>
      <c r="O176" s="12" t="str">
        <f>_xlfn.DISPIMG("ID_5528F9D8BCB3449AB737B926D9AAB949",1)</f>
        <v>=DISPIMG("ID_5528F9D8BCB3449AB737B926D9AAB949",1)</v>
      </c>
      <c r="P176" s="9" t="s">
        <v>814</v>
      </c>
      <c r="Q176" s="11">
        <v>79</v>
      </c>
      <c r="R176" s="78" t="s">
        <v>4491</v>
      </c>
      <c r="S176" s="19" t="s">
        <v>46</v>
      </c>
      <c r="T176" s="9">
        <v>30</v>
      </c>
    </row>
    <row r="177" s="3" customFormat="1" customHeight="1" spans="1:20">
      <c r="A177" s="166" t="s">
        <v>864</v>
      </c>
      <c r="B177" s="166" t="s">
        <v>165</v>
      </c>
      <c r="C177" s="166" t="s">
        <v>865</v>
      </c>
      <c r="D177" s="11">
        <v>18958190827</v>
      </c>
      <c r="E177" s="167" t="s">
        <v>156</v>
      </c>
      <c r="F177" s="166" t="s">
        <v>8</v>
      </c>
      <c r="G177" s="9">
        <v>202102002</v>
      </c>
      <c r="H177" s="167" t="s">
        <v>157</v>
      </c>
      <c r="I177" s="167" t="s">
        <v>867</v>
      </c>
      <c r="J177" s="167" t="s">
        <v>868</v>
      </c>
      <c r="K177" s="167" t="s">
        <v>160</v>
      </c>
      <c r="L177" s="167" t="s">
        <v>548</v>
      </c>
      <c r="M177" s="167" t="s">
        <v>8</v>
      </c>
      <c r="N177" s="167" t="s">
        <v>869</v>
      </c>
      <c r="O177" s="12" t="str">
        <f>_xlfn.DISPIMG("ID_019B47D80B6342B48EC2873E3CE82AE8",1)</f>
        <v>=DISPIMG("ID_019B47D80B6342B48EC2873E3CE82AE8",1)</v>
      </c>
      <c r="P177" s="9" t="s">
        <v>870</v>
      </c>
      <c r="Q177" s="11">
        <v>86</v>
      </c>
      <c r="R177" s="78" t="s">
        <v>4492</v>
      </c>
      <c r="S177" s="19" t="s">
        <v>46</v>
      </c>
      <c r="T177" s="9">
        <v>5</v>
      </c>
    </row>
    <row r="178" s="3" customFormat="1" customHeight="1" spans="1:20">
      <c r="A178" s="166" t="s">
        <v>941</v>
      </c>
      <c r="B178" s="166" t="s">
        <v>165</v>
      </c>
      <c r="C178" s="166" t="s">
        <v>942</v>
      </c>
      <c r="D178" s="11">
        <v>18379646602</v>
      </c>
      <c r="E178" s="167" t="s">
        <v>156</v>
      </c>
      <c r="F178" s="166" t="s">
        <v>8</v>
      </c>
      <c r="G178" s="9">
        <v>202102002</v>
      </c>
      <c r="H178" s="167" t="s">
        <v>157</v>
      </c>
      <c r="I178" s="167" t="s">
        <v>269</v>
      </c>
      <c r="J178" s="167" t="s">
        <v>944</v>
      </c>
      <c r="K178" s="167" t="s">
        <v>170</v>
      </c>
      <c r="L178" s="167" t="s">
        <v>261</v>
      </c>
      <c r="M178" s="167" t="s">
        <v>945</v>
      </c>
      <c r="N178" s="11">
        <v>0</v>
      </c>
      <c r="O178" s="12" t="str">
        <f>_xlfn.DISPIMG("ID_BCCBED5385A54C5D88278A56BF2ABF99",1)</f>
        <v>=DISPIMG("ID_BCCBED5385A54C5D88278A56BF2ABF99",1)</v>
      </c>
      <c r="P178" s="9" t="s">
        <v>946</v>
      </c>
      <c r="Q178" s="11">
        <v>95</v>
      </c>
      <c r="R178" s="78" t="s">
        <v>4493</v>
      </c>
      <c r="S178" s="19" t="s">
        <v>46</v>
      </c>
      <c r="T178" s="9">
        <v>8</v>
      </c>
    </row>
    <row r="179" s="4" customFormat="1" customHeight="1" spans="1:20">
      <c r="A179" s="166" t="s">
        <v>983</v>
      </c>
      <c r="B179" s="166" t="s">
        <v>165</v>
      </c>
      <c r="C179" s="166" t="s">
        <v>984</v>
      </c>
      <c r="D179" s="11">
        <v>18170988745</v>
      </c>
      <c r="E179" s="167" t="s">
        <v>156</v>
      </c>
      <c r="F179" s="166" t="s">
        <v>8</v>
      </c>
      <c r="G179" s="9">
        <v>202102002</v>
      </c>
      <c r="H179" s="167" t="s">
        <v>157</v>
      </c>
      <c r="I179" s="167" t="s">
        <v>986</v>
      </c>
      <c r="J179" s="167" t="s">
        <v>987</v>
      </c>
      <c r="K179" s="167" t="s">
        <v>160</v>
      </c>
      <c r="L179" s="167" t="s">
        <v>988</v>
      </c>
      <c r="M179" s="167" t="s">
        <v>989</v>
      </c>
      <c r="N179" s="167" t="s">
        <v>990</v>
      </c>
      <c r="O179" s="12" t="str">
        <f>_xlfn.DISPIMG("ID_21AE3772EA6B45FAA68CF356346534B7",1)</f>
        <v>=DISPIMG("ID_21AE3772EA6B45FAA68CF356346534B7",1)</v>
      </c>
      <c r="P179" s="9" t="s">
        <v>991</v>
      </c>
      <c r="Q179" s="11">
        <v>100</v>
      </c>
      <c r="R179" s="78" t="s">
        <v>4494</v>
      </c>
      <c r="S179" s="19" t="s">
        <v>46</v>
      </c>
      <c r="T179" s="9">
        <v>17</v>
      </c>
    </row>
    <row r="180" s="3" customFormat="1" customHeight="1" spans="1:20">
      <c r="A180" s="166" t="s">
        <v>1002</v>
      </c>
      <c r="B180" s="166" t="s">
        <v>165</v>
      </c>
      <c r="C180" s="166" t="s">
        <v>1003</v>
      </c>
      <c r="D180" s="11">
        <v>16607008286</v>
      </c>
      <c r="E180" s="167" t="s">
        <v>156</v>
      </c>
      <c r="F180" s="166" t="s">
        <v>8</v>
      </c>
      <c r="G180" s="9">
        <v>202102002</v>
      </c>
      <c r="H180" s="167" t="s">
        <v>157</v>
      </c>
      <c r="I180" s="167" t="s">
        <v>233</v>
      </c>
      <c r="J180" s="167" t="s">
        <v>1005</v>
      </c>
      <c r="K180" s="167" t="s">
        <v>170</v>
      </c>
      <c r="L180" s="167" t="s">
        <v>180</v>
      </c>
      <c r="M180" s="167" t="s">
        <v>8</v>
      </c>
      <c r="N180" s="167" t="s">
        <v>1006</v>
      </c>
      <c r="O180" s="12" t="str">
        <f>_xlfn.DISPIMG("ID_AB18BB501DAF4CA0AB480E453554BF60",1)</f>
        <v>=DISPIMG("ID_AB18BB501DAF4CA0AB480E453554BF60",1)</v>
      </c>
      <c r="P180" s="9" t="s">
        <v>1007</v>
      </c>
      <c r="Q180" s="11">
        <v>102</v>
      </c>
      <c r="R180" s="78" t="s">
        <v>4495</v>
      </c>
      <c r="S180" s="19" t="s">
        <v>46</v>
      </c>
      <c r="T180" s="9">
        <v>20</v>
      </c>
    </row>
    <row r="181" s="5" customFormat="1" customHeight="1" spans="1:20">
      <c r="A181" s="166" t="s">
        <v>1127</v>
      </c>
      <c r="B181" s="166" t="s">
        <v>153</v>
      </c>
      <c r="C181" s="166" t="s">
        <v>1128</v>
      </c>
      <c r="D181" s="11">
        <v>13698023687</v>
      </c>
      <c r="E181" s="167" t="s">
        <v>156</v>
      </c>
      <c r="F181" s="166" t="s">
        <v>8</v>
      </c>
      <c r="G181" s="9">
        <v>202102002</v>
      </c>
      <c r="H181" s="167" t="s">
        <v>157</v>
      </c>
      <c r="I181" s="167" t="s">
        <v>158</v>
      </c>
      <c r="J181" s="167" t="s">
        <v>270</v>
      </c>
      <c r="K181" s="167" t="s">
        <v>170</v>
      </c>
      <c r="L181" s="167" t="s">
        <v>548</v>
      </c>
      <c r="M181" s="167" t="s">
        <v>1130</v>
      </c>
      <c r="N181" s="167" t="s">
        <v>1131</v>
      </c>
      <c r="O181" s="12" t="str">
        <f>_xlfn.DISPIMG("ID_2ABFF7AF1BF04D95953E32E5250DE953",1)</f>
        <v>=DISPIMG("ID_2ABFF7AF1BF04D95953E32E5250DE953",1)</v>
      </c>
      <c r="P181" s="9" t="s">
        <v>1132</v>
      </c>
      <c r="Q181" s="11">
        <v>118</v>
      </c>
      <c r="R181" s="78" t="s">
        <v>4496</v>
      </c>
      <c r="S181" s="19" t="s">
        <v>46</v>
      </c>
      <c r="T181" s="9">
        <v>29</v>
      </c>
    </row>
    <row r="182" s="3" customFormat="1" customHeight="1" spans="1:20">
      <c r="A182" s="166" t="s">
        <v>1200</v>
      </c>
      <c r="B182" s="166" t="s">
        <v>165</v>
      </c>
      <c r="C182" s="166" t="s">
        <v>1201</v>
      </c>
      <c r="D182" s="11">
        <v>15270186776</v>
      </c>
      <c r="E182" s="167" t="s">
        <v>156</v>
      </c>
      <c r="F182" s="166" t="s">
        <v>8</v>
      </c>
      <c r="G182" s="9">
        <v>202102002</v>
      </c>
      <c r="H182" s="167" t="s">
        <v>157</v>
      </c>
      <c r="I182" s="167" t="s">
        <v>1203</v>
      </c>
      <c r="J182" s="167" t="s">
        <v>1204</v>
      </c>
      <c r="K182" s="167" t="s">
        <v>160</v>
      </c>
      <c r="L182" s="167" t="s">
        <v>1089</v>
      </c>
      <c r="M182" s="167" t="s">
        <v>1205</v>
      </c>
      <c r="N182" s="167" t="s">
        <v>1206</v>
      </c>
      <c r="O182" s="12" t="str">
        <f>_xlfn.DISPIMG("ID_0C966700704E44E6A4C50F763206BC81",1)</f>
        <v>=DISPIMG("ID_0C966700704E44E6A4C50F763206BC81",1)</v>
      </c>
      <c r="P182" s="9" t="s">
        <v>1207</v>
      </c>
      <c r="Q182" s="11">
        <v>127</v>
      </c>
      <c r="R182" s="78" t="s">
        <v>4497</v>
      </c>
      <c r="S182" s="19" t="s">
        <v>46</v>
      </c>
      <c r="T182" s="9">
        <v>4</v>
      </c>
    </row>
    <row r="183" s="3" customFormat="1" customHeight="1" spans="1:20">
      <c r="A183" s="166" t="s">
        <v>1262</v>
      </c>
      <c r="B183" s="166" t="s">
        <v>165</v>
      </c>
      <c r="C183" s="166" t="s">
        <v>1263</v>
      </c>
      <c r="D183" s="11">
        <v>18897926715</v>
      </c>
      <c r="E183" s="167" t="s">
        <v>156</v>
      </c>
      <c r="F183" s="166" t="s">
        <v>8</v>
      </c>
      <c r="G183" s="9">
        <v>202102002</v>
      </c>
      <c r="H183" s="167" t="s">
        <v>157</v>
      </c>
      <c r="I183" s="167" t="s">
        <v>1265</v>
      </c>
      <c r="J183" s="167" t="s">
        <v>813</v>
      </c>
      <c r="K183" s="167" t="s">
        <v>160</v>
      </c>
      <c r="L183" s="167" t="s">
        <v>199</v>
      </c>
      <c r="M183" s="167" t="s">
        <v>1266</v>
      </c>
      <c r="N183" s="11">
        <v>0</v>
      </c>
      <c r="O183" s="12" t="str">
        <f>_xlfn.DISPIMG("ID_5DC2209F39824089B70DAE46CB942DD1",1)</f>
        <v>=DISPIMG("ID_5DC2209F39824089B70DAE46CB942DD1",1)</v>
      </c>
      <c r="P183" s="9" t="s">
        <v>1267</v>
      </c>
      <c r="Q183" s="11">
        <v>135</v>
      </c>
      <c r="R183" s="78" t="s">
        <v>4498</v>
      </c>
      <c r="S183" s="19" t="s">
        <v>46</v>
      </c>
      <c r="T183" s="9">
        <v>9</v>
      </c>
    </row>
    <row r="184" s="3" customFormat="1" customHeight="1" spans="1:20">
      <c r="A184" s="166" t="s">
        <v>1318</v>
      </c>
      <c r="B184" s="166" t="s">
        <v>165</v>
      </c>
      <c r="C184" s="166" t="s">
        <v>1319</v>
      </c>
      <c r="D184" s="11">
        <v>18270633854</v>
      </c>
      <c r="E184" s="167" t="s">
        <v>156</v>
      </c>
      <c r="F184" s="166" t="s">
        <v>8</v>
      </c>
      <c r="G184" s="9">
        <v>202102002</v>
      </c>
      <c r="H184" s="167" t="s">
        <v>157</v>
      </c>
      <c r="I184" s="167" t="s">
        <v>1258</v>
      </c>
      <c r="J184" s="167" t="s">
        <v>1321</v>
      </c>
      <c r="K184" s="167" t="s">
        <v>160</v>
      </c>
      <c r="L184" s="167" t="s">
        <v>516</v>
      </c>
      <c r="M184" s="167" t="s">
        <v>1322</v>
      </c>
      <c r="N184" s="167" t="s">
        <v>1323</v>
      </c>
      <c r="O184" s="12" t="str">
        <f>_xlfn.DISPIMG("ID_D86A3E1B243D4E47B731958FB3B82FC3",1)</f>
        <v>=DISPIMG("ID_D86A3E1B243D4E47B731958FB3B82FC3",1)</v>
      </c>
      <c r="P184" s="9" t="s">
        <v>1324</v>
      </c>
      <c r="Q184" s="11">
        <v>143</v>
      </c>
      <c r="R184" s="78" t="s">
        <v>4499</v>
      </c>
      <c r="S184" s="19" t="s">
        <v>46</v>
      </c>
      <c r="T184" s="9">
        <v>16</v>
      </c>
    </row>
    <row r="185" s="3" customFormat="1" customHeight="1" spans="1:20">
      <c r="A185" s="166" t="s">
        <v>1471</v>
      </c>
      <c r="B185" s="166" t="s">
        <v>165</v>
      </c>
      <c r="C185" s="166" t="s">
        <v>1472</v>
      </c>
      <c r="D185" s="11">
        <v>13687036753</v>
      </c>
      <c r="E185" s="167" t="s">
        <v>156</v>
      </c>
      <c r="F185" s="166" t="s">
        <v>8</v>
      </c>
      <c r="G185" s="9">
        <v>202102002</v>
      </c>
      <c r="H185" s="167" t="s">
        <v>157</v>
      </c>
      <c r="I185" s="167" t="s">
        <v>269</v>
      </c>
      <c r="J185" s="167" t="s">
        <v>1204</v>
      </c>
      <c r="K185" s="167" t="s">
        <v>160</v>
      </c>
      <c r="L185" s="167" t="s">
        <v>171</v>
      </c>
      <c r="M185" s="167" t="s">
        <v>20</v>
      </c>
      <c r="N185" s="167" t="s">
        <v>1474</v>
      </c>
      <c r="O185" s="12" t="str">
        <f>_xlfn.DISPIMG("ID_282C99EDDFB743068B1F4514F99C7126",1)</f>
        <v>=DISPIMG("ID_282C99EDDFB743068B1F4514F99C7126",1)</v>
      </c>
      <c r="P185" s="9" t="s">
        <v>1475</v>
      </c>
      <c r="Q185" s="11">
        <v>163</v>
      </c>
      <c r="R185" s="78" t="s">
        <v>4500</v>
      </c>
      <c r="S185" s="19" t="s">
        <v>46</v>
      </c>
      <c r="T185" s="9">
        <v>21</v>
      </c>
    </row>
    <row r="186" s="3" customFormat="1" customHeight="1" spans="1:20">
      <c r="A186" s="166" t="s">
        <v>1613</v>
      </c>
      <c r="B186" s="166" t="s">
        <v>165</v>
      </c>
      <c r="C186" s="166" t="s">
        <v>1614</v>
      </c>
      <c r="D186" s="11">
        <v>18296280573</v>
      </c>
      <c r="E186" s="167" t="s">
        <v>156</v>
      </c>
      <c r="F186" s="166" t="s">
        <v>8</v>
      </c>
      <c r="G186" s="9">
        <v>202102002</v>
      </c>
      <c r="H186" s="167" t="s">
        <v>157</v>
      </c>
      <c r="I186" s="167" t="s">
        <v>233</v>
      </c>
      <c r="J186" s="167" t="s">
        <v>1616</v>
      </c>
      <c r="K186" s="167" t="s">
        <v>170</v>
      </c>
      <c r="L186" s="167" t="s">
        <v>235</v>
      </c>
      <c r="M186" s="167" t="s">
        <v>1617</v>
      </c>
      <c r="N186" s="167" t="s">
        <v>1618</v>
      </c>
      <c r="O186" s="12" t="str">
        <f>_xlfn.DISPIMG("ID_2062AD8B56DF4C85BF68D2846493F2B2",1)</f>
        <v>=DISPIMG("ID_2062AD8B56DF4C85BF68D2846493F2B2",1)</v>
      </c>
      <c r="P186" s="9" t="s">
        <v>1619</v>
      </c>
      <c r="Q186" s="11">
        <v>181</v>
      </c>
      <c r="R186" s="78" t="s">
        <v>4501</v>
      </c>
      <c r="S186" s="19" t="s">
        <v>46</v>
      </c>
      <c r="T186" s="9">
        <v>28</v>
      </c>
    </row>
    <row r="187" s="3" customFormat="1" customHeight="1" spans="1:20">
      <c r="A187" s="166" t="s">
        <v>1766</v>
      </c>
      <c r="B187" s="166" t="s">
        <v>165</v>
      </c>
      <c r="C187" s="166" t="s">
        <v>1767</v>
      </c>
      <c r="D187" s="11">
        <v>18370038373</v>
      </c>
      <c r="E187" s="167" t="s">
        <v>156</v>
      </c>
      <c r="F187" s="166" t="s">
        <v>8</v>
      </c>
      <c r="G187" s="9">
        <v>202102002</v>
      </c>
      <c r="H187" s="167" t="s">
        <v>157</v>
      </c>
      <c r="I187" s="167" t="s">
        <v>269</v>
      </c>
      <c r="J187" s="167" t="s">
        <v>813</v>
      </c>
      <c r="K187" s="167" t="s">
        <v>160</v>
      </c>
      <c r="L187" s="167" t="s">
        <v>180</v>
      </c>
      <c r="M187" s="167" t="s">
        <v>8</v>
      </c>
      <c r="N187" s="167" t="s">
        <v>1769</v>
      </c>
      <c r="O187" s="12" t="str">
        <f>_xlfn.DISPIMG("ID_DCEB7245249347F4A2C197E5AB7C6C11",1)</f>
        <v>=DISPIMG("ID_DCEB7245249347F4A2C197E5AB7C6C11",1)</v>
      </c>
      <c r="P187" s="9" t="s">
        <v>1770</v>
      </c>
      <c r="Q187" s="11">
        <v>201</v>
      </c>
      <c r="R187" s="78" t="s">
        <v>4502</v>
      </c>
      <c r="S187" s="19" t="s">
        <v>46</v>
      </c>
      <c r="T187" s="9">
        <v>3</v>
      </c>
    </row>
    <row r="188" s="3" customFormat="1" customHeight="1" spans="1:20">
      <c r="A188" s="166" t="s">
        <v>1837</v>
      </c>
      <c r="B188" s="166" t="s">
        <v>165</v>
      </c>
      <c r="C188" s="166" t="s">
        <v>1838</v>
      </c>
      <c r="D188" s="11">
        <v>13480509971</v>
      </c>
      <c r="E188" s="167" t="s">
        <v>156</v>
      </c>
      <c r="F188" s="166" t="s">
        <v>8</v>
      </c>
      <c r="G188" s="9">
        <v>202102002</v>
      </c>
      <c r="H188" s="167" t="s">
        <v>157</v>
      </c>
      <c r="I188" s="167" t="s">
        <v>540</v>
      </c>
      <c r="J188" s="167" t="s">
        <v>1840</v>
      </c>
      <c r="K188" s="167" t="s">
        <v>160</v>
      </c>
      <c r="L188" s="167" t="s">
        <v>587</v>
      </c>
      <c r="M188" s="167" t="s">
        <v>1841</v>
      </c>
      <c r="N188" s="167" t="s">
        <v>1842</v>
      </c>
      <c r="O188" s="12" t="str">
        <f>_xlfn.DISPIMG("ID_0F8BA8686B8D4F92BF1EF6F4CB55E695",1)</f>
        <v>=DISPIMG("ID_0F8BA8686B8D4F92BF1EF6F4CB55E695",1)</v>
      </c>
      <c r="P188" s="9" t="s">
        <v>1843</v>
      </c>
      <c r="Q188" s="11">
        <v>210</v>
      </c>
      <c r="R188" s="78" t="s">
        <v>4503</v>
      </c>
      <c r="S188" s="19" t="s">
        <v>46</v>
      </c>
      <c r="T188" s="9">
        <v>10</v>
      </c>
    </row>
    <row r="189" s="3" customFormat="1" customHeight="1" spans="1:20">
      <c r="A189" s="166" t="s">
        <v>1904</v>
      </c>
      <c r="B189" s="166" t="s">
        <v>165</v>
      </c>
      <c r="C189" s="166" t="s">
        <v>1905</v>
      </c>
      <c r="D189" s="11">
        <v>15070412978</v>
      </c>
      <c r="E189" s="167" t="s">
        <v>156</v>
      </c>
      <c r="F189" s="166" t="s">
        <v>8</v>
      </c>
      <c r="G189" s="9">
        <v>202102002</v>
      </c>
      <c r="H189" s="167" t="s">
        <v>157</v>
      </c>
      <c r="I189" s="167" t="s">
        <v>233</v>
      </c>
      <c r="J189" s="167" t="s">
        <v>454</v>
      </c>
      <c r="K189" s="167" t="s">
        <v>170</v>
      </c>
      <c r="L189" s="167" t="s">
        <v>1907</v>
      </c>
      <c r="M189" s="167" t="s">
        <v>8</v>
      </c>
      <c r="N189" s="167" t="s">
        <v>1908</v>
      </c>
      <c r="O189" s="12" t="str">
        <f>_xlfn.DISPIMG("ID_02D14B5C83BE4DBBBCAAA0B55D7FE392",1)</f>
        <v>=DISPIMG("ID_02D14B5C83BE4DBBBCAAA0B55D7FE392",1)</v>
      </c>
      <c r="P189" s="9" t="s">
        <v>1909</v>
      </c>
      <c r="Q189" s="11">
        <v>219</v>
      </c>
      <c r="R189" s="78" t="s">
        <v>4504</v>
      </c>
      <c r="S189" s="19" t="s">
        <v>46</v>
      </c>
      <c r="T189" s="9">
        <v>15</v>
      </c>
    </row>
    <row r="190" s="3" customFormat="1" customHeight="1" spans="1:20">
      <c r="A190" s="166" t="s">
        <v>1977</v>
      </c>
      <c r="B190" s="166" t="s">
        <v>165</v>
      </c>
      <c r="C190" s="166" t="s">
        <v>1978</v>
      </c>
      <c r="D190" s="11">
        <v>15070907830</v>
      </c>
      <c r="E190" s="167" t="s">
        <v>156</v>
      </c>
      <c r="F190" s="166" t="s">
        <v>8</v>
      </c>
      <c r="G190" s="9">
        <v>202102002</v>
      </c>
      <c r="H190" s="167" t="s">
        <v>157</v>
      </c>
      <c r="I190" s="167" t="s">
        <v>827</v>
      </c>
      <c r="J190" s="167" t="s">
        <v>243</v>
      </c>
      <c r="K190" s="167" t="s">
        <v>160</v>
      </c>
      <c r="L190" s="167" t="s">
        <v>161</v>
      </c>
      <c r="M190" s="167" t="s">
        <v>8</v>
      </c>
      <c r="N190" s="167" t="s">
        <v>1979</v>
      </c>
      <c r="O190" s="12" t="str">
        <f>_xlfn.DISPIMG("ID_4F2775F35FF241D1A9320534AD0F9FD6",1)</f>
        <v>=DISPIMG("ID_4F2775F35FF241D1A9320534AD0F9FD6",1)</v>
      </c>
      <c r="P190" s="9" t="s">
        <v>1980</v>
      </c>
      <c r="Q190" s="11">
        <v>229</v>
      </c>
      <c r="R190" s="78" t="s">
        <v>4505</v>
      </c>
      <c r="S190" s="19" t="s">
        <v>46</v>
      </c>
      <c r="T190" s="9">
        <v>22</v>
      </c>
    </row>
    <row r="191" s="3" customFormat="1" customHeight="1" spans="1:20">
      <c r="A191" s="166" t="s">
        <v>2076</v>
      </c>
      <c r="B191" s="166" t="s">
        <v>153</v>
      </c>
      <c r="C191" s="166" t="s">
        <v>2077</v>
      </c>
      <c r="D191" s="11">
        <v>19951510515</v>
      </c>
      <c r="E191" s="167" t="s">
        <v>156</v>
      </c>
      <c r="F191" s="166" t="s">
        <v>8</v>
      </c>
      <c r="G191" s="9">
        <v>202102002</v>
      </c>
      <c r="H191" s="167" t="s">
        <v>279</v>
      </c>
      <c r="I191" s="167" t="s">
        <v>507</v>
      </c>
      <c r="J191" s="167" t="s">
        <v>497</v>
      </c>
      <c r="K191" s="167" t="s">
        <v>170</v>
      </c>
      <c r="L191" s="167" t="s">
        <v>224</v>
      </c>
      <c r="M191" s="167" t="s">
        <v>989</v>
      </c>
      <c r="N191" s="167" t="s">
        <v>2079</v>
      </c>
      <c r="O191" s="12" t="str">
        <f>_xlfn.DISPIMG("ID_55D50712BDA742E9BE089E9AEF5CFD56",1)</f>
        <v>=DISPIMG("ID_55D50712BDA742E9BE089E9AEF5CFD56",1)</v>
      </c>
      <c r="P191" s="9" t="s">
        <v>2080</v>
      </c>
      <c r="Q191" s="11">
        <v>242</v>
      </c>
      <c r="R191" s="78" t="s">
        <v>4506</v>
      </c>
      <c r="S191" s="19" t="s">
        <v>46</v>
      </c>
      <c r="T191" s="9">
        <v>27</v>
      </c>
    </row>
    <row r="192" s="3" customFormat="1" customHeight="1" spans="1:20">
      <c r="A192" s="166" t="s">
        <v>2126</v>
      </c>
      <c r="B192" s="166" t="s">
        <v>165</v>
      </c>
      <c r="C192" s="166" t="s">
        <v>2127</v>
      </c>
      <c r="D192" s="11">
        <v>18370269701</v>
      </c>
      <c r="E192" s="167" t="s">
        <v>156</v>
      </c>
      <c r="F192" s="166" t="s">
        <v>8</v>
      </c>
      <c r="G192" s="9">
        <v>202102002</v>
      </c>
      <c r="H192" s="167" t="s">
        <v>157</v>
      </c>
      <c r="I192" s="167" t="s">
        <v>789</v>
      </c>
      <c r="J192" s="167" t="s">
        <v>2129</v>
      </c>
      <c r="K192" s="167" t="s">
        <v>160</v>
      </c>
      <c r="L192" s="167" t="s">
        <v>252</v>
      </c>
      <c r="M192" s="167" t="s">
        <v>20</v>
      </c>
      <c r="N192" s="11">
        <v>0</v>
      </c>
      <c r="O192" s="12" t="str">
        <f>_xlfn.DISPIMG("ID_03579C230E4B4D1F94606FFA97C412A2",1)</f>
        <v>=DISPIMG("ID_03579C230E4B4D1F94606FFA97C412A2",1)</v>
      </c>
      <c r="P192" s="9" t="s">
        <v>2130</v>
      </c>
      <c r="Q192" s="11">
        <v>249</v>
      </c>
      <c r="R192" s="78" t="s">
        <v>4507</v>
      </c>
      <c r="S192" s="19" t="s">
        <v>46</v>
      </c>
      <c r="T192" s="9">
        <v>2</v>
      </c>
    </row>
    <row r="193" s="3" customFormat="1" customHeight="1" spans="1:20">
      <c r="A193" s="166" t="s">
        <v>2133</v>
      </c>
      <c r="B193" s="166" t="s">
        <v>165</v>
      </c>
      <c r="C193" s="166" t="s">
        <v>2134</v>
      </c>
      <c r="D193" s="11">
        <v>15079264291</v>
      </c>
      <c r="E193" s="167" t="s">
        <v>156</v>
      </c>
      <c r="F193" s="166" t="s">
        <v>8</v>
      </c>
      <c r="G193" s="9">
        <v>202102002</v>
      </c>
      <c r="H193" s="167" t="s">
        <v>157</v>
      </c>
      <c r="I193" s="167" t="s">
        <v>876</v>
      </c>
      <c r="J193" s="167" t="s">
        <v>270</v>
      </c>
      <c r="K193" s="167" t="s">
        <v>170</v>
      </c>
      <c r="L193" s="167" t="s">
        <v>455</v>
      </c>
      <c r="M193" s="167" t="s">
        <v>20</v>
      </c>
      <c r="N193" s="167" t="s">
        <v>2136</v>
      </c>
      <c r="O193" s="12" t="str">
        <f>_xlfn.DISPIMG("ID_96FF4E1240E04D98ACBC33F8D3EE9C8F",1)</f>
        <v>=DISPIMG("ID_96FF4E1240E04D98ACBC33F8D3EE9C8F",1)</v>
      </c>
      <c r="P193" s="9" t="s">
        <v>2137</v>
      </c>
      <c r="Q193" s="11">
        <v>250</v>
      </c>
      <c r="R193" s="78" t="s">
        <v>4508</v>
      </c>
      <c r="S193" s="19" t="s">
        <v>46</v>
      </c>
      <c r="T193" s="9">
        <v>11</v>
      </c>
    </row>
    <row r="194" s="3" customFormat="1" customHeight="1" spans="1:20">
      <c r="A194" s="166" t="s">
        <v>2194</v>
      </c>
      <c r="B194" s="166" t="s">
        <v>165</v>
      </c>
      <c r="C194" s="166" t="s">
        <v>2195</v>
      </c>
      <c r="D194" s="11">
        <v>13617094078</v>
      </c>
      <c r="E194" s="167" t="s">
        <v>156</v>
      </c>
      <c r="F194" s="166" t="s">
        <v>8</v>
      </c>
      <c r="G194" s="9">
        <v>202102002</v>
      </c>
      <c r="H194" s="167" t="s">
        <v>157</v>
      </c>
      <c r="I194" s="167" t="s">
        <v>2197</v>
      </c>
      <c r="J194" s="167" t="s">
        <v>2198</v>
      </c>
      <c r="K194" s="167" t="s">
        <v>160</v>
      </c>
      <c r="L194" s="167" t="s">
        <v>281</v>
      </c>
      <c r="M194" s="167" t="s">
        <v>8</v>
      </c>
      <c r="N194" s="167" t="s">
        <v>2199</v>
      </c>
      <c r="O194" s="12" t="str">
        <f>_xlfn.DISPIMG("ID_C169A98BEF614A41ADF43CA619535221",1)</f>
        <v>=DISPIMG("ID_C169A98BEF614A41ADF43CA619535221",1)</v>
      </c>
      <c r="P194" s="9" t="s">
        <v>2200</v>
      </c>
      <c r="Q194" s="11">
        <v>258</v>
      </c>
      <c r="R194" s="78" t="s">
        <v>4509</v>
      </c>
      <c r="S194" s="19" t="s">
        <v>46</v>
      </c>
      <c r="T194" s="9">
        <v>14</v>
      </c>
    </row>
    <row r="195" s="3" customFormat="1" customHeight="1" spans="1:20">
      <c r="A195" s="166" t="s">
        <v>2309</v>
      </c>
      <c r="B195" s="166" t="s">
        <v>165</v>
      </c>
      <c r="C195" s="166" t="s">
        <v>2310</v>
      </c>
      <c r="D195" s="11">
        <v>15279968703</v>
      </c>
      <c r="E195" s="167" t="s">
        <v>156</v>
      </c>
      <c r="F195" s="166" t="s">
        <v>8</v>
      </c>
      <c r="G195" s="9">
        <v>202102002</v>
      </c>
      <c r="H195" s="167" t="s">
        <v>279</v>
      </c>
      <c r="I195" s="167" t="s">
        <v>1424</v>
      </c>
      <c r="J195" s="167" t="s">
        <v>497</v>
      </c>
      <c r="K195" s="167" t="s">
        <v>170</v>
      </c>
      <c r="L195" s="167" t="s">
        <v>180</v>
      </c>
      <c r="M195" s="167" t="s">
        <v>8</v>
      </c>
      <c r="N195" s="167" t="s">
        <v>2312</v>
      </c>
      <c r="O195" s="12" t="str">
        <f>_xlfn.DISPIMG("ID_987FF0FA37F44BD9A4B0BCCB3CF13E1D",1)</f>
        <v>=DISPIMG("ID_987FF0FA37F44BD9A4B0BCCB3CF13E1D",1)</v>
      </c>
      <c r="P195" s="9" t="s">
        <v>2313</v>
      </c>
      <c r="Q195" s="11">
        <v>273</v>
      </c>
      <c r="R195" s="78" t="s">
        <v>4510</v>
      </c>
      <c r="S195" s="19" t="s">
        <v>46</v>
      </c>
      <c r="T195" s="9">
        <v>23</v>
      </c>
    </row>
    <row r="196" s="3" customFormat="1" customHeight="1" spans="1:20">
      <c r="A196" s="166" t="s">
        <v>2337</v>
      </c>
      <c r="B196" s="166" t="s">
        <v>165</v>
      </c>
      <c r="C196" s="166" t="s">
        <v>2338</v>
      </c>
      <c r="D196" s="11">
        <v>15779252368</v>
      </c>
      <c r="E196" s="167" t="s">
        <v>156</v>
      </c>
      <c r="F196" s="166" t="s">
        <v>8</v>
      </c>
      <c r="G196" s="9">
        <v>202102002</v>
      </c>
      <c r="H196" s="167" t="s">
        <v>157</v>
      </c>
      <c r="I196" s="167" t="s">
        <v>2340</v>
      </c>
      <c r="J196" s="167" t="s">
        <v>270</v>
      </c>
      <c r="K196" s="167" t="s">
        <v>170</v>
      </c>
      <c r="L196" s="167" t="s">
        <v>548</v>
      </c>
      <c r="M196" s="167" t="s">
        <v>1322</v>
      </c>
      <c r="N196" s="167" t="s">
        <v>2341</v>
      </c>
      <c r="O196" s="12" t="str">
        <f>_xlfn.DISPIMG("ID_590DFB2A64AB463E915AA57C80368398",1)</f>
        <v>=DISPIMG("ID_590DFB2A64AB463E915AA57C80368398",1)</v>
      </c>
      <c r="P196" s="9" t="s">
        <v>2342</v>
      </c>
      <c r="Q196" s="11">
        <v>277</v>
      </c>
      <c r="R196" s="78" t="s">
        <v>4511</v>
      </c>
      <c r="S196" s="19" t="s">
        <v>46</v>
      </c>
      <c r="T196" s="9">
        <v>26</v>
      </c>
    </row>
    <row r="197" s="3" customFormat="1" customHeight="1" spans="1:20">
      <c r="A197" s="166" t="s">
        <v>2345</v>
      </c>
      <c r="B197" s="166" t="s">
        <v>153</v>
      </c>
      <c r="C197" s="166" t="s">
        <v>2346</v>
      </c>
      <c r="D197" s="11">
        <v>15267177470</v>
      </c>
      <c r="E197" s="167" t="s">
        <v>156</v>
      </c>
      <c r="F197" s="166" t="s">
        <v>8</v>
      </c>
      <c r="G197" s="9">
        <v>202102002</v>
      </c>
      <c r="H197" s="167" t="s">
        <v>279</v>
      </c>
      <c r="I197" s="167" t="s">
        <v>2348</v>
      </c>
      <c r="J197" s="167" t="s">
        <v>1950</v>
      </c>
      <c r="K197" s="167" t="s">
        <v>170</v>
      </c>
      <c r="L197" s="167" t="s">
        <v>2047</v>
      </c>
      <c r="M197" s="167" t="s">
        <v>2349</v>
      </c>
      <c r="N197" s="167" t="s">
        <v>2350</v>
      </c>
      <c r="O197" s="12" t="str">
        <f>_xlfn.DISPIMG("ID_5E2BE4A32E0C443299D86A217DB8E55F",1)</f>
        <v>=DISPIMG("ID_5E2BE4A32E0C443299D86A217DB8E55F",1)</v>
      </c>
      <c r="P197" s="9" t="s">
        <v>2351</v>
      </c>
      <c r="Q197" s="11">
        <v>278</v>
      </c>
      <c r="R197" s="78" t="s">
        <v>4512</v>
      </c>
      <c r="S197" s="19" t="s">
        <v>46</v>
      </c>
      <c r="T197" s="9">
        <v>1</v>
      </c>
    </row>
    <row r="198" s="3" customFormat="1" customHeight="1" spans="1:20">
      <c r="A198" s="166" t="s">
        <v>2376</v>
      </c>
      <c r="B198" s="166" t="s">
        <v>165</v>
      </c>
      <c r="C198" s="166" t="s">
        <v>2377</v>
      </c>
      <c r="D198" s="11">
        <v>15779112128</v>
      </c>
      <c r="E198" s="167" t="s">
        <v>156</v>
      </c>
      <c r="F198" s="166" t="s">
        <v>8</v>
      </c>
      <c r="G198" s="9">
        <v>202102002</v>
      </c>
      <c r="H198" s="167" t="s">
        <v>157</v>
      </c>
      <c r="I198" s="167" t="s">
        <v>603</v>
      </c>
      <c r="J198" s="167" t="s">
        <v>2379</v>
      </c>
      <c r="K198" s="167" t="s">
        <v>160</v>
      </c>
      <c r="L198" s="167" t="s">
        <v>180</v>
      </c>
      <c r="M198" s="167" t="s">
        <v>8</v>
      </c>
      <c r="N198" s="167" t="s">
        <v>2380</v>
      </c>
      <c r="O198" s="12" t="str">
        <f>_xlfn.DISPIMG("ID_9499CE74334F4664AC42AD98401CDCF8",1)</f>
        <v>=DISPIMG("ID_9499CE74334F4664AC42AD98401CDCF8",1)</v>
      </c>
      <c r="P198" s="9" t="s">
        <v>2381</v>
      </c>
      <c r="Q198" s="11">
        <v>282</v>
      </c>
      <c r="R198" s="78" t="s">
        <v>4513</v>
      </c>
      <c r="S198" s="19" t="s">
        <v>46</v>
      </c>
      <c r="T198" s="9">
        <v>12</v>
      </c>
    </row>
    <row r="199" s="3" customFormat="1" customHeight="1" spans="1:20">
      <c r="A199" s="166" t="s">
        <v>2391</v>
      </c>
      <c r="B199" s="166" t="s">
        <v>165</v>
      </c>
      <c r="C199" s="166" t="s">
        <v>2392</v>
      </c>
      <c r="D199" s="11">
        <v>18779160835</v>
      </c>
      <c r="E199" s="167" t="s">
        <v>156</v>
      </c>
      <c r="F199" s="166" t="s">
        <v>8</v>
      </c>
      <c r="G199" s="9">
        <v>202102002</v>
      </c>
      <c r="H199" s="167" t="s">
        <v>157</v>
      </c>
      <c r="I199" s="167" t="s">
        <v>385</v>
      </c>
      <c r="J199" s="167" t="s">
        <v>2394</v>
      </c>
      <c r="K199" s="167" t="s">
        <v>160</v>
      </c>
      <c r="L199" s="167" t="s">
        <v>306</v>
      </c>
      <c r="M199" s="167" t="s">
        <v>2395</v>
      </c>
      <c r="N199" s="167" t="s">
        <v>2396</v>
      </c>
      <c r="O199" s="12" t="str">
        <f>_xlfn.DISPIMG("ID_E59FBD148CC0458789196A3F7371E3AC",1)</f>
        <v>=DISPIMG("ID_E59FBD148CC0458789196A3F7371E3AC",1)</v>
      </c>
      <c r="P199" s="9" t="s">
        <v>2397</v>
      </c>
      <c r="Q199" s="11">
        <v>284</v>
      </c>
      <c r="R199" s="78" t="s">
        <v>4514</v>
      </c>
      <c r="S199" s="19" t="s">
        <v>46</v>
      </c>
      <c r="T199" s="9">
        <v>13</v>
      </c>
    </row>
    <row r="200" s="3" customFormat="1" customHeight="1" spans="1:20">
      <c r="A200" s="166" t="s">
        <v>2437</v>
      </c>
      <c r="B200" s="166" t="s">
        <v>165</v>
      </c>
      <c r="C200" s="166" t="s">
        <v>2438</v>
      </c>
      <c r="D200" s="11">
        <v>13657919316</v>
      </c>
      <c r="E200" s="167" t="s">
        <v>156</v>
      </c>
      <c r="F200" s="166" t="s">
        <v>8</v>
      </c>
      <c r="G200" s="9">
        <v>202102002</v>
      </c>
      <c r="H200" s="167" t="s">
        <v>705</v>
      </c>
      <c r="I200" s="167" t="s">
        <v>2440</v>
      </c>
      <c r="J200" s="167" t="s">
        <v>2441</v>
      </c>
      <c r="K200" s="167" t="s">
        <v>160</v>
      </c>
      <c r="L200" s="167" t="s">
        <v>189</v>
      </c>
      <c r="M200" s="167" t="s">
        <v>8</v>
      </c>
      <c r="N200" s="11">
        <v>0</v>
      </c>
      <c r="O200" s="12" t="str">
        <f>_xlfn.DISPIMG("ID_840140DEA4BE4280A385428CC67C44E3",1)</f>
        <v>=DISPIMG("ID_840140DEA4BE4280A385428CC67C44E3",1)</v>
      </c>
      <c r="P200" s="9" t="s">
        <v>2442</v>
      </c>
      <c r="Q200" s="11">
        <v>290</v>
      </c>
      <c r="R200" s="78" t="s">
        <v>4515</v>
      </c>
      <c r="S200" s="19" t="s">
        <v>46</v>
      </c>
      <c r="T200" s="9">
        <v>24</v>
      </c>
    </row>
    <row r="201" s="3" customFormat="1" customHeight="1" spans="1:20">
      <c r="A201" s="166" t="s">
        <v>2473</v>
      </c>
      <c r="B201" s="166" t="s">
        <v>153</v>
      </c>
      <c r="C201" s="166" t="s">
        <v>2474</v>
      </c>
      <c r="D201" s="11">
        <v>18079290506</v>
      </c>
      <c r="E201" s="167" t="s">
        <v>156</v>
      </c>
      <c r="F201" s="166" t="s">
        <v>8</v>
      </c>
      <c r="G201" s="9">
        <v>202102002</v>
      </c>
      <c r="H201" s="167" t="s">
        <v>157</v>
      </c>
      <c r="I201" s="167" t="s">
        <v>935</v>
      </c>
      <c r="J201" s="167" t="s">
        <v>270</v>
      </c>
      <c r="K201" s="167" t="s">
        <v>170</v>
      </c>
      <c r="L201" s="167" t="s">
        <v>281</v>
      </c>
      <c r="M201" s="167" t="s">
        <v>1322</v>
      </c>
      <c r="N201" s="167" t="s">
        <v>2476</v>
      </c>
      <c r="O201" s="12" t="str">
        <f>_xlfn.DISPIMG("ID_DDCFE953EBFD4779B7FAA3122A1B85C5",1)</f>
        <v>=DISPIMG("ID_DDCFE953EBFD4779B7FAA3122A1B85C5",1)</v>
      </c>
      <c r="P201" s="9" t="s">
        <v>2477</v>
      </c>
      <c r="Q201" s="11">
        <v>295</v>
      </c>
      <c r="R201" s="78" t="s">
        <v>4516</v>
      </c>
      <c r="S201" s="19" t="s">
        <v>46</v>
      </c>
      <c r="T201" s="9">
        <v>25</v>
      </c>
    </row>
    <row r="202" s="3" customFormat="1" customHeight="1" spans="1:20">
      <c r="A202" s="166" t="s">
        <v>2480</v>
      </c>
      <c r="B202" s="166" t="s">
        <v>165</v>
      </c>
      <c r="C202" s="166" t="s">
        <v>2481</v>
      </c>
      <c r="D202" s="11">
        <v>15179240952</v>
      </c>
      <c r="E202" s="167" t="s">
        <v>156</v>
      </c>
      <c r="F202" s="166" t="s">
        <v>8</v>
      </c>
      <c r="G202" s="9">
        <v>202102002</v>
      </c>
      <c r="H202" s="167" t="s">
        <v>157</v>
      </c>
      <c r="I202" s="167" t="s">
        <v>2483</v>
      </c>
      <c r="J202" s="167" t="s">
        <v>2379</v>
      </c>
      <c r="K202" s="167" t="s">
        <v>160</v>
      </c>
      <c r="L202" s="167" t="s">
        <v>199</v>
      </c>
      <c r="M202" s="167" t="s">
        <v>8</v>
      </c>
      <c r="N202" s="167" t="s">
        <v>2484</v>
      </c>
      <c r="O202" s="12" t="str">
        <f>_xlfn.DISPIMG("ID_6EB4CC10A54B4F2AAD1518F1F500F570",1)</f>
        <v>=DISPIMG("ID_6EB4CC10A54B4F2AAD1518F1F500F570",1)</v>
      </c>
      <c r="P202" s="9" t="s">
        <v>2485</v>
      </c>
      <c r="Q202" s="11">
        <v>296</v>
      </c>
      <c r="R202" s="78" t="s">
        <v>4517</v>
      </c>
      <c r="S202" s="19" t="s">
        <v>48</v>
      </c>
      <c r="T202" s="9">
        <v>6</v>
      </c>
    </row>
    <row r="203" s="3" customFormat="1" customHeight="1" spans="1:20">
      <c r="A203" s="166" t="s">
        <v>2556</v>
      </c>
      <c r="B203" s="166" t="s">
        <v>165</v>
      </c>
      <c r="C203" s="166" t="s">
        <v>2557</v>
      </c>
      <c r="D203" s="11">
        <v>15770775780</v>
      </c>
      <c r="E203" s="167" t="s">
        <v>156</v>
      </c>
      <c r="F203" s="166" t="s">
        <v>8</v>
      </c>
      <c r="G203" s="9">
        <v>202102002</v>
      </c>
      <c r="H203" s="167" t="s">
        <v>157</v>
      </c>
      <c r="I203" s="167" t="s">
        <v>1413</v>
      </c>
      <c r="J203" s="167" t="s">
        <v>169</v>
      </c>
      <c r="K203" s="167" t="s">
        <v>170</v>
      </c>
      <c r="L203" s="167" t="s">
        <v>235</v>
      </c>
      <c r="M203" s="167" t="s">
        <v>8</v>
      </c>
      <c r="N203" s="11">
        <v>0</v>
      </c>
      <c r="O203" s="12" t="str">
        <f>_xlfn.DISPIMG("ID_BF27FE8641A74810A1152D199B9359D9",1)</f>
        <v>=DISPIMG("ID_BF27FE8641A74810A1152D199B9359D9",1)</v>
      </c>
      <c r="P203" s="9" t="s">
        <v>2559</v>
      </c>
      <c r="Q203" s="11">
        <v>306</v>
      </c>
      <c r="R203" s="78" t="s">
        <v>4518</v>
      </c>
      <c r="S203" s="19" t="s">
        <v>48</v>
      </c>
      <c r="T203" s="9">
        <v>7</v>
      </c>
    </row>
    <row r="204" s="3" customFormat="1" customHeight="1" spans="1:20">
      <c r="A204" s="166" t="s">
        <v>2839</v>
      </c>
      <c r="B204" s="166" t="s">
        <v>165</v>
      </c>
      <c r="C204" s="166" t="s">
        <v>2840</v>
      </c>
      <c r="D204" s="11">
        <v>15979055139</v>
      </c>
      <c r="E204" s="167" t="s">
        <v>156</v>
      </c>
      <c r="F204" s="166" t="s">
        <v>8</v>
      </c>
      <c r="G204" s="9">
        <v>202102002</v>
      </c>
      <c r="H204" s="167" t="s">
        <v>157</v>
      </c>
      <c r="I204" s="167" t="s">
        <v>827</v>
      </c>
      <c r="J204" s="167" t="s">
        <v>270</v>
      </c>
      <c r="K204" s="167" t="s">
        <v>170</v>
      </c>
      <c r="L204" s="167" t="s">
        <v>587</v>
      </c>
      <c r="M204" s="167" t="s">
        <v>2842</v>
      </c>
      <c r="N204" s="167" t="s">
        <v>2843</v>
      </c>
      <c r="O204" s="12" t="str">
        <f>_xlfn.DISPIMG("ID_D0E61411E52441859AFE69B7874CA20C",1)</f>
        <v>=DISPIMG("ID_D0E61411E52441859AFE69B7874CA20C",1)</v>
      </c>
      <c r="P204" s="9" t="s">
        <v>2844</v>
      </c>
      <c r="Q204" s="11">
        <v>345</v>
      </c>
      <c r="R204" s="78" t="s">
        <v>4519</v>
      </c>
      <c r="S204" s="19" t="s">
        <v>48</v>
      </c>
      <c r="T204" s="9">
        <v>18</v>
      </c>
    </row>
    <row r="205" s="3" customFormat="1" customHeight="1" spans="1:20">
      <c r="A205" s="166" t="s">
        <v>2847</v>
      </c>
      <c r="B205" s="166" t="s">
        <v>165</v>
      </c>
      <c r="C205" s="166" t="s">
        <v>2848</v>
      </c>
      <c r="D205" s="11">
        <v>18720087898</v>
      </c>
      <c r="E205" s="167" t="s">
        <v>156</v>
      </c>
      <c r="F205" s="166" t="s">
        <v>8</v>
      </c>
      <c r="G205" s="9">
        <v>202102002</v>
      </c>
      <c r="H205" s="167" t="s">
        <v>157</v>
      </c>
      <c r="I205" s="167" t="s">
        <v>1654</v>
      </c>
      <c r="J205" s="167" t="s">
        <v>813</v>
      </c>
      <c r="K205" s="167" t="s">
        <v>160</v>
      </c>
      <c r="L205" s="167" t="s">
        <v>516</v>
      </c>
      <c r="M205" s="167" t="s">
        <v>8</v>
      </c>
      <c r="N205" s="167" t="s">
        <v>2850</v>
      </c>
      <c r="O205" s="12" t="str">
        <f>_xlfn.DISPIMG("ID_B4574457B7EA4998BCE46939492C25E1",1)</f>
        <v>=DISPIMG("ID_B4574457B7EA4998BCE46939492C25E1",1)</v>
      </c>
      <c r="P205" s="9" t="s">
        <v>2851</v>
      </c>
      <c r="Q205" s="11">
        <v>346</v>
      </c>
      <c r="R205" s="78" t="s">
        <v>4520</v>
      </c>
      <c r="S205" s="19" t="s">
        <v>48</v>
      </c>
      <c r="T205" s="9">
        <v>19</v>
      </c>
    </row>
    <row r="206" s="3" customFormat="1" customHeight="1" spans="1:20">
      <c r="A206" s="166" t="s">
        <v>2180</v>
      </c>
      <c r="B206" s="166" t="s">
        <v>153</v>
      </c>
      <c r="C206" s="166" t="s">
        <v>2181</v>
      </c>
      <c r="D206" s="11">
        <v>18779219080</v>
      </c>
      <c r="E206" s="167" t="s">
        <v>506</v>
      </c>
      <c r="F206" s="166" t="s">
        <v>8</v>
      </c>
      <c r="G206" s="9">
        <v>202102015</v>
      </c>
      <c r="H206" s="167" t="s">
        <v>279</v>
      </c>
      <c r="I206" s="167" t="s">
        <v>158</v>
      </c>
      <c r="J206" s="167" t="s">
        <v>497</v>
      </c>
      <c r="K206" s="167" t="s">
        <v>170</v>
      </c>
      <c r="L206" s="167" t="s">
        <v>919</v>
      </c>
      <c r="M206" s="167" t="s">
        <v>2183</v>
      </c>
      <c r="N206" s="167" t="s">
        <v>2184</v>
      </c>
      <c r="O206" s="12" t="str">
        <f>_xlfn.DISPIMG("ID_59BF2512FDA845A780519BF3EE363C98",1)</f>
        <v>=DISPIMG("ID_59BF2512FDA845A780519BF3EE363C98",1)</v>
      </c>
      <c r="P206" s="9" t="s">
        <v>2185</v>
      </c>
      <c r="Q206" s="11">
        <v>358</v>
      </c>
      <c r="R206" s="78" t="s">
        <v>4522</v>
      </c>
      <c r="S206" s="19" t="s">
        <v>48</v>
      </c>
      <c r="T206" s="9">
        <v>5</v>
      </c>
    </row>
    <row r="207" s="3" customFormat="1" customHeight="1" spans="1:20">
      <c r="A207" s="166" t="s">
        <v>2947</v>
      </c>
      <c r="B207" s="166" t="s">
        <v>165</v>
      </c>
      <c r="C207" s="166" t="s">
        <v>2948</v>
      </c>
      <c r="D207" s="11">
        <v>17370852983</v>
      </c>
      <c r="E207" s="167" t="s">
        <v>156</v>
      </c>
      <c r="F207" s="166" t="s">
        <v>8</v>
      </c>
      <c r="G207" s="9">
        <v>202102002</v>
      </c>
      <c r="H207" s="167" t="s">
        <v>157</v>
      </c>
      <c r="I207" s="167" t="s">
        <v>611</v>
      </c>
      <c r="J207" s="167" t="s">
        <v>1832</v>
      </c>
      <c r="K207" s="167" t="s">
        <v>160</v>
      </c>
      <c r="L207" s="167" t="s">
        <v>306</v>
      </c>
      <c r="M207" s="167" t="s">
        <v>2950</v>
      </c>
      <c r="N207" s="167" t="s">
        <v>2951</v>
      </c>
      <c r="O207" s="12" t="str">
        <f>_xlfn.DISPIMG("ID_53C3410979BA49538F1410917AAC183C",1)</f>
        <v>=DISPIMG("ID_53C3410979BA49538F1410917AAC183C",1)</v>
      </c>
      <c r="P207" s="9" t="s">
        <v>2952</v>
      </c>
      <c r="Q207" s="11">
        <v>362</v>
      </c>
      <c r="R207" s="78" t="s">
        <v>4523</v>
      </c>
      <c r="S207" s="19" t="s">
        <v>48</v>
      </c>
      <c r="T207" s="9">
        <v>8</v>
      </c>
    </row>
    <row r="208" s="3" customFormat="1" customHeight="1" spans="1:20">
      <c r="A208" s="166" t="s">
        <v>2983</v>
      </c>
      <c r="B208" s="166" t="s">
        <v>165</v>
      </c>
      <c r="C208" s="166" t="s">
        <v>2984</v>
      </c>
      <c r="D208" s="11">
        <v>13699860392</v>
      </c>
      <c r="E208" s="167" t="s">
        <v>156</v>
      </c>
      <c r="F208" s="166" t="s">
        <v>8</v>
      </c>
      <c r="G208" s="9">
        <v>202102002</v>
      </c>
      <c r="H208" s="167" t="s">
        <v>157</v>
      </c>
      <c r="I208" s="167" t="s">
        <v>187</v>
      </c>
      <c r="J208" s="167" t="s">
        <v>2986</v>
      </c>
      <c r="K208" s="167" t="s">
        <v>160</v>
      </c>
      <c r="L208" s="167" t="s">
        <v>516</v>
      </c>
      <c r="M208" s="167" t="s">
        <v>20</v>
      </c>
      <c r="N208" s="167" t="s">
        <v>2987</v>
      </c>
      <c r="O208" s="12" t="str">
        <f>_xlfn.DISPIMG("ID_60E91D8703D740D9A8AE531BE158A22D",1)</f>
        <v>=DISPIMG("ID_60E91D8703D740D9A8AE531BE158A22D",1)</v>
      </c>
      <c r="P208" s="9" t="s">
        <v>2988</v>
      </c>
      <c r="Q208" s="11">
        <v>367</v>
      </c>
      <c r="R208" s="78" t="s">
        <v>4524</v>
      </c>
      <c r="S208" s="19" t="s">
        <v>48</v>
      </c>
      <c r="T208" s="9">
        <v>17</v>
      </c>
    </row>
    <row r="209" s="3" customFormat="1" customHeight="1" spans="1:20">
      <c r="A209" s="166" t="s">
        <v>2996</v>
      </c>
      <c r="B209" s="166" t="s">
        <v>165</v>
      </c>
      <c r="C209" s="166" t="s">
        <v>2997</v>
      </c>
      <c r="D209" s="11">
        <v>17379208038</v>
      </c>
      <c r="E209" s="167" t="s">
        <v>156</v>
      </c>
      <c r="F209" s="166" t="s">
        <v>8</v>
      </c>
      <c r="G209" s="9">
        <v>202102002</v>
      </c>
      <c r="H209" s="167" t="s">
        <v>157</v>
      </c>
      <c r="I209" s="167" t="s">
        <v>437</v>
      </c>
      <c r="J209" s="167" t="s">
        <v>1481</v>
      </c>
      <c r="K209" s="167" t="s">
        <v>160</v>
      </c>
      <c r="L209" s="167" t="s">
        <v>281</v>
      </c>
      <c r="M209" s="167" t="s">
        <v>8</v>
      </c>
      <c r="N209" s="11">
        <v>0</v>
      </c>
      <c r="O209" s="12" t="str">
        <f>_xlfn.DISPIMG("ID_A119020A43A6495588BAFB55CB082F01",1)</f>
        <v>=DISPIMG("ID_A119020A43A6495588BAFB55CB082F01",1)</v>
      </c>
      <c r="P209" s="9" t="s">
        <v>2999</v>
      </c>
      <c r="Q209" s="11">
        <v>369</v>
      </c>
      <c r="R209" s="78" t="s">
        <v>4525</v>
      </c>
      <c r="S209" s="19" t="s">
        <v>48</v>
      </c>
      <c r="T209" s="9">
        <v>20</v>
      </c>
    </row>
    <row r="210" s="3" customFormat="1" customHeight="1" spans="1:20">
      <c r="A210" s="166" t="s">
        <v>3075</v>
      </c>
      <c r="B210" s="166" t="s">
        <v>165</v>
      </c>
      <c r="C210" s="166" t="s">
        <v>3076</v>
      </c>
      <c r="D210" s="11">
        <v>13122383919</v>
      </c>
      <c r="E210" s="167" t="s">
        <v>156</v>
      </c>
      <c r="F210" s="166" t="s">
        <v>8</v>
      </c>
      <c r="G210" s="9">
        <v>202102002</v>
      </c>
      <c r="H210" s="167" t="s">
        <v>157</v>
      </c>
      <c r="I210" s="167" t="s">
        <v>3078</v>
      </c>
      <c r="J210" s="167" t="s">
        <v>3079</v>
      </c>
      <c r="K210" s="167" t="s">
        <v>160</v>
      </c>
      <c r="L210" s="167" t="s">
        <v>252</v>
      </c>
      <c r="M210" s="167" t="s">
        <v>8</v>
      </c>
      <c r="N210" s="11">
        <v>0</v>
      </c>
      <c r="O210" s="12" t="str">
        <f>_xlfn.DISPIMG("ID_0C5BA3A4E8B245D6AB6AE82F368BFF6A",1)</f>
        <v>=DISPIMG("ID_0C5BA3A4E8B245D6AB6AE82F368BFF6A",1)</v>
      </c>
      <c r="P210" s="9" t="s">
        <v>3080</v>
      </c>
      <c r="Q210" s="11">
        <v>380</v>
      </c>
      <c r="R210" s="78" t="s">
        <v>4527</v>
      </c>
      <c r="S210" s="19" t="s">
        <v>48</v>
      </c>
      <c r="T210" s="9">
        <v>4</v>
      </c>
    </row>
    <row r="211" s="3" customFormat="1" customHeight="1" spans="1:20">
      <c r="A211" s="166" t="s">
        <v>3083</v>
      </c>
      <c r="B211" s="166" t="s">
        <v>165</v>
      </c>
      <c r="C211" s="166" t="s">
        <v>3084</v>
      </c>
      <c r="D211" s="11">
        <v>15070231776</v>
      </c>
      <c r="E211" s="167" t="s">
        <v>156</v>
      </c>
      <c r="F211" s="166" t="s">
        <v>8</v>
      </c>
      <c r="G211" s="9">
        <v>202102002</v>
      </c>
      <c r="H211" s="167" t="s">
        <v>157</v>
      </c>
      <c r="I211" s="167" t="s">
        <v>3086</v>
      </c>
      <c r="J211" s="167" t="s">
        <v>3087</v>
      </c>
      <c r="K211" s="167" t="s">
        <v>160</v>
      </c>
      <c r="L211" s="167" t="s">
        <v>455</v>
      </c>
      <c r="M211" s="167" t="s">
        <v>8</v>
      </c>
      <c r="N211" s="11">
        <v>0</v>
      </c>
      <c r="O211" s="12" t="str">
        <f>_xlfn.DISPIMG("ID_FE0A8F210AE74D2ABEA83714575A775F",1)</f>
        <v>=DISPIMG("ID_FE0A8F210AE74D2ABEA83714575A775F",1)</v>
      </c>
      <c r="P211" s="9" t="s">
        <v>3088</v>
      </c>
      <c r="Q211" s="20">
        <v>381</v>
      </c>
      <c r="R211" s="78" t="s">
        <v>4528</v>
      </c>
      <c r="S211" s="19" t="s">
        <v>48</v>
      </c>
      <c r="T211" s="9">
        <v>9</v>
      </c>
    </row>
    <row r="212" s="3" customFormat="1" customHeight="1" spans="1:20">
      <c r="A212" s="166" t="s">
        <v>3226</v>
      </c>
      <c r="B212" s="166" t="s">
        <v>165</v>
      </c>
      <c r="C212" s="166" t="s">
        <v>3227</v>
      </c>
      <c r="D212" s="11">
        <v>18279226554</v>
      </c>
      <c r="E212" s="167" t="s">
        <v>156</v>
      </c>
      <c r="F212" s="166" t="s">
        <v>8</v>
      </c>
      <c r="G212" s="9">
        <v>202102002</v>
      </c>
      <c r="H212" s="167" t="s">
        <v>157</v>
      </c>
      <c r="I212" s="167" t="s">
        <v>3229</v>
      </c>
      <c r="J212" s="167" t="s">
        <v>1832</v>
      </c>
      <c r="K212" s="167" t="s">
        <v>160</v>
      </c>
      <c r="L212" s="167" t="s">
        <v>235</v>
      </c>
      <c r="M212" s="167" t="s">
        <v>3230</v>
      </c>
      <c r="N212" s="11">
        <v>0</v>
      </c>
      <c r="O212" s="12" t="str">
        <f>_xlfn.DISPIMG("ID_E38CE29681DB4326A5DB290E49AD4AFC",1)</f>
        <v>=DISPIMG("ID_E38CE29681DB4326A5DB290E49AD4AFC",1)</v>
      </c>
      <c r="P212" s="9" t="s">
        <v>3231</v>
      </c>
      <c r="Q212" s="11">
        <v>402</v>
      </c>
      <c r="R212" s="78" t="s">
        <v>4529</v>
      </c>
      <c r="S212" s="19" t="s">
        <v>48</v>
      </c>
      <c r="T212" s="9">
        <v>16</v>
      </c>
    </row>
    <row r="213" s="3" customFormat="1" customHeight="1" spans="1:20">
      <c r="A213" s="166" t="s">
        <v>3416</v>
      </c>
      <c r="B213" s="166" t="s">
        <v>165</v>
      </c>
      <c r="C213" s="166" t="s">
        <v>3417</v>
      </c>
      <c r="D213" s="11">
        <v>15179885806</v>
      </c>
      <c r="E213" s="167" t="s">
        <v>156</v>
      </c>
      <c r="F213" s="166" t="s">
        <v>8</v>
      </c>
      <c r="G213" s="9">
        <v>202102002</v>
      </c>
      <c r="H213" s="167" t="s">
        <v>157</v>
      </c>
      <c r="I213" s="167" t="s">
        <v>242</v>
      </c>
      <c r="J213" s="167" t="s">
        <v>3087</v>
      </c>
      <c r="K213" s="167" t="s">
        <v>160</v>
      </c>
      <c r="L213" s="167" t="s">
        <v>180</v>
      </c>
      <c r="M213" s="167" t="s">
        <v>3418</v>
      </c>
      <c r="N213" s="167" t="s">
        <v>3419</v>
      </c>
      <c r="O213" s="12" t="str">
        <f>_xlfn.DISPIMG("ID_7663A71771F44500AC5AF2DBC8366CB5",1)</f>
        <v>=DISPIMG("ID_7663A71771F44500AC5AF2DBC8366CB5",1)</v>
      </c>
      <c r="P213" s="9" t="s">
        <v>3420</v>
      </c>
      <c r="Q213" s="11">
        <v>431</v>
      </c>
      <c r="R213" s="78" t="s">
        <v>4530</v>
      </c>
      <c r="S213" s="19" t="s">
        <v>48</v>
      </c>
      <c r="T213" s="9">
        <v>21</v>
      </c>
    </row>
    <row r="214" s="3" customFormat="1" customHeight="1" spans="1:20">
      <c r="A214" s="166" t="s">
        <v>3594</v>
      </c>
      <c r="B214" s="166" t="s">
        <v>165</v>
      </c>
      <c r="C214" s="166" t="s">
        <v>3595</v>
      </c>
      <c r="D214" s="11">
        <v>13635983416</v>
      </c>
      <c r="E214" s="167" t="s">
        <v>156</v>
      </c>
      <c r="F214" s="166" t="s">
        <v>8</v>
      </c>
      <c r="G214" s="9">
        <v>202102002</v>
      </c>
      <c r="H214" s="167" t="s">
        <v>279</v>
      </c>
      <c r="I214" s="167" t="s">
        <v>3597</v>
      </c>
      <c r="J214" s="167" t="s">
        <v>497</v>
      </c>
      <c r="K214" s="167" t="s">
        <v>170</v>
      </c>
      <c r="L214" s="167" t="s">
        <v>189</v>
      </c>
      <c r="M214" s="167" t="s">
        <v>989</v>
      </c>
      <c r="N214" s="167" t="s">
        <v>3598</v>
      </c>
      <c r="O214" s="12" t="str">
        <f>_xlfn.DISPIMG("ID_DB80027A676342B6B8178A0E756378C3",1)</f>
        <v>=DISPIMG("ID_DB80027A676342B6B8178A0E756378C3",1)</v>
      </c>
      <c r="P214" s="9" t="s">
        <v>3599</v>
      </c>
      <c r="Q214" s="11">
        <v>457</v>
      </c>
      <c r="R214" s="78" t="s">
        <v>4532</v>
      </c>
      <c r="S214" s="19" t="s">
        <v>48</v>
      </c>
      <c r="T214" s="9">
        <v>3</v>
      </c>
    </row>
    <row r="215" s="98" customFormat="1" customHeight="1" spans="1:20">
      <c r="A215" s="170" t="s">
        <v>3622</v>
      </c>
      <c r="B215" s="170" t="s">
        <v>165</v>
      </c>
      <c r="C215" s="170" t="s">
        <v>3623</v>
      </c>
      <c r="D215" s="21">
        <v>13077975587</v>
      </c>
      <c r="E215" s="163" t="s">
        <v>268</v>
      </c>
      <c r="F215" s="170" t="s">
        <v>8</v>
      </c>
      <c r="G215" s="99">
        <v>202102002</v>
      </c>
      <c r="H215" s="163" t="s">
        <v>157</v>
      </c>
      <c r="I215" s="163" t="s">
        <v>3625</v>
      </c>
      <c r="J215" s="163" t="s">
        <v>3626</v>
      </c>
      <c r="K215" s="163" t="s">
        <v>160</v>
      </c>
      <c r="L215" s="163" t="s">
        <v>673</v>
      </c>
      <c r="M215" s="163" t="s">
        <v>20</v>
      </c>
      <c r="N215" s="21">
        <v>0</v>
      </c>
      <c r="O215" s="100" t="str">
        <f>_xlfn.DISPIMG("ID_892B76E7BF3A4E06A1CCC00A4DBCC4C6",1)</f>
        <v>=DISPIMG("ID_892B76E7BF3A4E06A1CCC00A4DBCC4C6",1)</v>
      </c>
      <c r="P215" s="99" t="s">
        <v>3627</v>
      </c>
      <c r="Q215" s="21">
        <v>461</v>
      </c>
      <c r="R215" s="101" t="s">
        <v>4533</v>
      </c>
      <c r="S215" s="102" t="s">
        <v>48</v>
      </c>
      <c r="T215" s="99">
        <v>10</v>
      </c>
    </row>
    <row r="216" s="4" customFormat="1" customHeight="1" spans="1:20">
      <c r="A216" s="166" t="s">
        <v>1027</v>
      </c>
      <c r="B216" s="166" t="s">
        <v>165</v>
      </c>
      <c r="C216" s="166" t="s">
        <v>3692</v>
      </c>
      <c r="D216" s="11">
        <v>15779259710</v>
      </c>
      <c r="E216" s="167" t="s">
        <v>156</v>
      </c>
      <c r="F216" s="166" t="s">
        <v>8</v>
      </c>
      <c r="G216" s="9">
        <v>202102002</v>
      </c>
      <c r="H216" s="167" t="s">
        <v>279</v>
      </c>
      <c r="I216" s="167" t="s">
        <v>3694</v>
      </c>
      <c r="J216" s="167" t="s">
        <v>497</v>
      </c>
      <c r="K216" s="167" t="s">
        <v>170</v>
      </c>
      <c r="L216" s="167" t="s">
        <v>180</v>
      </c>
      <c r="M216" s="167" t="s">
        <v>8</v>
      </c>
      <c r="N216" s="167" t="s">
        <v>3695</v>
      </c>
      <c r="O216" s="12" t="str">
        <f>_xlfn.DISPIMG("ID_57DB6C2F5BCD45498E344599D2C7D1D8",1)</f>
        <v>=DISPIMG("ID_57DB6C2F5BCD45498E344599D2C7D1D8",1)</v>
      </c>
      <c r="P216" s="9" t="s">
        <v>3696</v>
      </c>
      <c r="Q216" s="20">
        <v>470</v>
      </c>
      <c r="R216" s="78" t="s">
        <v>4534</v>
      </c>
      <c r="S216" s="19" t="s">
        <v>48</v>
      </c>
      <c r="T216" s="9">
        <v>15</v>
      </c>
    </row>
    <row r="217" s="3" customFormat="1" customHeight="1" spans="1:20">
      <c r="A217" s="166" t="s">
        <v>3734</v>
      </c>
      <c r="B217" s="166" t="s">
        <v>165</v>
      </c>
      <c r="C217" s="166" t="s">
        <v>3735</v>
      </c>
      <c r="D217" s="11">
        <v>15070233072</v>
      </c>
      <c r="E217" s="167" t="s">
        <v>156</v>
      </c>
      <c r="F217" s="166" t="s">
        <v>8</v>
      </c>
      <c r="G217" s="9">
        <v>202102002</v>
      </c>
      <c r="H217" s="167" t="s">
        <v>157</v>
      </c>
      <c r="I217" s="167" t="s">
        <v>3737</v>
      </c>
      <c r="J217" s="167" t="s">
        <v>3738</v>
      </c>
      <c r="K217" s="167" t="s">
        <v>160</v>
      </c>
      <c r="L217" s="167" t="s">
        <v>171</v>
      </c>
      <c r="M217" s="167" t="s">
        <v>8</v>
      </c>
      <c r="N217" s="167" t="s">
        <v>3739</v>
      </c>
      <c r="O217" s="12" t="str">
        <f>_xlfn.DISPIMG("ID_B7F470084B4940CBBF67BF60A043E6F0",1)</f>
        <v>=DISPIMG("ID_B7F470084B4940CBBF67BF60A043E6F0",1)</v>
      </c>
      <c r="P217" s="9" t="s">
        <v>3740</v>
      </c>
      <c r="Q217" s="11">
        <v>476</v>
      </c>
      <c r="R217" s="78" t="s">
        <v>4535</v>
      </c>
      <c r="S217" s="19" t="s">
        <v>48</v>
      </c>
      <c r="T217" s="9">
        <v>22</v>
      </c>
    </row>
    <row r="218" s="3" customFormat="1" customHeight="1" spans="1:20">
      <c r="A218" s="166" t="s">
        <v>3766</v>
      </c>
      <c r="B218" s="166" t="s">
        <v>165</v>
      </c>
      <c r="C218" s="166" t="s">
        <v>3767</v>
      </c>
      <c r="D218" s="11">
        <v>18079224740</v>
      </c>
      <c r="E218" s="167" t="s">
        <v>156</v>
      </c>
      <c r="F218" s="166" t="s">
        <v>8</v>
      </c>
      <c r="G218" s="9">
        <v>202102002</v>
      </c>
      <c r="H218" s="167" t="s">
        <v>157</v>
      </c>
      <c r="I218" s="167" t="s">
        <v>233</v>
      </c>
      <c r="J218" s="167" t="s">
        <v>3769</v>
      </c>
      <c r="K218" s="167" t="s">
        <v>160</v>
      </c>
      <c r="L218" s="167" t="s">
        <v>1089</v>
      </c>
      <c r="M218" s="167" t="s">
        <v>8</v>
      </c>
      <c r="N218" s="11">
        <v>0</v>
      </c>
      <c r="O218" s="12" t="str">
        <f>_xlfn.DISPIMG("ID_2E7FF83B7D12427491B1BA1300A2CD7A",1)</f>
        <v>=DISPIMG("ID_2E7FF83B7D12427491B1BA1300A2CD7A",1)</v>
      </c>
      <c r="P218" s="9" t="s">
        <v>3770</v>
      </c>
      <c r="Q218" s="11">
        <v>480</v>
      </c>
      <c r="R218" s="78" t="s">
        <v>4536</v>
      </c>
      <c r="S218" s="19" t="s">
        <v>48</v>
      </c>
      <c r="T218" s="9">
        <v>27</v>
      </c>
    </row>
    <row r="219" s="3" customFormat="1" customHeight="1" spans="1:20">
      <c r="A219" s="166" t="s">
        <v>3811</v>
      </c>
      <c r="B219" s="166" t="s">
        <v>165</v>
      </c>
      <c r="C219" s="166" t="s">
        <v>3812</v>
      </c>
      <c r="D219" s="11">
        <v>18970830560</v>
      </c>
      <c r="E219" s="167" t="s">
        <v>156</v>
      </c>
      <c r="F219" s="166" t="s">
        <v>8</v>
      </c>
      <c r="G219" s="9">
        <v>202102002</v>
      </c>
      <c r="H219" s="167" t="s">
        <v>157</v>
      </c>
      <c r="I219" s="167" t="s">
        <v>2483</v>
      </c>
      <c r="J219" s="167" t="s">
        <v>1832</v>
      </c>
      <c r="K219" s="167" t="s">
        <v>160</v>
      </c>
      <c r="L219" s="167" t="s">
        <v>349</v>
      </c>
      <c r="M219" s="167" t="s">
        <v>8</v>
      </c>
      <c r="N219" s="11">
        <v>0</v>
      </c>
      <c r="O219" s="12" t="str">
        <f>_xlfn.DISPIMG("ID_E15E0A7D91AC4C3983241BCD063880D6",1)</f>
        <v>=DISPIMG("ID_E15E0A7D91AC4C3983241BCD063880D6",1)</v>
      </c>
      <c r="P219" s="9" t="s">
        <v>3814</v>
      </c>
      <c r="Q219" s="11">
        <v>486</v>
      </c>
      <c r="R219" s="78" t="s">
        <v>4537</v>
      </c>
      <c r="S219" s="19" t="s">
        <v>48</v>
      </c>
      <c r="T219" s="9">
        <v>2</v>
      </c>
    </row>
    <row r="220" s="3" customFormat="1" customHeight="1" spans="1:20">
      <c r="A220" s="166" t="s">
        <v>3850</v>
      </c>
      <c r="B220" s="166" t="s">
        <v>165</v>
      </c>
      <c r="C220" s="166" t="s">
        <v>3851</v>
      </c>
      <c r="D220" s="11">
        <v>15797695028</v>
      </c>
      <c r="E220" s="167" t="s">
        <v>156</v>
      </c>
      <c r="F220" s="166" t="s">
        <v>8</v>
      </c>
      <c r="G220" s="9">
        <v>202102002</v>
      </c>
      <c r="H220" s="167" t="s">
        <v>157</v>
      </c>
      <c r="I220" s="167" t="s">
        <v>233</v>
      </c>
      <c r="J220" s="167" t="s">
        <v>3853</v>
      </c>
      <c r="K220" s="167" t="s">
        <v>160</v>
      </c>
      <c r="L220" s="167" t="s">
        <v>235</v>
      </c>
      <c r="M220" s="167" t="s">
        <v>3854</v>
      </c>
      <c r="N220" s="11">
        <v>0</v>
      </c>
      <c r="O220" s="12" t="str">
        <f>_xlfn.DISPIMG("ID_84872379004C4F22BC15C75702A4DBC9",1)</f>
        <v>=DISPIMG("ID_84872379004C4F22BC15C75702A4DBC9",1)</v>
      </c>
      <c r="P220" s="9" t="s">
        <v>3855</v>
      </c>
      <c r="Q220" s="20">
        <v>491</v>
      </c>
      <c r="R220" s="78" t="s">
        <v>4538</v>
      </c>
      <c r="S220" s="19" t="s">
        <v>48</v>
      </c>
      <c r="T220" s="9">
        <v>11</v>
      </c>
    </row>
    <row r="221" s="3" customFormat="1" customHeight="1" spans="1:20">
      <c r="A221" s="166" t="s">
        <v>3865</v>
      </c>
      <c r="B221" s="166" t="s">
        <v>165</v>
      </c>
      <c r="C221" s="166" t="s">
        <v>3866</v>
      </c>
      <c r="D221" s="11">
        <v>18879267212</v>
      </c>
      <c r="E221" s="167" t="s">
        <v>156</v>
      </c>
      <c r="F221" s="166" t="s">
        <v>8</v>
      </c>
      <c r="G221" s="9">
        <v>202102002</v>
      </c>
      <c r="H221" s="167" t="s">
        <v>157</v>
      </c>
      <c r="I221" s="167" t="s">
        <v>827</v>
      </c>
      <c r="J221" s="167" t="s">
        <v>270</v>
      </c>
      <c r="K221" s="167" t="s">
        <v>170</v>
      </c>
      <c r="L221" s="167" t="s">
        <v>171</v>
      </c>
      <c r="M221" s="167" t="s">
        <v>3868</v>
      </c>
      <c r="N221" s="167" t="s">
        <v>3869</v>
      </c>
      <c r="O221" s="12" t="str">
        <f>_xlfn.DISPIMG("ID_60BA691C89BB46A3A629500DC48B1B82",1)</f>
        <v>=DISPIMG("ID_60BA691C89BB46A3A629500DC48B1B82",1)</v>
      </c>
      <c r="P221" s="9" t="s">
        <v>3870</v>
      </c>
      <c r="Q221" s="20">
        <v>493</v>
      </c>
      <c r="R221" s="78" t="s">
        <v>4531</v>
      </c>
      <c r="S221" s="19" t="s">
        <v>48</v>
      </c>
      <c r="T221" s="9">
        <v>28</v>
      </c>
    </row>
    <row r="222" s="3" customFormat="1" customHeight="1" spans="1:20">
      <c r="A222" s="166" t="s">
        <v>3904</v>
      </c>
      <c r="B222" s="166" t="s">
        <v>153</v>
      </c>
      <c r="C222" s="166" t="s">
        <v>3905</v>
      </c>
      <c r="D222" s="11">
        <v>15007027769</v>
      </c>
      <c r="E222" s="167" t="s">
        <v>156</v>
      </c>
      <c r="F222" s="166" t="s">
        <v>8</v>
      </c>
      <c r="G222" s="9">
        <v>202102002</v>
      </c>
      <c r="H222" s="167" t="s">
        <v>157</v>
      </c>
      <c r="I222" s="167" t="s">
        <v>158</v>
      </c>
      <c r="J222" s="167" t="s">
        <v>1481</v>
      </c>
      <c r="K222" s="167" t="s">
        <v>160</v>
      </c>
      <c r="L222" s="167" t="s">
        <v>216</v>
      </c>
      <c r="M222" s="167" t="s">
        <v>8</v>
      </c>
      <c r="N222" s="11">
        <v>0</v>
      </c>
      <c r="O222" s="12" t="str">
        <f>_xlfn.DISPIMG("ID_9F8C123E434549AABE94648B98FC4902",1)</f>
        <v>=DISPIMG("ID_9F8C123E434549AABE94648B98FC4902",1)</v>
      </c>
      <c r="P222" s="9" t="s">
        <v>3907</v>
      </c>
      <c r="Q222" s="20">
        <v>498</v>
      </c>
      <c r="R222" s="78" t="s">
        <v>4540</v>
      </c>
      <c r="S222" s="19" t="s">
        <v>48</v>
      </c>
      <c r="T222" s="9">
        <v>23</v>
      </c>
    </row>
    <row r="223" s="3" customFormat="1" customHeight="1" spans="1:20">
      <c r="A223" s="166" t="s">
        <v>3924</v>
      </c>
      <c r="B223" s="166" t="s">
        <v>165</v>
      </c>
      <c r="C223" s="166" t="s">
        <v>3925</v>
      </c>
      <c r="D223" s="11">
        <v>15797691720</v>
      </c>
      <c r="E223" s="167" t="s">
        <v>156</v>
      </c>
      <c r="F223" s="166" t="s">
        <v>8</v>
      </c>
      <c r="G223" s="9">
        <v>202102002</v>
      </c>
      <c r="H223" s="167" t="s">
        <v>157</v>
      </c>
      <c r="I223" s="167" t="s">
        <v>603</v>
      </c>
      <c r="J223" s="167" t="s">
        <v>2379</v>
      </c>
      <c r="K223" s="167" t="s">
        <v>160</v>
      </c>
      <c r="L223" s="167" t="s">
        <v>306</v>
      </c>
      <c r="M223" s="167" t="s">
        <v>989</v>
      </c>
      <c r="N223" s="167" t="s">
        <v>3927</v>
      </c>
      <c r="O223" s="12" t="str">
        <f>_xlfn.DISPIMG("ID_514B3145E6BD4A2498C42CFECAEF98E2",1)</f>
        <v>=DISPIMG("ID_514B3145E6BD4A2498C42CFECAEF98E2",1)</v>
      </c>
      <c r="P223" s="9" t="s">
        <v>3928</v>
      </c>
      <c r="Q223" s="20">
        <v>501</v>
      </c>
      <c r="R223" s="78" t="s">
        <v>4541</v>
      </c>
      <c r="S223" s="19" t="s">
        <v>48</v>
      </c>
      <c r="T223" s="9">
        <v>26</v>
      </c>
    </row>
    <row r="224" s="3" customFormat="1" customHeight="1" spans="1:20">
      <c r="A224" s="166" t="s">
        <v>3948</v>
      </c>
      <c r="B224" s="166" t="s">
        <v>165</v>
      </c>
      <c r="C224" s="166" t="s">
        <v>3949</v>
      </c>
      <c r="D224" s="11">
        <v>13803563575</v>
      </c>
      <c r="E224" s="167" t="s">
        <v>156</v>
      </c>
      <c r="F224" s="166" t="s">
        <v>8</v>
      </c>
      <c r="G224" s="9">
        <v>202102002</v>
      </c>
      <c r="H224" s="167" t="s">
        <v>279</v>
      </c>
      <c r="I224" s="167" t="s">
        <v>158</v>
      </c>
      <c r="J224" s="167" t="s">
        <v>497</v>
      </c>
      <c r="K224" s="167" t="s">
        <v>170</v>
      </c>
      <c r="L224" s="167" t="s">
        <v>180</v>
      </c>
      <c r="M224" s="167" t="s">
        <v>3230</v>
      </c>
      <c r="N224" s="167" t="s">
        <v>3951</v>
      </c>
      <c r="O224" s="12" t="str">
        <f>_xlfn.DISPIMG("ID_997BB006A29449FB8D35751C6152A872",1)</f>
        <v>=DISPIMG("ID_997BB006A29449FB8D35751C6152A872",1)</v>
      </c>
      <c r="P224" s="9" t="s">
        <v>3952</v>
      </c>
      <c r="Q224" s="11">
        <v>504</v>
      </c>
      <c r="R224" s="78" t="s">
        <v>4542</v>
      </c>
      <c r="S224" s="19" t="s">
        <v>48</v>
      </c>
      <c r="T224" s="9">
        <v>1</v>
      </c>
    </row>
    <row r="225" s="3" customFormat="1" customHeight="1" spans="1:20">
      <c r="A225" s="166" t="s">
        <v>4043</v>
      </c>
      <c r="B225" s="166" t="s">
        <v>165</v>
      </c>
      <c r="C225" s="166" t="s">
        <v>4044</v>
      </c>
      <c r="D225" s="11">
        <v>18046771974</v>
      </c>
      <c r="E225" s="167" t="s">
        <v>156</v>
      </c>
      <c r="F225" s="166" t="s">
        <v>8</v>
      </c>
      <c r="G225" s="9">
        <v>202102002</v>
      </c>
      <c r="H225" s="167" t="s">
        <v>157</v>
      </c>
      <c r="I225" s="167" t="s">
        <v>1368</v>
      </c>
      <c r="J225" s="167" t="s">
        <v>4046</v>
      </c>
      <c r="K225" s="167" t="s">
        <v>170</v>
      </c>
      <c r="L225" s="167" t="s">
        <v>281</v>
      </c>
      <c r="M225" s="167" t="s">
        <v>20</v>
      </c>
      <c r="N225" s="167" t="s">
        <v>4047</v>
      </c>
      <c r="O225" s="12" t="str">
        <f>_xlfn.DISPIMG("ID_5DC4628448F54176A5FF91EC25B128F5",1)</f>
        <v>=DISPIMG("ID_5DC4628448F54176A5FF91EC25B128F5",1)</v>
      </c>
      <c r="P225" s="9" t="s">
        <v>4048</v>
      </c>
      <c r="Q225" s="20">
        <v>517</v>
      </c>
      <c r="R225" s="78" t="s">
        <v>4543</v>
      </c>
      <c r="S225" s="19" t="s">
        <v>48</v>
      </c>
      <c r="T225" s="9">
        <v>12</v>
      </c>
    </row>
    <row r="226" s="3" customFormat="1" customHeight="1" spans="1:20">
      <c r="A226" s="166" t="s">
        <v>4089</v>
      </c>
      <c r="B226" s="166" t="s">
        <v>165</v>
      </c>
      <c r="C226" s="166" t="s">
        <v>4090</v>
      </c>
      <c r="D226" s="11">
        <v>15979951702</v>
      </c>
      <c r="E226" s="167" t="s">
        <v>156</v>
      </c>
      <c r="F226" s="166" t="s">
        <v>8</v>
      </c>
      <c r="G226" s="9">
        <v>202102002</v>
      </c>
      <c r="H226" s="167" t="s">
        <v>157</v>
      </c>
      <c r="I226" s="167" t="s">
        <v>385</v>
      </c>
      <c r="J226" s="167" t="s">
        <v>270</v>
      </c>
      <c r="K226" s="167" t="s">
        <v>170</v>
      </c>
      <c r="L226" s="167" t="s">
        <v>161</v>
      </c>
      <c r="M226" s="167" t="s">
        <v>20</v>
      </c>
      <c r="N226" s="167" t="s">
        <v>4092</v>
      </c>
      <c r="O226" s="12" t="str">
        <f>_xlfn.DISPIMG("ID_9B43E41106094708AAB8E2C3D51BAF21",1)</f>
        <v>=DISPIMG("ID_9B43E41106094708AAB8E2C3D51BAF21",1)</v>
      </c>
      <c r="P226" s="9" t="s">
        <v>4093</v>
      </c>
      <c r="Q226" s="20">
        <v>523</v>
      </c>
      <c r="R226" s="78" t="s">
        <v>4526</v>
      </c>
      <c r="S226" s="19" t="s">
        <v>48</v>
      </c>
      <c r="T226" s="9">
        <v>29</v>
      </c>
    </row>
    <row r="227" s="3" customFormat="1" customHeight="1" spans="1:20">
      <c r="A227" s="166" t="s">
        <v>4191</v>
      </c>
      <c r="B227" s="166" t="s">
        <v>153</v>
      </c>
      <c r="C227" s="166" t="s">
        <v>4192</v>
      </c>
      <c r="D227" s="11">
        <v>15979988511</v>
      </c>
      <c r="E227" s="167" t="s">
        <v>156</v>
      </c>
      <c r="F227" s="166" t="s">
        <v>8</v>
      </c>
      <c r="G227" s="9">
        <v>202102002</v>
      </c>
      <c r="H227" s="167" t="s">
        <v>157</v>
      </c>
      <c r="I227" s="167" t="s">
        <v>789</v>
      </c>
      <c r="J227" s="167" t="s">
        <v>270</v>
      </c>
      <c r="K227" s="167" t="s">
        <v>160</v>
      </c>
      <c r="L227" s="167" t="s">
        <v>180</v>
      </c>
      <c r="M227" s="167" t="s">
        <v>8</v>
      </c>
      <c r="N227" s="167" t="s">
        <v>4194</v>
      </c>
      <c r="O227" s="12" t="str">
        <f>_xlfn.DISPIMG("ID_0D01E0F1A35045CF8FA47A6F17C3312E",1)</f>
        <v>=DISPIMG("ID_0D01E0F1A35045CF8FA47A6F17C3312E",1)</v>
      </c>
      <c r="P227" s="9" t="s">
        <v>4195</v>
      </c>
      <c r="Q227" s="20">
        <v>536</v>
      </c>
      <c r="R227" s="78" t="s">
        <v>4545</v>
      </c>
      <c r="S227" s="19" t="s">
        <v>48</v>
      </c>
      <c r="T227" s="9">
        <v>24</v>
      </c>
    </row>
    <row r="228" s="3" customFormat="1" customHeight="1" spans="1:20">
      <c r="A228" s="166" t="s">
        <v>4230</v>
      </c>
      <c r="B228" s="166" t="s">
        <v>165</v>
      </c>
      <c r="C228" s="166" t="s">
        <v>4231</v>
      </c>
      <c r="D228" s="11">
        <v>15797679627</v>
      </c>
      <c r="E228" s="167" t="s">
        <v>156</v>
      </c>
      <c r="F228" s="166" t="s">
        <v>8</v>
      </c>
      <c r="G228" s="9">
        <v>202102002</v>
      </c>
      <c r="H228" s="167" t="s">
        <v>157</v>
      </c>
      <c r="I228" s="167" t="s">
        <v>876</v>
      </c>
      <c r="J228" s="167" t="s">
        <v>1204</v>
      </c>
      <c r="K228" s="167" t="s">
        <v>160</v>
      </c>
      <c r="L228" s="167" t="s">
        <v>171</v>
      </c>
      <c r="M228" s="167" t="s">
        <v>4233</v>
      </c>
      <c r="N228" s="11">
        <v>0</v>
      </c>
      <c r="O228" s="12" t="str">
        <f>_xlfn.DISPIMG("ID_866D1667729041288352BAC0C5E9F611",1)</f>
        <v>=DISPIMG("ID_866D1667729041288352BAC0C5E9F611",1)</v>
      </c>
      <c r="P228" s="9" t="s">
        <v>4234</v>
      </c>
      <c r="Q228" s="20">
        <v>541</v>
      </c>
      <c r="R228" s="78" t="s">
        <v>4546</v>
      </c>
      <c r="S228" s="19" t="s">
        <v>48</v>
      </c>
      <c r="T228" s="9">
        <v>25</v>
      </c>
    </row>
    <row r="229" s="3" customFormat="1" customHeight="1" spans="1:20">
      <c r="A229" s="166" t="s">
        <v>2210</v>
      </c>
      <c r="B229" s="166" t="s">
        <v>165</v>
      </c>
      <c r="C229" s="166" t="s">
        <v>2211</v>
      </c>
      <c r="D229" s="11">
        <v>15770710161</v>
      </c>
      <c r="E229" s="167" t="s">
        <v>384</v>
      </c>
      <c r="F229" s="166" t="s">
        <v>27</v>
      </c>
      <c r="G229" s="9">
        <v>202101016</v>
      </c>
      <c r="H229" s="167" t="s">
        <v>157</v>
      </c>
      <c r="I229" s="167" t="s">
        <v>1413</v>
      </c>
      <c r="J229" s="167" t="s">
        <v>215</v>
      </c>
      <c r="K229" s="167" t="s">
        <v>170</v>
      </c>
      <c r="L229" s="167" t="s">
        <v>171</v>
      </c>
      <c r="M229" s="167" t="s">
        <v>2213</v>
      </c>
      <c r="N229" s="167" t="s">
        <v>2214</v>
      </c>
      <c r="O229" s="12" t="str">
        <f>_xlfn.DISPIMG("ID_0AC7D7DC948D4142BC7E39C07F0EB7F8",1)</f>
        <v>=DISPIMG("ID_0AC7D7DC948D4142BC7E39C07F0EB7F8",1)</v>
      </c>
      <c r="P229" s="9" t="s">
        <v>2215</v>
      </c>
      <c r="Q229" s="11">
        <v>260</v>
      </c>
      <c r="R229" s="78" t="s">
        <v>4539</v>
      </c>
      <c r="S229" s="19" t="s">
        <v>48</v>
      </c>
      <c r="T229" s="9">
        <v>14</v>
      </c>
    </row>
    <row r="230" s="3" customFormat="1" customHeight="1" spans="1:20">
      <c r="A230" s="166" t="s">
        <v>3667</v>
      </c>
      <c r="B230" s="166" t="s">
        <v>153</v>
      </c>
      <c r="C230" s="166" t="s">
        <v>3668</v>
      </c>
      <c r="D230" s="11">
        <v>15604248160</v>
      </c>
      <c r="E230" s="167" t="s">
        <v>384</v>
      </c>
      <c r="F230" s="166" t="s">
        <v>27</v>
      </c>
      <c r="G230" s="9">
        <v>202101016</v>
      </c>
      <c r="H230" s="167" t="s">
        <v>705</v>
      </c>
      <c r="I230" s="167" t="s">
        <v>3670</v>
      </c>
      <c r="J230" s="167" t="s">
        <v>215</v>
      </c>
      <c r="K230" s="167" t="s">
        <v>160</v>
      </c>
      <c r="L230" s="167" t="s">
        <v>910</v>
      </c>
      <c r="M230" s="167" t="s">
        <v>3671</v>
      </c>
      <c r="N230" s="167" t="s">
        <v>3672</v>
      </c>
      <c r="O230" s="12" t="str">
        <f>_xlfn.DISPIMG("ID_FBBE15C9E10944F892C3BCC99A8EDA31",1)</f>
        <v>=DISPIMG("ID_FBBE15C9E10944F892C3BCC99A8EDA31",1)</v>
      </c>
      <c r="P230" s="9" t="s">
        <v>3673</v>
      </c>
      <c r="Q230" s="20">
        <v>467</v>
      </c>
      <c r="R230" s="78" t="s">
        <v>4544</v>
      </c>
      <c r="S230" s="19" t="s">
        <v>48</v>
      </c>
      <c r="T230" s="9">
        <v>13</v>
      </c>
    </row>
    <row r="231" s="3" customFormat="1" customHeight="1" spans="1:20">
      <c r="A231" s="166" t="s">
        <v>425</v>
      </c>
      <c r="B231" s="166" t="s">
        <v>165</v>
      </c>
      <c r="C231" s="166" t="s">
        <v>426</v>
      </c>
      <c r="D231" s="11">
        <v>18720147865</v>
      </c>
      <c r="E231" s="167" t="s">
        <v>297</v>
      </c>
      <c r="F231" s="166" t="s">
        <v>29</v>
      </c>
      <c r="G231" s="9">
        <v>202101008</v>
      </c>
      <c r="H231" s="167" t="s">
        <v>157</v>
      </c>
      <c r="I231" s="167" t="s">
        <v>428</v>
      </c>
      <c r="J231" s="167" t="s">
        <v>429</v>
      </c>
      <c r="K231" s="167" t="s">
        <v>160</v>
      </c>
      <c r="L231" s="167" t="s">
        <v>235</v>
      </c>
      <c r="M231" s="167" t="s">
        <v>430</v>
      </c>
      <c r="N231" s="11">
        <v>0</v>
      </c>
      <c r="O231" s="12" t="str">
        <f>_xlfn.DISPIMG("ID_9C21E529A1D946A49AECBF1B4E991CC9",1)</f>
        <v>=DISPIMG("ID_9C21E529A1D946A49AECBF1B4E991CC9",1)</v>
      </c>
      <c r="P231" s="9" t="s">
        <v>431</v>
      </c>
      <c r="Q231" s="20">
        <v>32</v>
      </c>
      <c r="R231" s="78" t="s">
        <v>4521</v>
      </c>
      <c r="S231" s="19" t="s">
        <v>48</v>
      </c>
      <c r="T231" s="9">
        <v>30</v>
      </c>
    </row>
    <row r="232" s="3" customFormat="1" customHeight="1" spans="1:20">
      <c r="A232" s="166" t="s">
        <v>194</v>
      </c>
      <c r="B232" s="166" t="s">
        <v>165</v>
      </c>
      <c r="C232" s="166" t="s">
        <v>195</v>
      </c>
      <c r="D232" s="11">
        <v>15079132548</v>
      </c>
      <c r="E232" s="167" t="s">
        <v>156</v>
      </c>
      <c r="F232" s="166" t="s">
        <v>13</v>
      </c>
      <c r="G232" s="9">
        <v>202102003</v>
      </c>
      <c r="H232" s="167" t="s">
        <v>157</v>
      </c>
      <c r="I232" s="167" t="s">
        <v>197</v>
      </c>
      <c r="J232" s="167" t="s">
        <v>198</v>
      </c>
      <c r="K232" s="167" t="s">
        <v>160</v>
      </c>
      <c r="L232" s="167" t="s">
        <v>199</v>
      </c>
      <c r="M232" s="167" t="s">
        <v>13</v>
      </c>
      <c r="N232" s="11">
        <v>0</v>
      </c>
      <c r="O232" s="12" t="str">
        <f>_xlfn.DISPIMG("ID_07DCBF9A6CCC43E7BDA66377D7B2A516",1)</f>
        <v>=DISPIMG("ID_07DCBF9A6CCC43E7BDA66377D7B2A516",1)</v>
      </c>
      <c r="P232" s="9" t="s">
        <v>200</v>
      </c>
      <c r="Q232" s="11">
        <v>6</v>
      </c>
      <c r="R232" s="78" t="s">
        <v>4547</v>
      </c>
      <c r="S232" s="19" t="s">
        <v>52</v>
      </c>
      <c r="T232" s="9">
        <v>6</v>
      </c>
    </row>
    <row r="233" s="3" customFormat="1" customHeight="1" spans="1:20">
      <c r="A233" s="166" t="s">
        <v>220</v>
      </c>
      <c r="B233" s="166" t="s">
        <v>165</v>
      </c>
      <c r="C233" s="166" t="s">
        <v>221</v>
      </c>
      <c r="D233" s="11">
        <v>13330102770</v>
      </c>
      <c r="E233" s="167" t="s">
        <v>156</v>
      </c>
      <c r="F233" s="166" t="s">
        <v>13</v>
      </c>
      <c r="G233" s="9">
        <v>202102003</v>
      </c>
      <c r="H233" s="167" t="s">
        <v>157</v>
      </c>
      <c r="I233" s="167" t="s">
        <v>178</v>
      </c>
      <c r="J233" s="167" t="s">
        <v>223</v>
      </c>
      <c r="K233" s="167" t="s">
        <v>170</v>
      </c>
      <c r="L233" s="167" t="s">
        <v>224</v>
      </c>
      <c r="M233" s="167" t="s">
        <v>225</v>
      </c>
      <c r="N233" s="167" t="s">
        <v>226</v>
      </c>
      <c r="O233" s="12" t="str">
        <f>_xlfn.DISPIMG("ID_331C6355B784470AAD84DC8B9EBD3F4C",1)</f>
        <v>=DISPIMG("ID_331C6355B784470AAD84DC8B9EBD3F4C",1)</v>
      </c>
      <c r="P233" s="9" t="s">
        <v>227</v>
      </c>
      <c r="Q233" s="11">
        <v>9</v>
      </c>
      <c r="R233" s="78" t="s">
        <v>4548</v>
      </c>
      <c r="S233" s="19" t="s">
        <v>52</v>
      </c>
      <c r="T233" s="9">
        <v>7</v>
      </c>
    </row>
    <row r="234" s="3" customFormat="1" customHeight="1" spans="1:20">
      <c r="A234" s="166" t="s">
        <v>230</v>
      </c>
      <c r="B234" s="166" t="s">
        <v>165</v>
      </c>
      <c r="C234" s="166" t="s">
        <v>231</v>
      </c>
      <c r="D234" s="11">
        <v>18317923585</v>
      </c>
      <c r="E234" s="167" t="s">
        <v>156</v>
      </c>
      <c r="F234" s="166" t="s">
        <v>13</v>
      </c>
      <c r="G234" s="9">
        <v>202102003</v>
      </c>
      <c r="H234" s="167" t="s">
        <v>157</v>
      </c>
      <c r="I234" s="167" t="s">
        <v>233</v>
      </c>
      <c r="J234" s="167" t="s">
        <v>234</v>
      </c>
      <c r="K234" s="167" t="s">
        <v>170</v>
      </c>
      <c r="L234" s="167" t="s">
        <v>235</v>
      </c>
      <c r="M234" s="167" t="s">
        <v>13</v>
      </c>
      <c r="N234" s="167" t="s">
        <v>236</v>
      </c>
      <c r="O234" s="12" t="str">
        <f>_xlfn.DISPIMG("ID_5F2C40BDD5324AC2917B018DDF4B26D9",1)</f>
        <v>=DISPIMG("ID_5F2C40BDD5324AC2917B018DDF4B26D9",1)</v>
      </c>
      <c r="P234" s="9" t="s">
        <v>237</v>
      </c>
      <c r="Q234" s="11">
        <v>10</v>
      </c>
      <c r="R234" s="78" t="s">
        <v>4549</v>
      </c>
      <c r="S234" s="19" t="s">
        <v>52</v>
      </c>
      <c r="T234" s="9">
        <v>18</v>
      </c>
    </row>
    <row r="235" s="3" customFormat="1" customHeight="1" spans="1:20">
      <c r="A235" s="166" t="s">
        <v>258</v>
      </c>
      <c r="B235" s="166" t="s">
        <v>165</v>
      </c>
      <c r="C235" s="166" t="s">
        <v>259</v>
      </c>
      <c r="D235" s="11">
        <v>15079252433</v>
      </c>
      <c r="E235" s="167" t="s">
        <v>156</v>
      </c>
      <c r="F235" s="166" t="s">
        <v>13</v>
      </c>
      <c r="G235" s="9">
        <v>202102003</v>
      </c>
      <c r="H235" s="167" t="s">
        <v>157</v>
      </c>
      <c r="I235" s="167" t="s">
        <v>158</v>
      </c>
      <c r="J235" s="167" t="s">
        <v>179</v>
      </c>
      <c r="K235" s="167" t="s">
        <v>170</v>
      </c>
      <c r="L235" s="167" t="s">
        <v>261</v>
      </c>
      <c r="M235" s="167" t="s">
        <v>13</v>
      </c>
      <c r="N235" s="11">
        <v>0</v>
      </c>
      <c r="O235" s="12" t="str">
        <f>_xlfn.DISPIMG("ID_6612D67BD9E1456A9FAE3B7BC6ABC79B",1)</f>
        <v>=DISPIMG("ID_6612D67BD9E1456A9FAE3B7BC6ABC79B",1)</v>
      </c>
      <c r="P235" s="9" t="s">
        <v>262</v>
      </c>
      <c r="Q235" s="11">
        <v>13</v>
      </c>
      <c r="R235" s="78" t="s">
        <v>4550</v>
      </c>
      <c r="S235" s="19" t="s">
        <v>52</v>
      </c>
      <c r="T235" s="9">
        <v>19</v>
      </c>
    </row>
    <row r="236" s="3" customFormat="1" customHeight="1" spans="1:20">
      <c r="A236" s="166" t="s">
        <v>302</v>
      </c>
      <c r="B236" s="166" t="s">
        <v>165</v>
      </c>
      <c r="C236" s="166" t="s">
        <v>303</v>
      </c>
      <c r="D236" s="11">
        <v>18270729426</v>
      </c>
      <c r="E236" s="167" t="s">
        <v>156</v>
      </c>
      <c r="F236" s="166" t="s">
        <v>13</v>
      </c>
      <c r="G236" s="9">
        <v>202102003</v>
      </c>
      <c r="H236" s="167" t="s">
        <v>157</v>
      </c>
      <c r="I236" s="167" t="s">
        <v>305</v>
      </c>
      <c r="J236" s="167" t="s">
        <v>179</v>
      </c>
      <c r="K236" s="167" t="s">
        <v>170</v>
      </c>
      <c r="L236" s="167" t="s">
        <v>306</v>
      </c>
      <c r="M236" s="167" t="s">
        <v>307</v>
      </c>
      <c r="N236" s="167" t="s">
        <v>308</v>
      </c>
      <c r="O236" s="12" t="str">
        <f>_xlfn.DISPIMG("ID_BFA65A737AA14FBDAE88EFBDD5E2990B",1)</f>
        <v>=DISPIMG("ID_BFA65A737AA14FBDAE88EFBDD5E2990B",1)</v>
      </c>
      <c r="P236" s="9" t="s">
        <v>309</v>
      </c>
      <c r="Q236" s="11">
        <v>18</v>
      </c>
      <c r="R236" s="78" t="s">
        <v>4551</v>
      </c>
      <c r="S236" s="19" t="s">
        <v>52</v>
      </c>
      <c r="T236" s="9">
        <v>30</v>
      </c>
    </row>
    <row r="237" s="3" customFormat="1" customHeight="1" spans="1:20">
      <c r="A237" s="166" t="s">
        <v>355</v>
      </c>
      <c r="B237" s="166" t="s">
        <v>165</v>
      </c>
      <c r="C237" s="166" t="s">
        <v>356</v>
      </c>
      <c r="D237" s="11">
        <v>18311315751</v>
      </c>
      <c r="E237" s="167" t="s">
        <v>156</v>
      </c>
      <c r="F237" s="166" t="s">
        <v>13</v>
      </c>
      <c r="G237" s="9">
        <v>202102003</v>
      </c>
      <c r="H237" s="167" t="s">
        <v>157</v>
      </c>
      <c r="I237" s="167" t="s">
        <v>358</v>
      </c>
      <c r="J237" s="167" t="s">
        <v>179</v>
      </c>
      <c r="K237" s="167" t="s">
        <v>160</v>
      </c>
      <c r="L237" s="167" t="s">
        <v>306</v>
      </c>
      <c r="M237" s="167" t="s">
        <v>359</v>
      </c>
      <c r="N237" s="167" t="s">
        <v>360</v>
      </c>
      <c r="O237" s="12" t="str">
        <f>_xlfn.DISPIMG("ID_FD9EEFBCD596495DACB8A95ACD5E222F",1)</f>
        <v>=DISPIMG("ID_FD9EEFBCD596495DACB8A95ACD5E222F",1)</v>
      </c>
      <c r="P237" s="9" t="s">
        <v>361</v>
      </c>
      <c r="Q237" s="11">
        <v>24</v>
      </c>
      <c r="R237" s="78" t="s">
        <v>4552</v>
      </c>
      <c r="S237" s="19" t="s">
        <v>52</v>
      </c>
      <c r="T237" s="9">
        <v>5</v>
      </c>
    </row>
    <row r="238" s="3" customFormat="1" customHeight="1" spans="1:20">
      <c r="A238" s="166" t="s">
        <v>434</v>
      </c>
      <c r="B238" s="166" t="s">
        <v>165</v>
      </c>
      <c r="C238" s="166" t="s">
        <v>435</v>
      </c>
      <c r="D238" s="11">
        <v>18707020389</v>
      </c>
      <c r="E238" s="167" t="s">
        <v>156</v>
      </c>
      <c r="F238" s="166" t="s">
        <v>13</v>
      </c>
      <c r="G238" s="9">
        <v>202102003</v>
      </c>
      <c r="H238" s="167" t="s">
        <v>157</v>
      </c>
      <c r="I238" s="167" t="s">
        <v>437</v>
      </c>
      <c r="J238" s="167" t="s">
        <v>179</v>
      </c>
      <c r="K238" s="167" t="s">
        <v>160</v>
      </c>
      <c r="L238" s="167" t="s">
        <v>161</v>
      </c>
      <c r="M238" s="167" t="s">
        <v>13</v>
      </c>
      <c r="N238" s="167" t="s">
        <v>438</v>
      </c>
      <c r="O238" s="12" t="str">
        <f>_xlfn.DISPIMG("ID_A9E5DA8466964C2D98F0B0FFCCE562D8",1)</f>
        <v>=DISPIMG("ID_A9E5DA8466964C2D98F0B0FFCCE562D8",1)</v>
      </c>
      <c r="P238" s="9" t="s">
        <v>439</v>
      </c>
      <c r="Q238" s="11">
        <v>33</v>
      </c>
      <c r="R238" s="78" t="s">
        <v>4553</v>
      </c>
      <c r="S238" s="19" t="s">
        <v>52</v>
      </c>
      <c r="T238" s="9">
        <v>8</v>
      </c>
    </row>
    <row r="239" s="3" customFormat="1" customHeight="1" spans="1:20">
      <c r="A239" s="166" t="s">
        <v>484</v>
      </c>
      <c r="B239" s="166" t="s">
        <v>165</v>
      </c>
      <c r="C239" s="166" t="s">
        <v>485</v>
      </c>
      <c r="D239" s="11">
        <v>15079175289</v>
      </c>
      <c r="E239" s="167" t="s">
        <v>156</v>
      </c>
      <c r="F239" s="166" t="s">
        <v>13</v>
      </c>
      <c r="G239" s="9">
        <v>202102003</v>
      </c>
      <c r="H239" s="167" t="s">
        <v>279</v>
      </c>
      <c r="I239" s="167" t="s">
        <v>178</v>
      </c>
      <c r="J239" s="167" t="s">
        <v>223</v>
      </c>
      <c r="K239" s="167" t="s">
        <v>170</v>
      </c>
      <c r="L239" s="167" t="s">
        <v>180</v>
      </c>
      <c r="M239" s="167" t="s">
        <v>487</v>
      </c>
      <c r="N239" s="167" t="s">
        <v>488</v>
      </c>
      <c r="O239" s="12" t="str">
        <f>_xlfn.DISPIMG("ID_090E35C53BC1424DB22E97EDD7B66993",1)</f>
        <v>=DISPIMG("ID_090E35C53BC1424DB22E97EDD7B66993",1)</v>
      </c>
      <c r="P239" s="9" t="s">
        <v>489</v>
      </c>
      <c r="Q239" s="11">
        <v>39</v>
      </c>
      <c r="R239" s="78" t="s">
        <v>4554</v>
      </c>
      <c r="S239" s="19" t="s">
        <v>52</v>
      </c>
      <c r="T239" s="9">
        <v>17</v>
      </c>
    </row>
    <row r="240" s="3" customFormat="1" customHeight="1" spans="1:20">
      <c r="A240" s="166" t="s">
        <v>503</v>
      </c>
      <c r="B240" s="166" t="s">
        <v>165</v>
      </c>
      <c r="C240" s="166" t="s">
        <v>504</v>
      </c>
      <c r="D240" s="11">
        <v>18279271412</v>
      </c>
      <c r="E240" s="167" t="s">
        <v>506</v>
      </c>
      <c r="F240" s="166" t="s">
        <v>13</v>
      </c>
      <c r="G240" s="9">
        <v>202102016</v>
      </c>
      <c r="H240" s="167" t="s">
        <v>157</v>
      </c>
      <c r="I240" s="167" t="s">
        <v>507</v>
      </c>
      <c r="J240" s="167" t="s">
        <v>298</v>
      </c>
      <c r="K240" s="167" t="s">
        <v>160</v>
      </c>
      <c r="L240" s="167" t="s">
        <v>252</v>
      </c>
      <c r="M240" s="167" t="s">
        <v>13</v>
      </c>
      <c r="N240" s="167" t="s">
        <v>508</v>
      </c>
      <c r="O240" s="12" t="str">
        <f>_xlfn.DISPIMG("ID_40FEE490C2E64411A9F9A70FED108C60",1)</f>
        <v>=DISPIMG("ID_40FEE490C2E64411A9F9A70FED108C60",1)</v>
      </c>
      <c r="P240" s="9" t="s">
        <v>509</v>
      </c>
      <c r="Q240" s="11">
        <v>42</v>
      </c>
      <c r="R240" s="78" t="s">
        <v>4555</v>
      </c>
      <c r="S240" s="19" t="s">
        <v>52</v>
      </c>
      <c r="T240" s="9">
        <v>20</v>
      </c>
    </row>
    <row r="241" s="3" customFormat="1" customHeight="1" spans="1:20">
      <c r="A241" s="166" t="s">
        <v>537</v>
      </c>
      <c r="B241" s="166" t="s">
        <v>165</v>
      </c>
      <c r="C241" s="166" t="s">
        <v>538</v>
      </c>
      <c r="D241" s="11">
        <v>18720218990</v>
      </c>
      <c r="E241" s="167" t="s">
        <v>156</v>
      </c>
      <c r="F241" s="166" t="s">
        <v>13</v>
      </c>
      <c r="G241" s="9">
        <v>202102003</v>
      </c>
      <c r="H241" s="167" t="s">
        <v>157</v>
      </c>
      <c r="I241" s="167" t="s">
        <v>540</v>
      </c>
      <c r="J241" s="167" t="s">
        <v>179</v>
      </c>
      <c r="K241" s="167" t="s">
        <v>160</v>
      </c>
      <c r="L241" s="167" t="s">
        <v>541</v>
      </c>
      <c r="M241" s="167" t="s">
        <v>25</v>
      </c>
      <c r="N241" s="11">
        <v>0</v>
      </c>
      <c r="O241" s="12" t="str">
        <f>_xlfn.DISPIMG("ID_9605826B48E04C21832E1CDFB6E0AF15",1)</f>
        <v>=DISPIMG("ID_9605826B48E04C21832E1CDFB6E0AF15",1)</v>
      </c>
      <c r="P241" s="9" t="s">
        <v>542</v>
      </c>
      <c r="Q241" s="11">
        <v>46</v>
      </c>
      <c r="R241" s="78" t="s">
        <v>4556</v>
      </c>
      <c r="S241" s="19" t="s">
        <v>52</v>
      </c>
      <c r="T241" s="9">
        <v>29</v>
      </c>
    </row>
    <row r="242" s="3" customFormat="1" customHeight="1" spans="1:20">
      <c r="A242" s="166" t="s">
        <v>600</v>
      </c>
      <c r="B242" s="166" t="s">
        <v>165</v>
      </c>
      <c r="C242" s="166" t="s">
        <v>601</v>
      </c>
      <c r="D242" s="11">
        <v>18170238971</v>
      </c>
      <c r="E242" s="167" t="s">
        <v>506</v>
      </c>
      <c r="F242" s="166" t="s">
        <v>13</v>
      </c>
      <c r="G242" s="9">
        <v>202102016</v>
      </c>
      <c r="H242" s="167" t="s">
        <v>157</v>
      </c>
      <c r="I242" s="167" t="s">
        <v>603</v>
      </c>
      <c r="J242" s="167" t="s">
        <v>179</v>
      </c>
      <c r="K242" s="167" t="s">
        <v>160</v>
      </c>
      <c r="L242" s="167" t="s">
        <v>216</v>
      </c>
      <c r="M242" s="167" t="s">
        <v>13</v>
      </c>
      <c r="N242" s="167" t="s">
        <v>604</v>
      </c>
      <c r="O242" s="12" t="str">
        <f>_xlfn.DISPIMG("ID_274A21E15DE94C9DB65D865C0AE50BA3",1)</f>
        <v>=DISPIMG("ID_274A21E15DE94C9DB65D865C0AE50BA3",1)</v>
      </c>
      <c r="P242" s="9" t="s">
        <v>605</v>
      </c>
      <c r="Q242" s="11">
        <v>53</v>
      </c>
      <c r="R242" s="78" t="s">
        <v>4557</v>
      </c>
      <c r="S242" s="19" t="s">
        <v>52</v>
      </c>
      <c r="T242" s="9">
        <v>4</v>
      </c>
    </row>
    <row r="243" s="3" customFormat="1" customHeight="1" spans="1:20">
      <c r="A243" s="166" t="s">
        <v>608</v>
      </c>
      <c r="B243" s="166" t="s">
        <v>165</v>
      </c>
      <c r="C243" s="166" t="s">
        <v>609</v>
      </c>
      <c r="D243" s="11">
        <v>18779299502</v>
      </c>
      <c r="E243" s="167" t="s">
        <v>156</v>
      </c>
      <c r="F243" s="166" t="s">
        <v>13</v>
      </c>
      <c r="G243" s="9">
        <v>202102003</v>
      </c>
      <c r="H243" s="167" t="s">
        <v>157</v>
      </c>
      <c r="I243" s="167" t="s">
        <v>611</v>
      </c>
      <c r="J243" s="167" t="s">
        <v>179</v>
      </c>
      <c r="K243" s="167" t="s">
        <v>160</v>
      </c>
      <c r="L243" s="167" t="s">
        <v>261</v>
      </c>
      <c r="M243" s="167" t="s">
        <v>13</v>
      </c>
      <c r="N243" s="11">
        <v>0</v>
      </c>
      <c r="O243" s="12" t="str">
        <f>_xlfn.DISPIMG("ID_AED44616ADF34083BED4818BEE7F954D",1)</f>
        <v>=DISPIMG("ID_AED44616ADF34083BED4818BEE7F954D",1)</v>
      </c>
      <c r="P243" s="9" t="s">
        <v>612</v>
      </c>
      <c r="Q243" s="11">
        <v>54</v>
      </c>
      <c r="R243" s="78" t="s">
        <v>4558</v>
      </c>
      <c r="S243" s="19" t="s">
        <v>52</v>
      </c>
      <c r="T243" s="9">
        <v>9</v>
      </c>
    </row>
    <row r="244" s="3" customFormat="1" customHeight="1" spans="1:20">
      <c r="A244" s="166" t="s">
        <v>833</v>
      </c>
      <c r="B244" s="166" t="s">
        <v>165</v>
      </c>
      <c r="C244" s="166" t="s">
        <v>834</v>
      </c>
      <c r="D244" s="11">
        <v>13517923087</v>
      </c>
      <c r="E244" s="167" t="s">
        <v>156</v>
      </c>
      <c r="F244" s="166" t="s">
        <v>13</v>
      </c>
      <c r="G244" s="9">
        <v>202102003</v>
      </c>
      <c r="H244" s="167" t="s">
        <v>279</v>
      </c>
      <c r="I244" s="167" t="s">
        <v>339</v>
      </c>
      <c r="J244" s="167" t="s">
        <v>223</v>
      </c>
      <c r="K244" s="167" t="s">
        <v>170</v>
      </c>
      <c r="L244" s="167" t="s">
        <v>224</v>
      </c>
      <c r="M244" s="167" t="s">
        <v>13</v>
      </c>
      <c r="N244" s="167" t="s">
        <v>836</v>
      </c>
      <c r="O244" s="12" t="str">
        <f>_xlfn.DISPIMG("ID_89C7FFEC948F45D4B7C91F290C37CCB6",1)</f>
        <v>=DISPIMG("ID_89C7FFEC948F45D4B7C91F290C37CCB6",1)</v>
      </c>
      <c r="P244" s="9" t="s">
        <v>837</v>
      </c>
      <c r="Q244" s="11">
        <v>82</v>
      </c>
      <c r="R244" s="78" t="s">
        <v>4559</v>
      </c>
      <c r="S244" s="19" t="s">
        <v>52</v>
      </c>
      <c r="T244" s="9">
        <v>16</v>
      </c>
    </row>
    <row r="245" s="3" customFormat="1" customHeight="1" spans="1:20">
      <c r="A245" s="166" t="s">
        <v>994</v>
      </c>
      <c r="B245" s="166" t="s">
        <v>165</v>
      </c>
      <c r="C245" s="166" t="s">
        <v>995</v>
      </c>
      <c r="D245" s="11">
        <v>15079132554</v>
      </c>
      <c r="E245" s="167" t="s">
        <v>156</v>
      </c>
      <c r="F245" s="166" t="s">
        <v>13</v>
      </c>
      <c r="G245" s="9">
        <v>202102003</v>
      </c>
      <c r="H245" s="167" t="s">
        <v>157</v>
      </c>
      <c r="I245" s="167" t="s">
        <v>197</v>
      </c>
      <c r="J245" s="167" t="s">
        <v>179</v>
      </c>
      <c r="K245" s="167" t="s">
        <v>160</v>
      </c>
      <c r="L245" s="167" t="s">
        <v>180</v>
      </c>
      <c r="M245" s="167" t="s">
        <v>997</v>
      </c>
      <c r="N245" s="167" t="s">
        <v>998</v>
      </c>
      <c r="O245" s="12" t="str">
        <f>_xlfn.DISPIMG("ID_10318FA0EB2E4E7ABCD18627E825B2DF",1)</f>
        <v>=DISPIMG("ID_10318FA0EB2E4E7ABCD18627E825B2DF",1)</v>
      </c>
      <c r="P245" s="9" t="s">
        <v>999</v>
      </c>
      <c r="Q245" s="11">
        <v>101</v>
      </c>
      <c r="R245" s="78" t="s">
        <v>4560</v>
      </c>
      <c r="S245" s="19" t="s">
        <v>52</v>
      </c>
      <c r="T245" s="9">
        <v>21</v>
      </c>
    </row>
    <row r="246" s="3" customFormat="1" customHeight="1" spans="1:20">
      <c r="A246" s="166" t="s">
        <v>1018</v>
      </c>
      <c r="B246" s="166" t="s">
        <v>165</v>
      </c>
      <c r="C246" s="166" t="s">
        <v>1019</v>
      </c>
      <c r="D246" s="11">
        <v>18270832760</v>
      </c>
      <c r="E246" s="167" t="s">
        <v>156</v>
      </c>
      <c r="F246" s="166" t="s">
        <v>13</v>
      </c>
      <c r="G246" s="9">
        <v>202102003</v>
      </c>
      <c r="H246" s="167" t="s">
        <v>157</v>
      </c>
      <c r="I246" s="167" t="s">
        <v>827</v>
      </c>
      <c r="J246" s="167" t="s">
        <v>1021</v>
      </c>
      <c r="K246" s="167" t="s">
        <v>160</v>
      </c>
      <c r="L246" s="167" t="s">
        <v>281</v>
      </c>
      <c r="M246" s="167" t="s">
        <v>1022</v>
      </c>
      <c r="N246" s="167" t="s">
        <v>1023</v>
      </c>
      <c r="O246" s="12" t="str">
        <f>_xlfn.DISPIMG("ID_8ABFE7CB3D4544BB889DAF8FFFAF27BC",1)</f>
        <v>=DISPIMG("ID_8ABFE7CB3D4544BB889DAF8FFFAF27BC",1)</v>
      </c>
      <c r="P246" s="9" t="s">
        <v>1024</v>
      </c>
      <c r="Q246" s="11">
        <v>104</v>
      </c>
      <c r="R246" s="78" t="s">
        <v>4561</v>
      </c>
      <c r="S246" s="19" t="s">
        <v>52</v>
      </c>
      <c r="T246" s="9">
        <v>28</v>
      </c>
    </row>
    <row r="247" s="98" customFormat="1" customHeight="1" spans="1:20">
      <c r="A247" s="170" t="s">
        <v>1109</v>
      </c>
      <c r="B247" s="170" t="s">
        <v>165</v>
      </c>
      <c r="C247" s="170" t="s">
        <v>1110</v>
      </c>
      <c r="D247" s="21">
        <v>18770914049</v>
      </c>
      <c r="E247" s="163" t="s">
        <v>384</v>
      </c>
      <c r="F247" s="170" t="s">
        <v>13</v>
      </c>
      <c r="G247" s="99">
        <v>202102003</v>
      </c>
      <c r="H247" s="163" t="s">
        <v>157</v>
      </c>
      <c r="I247" s="163" t="s">
        <v>1112</v>
      </c>
      <c r="J247" s="163" t="s">
        <v>1113</v>
      </c>
      <c r="K247" s="163" t="s">
        <v>160</v>
      </c>
      <c r="L247" s="163" t="s">
        <v>368</v>
      </c>
      <c r="M247" s="163" t="s">
        <v>13</v>
      </c>
      <c r="N247" s="163" t="s">
        <v>1114</v>
      </c>
      <c r="O247" s="100" t="str">
        <f>_xlfn.DISPIMG("ID_E90456CE8BF84902B589BDD1B517D38B",1)</f>
        <v>=DISPIMG("ID_E90456CE8BF84902B589BDD1B517D38B",1)</v>
      </c>
      <c r="P247" s="99" t="s">
        <v>1115</v>
      </c>
      <c r="Q247" s="21">
        <v>116</v>
      </c>
      <c r="R247" s="101" t="s">
        <v>4562</v>
      </c>
      <c r="S247" s="102" t="s">
        <v>52</v>
      </c>
      <c r="T247" s="99">
        <v>3</v>
      </c>
    </row>
    <row r="248" s="3" customFormat="1" customHeight="1" spans="1:20">
      <c r="A248" s="166" t="s">
        <v>1118</v>
      </c>
      <c r="B248" s="166" t="s">
        <v>165</v>
      </c>
      <c r="C248" s="166" t="s">
        <v>1119</v>
      </c>
      <c r="D248" s="11">
        <v>15170931048</v>
      </c>
      <c r="E248" s="167" t="s">
        <v>156</v>
      </c>
      <c r="F248" s="166" t="s">
        <v>13</v>
      </c>
      <c r="G248" s="9">
        <v>202102003</v>
      </c>
      <c r="H248" s="167" t="s">
        <v>157</v>
      </c>
      <c r="I248" s="167" t="s">
        <v>1121</v>
      </c>
      <c r="J248" s="167" t="s">
        <v>1122</v>
      </c>
      <c r="K248" s="167" t="s">
        <v>160</v>
      </c>
      <c r="L248" s="167" t="s">
        <v>577</v>
      </c>
      <c r="M248" s="167" t="s">
        <v>13</v>
      </c>
      <c r="N248" s="167" t="s">
        <v>1123</v>
      </c>
      <c r="O248" s="12" t="str">
        <f>_xlfn.DISPIMG("ID_FE9003ADDBCE49A4979CC74582466077",1)</f>
        <v>=DISPIMG("ID_FE9003ADDBCE49A4979CC74582466077",1)</v>
      </c>
      <c r="P248" s="9" t="s">
        <v>1124</v>
      </c>
      <c r="Q248" s="11">
        <v>117</v>
      </c>
      <c r="R248" s="78" t="s">
        <v>4563</v>
      </c>
      <c r="S248" s="19" t="s">
        <v>52</v>
      </c>
      <c r="T248" s="9">
        <v>10</v>
      </c>
    </row>
    <row r="249" s="3" customFormat="1" customHeight="1" spans="1:20">
      <c r="A249" s="166" t="s">
        <v>1176</v>
      </c>
      <c r="B249" s="166" t="s">
        <v>165</v>
      </c>
      <c r="C249" s="166" t="s">
        <v>1177</v>
      </c>
      <c r="D249" s="11">
        <v>13782906805</v>
      </c>
      <c r="E249" s="167" t="s">
        <v>156</v>
      </c>
      <c r="F249" s="166" t="s">
        <v>13</v>
      </c>
      <c r="G249" s="9">
        <v>202102003</v>
      </c>
      <c r="H249" s="167" t="s">
        <v>157</v>
      </c>
      <c r="I249" s="167" t="s">
        <v>1179</v>
      </c>
      <c r="J249" s="167" t="s">
        <v>298</v>
      </c>
      <c r="K249" s="167" t="s">
        <v>160</v>
      </c>
      <c r="L249" s="167" t="s">
        <v>171</v>
      </c>
      <c r="M249" s="167" t="s">
        <v>13</v>
      </c>
      <c r="N249" s="167" t="s">
        <v>1180</v>
      </c>
      <c r="O249" s="12" t="str">
        <f>_xlfn.DISPIMG("ID_DB5AD54F043740C8B3AEB4879C927DCC",1)</f>
        <v>=DISPIMG("ID_DB5AD54F043740C8B3AEB4879C927DCC",1)</v>
      </c>
      <c r="P249" s="9" t="s">
        <v>1181</v>
      </c>
      <c r="Q249" s="11">
        <v>124</v>
      </c>
      <c r="R249" s="78" t="s">
        <v>4564</v>
      </c>
      <c r="S249" s="19" t="s">
        <v>52</v>
      </c>
      <c r="T249" s="9">
        <v>15</v>
      </c>
    </row>
    <row r="250" s="3" customFormat="1" customHeight="1" spans="1:20">
      <c r="A250" s="166" t="s">
        <v>1184</v>
      </c>
      <c r="B250" s="166" t="s">
        <v>165</v>
      </c>
      <c r="C250" s="166" t="s">
        <v>1185</v>
      </c>
      <c r="D250" s="11">
        <v>18379170197</v>
      </c>
      <c r="E250" s="167" t="s">
        <v>156</v>
      </c>
      <c r="F250" s="166" t="s">
        <v>13</v>
      </c>
      <c r="G250" s="9">
        <v>202102003</v>
      </c>
      <c r="H250" s="167" t="s">
        <v>157</v>
      </c>
      <c r="I250" s="167" t="s">
        <v>197</v>
      </c>
      <c r="J250" s="167" t="s">
        <v>179</v>
      </c>
      <c r="K250" s="167" t="s">
        <v>160</v>
      </c>
      <c r="L250" s="167" t="s">
        <v>577</v>
      </c>
      <c r="M250" s="167" t="s">
        <v>1187</v>
      </c>
      <c r="N250" s="167" t="s">
        <v>1188</v>
      </c>
      <c r="O250" s="12" t="str">
        <f>_xlfn.DISPIMG("ID_CF1AB7C1F93745BDBA48E23E3B3C5BFF",1)</f>
        <v>=DISPIMG("ID_CF1AB7C1F93745BDBA48E23E3B3C5BFF",1)</v>
      </c>
      <c r="P250" s="9" t="s">
        <v>1189</v>
      </c>
      <c r="Q250" s="11">
        <v>125</v>
      </c>
      <c r="R250" s="78" t="s">
        <v>4565</v>
      </c>
      <c r="S250" s="19" t="s">
        <v>52</v>
      </c>
      <c r="T250" s="9">
        <v>22</v>
      </c>
    </row>
    <row r="251" s="3" customFormat="1" customHeight="1" spans="1:20">
      <c r="A251" s="166" t="s">
        <v>1192</v>
      </c>
      <c r="B251" s="166" t="s">
        <v>165</v>
      </c>
      <c r="C251" s="166" t="s">
        <v>1193</v>
      </c>
      <c r="D251" s="11">
        <v>18079223375</v>
      </c>
      <c r="E251" s="167" t="s">
        <v>156</v>
      </c>
      <c r="F251" s="166" t="s">
        <v>13</v>
      </c>
      <c r="G251" s="9">
        <v>202102003</v>
      </c>
      <c r="H251" s="167" t="s">
        <v>157</v>
      </c>
      <c r="I251" s="167" t="s">
        <v>233</v>
      </c>
      <c r="J251" s="167" t="s">
        <v>1195</v>
      </c>
      <c r="K251" s="167" t="s">
        <v>170</v>
      </c>
      <c r="L251" s="167" t="s">
        <v>587</v>
      </c>
      <c r="M251" s="167" t="s">
        <v>13</v>
      </c>
      <c r="N251" s="167" t="s">
        <v>1196</v>
      </c>
      <c r="O251" s="12" t="str">
        <f>_xlfn.DISPIMG("ID_1776A5AD18184E18978F80ADFFF4A0AF",1)</f>
        <v>=DISPIMG("ID_1776A5AD18184E18978F80ADFFF4A0AF",1)</v>
      </c>
      <c r="P251" s="9" t="s">
        <v>1197</v>
      </c>
      <c r="Q251" s="11">
        <v>126</v>
      </c>
      <c r="R251" s="78" t="s">
        <v>4566</v>
      </c>
      <c r="S251" s="19" t="s">
        <v>52</v>
      </c>
      <c r="T251" s="9">
        <v>27</v>
      </c>
    </row>
    <row r="252" s="3" customFormat="1" customHeight="1" spans="1:20">
      <c r="A252" s="166" t="s">
        <v>1210</v>
      </c>
      <c r="B252" s="166" t="s">
        <v>165</v>
      </c>
      <c r="C252" s="166" t="s">
        <v>1211</v>
      </c>
      <c r="D252" s="11">
        <v>18279901604</v>
      </c>
      <c r="E252" s="167" t="s">
        <v>156</v>
      </c>
      <c r="F252" s="166" t="s">
        <v>13</v>
      </c>
      <c r="G252" s="9">
        <v>202102003</v>
      </c>
      <c r="H252" s="167" t="s">
        <v>157</v>
      </c>
      <c r="I252" s="167" t="s">
        <v>1213</v>
      </c>
      <c r="J252" s="167" t="s">
        <v>1214</v>
      </c>
      <c r="K252" s="167" t="s">
        <v>160</v>
      </c>
      <c r="L252" s="167" t="s">
        <v>252</v>
      </c>
      <c r="M252" s="167" t="s">
        <v>13</v>
      </c>
      <c r="N252" s="11">
        <v>0</v>
      </c>
      <c r="O252" s="12" t="str">
        <f>_xlfn.DISPIMG("ID_FBB70D9010F74144B210C02BDB9CE6A1",1)</f>
        <v>=DISPIMG("ID_FBB70D9010F74144B210C02BDB9CE6A1",1)</v>
      </c>
      <c r="P252" s="9" t="s">
        <v>1215</v>
      </c>
      <c r="Q252" s="11">
        <v>128</v>
      </c>
      <c r="R252" s="78" t="s">
        <v>4567</v>
      </c>
      <c r="S252" s="19" t="s">
        <v>52</v>
      </c>
      <c r="T252" s="9">
        <v>2</v>
      </c>
    </row>
    <row r="253" s="3" customFormat="1" customHeight="1" spans="1:20">
      <c r="A253" s="166" t="s">
        <v>1270</v>
      </c>
      <c r="B253" s="166" t="s">
        <v>153</v>
      </c>
      <c r="C253" s="166" t="s">
        <v>1271</v>
      </c>
      <c r="D253" s="11">
        <v>18879347903</v>
      </c>
      <c r="E253" s="167" t="s">
        <v>156</v>
      </c>
      <c r="F253" s="166" t="s">
        <v>13</v>
      </c>
      <c r="G253" s="9">
        <v>202102003</v>
      </c>
      <c r="H253" s="167" t="s">
        <v>279</v>
      </c>
      <c r="I253" s="167" t="s">
        <v>1273</v>
      </c>
      <c r="J253" s="167" t="s">
        <v>223</v>
      </c>
      <c r="K253" s="167" t="s">
        <v>170</v>
      </c>
      <c r="L253" s="167" t="s">
        <v>548</v>
      </c>
      <c r="M253" s="167" t="s">
        <v>13</v>
      </c>
      <c r="N253" s="167" t="s">
        <v>1274</v>
      </c>
      <c r="O253" s="12" t="str">
        <f>_xlfn.DISPIMG("ID_DF04DBFB481D40418B898CD7AB20784A",1)</f>
        <v>=DISPIMG("ID_DF04DBFB481D40418B898CD7AB20784A",1)</v>
      </c>
      <c r="P253" s="9" t="s">
        <v>1275</v>
      </c>
      <c r="Q253" s="11">
        <v>136</v>
      </c>
      <c r="R253" s="78" t="s">
        <v>4568</v>
      </c>
      <c r="S253" s="19" t="s">
        <v>52</v>
      </c>
      <c r="T253" s="9">
        <v>11</v>
      </c>
    </row>
    <row r="254" s="3" customFormat="1" customHeight="1" spans="1:20">
      <c r="A254" s="166" t="s">
        <v>1311</v>
      </c>
      <c r="B254" s="166" t="s">
        <v>165</v>
      </c>
      <c r="C254" s="166" t="s">
        <v>1312</v>
      </c>
      <c r="D254" s="11">
        <v>13672224425</v>
      </c>
      <c r="E254" s="167" t="s">
        <v>156</v>
      </c>
      <c r="F254" s="166" t="s">
        <v>13</v>
      </c>
      <c r="G254" s="9">
        <v>202102003</v>
      </c>
      <c r="H254" s="167" t="s">
        <v>157</v>
      </c>
      <c r="I254" s="167" t="s">
        <v>697</v>
      </c>
      <c r="J254" s="167" t="s">
        <v>243</v>
      </c>
      <c r="K254" s="167" t="s">
        <v>160</v>
      </c>
      <c r="L254" s="167" t="s">
        <v>368</v>
      </c>
      <c r="M254" s="167" t="s">
        <v>13</v>
      </c>
      <c r="N254" s="167" t="s">
        <v>1314</v>
      </c>
      <c r="O254" s="12" t="str">
        <f>_xlfn.DISPIMG("ID_7D2290FD7009470AB45B6E90DB94AE0B",1)</f>
        <v>=DISPIMG("ID_7D2290FD7009470AB45B6E90DB94AE0B",1)</v>
      </c>
      <c r="P254" s="9" t="s">
        <v>1315</v>
      </c>
      <c r="Q254" s="11">
        <v>142</v>
      </c>
      <c r="R254" s="78" t="s">
        <v>4569</v>
      </c>
      <c r="S254" s="19" t="s">
        <v>52</v>
      </c>
      <c r="T254" s="9">
        <v>14</v>
      </c>
    </row>
    <row r="255" s="3" customFormat="1" customHeight="1" spans="1:20">
      <c r="A255" s="166" t="s">
        <v>1357</v>
      </c>
      <c r="B255" s="166" t="s">
        <v>165</v>
      </c>
      <c r="C255" s="166" t="s">
        <v>1358</v>
      </c>
      <c r="D255" s="11">
        <v>19977181836</v>
      </c>
      <c r="E255" s="167" t="s">
        <v>156</v>
      </c>
      <c r="F255" s="166" t="s">
        <v>13</v>
      </c>
      <c r="G255" s="9">
        <v>202102003</v>
      </c>
      <c r="H255" s="167" t="s">
        <v>157</v>
      </c>
      <c r="I255" s="167" t="s">
        <v>1360</v>
      </c>
      <c r="J255" s="167" t="s">
        <v>223</v>
      </c>
      <c r="K255" s="167" t="s">
        <v>170</v>
      </c>
      <c r="L255" s="167" t="s">
        <v>587</v>
      </c>
      <c r="M255" s="167" t="s">
        <v>1361</v>
      </c>
      <c r="N255" s="167" t="s">
        <v>1362</v>
      </c>
      <c r="O255" s="12" t="str">
        <f>_xlfn.DISPIMG("ID_F234455BC8F04A26B7C1140CBE7FB1F1",1)</f>
        <v>=DISPIMG("ID_F234455BC8F04A26B7C1140CBE7FB1F1",1)</v>
      </c>
      <c r="P255" s="9" t="s">
        <v>1363</v>
      </c>
      <c r="Q255" s="11">
        <v>148</v>
      </c>
      <c r="R255" s="78" t="s">
        <v>4570</v>
      </c>
      <c r="S255" s="19" t="s">
        <v>52</v>
      </c>
      <c r="T255" s="9">
        <v>23</v>
      </c>
    </row>
    <row r="256" s="3" customFormat="1" customHeight="1" spans="1:20">
      <c r="A256" s="166" t="s">
        <v>1463</v>
      </c>
      <c r="B256" s="166" t="s">
        <v>165</v>
      </c>
      <c r="C256" s="166" t="s">
        <v>1464</v>
      </c>
      <c r="D256" s="11">
        <v>18279171935</v>
      </c>
      <c r="E256" s="167" t="s">
        <v>156</v>
      </c>
      <c r="F256" s="166" t="s">
        <v>13</v>
      </c>
      <c r="G256" s="9">
        <v>202102003</v>
      </c>
      <c r="H256" s="167" t="s">
        <v>157</v>
      </c>
      <c r="I256" s="167" t="s">
        <v>1466</v>
      </c>
      <c r="J256" s="167" t="s">
        <v>179</v>
      </c>
      <c r="K256" s="167" t="s">
        <v>160</v>
      </c>
      <c r="L256" s="167" t="s">
        <v>281</v>
      </c>
      <c r="M256" s="167" t="s">
        <v>1467</v>
      </c>
      <c r="N256" s="167" t="s">
        <v>1468</v>
      </c>
      <c r="O256" s="12" t="str">
        <f>_xlfn.DISPIMG("ID_050656778A6D494197B2CC367B7C8BBA",1)</f>
        <v>=DISPIMG("ID_050656778A6D494197B2CC367B7C8BBA",1)</v>
      </c>
      <c r="P256" s="9" t="s">
        <v>1469</v>
      </c>
      <c r="Q256" s="11">
        <v>162</v>
      </c>
      <c r="R256" s="78" t="s">
        <v>4571</v>
      </c>
      <c r="S256" s="19" t="s">
        <v>52</v>
      </c>
      <c r="T256" s="9">
        <v>26</v>
      </c>
    </row>
    <row r="257" s="3" customFormat="1" customHeight="1" spans="1:20">
      <c r="A257" s="166" t="s">
        <v>1477</v>
      </c>
      <c r="B257" s="166" t="s">
        <v>153</v>
      </c>
      <c r="C257" s="166" t="s">
        <v>1478</v>
      </c>
      <c r="D257" s="11">
        <v>15779705216</v>
      </c>
      <c r="E257" s="167" t="s">
        <v>156</v>
      </c>
      <c r="F257" s="166" t="s">
        <v>13</v>
      </c>
      <c r="G257" s="9">
        <v>202102003</v>
      </c>
      <c r="H257" s="167" t="s">
        <v>157</v>
      </c>
      <c r="I257" s="167" t="s">
        <v>1480</v>
      </c>
      <c r="J257" s="167" t="s">
        <v>1481</v>
      </c>
      <c r="K257" s="167" t="s">
        <v>160</v>
      </c>
      <c r="L257" s="167" t="s">
        <v>235</v>
      </c>
      <c r="M257" s="167" t="s">
        <v>13</v>
      </c>
      <c r="N257" s="167" t="s">
        <v>1482</v>
      </c>
      <c r="O257" s="12" t="str">
        <f>_xlfn.DISPIMG("ID_7EA9DB823A764F28A536B4FEC9EB2A2B",1)</f>
        <v>=DISPIMG("ID_7EA9DB823A764F28A536B4FEC9EB2A2B",1)</v>
      </c>
      <c r="P257" s="9" t="s">
        <v>1483</v>
      </c>
      <c r="Q257" s="11">
        <v>164</v>
      </c>
      <c r="R257" s="78" t="s">
        <v>4572</v>
      </c>
      <c r="S257" s="19" t="s">
        <v>52</v>
      </c>
      <c r="T257" s="9">
        <v>1</v>
      </c>
    </row>
    <row r="258" s="3" customFormat="1" customHeight="1" spans="1:20">
      <c r="A258" s="166" t="s">
        <v>1486</v>
      </c>
      <c r="B258" s="166" t="s">
        <v>165</v>
      </c>
      <c r="C258" s="166" t="s">
        <v>1487</v>
      </c>
      <c r="D258" s="11">
        <v>13979859802</v>
      </c>
      <c r="E258" s="167" t="s">
        <v>156</v>
      </c>
      <c r="F258" s="166" t="s">
        <v>13</v>
      </c>
      <c r="G258" s="9">
        <v>202102003</v>
      </c>
      <c r="H258" s="167" t="s">
        <v>157</v>
      </c>
      <c r="I258" s="167" t="s">
        <v>233</v>
      </c>
      <c r="J258" s="167" t="s">
        <v>1489</v>
      </c>
      <c r="K258" s="167" t="s">
        <v>170</v>
      </c>
      <c r="L258" s="167" t="s">
        <v>1490</v>
      </c>
      <c r="M258" s="167" t="s">
        <v>1491</v>
      </c>
      <c r="N258" s="167" t="s">
        <v>1492</v>
      </c>
      <c r="O258" s="12" t="str">
        <f>_xlfn.DISPIMG("ID_8C3008D7D3C74B79A4E1698AF4E9725F",1)</f>
        <v>=DISPIMG("ID_8C3008D7D3C74B79A4E1698AF4E9725F",1)</v>
      </c>
      <c r="P258" s="9" t="s">
        <v>1493</v>
      </c>
      <c r="Q258" s="11">
        <v>165</v>
      </c>
      <c r="R258" s="78" t="s">
        <v>4573</v>
      </c>
      <c r="S258" s="19" t="s">
        <v>52</v>
      </c>
      <c r="T258" s="9">
        <v>12</v>
      </c>
    </row>
    <row r="259" s="3" customFormat="1" customHeight="1" spans="1:20">
      <c r="A259" s="166" t="s">
        <v>1503</v>
      </c>
      <c r="B259" s="166" t="s">
        <v>165</v>
      </c>
      <c r="C259" s="166" t="s">
        <v>1504</v>
      </c>
      <c r="D259" s="11">
        <v>15070911038</v>
      </c>
      <c r="E259" s="167" t="s">
        <v>156</v>
      </c>
      <c r="F259" s="166" t="s">
        <v>13</v>
      </c>
      <c r="G259" s="9">
        <v>202102003</v>
      </c>
      <c r="H259" s="167" t="s">
        <v>157</v>
      </c>
      <c r="I259" s="167" t="s">
        <v>827</v>
      </c>
      <c r="J259" s="167" t="s">
        <v>223</v>
      </c>
      <c r="K259" s="167" t="s">
        <v>170</v>
      </c>
      <c r="L259" s="167" t="s">
        <v>180</v>
      </c>
      <c r="M259" s="167" t="s">
        <v>1506</v>
      </c>
      <c r="N259" s="167" t="s">
        <v>1507</v>
      </c>
      <c r="O259" s="12" t="str">
        <f>_xlfn.DISPIMG("ID_ADCECB4C3BFF4D9FA761F0B3617DDB20",1)</f>
        <v>=DISPIMG("ID_ADCECB4C3BFF4D9FA761F0B3617DDB20",1)</v>
      </c>
      <c r="P259" s="9" t="s">
        <v>1508</v>
      </c>
      <c r="Q259" s="11">
        <v>167</v>
      </c>
      <c r="R259" s="78" t="s">
        <v>4574</v>
      </c>
      <c r="S259" s="19" t="s">
        <v>52</v>
      </c>
      <c r="T259" s="9">
        <v>13</v>
      </c>
    </row>
    <row r="260" s="3" customFormat="1" customHeight="1" spans="1:20">
      <c r="A260" s="166" t="s">
        <v>1528</v>
      </c>
      <c r="B260" s="166" t="s">
        <v>165</v>
      </c>
      <c r="C260" s="166" t="s">
        <v>1529</v>
      </c>
      <c r="D260" s="11">
        <v>13247705960</v>
      </c>
      <c r="E260" s="167" t="s">
        <v>156</v>
      </c>
      <c r="F260" s="166" t="s">
        <v>13</v>
      </c>
      <c r="G260" s="9">
        <v>202102003</v>
      </c>
      <c r="H260" s="167" t="s">
        <v>157</v>
      </c>
      <c r="I260" s="167" t="s">
        <v>385</v>
      </c>
      <c r="J260" s="167" t="s">
        <v>179</v>
      </c>
      <c r="K260" s="167" t="s">
        <v>160</v>
      </c>
      <c r="L260" s="167" t="s">
        <v>548</v>
      </c>
      <c r="M260" s="167" t="s">
        <v>25</v>
      </c>
      <c r="N260" s="167" t="s">
        <v>1531</v>
      </c>
      <c r="O260" s="12" t="str">
        <f>_xlfn.DISPIMG("ID_8A933BECC5A94F3D8B394A9689736C52",1)</f>
        <v>=DISPIMG("ID_8A933BECC5A94F3D8B394A9689736C52",1)</v>
      </c>
      <c r="P260" s="9" t="s">
        <v>1532</v>
      </c>
      <c r="Q260" s="11">
        <v>170</v>
      </c>
      <c r="R260" s="78" t="s">
        <v>4575</v>
      </c>
      <c r="S260" s="19" t="s">
        <v>52</v>
      </c>
      <c r="T260" s="9">
        <v>24</v>
      </c>
    </row>
    <row r="261" s="3" customFormat="1" customHeight="1" spans="1:20">
      <c r="A261" s="166" t="s">
        <v>1643</v>
      </c>
      <c r="B261" s="166" t="s">
        <v>153</v>
      </c>
      <c r="C261" s="166" t="s">
        <v>1644</v>
      </c>
      <c r="D261" s="11">
        <v>18351336229</v>
      </c>
      <c r="E261" s="167" t="s">
        <v>156</v>
      </c>
      <c r="F261" s="166" t="s">
        <v>13</v>
      </c>
      <c r="G261" s="9">
        <v>202102003</v>
      </c>
      <c r="H261" s="167" t="s">
        <v>157</v>
      </c>
      <c r="I261" s="167" t="s">
        <v>1646</v>
      </c>
      <c r="J261" s="167" t="s">
        <v>1647</v>
      </c>
      <c r="K261" s="167" t="s">
        <v>160</v>
      </c>
      <c r="L261" s="167" t="s">
        <v>261</v>
      </c>
      <c r="M261" s="167" t="s">
        <v>1506</v>
      </c>
      <c r="N261" s="11">
        <v>0</v>
      </c>
      <c r="O261" s="12" t="str">
        <f>_xlfn.DISPIMG("ID_B4AD11310DDA4138B05F8034BA3D88DD",1)</f>
        <v>=DISPIMG("ID_B4AD11310DDA4138B05F8034BA3D88DD",1)</v>
      </c>
      <c r="P261" s="9" t="s">
        <v>1648</v>
      </c>
      <c r="Q261" s="11">
        <v>185</v>
      </c>
      <c r="R261" s="78" t="s">
        <v>4576</v>
      </c>
      <c r="S261" s="19" t="s">
        <v>52</v>
      </c>
      <c r="T261" s="9">
        <v>25</v>
      </c>
    </row>
    <row r="262" s="3" customFormat="1" customHeight="1" spans="1:20">
      <c r="A262" s="166" t="s">
        <v>1651</v>
      </c>
      <c r="B262" s="166" t="s">
        <v>165</v>
      </c>
      <c r="C262" s="166" t="s">
        <v>1652</v>
      </c>
      <c r="D262" s="11">
        <v>15870862742</v>
      </c>
      <c r="E262" s="167" t="s">
        <v>156</v>
      </c>
      <c r="F262" s="166" t="s">
        <v>13</v>
      </c>
      <c r="G262" s="9">
        <v>202102003</v>
      </c>
      <c r="H262" s="167" t="s">
        <v>157</v>
      </c>
      <c r="I262" s="167" t="s">
        <v>1654</v>
      </c>
      <c r="J262" s="167" t="s">
        <v>179</v>
      </c>
      <c r="K262" s="167" t="s">
        <v>160</v>
      </c>
      <c r="L262" s="167" t="s">
        <v>235</v>
      </c>
      <c r="M262" s="167" t="s">
        <v>13</v>
      </c>
      <c r="N262" s="11">
        <v>0</v>
      </c>
      <c r="O262" s="12" t="str">
        <f>_xlfn.DISPIMG("ID_3972EE6FED8B40BFAB5CECB7F30981FD",1)</f>
        <v>=DISPIMG("ID_3972EE6FED8B40BFAB5CECB7F30981FD",1)</v>
      </c>
      <c r="P262" s="9" t="s">
        <v>1655</v>
      </c>
      <c r="Q262" s="11">
        <v>186</v>
      </c>
      <c r="R262" s="78" t="s">
        <v>4577</v>
      </c>
      <c r="S262" s="19" t="s">
        <v>54</v>
      </c>
      <c r="T262" s="9">
        <v>6</v>
      </c>
    </row>
    <row r="263" s="3" customFormat="1" customHeight="1" spans="1:20">
      <c r="A263" s="166" t="s">
        <v>1715</v>
      </c>
      <c r="B263" s="166" t="s">
        <v>165</v>
      </c>
      <c r="C263" s="166" t="s">
        <v>1716</v>
      </c>
      <c r="D263" s="11">
        <v>15070075457</v>
      </c>
      <c r="E263" s="167" t="s">
        <v>156</v>
      </c>
      <c r="F263" s="166" t="s">
        <v>13</v>
      </c>
      <c r="G263" s="9">
        <v>202102003</v>
      </c>
      <c r="H263" s="167" t="s">
        <v>157</v>
      </c>
      <c r="I263" s="167" t="s">
        <v>1718</v>
      </c>
      <c r="J263" s="167" t="s">
        <v>1195</v>
      </c>
      <c r="K263" s="167" t="s">
        <v>170</v>
      </c>
      <c r="L263" s="167" t="s">
        <v>281</v>
      </c>
      <c r="M263" s="167" t="s">
        <v>13</v>
      </c>
      <c r="N263" s="167" t="s">
        <v>1719</v>
      </c>
      <c r="O263" s="12" t="str">
        <f>_xlfn.DISPIMG("ID_33BA8978EFEE4AA59909527B43B2E1C1",1)</f>
        <v>=DISPIMG("ID_33BA8978EFEE4AA59909527B43B2E1C1",1)</v>
      </c>
      <c r="P263" s="9" t="s">
        <v>1720</v>
      </c>
      <c r="Q263" s="11">
        <v>194</v>
      </c>
      <c r="R263" s="78" t="s">
        <v>4578</v>
      </c>
      <c r="S263" s="19" t="s">
        <v>54</v>
      </c>
      <c r="T263" s="9">
        <v>7</v>
      </c>
    </row>
    <row r="264" s="98" customFormat="1" customHeight="1" spans="1:20">
      <c r="A264" s="170" t="s">
        <v>1744</v>
      </c>
      <c r="B264" s="170" t="s">
        <v>153</v>
      </c>
      <c r="C264" s="170" t="s">
        <v>1745</v>
      </c>
      <c r="D264" s="21">
        <v>18162289485</v>
      </c>
      <c r="E264" s="163" t="s">
        <v>384</v>
      </c>
      <c r="F264" s="170" t="s">
        <v>13</v>
      </c>
      <c r="G264" s="99">
        <v>202102003</v>
      </c>
      <c r="H264" s="163" t="s">
        <v>279</v>
      </c>
      <c r="I264" s="163" t="s">
        <v>158</v>
      </c>
      <c r="J264" s="163" t="s">
        <v>223</v>
      </c>
      <c r="K264" s="163" t="s">
        <v>170</v>
      </c>
      <c r="L264" s="163" t="s">
        <v>281</v>
      </c>
      <c r="M264" s="163" t="s">
        <v>225</v>
      </c>
      <c r="N264" s="163" t="s">
        <v>1747</v>
      </c>
      <c r="O264" s="100" t="str">
        <f>_xlfn.DISPIMG("ID_5044DE99F5764C15B715286BE7DA4EE0",1)</f>
        <v>=DISPIMG("ID_5044DE99F5764C15B715286BE7DA4EE0",1)</v>
      </c>
      <c r="P264" s="99" t="s">
        <v>1748</v>
      </c>
      <c r="Q264" s="21">
        <v>198</v>
      </c>
      <c r="R264" s="101" t="s">
        <v>4579</v>
      </c>
      <c r="S264" s="102" t="s">
        <v>54</v>
      </c>
      <c r="T264" s="99">
        <v>18</v>
      </c>
    </row>
    <row r="265" s="3" customFormat="1" customHeight="1" spans="1:20">
      <c r="A265" s="166" t="s">
        <v>1759</v>
      </c>
      <c r="B265" s="166" t="s">
        <v>165</v>
      </c>
      <c r="C265" s="166" t="s">
        <v>1760</v>
      </c>
      <c r="D265" s="11">
        <v>13450834436</v>
      </c>
      <c r="E265" s="167" t="s">
        <v>156</v>
      </c>
      <c r="F265" s="166" t="s">
        <v>13</v>
      </c>
      <c r="G265" s="9">
        <v>202102003</v>
      </c>
      <c r="H265" s="167" t="s">
        <v>279</v>
      </c>
      <c r="I265" s="167" t="s">
        <v>158</v>
      </c>
      <c r="J265" s="167" t="s">
        <v>298</v>
      </c>
      <c r="K265" s="167" t="s">
        <v>160</v>
      </c>
      <c r="L265" s="167" t="s">
        <v>910</v>
      </c>
      <c r="M265" s="167" t="s">
        <v>13</v>
      </c>
      <c r="N265" s="167" t="s">
        <v>1762</v>
      </c>
      <c r="O265" s="12" t="str">
        <f>_xlfn.DISPIMG("ID_6061453C50E94D60AD50D7D119779DE5",1)</f>
        <v>=DISPIMG("ID_6061453C50E94D60AD50D7D119779DE5",1)</v>
      </c>
      <c r="P265" s="9" t="s">
        <v>1763</v>
      </c>
      <c r="Q265" s="11">
        <v>200</v>
      </c>
      <c r="R265" s="78" t="s">
        <v>4580</v>
      </c>
      <c r="S265" s="19" t="s">
        <v>54</v>
      </c>
      <c r="T265" s="9">
        <v>19</v>
      </c>
    </row>
    <row r="266" s="3" customFormat="1" customHeight="1" spans="1:20">
      <c r="A266" s="166" t="s">
        <v>1781</v>
      </c>
      <c r="B266" s="166" t="s">
        <v>165</v>
      </c>
      <c r="C266" s="166" t="s">
        <v>1782</v>
      </c>
      <c r="D266" s="11">
        <v>18379139309</v>
      </c>
      <c r="E266" s="167" t="s">
        <v>156</v>
      </c>
      <c r="F266" s="166" t="s">
        <v>13</v>
      </c>
      <c r="G266" s="9">
        <v>202102003</v>
      </c>
      <c r="H266" s="167" t="s">
        <v>157</v>
      </c>
      <c r="I266" s="167" t="s">
        <v>1784</v>
      </c>
      <c r="J266" s="167" t="s">
        <v>243</v>
      </c>
      <c r="K266" s="167" t="s">
        <v>160</v>
      </c>
      <c r="L266" s="167" t="s">
        <v>516</v>
      </c>
      <c r="M266" s="167" t="s">
        <v>25</v>
      </c>
      <c r="N266" s="167" t="s">
        <v>1785</v>
      </c>
      <c r="O266" s="12" t="str">
        <f>_xlfn.DISPIMG("ID_FAA9DF7D97144F66A8EC0127C6ABD49F",1)</f>
        <v>=DISPIMG("ID_FAA9DF7D97144F66A8EC0127C6ABD49F",1)</v>
      </c>
      <c r="P266" s="9" t="s">
        <v>1786</v>
      </c>
      <c r="Q266" s="11">
        <v>203</v>
      </c>
      <c r="R266" s="78" t="s">
        <v>4581</v>
      </c>
      <c r="S266" s="19" t="s">
        <v>54</v>
      </c>
      <c r="T266" s="9">
        <v>30</v>
      </c>
    </row>
    <row r="267" s="3" customFormat="1" customHeight="1" spans="1:20">
      <c r="A267" s="166" t="s">
        <v>1868</v>
      </c>
      <c r="B267" s="166" t="s">
        <v>165</v>
      </c>
      <c r="C267" s="166" t="s">
        <v>1869</v>
      </c>
      <c r="D267" s="11">
        <v>18270285866</v>
      </c>
      <c r="E267" s="167" t="s">
        <v>156</v>
      </c>
      <c r="F267" s="166" t="s">
        <v>13</v>
      </c>
      <c r="G267" s="9">
        <v>202102003</v>
      </c>
      <c r="H267" s="167" t="s">
        <v>157</v>
      </c>
      <c r="I267" s="167" t="s">
        <v>697</v>
      </c>
      <c r="J267" s="167" t="s">
        <v>179</v>
      </c>
      <c r="K267" s="167" t="s">
        <v>160</v>
      </c>
      <c r="L267" s="167" t="s">
        <v>161</v>
      </c>
      <c r="M267" s="167" t="s">
        <v>13</v>
      </c>
      <c r="N267" s="167" t="s">
        <v>1871</v>
      </c>
      <c r="O267" s="12" t="str">
        <f>_xlfn.DISPIMG("ID_8FA08A92AF314DECB56C8C1E101E9B2E",1)</f>
        <v>=DISPIMG("ID_8FA08A92AF314DECB56C8C1E101E9B2E",1)</v>
      </c>
      <c r="P267" s="9" t="s">
        <v>1872</v>
      </c>
      <c r="Q267" s="11">
        <v>214</v>
      </c>
      <c r="R267" s="78" t="s">
        <v>4582</v>
      </c>
      <c r="S267" s="19" t="s">
        <v>54</v>
      </c>
      <c r="T267" s="9">
        <v>5</v>
      </c>
    </row>
    <row r="268" s="3" customFormat="1" customHeight="1" spans="1:20">
      <c r="A268" s="166" t="s">
        <v>1890</v>
      </c>
      <c r="B268" s="166" t="s">
        <v>165</v>
      </c>
      <c r="C268" s="166" t="s">
        <v>1891</v>
      </c>
      <c r="D268" s="11">
        <v>18770267494</v>
      </c>
      <c r="E268" s="167" t="s">
        <v>156</v>
      </c>
      <c r="F268" s="166" t="s">
        <v>13</v>
      </c>
      <c r="G268" s="9">
        <v>202102003</v>
      </c>
      <c r="H268" s="167" t="s">
        <v>157</v>
      </c>
      <c r="I268" s="167" t="s">
        <v>646</v>
      </c>
      <c r="J268" s="167" t="s">
        <v>179</v>
      </c>
      <c r="K268" s="167" t="s">
        <v>160</v>
      </c>
      <c r="L268" s="167" t="s">
        <v>161</v>
      </c>
      <c r="M268" s="167" t="s">
        <v>25</v>
      </c>
      <c r="N268" s="167" t="s">
        <v>1893</v>
      </c>
      <c r="O268" s="12" t="str">
        <f>_xlfn.DISPIMG("ID_E3FEEF4304AD40319195B6CB72FAB7DA",1)</f>
        <v>=DISPIMG("ID_E3FEEF4304AD40319195B6CB72FAB7DA",1)</v>
      </c>
      <c r="P268" s="9" t="s">
        <v>1894</v>
      </c>
      <c r="Q268" s="11">
        <v>217</v>
      </c>
      <c r="R268" s="78" t="s">
        <v>4583</v>
      </c>
      <c r="S268" s="19" t="s">
        <v>54</v>
      </c>
      <c r="T268" s="9">
        <v>8</v>
      </c>
    </row>
    <row r="269" s="3" customFormat="1" customHeight="1" spans="1:20">
      <c r="A269" s="166" t="s">
        <v>1925</v>
      </c>
      <c r="B269" s="166" t="s">
        <v>165</v>
      </c>
      <c r="C269" s="166" t="s">
        <v>1926</v>
      </c>
      <c r="D269" s="11">
        <v>18000203663</v>
      </c>
      <c r="E269" s="167" t="s">
        <v>156</v>
      </c>
      <c r="F269" s="166" t="s">
        <v>13</v>
      </c>
      <c r="G269" s="9">
        <v>202102003</v>
      </c>
      <c r="H269" s="167" t="s">
        <v>157</v>
      </c>
      <c r="I269" s="167" t="s">
        <v>611</v>
      </c>
      <c r="J269" s="167" t="s">
        <v>179</v>
      </c>
      <c r="K269" s="167" t="s">
        <v>160</v>
      </c>
      <c r="L269" s="167" t="s">
        <v>281</v>
      </c>
      <c r="M269" s="167" t="s">
        <v>13</v>
      </c>
      <c r="N269" s="167" t="s">
        <v>1928</v>
      </c>
      <c r="O269" s="12" t="str">
        <f>_xlfn.DISPIMG("ID_F763BF131F364181A17D865B8B797D97",1)</f>
        <v>=DISPIMG("ID_F763BF131F364181A17D865B8B797D97",1)</v>
      </c>
      <c r="P269" s="9" t="s">
        <v>1929</v>
      </c>
      <c r="Q269" s="11">
        <v>222</v>
      </c>
      <c r="R269" s="78" t="s">
        <v>4584</v>
      </c>
      <c r="S269" s="19" t="s">
        <v>54</v>
      </c>
      <c r="T269" s="9">
        <v>17</v>
      </c>
    </row>
    <row r="270" s="3" customFormat="1" customHeight="1" spans="1:20">
      <c r="A270" s="166" t="s">
        <v>1997</v>
      </c>
      <c r="B270" s="166" t="s">
        <v>165</v>
      </c>
      <c r="C270" s="166" t="s">
        <v>1998</v>
      </c>
      <c r="D270" s="11">
        <v>15270177023</v>
      </c>
      <c r="E270" s="167" t="s">
        <v>156</v>
      </c>
      <c r="F270" s="166" t="s">
        <v>13</v>
      </c>
      <c r="G270" s="9">
        <v>202102003</v>
      </c>
      <c r="H270" s="167" t="s">
        <v>157</v>
      </c>
      <c r="I270" s="167" t="s">
        <v>158</v>
      </c>
      <c r="J270" s="167" t="s">
        <v>2000</v>
      </c>
      <c r="K270" s="167" t="s">
        <v>160</v>
      </c>
      <c r="L270" s="167" t="s">
        <v>161</v>
      </c>
      <c r="M270" s="167" t="s">
        <v>13</v>
      </c>
      <c r="N270" s="11">
        <v>0</v>
      </c>
      <c r="O270" s="12" t="str">
        <f>_xlfn.DISPIMG("ID_08A4D05852A0412E805E12227EDF1C33",1)</f>
        <v>=DISPIMG("ID_08A4D05852A0412E805E12227EDF1C33",1)</v>
      </c>
      <c r="P270" s="9" t="s">
        <v>2001</v>
      </c>
      <c r="Q270" s="11">
        <v>232</v>
      </c>
      <c r="R270" s="78" t="s">
        <v>4585</v>
      </c>
      <c r="S270" s="19" t="s">
        <v>54</v>
      </c>
      <c r="T270" s="9">
        <v>20</v>
      </c>
    </row>
    <row r="271" s="3" customFormat="1" customHeight="1" spans="1:20">
      <c r="A271" s="166" t="s">
        <v>2012</v>
      </c>
      <c r="B271" s="166" t="s">
        <v>165</v>
      </c>
      <c r="C271" s="166" t="s">
        <v>2013</v>
      </c>
      <c r="D271" s="11">
        <v>18970612776</v>
      </c>
      <c r="E271" s="167" t="s">
        <v>156</v>
      </c>
      <c r="F271" s="166" t="s">
        <v>13</v>
      </c>
      <c r="G271" s="9">
        <v>202102003</v>
      </c>
      <c r="H271" s="167" t="s">
        <v>279</v>
      </c>
      <c r="I271" s="167" t="s">
        <v>2015</v>
      </c>
      <c r="J271" s="167" t="s">
        <v>223</v>
      </c>
      <c r="K271" s="167" t="s">
        <v>170</v>
      </c>
      <c r="L271" s="167" t="s">
        <v>216</v>
      </c>
      <c r="M271" s="167" t="s">
        <v>2016</v>
      </c>
      <c r="N271" s="167" t="s">
        <v>2017</v>
      </c>
      <c r="O271" s="12" t="str">
        <f>_xlfn.DISPIMG("ID_DBB8A81F2D854EDC847C805211582887",1)</f>
        <v>=DISPIMG("ID_DBB8A81F2D854EDC847C805211582887",1)</v>
      </c>
      <c r="P271" s="9" t="s">
        <v>2018</v>
      </c>
      <c r="Q271" s="11">
        <v>234</v>
      </c>
      <c r="R271" s="78" t="s">
        <v>4586</v>
      </c>
      <c r="S271" s="19" t="s">
        <v>54</v>
      </c>
      <c r="T271" s="9">
        <v>29</v>
      </c>
    </row>
    <row r="272" s="3" customFormat="1" customHeight="1" spans="1:20">
      <c r="A272" s="166" t="s">
        <v>2020</v>
      </c>
      <c r="B272" s="166" t="s">
        <v>165</v>
      </c>
      <c r="C272" s="166" t="s">
        <v>2021</v>
      </c>
      <c r="D272" s="11">
        <v>13607094902</v>
      </c>
      <c r="E272" s="167" t="s">
        <v>506</v>
      </c>
      <c r="F272" s="166" t="s">
        <v>13</v>
      </c>
      <c r="G272" s="9">
        <v>202102016</v>
      </c>
      <c r="H272" s="167" t="s">
        <v>157</v>
      </c>
      <c r="I272" s="167" t="s">
        <v>2015</v>
      </c>
      <c r="J272" s="167" t="s">
        <v>179</v>
      </c>
      <c r="K272" s="167" t="s">
        <v>170</v>
      </c>
      <c r="L272" s="167" t="s">
        <v>2023</v>
      </c>
      <c r="M272" s="167" t="s">
        <v>13</v>
      </c>
      <c r="N272" s="167" t="s">
        <v>2024</v>
      </c>
      <c r="O272" s="12" t="str">
        <f>_xlfn.DISPIMG("ID_391065F92F2843D5ABEC64E49971BF9B",1)</f>
        <v>=DISPIMG("ID_391065F92F2843D5ABEC64E49971BF9B",1)</v>
      </c>
      <c r="P272" s="9" t="s">
        <v>2025</v>
      </c>
      <c r="Q272" s="11">
        <v>235</v>
      </c>
      <c r="R272" s="78" t="s">
        <v>4587</v>
      </c>
      <c r="S272" s="19" t="s">
        <v>54</v>
      </c>
      <c r="T272" s="9">
        <v>4</v>
      </c>
    </row>
    <row r="273" s="3" customFormat="1" customHeight="1" spans="1:20">
      <c r="A273" s="166" t="s">
        <v>2090</v>
      </c>
      <c r="B273" s="166" t="s">
        <v>153</v>
      </c>
      <c r="C273" s="166" t="s">
        <v>2091</v>
      </c>
      <c r="D273" s="11">
        <v>18079635877</v>
      </c>
      <c r="E273" s="167" t="s">
        <v>156</v>
      </c>
      <c r="F273" s="166" t="s">
        <v>13</v>
      </c>
      <c r="G273" s="9">
        <v>202102003</v>
      </c>
      <c r="H273" s="167" t="s">
        <v>157</v>
      </c>
      <c r="I273" s="167" t="s">
        <v>507</v>
      </c>
      <c r="J273" s="167" t="s">
        <v>2093</v>
      </c>
      <c r="K273" s="167" t="s">
        <v>160</v>
      </c>
      <c r="L273" s="167" t="s">
        <v>281</v>
      </c>
      <c r="M273" s="167" t="s">
        <v>25</v>
      </c>
      <c r="N273" s="167" t="s">
        <v>2094</v>
      </c>
      <c r="O273" s="12" t="str">
        <f>_xlfn.DISPIMG("ID_C4F6E9DAFE344DCCAABCAAE0A2F04564",1)</f>
        <v>=DISPIMG("ID_C4F6E9DAFE344DCCAABCAAE0A2F04564",1)</v>
      </c>
      <c r="P273" s="9" t="s">
        <v>2095</v>
      </c>
      <c r="Q273" s="11">
        <v>244</v>
      </c>
      <c r="R273" s="78" t="s">
        <v>4588</v>
      </c>
      <c r="S273" s="19" t="s">
        <v>54</v>
      </c>
      <c r="T273" s="9">
        <v>9</v>
      </c>
    </row>
    <row r="274" s="3" customFormat="1" customHeight="1" spans="1:20">
      <c r="A274" s="166" t="s">
        <v>2113</v>
      </c>
      <c r="B274" s="166" t="s">
        <v>165</v>
      </c>
      <c r="C274" s="166" t="s">
        <v>2114</v>
      </c>
      <c r="D274" s="11">
        <v>18779262393</v>
      </c>
      <c r="E274" s="167" t="s">
        <v>156</v>
      </c>
      <c r="F274" s="166" t="s">
        <v>13</v>
      </c>
      <c r="G274" s="9">
        <v>202102003</v>
      </c>
      <c r="H274" s="167" t="s">
        <v>157</v>
      </c>
      <c r="I274" s="167" t="s">
        <v>168</v>
      </c>
      <c r="J274" s="167" t="s">
        <v>179</v>
      </c>
      <c r="K274" s="167" t="s">
        <v>170</v>
      </c>
      <c r="L274" s="167" t="s">
        <v>261</v>
      </c>
      <c r="M274" s="167" t="s">
        <v>13</v>
      </c>
      <c r="N274" s="167" t="s">
        <v>2116</v>
      </c>
      <c r="O274" s="12" t="str">
        <f>_xlfn.DISPIMG("ID_FD96452CC72B491AA69A0DC966FE8814",1)</f>
        <v>=DISPIMG("ID_FD96452CC72B491AA69A0DC966FE8814",1)</v>
      </c>
      <c r="P274" s="9" t="s">
        <v>2117</v>
      </c>
      <c r="Q274" s="11">
        <v>247</v>
      </c>
      <c r="R274" s="78" t="s">
        <v>4589</v>
      </c>
      <c r="S274" s="19" t="s">
        <v>54</v>
      </c>
      <c r="T274" s="9">
        <v>16</v>
      </c>
    </row>
    <row r="275" s="3" customFormat="1" customHeight="1" spans="1:20">
      <c r="A275" s="166" t="s">
        <v>2120</v>
      </c>
      <c r="B275" s="166" t="s">
        <v>165</v>
      </c>
      <c r="C275" s="166" t="s">
        <v>2121</v>
      </c>
      <c r="D275" s="11">
        <v>15070693643</v>
      </c>
      <c r="E275" s="167" t="s">
        <v>156</v>
      </c>
      <c r="F275" s="166" t="s">
        <v>13</v>
      </c>
      <c r="G275" s="9">
        <v>202102003</v>
      </c>
      <c r="H275" s="167" t="s">
        <v>157</v>
      </c>
      <c r="I275" s="167" t="s">
        <v>197</v>
      </c>
      <c r="J275" s="167" t="s">
        <v>179</v>
      </c>
      <c r="K275" s="167" t="s">
        <v>160</v>
      </c>
      <c r="L275" s="167" t="s">
        <v>455</v>
      </c>
      <c r="M275" s="167" t="s">
        <v>225</v>
      </c>
      <c r="N275" s="11">
        <v>0</v>
      </c>
      <c r="O275" s="12" t="str">
        <f>_xlfn.DISPIMG("ID_BB45129897024B4183D09C0AA547B197",1)</f>
        <v>=DISPIMG("ID_BB45129897024B4183D09C0AA547B197",1)</v>
      </c>
      <c r="P275" s="9" t="s">
        <v>2123</v>
      </c>
      <c r="Q275" s="11">
        <v>248</v>
      </c>
      <c r="R275" s="78" t="s">
        <v>4590</v>
      </c>
      <c r="S275" s="19" t="s">
        <v>54</v>
      </c>
      <c r="T275" s="9">
        <v>21</v>
      </c>
    </row>
    <row r="276" s="3" customFormat="1" customHeight="1" spans="1:20">
      <c r="A276" s="166" t="s">
        <v>2140</v>
      </c>
      <c r="B276" s="166" t="s">
        <v>165</v>
      </c>
      <c r="C276" s="166" t="s">
        <v>2141</v>
      </c>
      <c r="D276" s="11">
        <v>13576909746</v>
      </c>
      <c r="E276" s="167" t="s">
        <v>156</v>
      </c>
      <c r="F276" s="166" t="s">
        <v>13</v>
      </c>
      <c r="G276" s="9">
        <v>202102003</v>
      </c>
      <c r="H276" s="167" t="s">
        <v>157</v>
      </c>
      <c r="I276" s="167" t="s">
        <v>540</v>
      </c>
      <c r="J276" s="167" t="s">
        <v>298</v>
      </c>
      <c r="K276" s="167" t="s">
        <v>160</v>
      </c>
      <c r="L276" s="167" t="s">
        <v>180</v>
      </c>
      <c r="M276" s="167" t="s">
        <v>13</v>
      </c>
      <c r="N276" s="167" t="s">
        <v>2143</v>
      </c>
      <c r="O276" s="12" t="str">
        <f>_xlfn.DISPIMG("ID_5B22FFE3C77C4E8C9BD243D72EC649E2",1)</f>
        <v>=DISPIMG("ID_5B22FFE3C77C4E8C9BD243D72EC649E2",1)</v>
      </c>
      <c r="P276" s="9" t="s">
        <v>2144</v>
      </c>
      <c r="Q276" s="11">
        <v>251</v>
      </c>
      <c r="R276" s="78" t="s">
        <v>4591</v>
      </c>
      <c r="S276" s="19" t="s">
        <v>54</v>
      </c>
      <c r="T276" s="9">
        <v>28</v>
      </c>
    </row>
    <row r="277" s="3" customFormat="1" customHeight="1" spans="1:20">
      <c r="A277" s="166" t="s">
        <v>2147</v>
      </c>
      <c r="B277" s="166" t="s">
        <v>165</v>
      </c>
      <c r="C277" s="166" t="s">
        <v>2148</v>
      </c>
      <c r="D277" s="11">
        <v>18870849075</v>
      </c>
      <c r="E277" s="167" t="s">
        <v>156</v>
      </c>
      <c r="F277" s="166" t="s">
        <v>13</v>
      </c>
      <c r="G277" s="9">
        <v>202102003</v>
      </c>
      <c r="H277" s="167" t="s">
        <v>157</v>
      </c>
      <c r="I277" s="167" t="s">
        <v>2150</v>
      </c>
      <c r="J277" s="167" t="s">
        <v>1832</v>
      </c>
      <c r="K277" s="167" t="s">
        <v>160</v>
      </c>
      <c r="L277" s="167" t="s">
        <v>2151</v>
      </c>
      <c r="M277" s="167" t="s">
        <v>13</v>
      </c>
      <c r="N277" s="167" t="s">
        <v>2152</v>
      </c>
      <c r="O277" s="12" t="str">
        <f>_xlfn.DISPIMG("ID_AE861B6E26D2460C9E654A52BE43B6F4",1)</f>
        <v>=DISPIMG("ID_AE861B6E26D2460C9E654A52BE43B6F4",1)</v>
      </c>
      <c r="P277" s="9" t="s">
        <v>2153</v>
      </c>
      <c r="Q277" s="11">
        <v>252</v>
      </c>
      <c r="R277" s="78" t="s">
        <v>4592</v>
      </c>
      <c r="S277" s="19" t="s">
        <v>54</v>
      </c>
      <c r="T277" s="9">
        <v>3</v>
      </c>
    </row>
    <row r="278" s="3" customFormat="1" customHeight="1" spans="1:20">
      <c r="A278" s="166" t="s">
        <v>2156</v>
      </c>
      <c r="B278" s="166" t="s">
        <v>165</v>
      </c>
      <c r="C278" s="166" t="s">
        <v>2157</v>
      </c>
      <c r="D278" s="11">
        <v>17707083376</v>
      </c>
      <c r="E278" s="167" t="s">
        <v>156</v>
      </c>
      <c r="F278" s="166" t="s">
        <v>13</v>
      </c>
      <c r="G278" s="9">
        <v>202102003</v>
      </c>
      <c r="H278" s="167" t="s">
        <v>157</v>
      </c>
      <c r="I278" s="167" t="s">
        <v>2159</v>
      </c>
      <c r="J278" s="167" t="s">
        <v>179</v>
      </c>
      <c r="K278" s="167" t="s">
        <v>170</v>
      </c>
      <c r="L278" s="167" t="s">
        <v>2160</v>
      </c>
      <c r="M278" s="167" t="s">
        <v>13</v>
      </c>
      <c r="N278" s="167" t="s">
        <v>2161</v>
      </c>
      <c r="O278" s="12" t="str">
        <f>_xlfn.DISPIMG("ID_40A8AEA41DF44D5AB3229E18DF729A74",1)</f>
        <v>=DISPIMG("ID_40A8AEA41DF44D5AB3229E18DF729A74",1)</v>
      </c>
      <c r="P278" s="9" t="s">
        <v>2162</v>
      </c>
      <c r="Q278" s="11">
        <v>253</v>
      </c>
      <c r="R278" s="78" t="s">
        <v>4593</v>
      </c>
      <c r="S278" s="19" t="s">
        <v>54</v>
      </c>
      <c r="T278" s="9">
        <v>10</v>
      </c>
    </row>
    <row r="279" s="3" customFormat="1" customHeight="1" spans="1:20">
      <c r="A279" s="166" t="s">
        <v>2188</v>
      </c>
      <c r="B279" s="166" t="s">
        <v>165</v>
      </c>
      <c r="C279" s="166" t="s">
        <v>2189</v>
      </c>
      <c r="D279" s="11">
        <v>15297925516</v>
      </c>
      <c r="E279" s="167" t="s">
        <v>156</v>
      </c>
      <c r="F279" s="166" t="s">
        <v>13</v>
      </c>
      <c r="G279" s="9">
        <v>202102003</v>
      </c>
      <c r="H279" s="167" t="s">
        <v>157</v>
      </c>
      <c r="I279" s="167" t="s">
        <v>178</v>
      </c>
      <c r="J279" s="167" t="s">
        <v>179</v>
      </c>
      <c r="K279" s="167" t="s">
        <v>170</v>
      </c>
      <c r="L279" s="167" t="s">
        <v>161</v>
      </c>
      <c r="M279" s="167" t="s">
        <v>25</v>
      </c>
      <c r="N279" s="11">
        <v>0</v>
      </c>
      <c r="O279" s="12" t="str">
        <f>_xlfn.DISPIMG("ID_D5F43AB9EBAD44A4B07E87AF936A6299",1)</f>
        <v>=DISPIMG("ID_D5F43AB9EBAD44A4B07E87AF936A6299",1)</v>
      </c>
      <c r="P279" s="9" t="s">
        <v>2191</v>
      </c>
      <c r="Q279" s="11">
        <v>257</v>
      </c>
      <c r="R279" s="78" t="s">
        <v>4594</v>
      </c>
      <c r="S279" s="19" t="s">
        <v>54</v>
      </c>
      <c r="T279" s="9">
        <v>15</v>
      </c>
    </row>
    <row r="280" s="3" customFormat="1" customHeight="1" spans="1:20">
      <c r="A280" s="166" t="s">
        <v>2203</v>
      </c>
      <c r="B280" s="166" t="s">
        <v>165</v>
      </c>
      <c r="C280" s="166" t="s">
        <v>2204</v>
      </c>
      <c r="D280" s="11">
        <v>18702523558</v>
      </c>
      <c r="E280" s="167" t="s">
        <v>156</v>
      </c>
      <c r="F280" s="166" t="s">
        <v>13</v>
      </c>
      <c r="G280" s="9">
        <v>202102003</v>
      </c>
      <c r="H280" s="167" t="s">
        <v>157</v>
      </c>
      <c r="I280" s="167" t="s">
        <v>646</v>
      </c>
      <c r="J280" s="167" t="s">
        <v>179</v>
      </c>
      <c r="K280" s="167" t="s">
        <v>170</v>
      </c>
      <c r="L280" s="167" t="s">
        <v>368</v>
      </c>
      <c r="M280" s="167" t="s">
        <v>25</v>
      </c>
      <c r="N280" s="167" t="s">
        <v>2206</v>
      </c>
      <c r="O280" s="12" t="str">
        <f>_xlfn.DISPIMG("ID_06812EDB7CE84D14BCAEC56B86A3FB64",1)</f>
        <v>=DISPIMG("ID_06812EDB7CE84D14BCAEC56B86A3FB64",1)</v>
      </c>
      <c r="P280" s="9" t="s">
        <v>2207</v>
      </c>
      <c r="Q280" s="11">
        <v>259</v>
      </c>
      <c r="R280" s="78" t="s">
        <v>4595</v>
      </c>
      <c r="S280" s="19" t="s">
        <v>54</v>
      </c>
      <c r="T280" s="9">
        <v>22</v>
      </c>
    </row>
    <row r="281" s="3" customFormat="1" customHeight="1" spans="1:20">
      <c r="A281" s="166" t="s">
        <v>2256</v>
      </c>
      <c r="B281" s="166" t="s">
        <v>165</v>
      </c>
      <c r="C281" s="166" t="s">
        <v>2257</v>
      </c>
      <c r="D281" s="11">
        <v>18379620695</v>
      </c>
      <c r="E281" s="167" t="s">
        <v>156</v>
      </c>
      <c r="F281" s="166" t="s">
        <v>13</v>
      </c>
      <c r="G281" s="9">
        <v>202102003</v>
      </c>
      <c r="H281" s="167" t="s">
        <v>157</v>
      </c>
      <c r="I281" s="167" t="s">
        <v>2259</v>
      </c>
      <c r="J281" s="167" t="s">
        <v>2260</v>
      </c>
      <c r="K281" s="167" t="s">
        <v>170</v>
      </c>
      <c r="L281" s="167" t="s">
        <v>252</v>
      </c>
      <c r="M281" s="167" t="s">
        <v>13</v>
      </c>
      <c r="N281" s="167" t="s">
        <v>2261</v>
      </c>
      <c r="O281" s="12" t="str">
        <f>_xlfn.DISPIMG("ID_796E86B7DB7B4E23A74B2B041E7E25B9",1)</f>
        <v>=DISPIMG("ID_796E86B7DB7B4E23A74B2B041E7E25B9",1)</v>
      </c>
      <c r="P281" s="9" t="s">
        <v>2262</v>
      </c>
      <c r="Q281" s="11">
        <v>266</v>
      </c>
      <c r="R281" s="78" t="s">
        <v>4596</v>
      </c>
      <c r="S281" s="19" t="s">
        <v>54</v>
      </c>
      <c r="T281" s="9">
        <v>27</v>
      </c>
    </row>
    <row r="282" s="3" customFormat="1" customHeight="1" spans="1:20">
      <c r="A282" s="166" t="s">
        <v>2280</v>
      </c>
      <c r="B282" s="166" t="s">
        <v>153</v>
      </c>
      <c r="C282" s="166" t="s">
        <v>2281</v>
      </c>
      <c r="D282" s="11">
        <v>18679290186</v>
      </c>
      <c r="E282" s="167" t="s">
        <v>156</v>
      </c>
      <c r="F282" s="166" t="s">
        <v>13</v>
      </c>
      <c r="G282" s="9">
        <v>202102003</v>
      </c>
      <c r="H282" s="167" t="s">
        <v>279</v>
      </c>
      <c r="I282" s="167" t="s">
        <v>233</v>
      </c>
      <c r="J282" s="167" t="s">
        <v>223</v>
      </c>
      <c r="K282" s="167" t="s">
        <v>170</v>
      </c>
      <c r="L282" s="167" t="s">
        <v>2283</v>
      </c>
      <c r="M282" s="167" t="s">
        <v>2284</v>
      </c>
      <c r="N282" s="167" t="s">
        <v>2285</v>
      </c>
      <c r="O282" s="12" t="str">
        <f>_xlfn.DISPIMG("ID_89FA20207CD0456DA5278484203F3141",1)</f>
        <v>=DISPIMG("ID_89FA20207CD0456DA5278484203F3141",1)</v>
      </c>
      <c r="P282" s="9" t="s">
        <v>2286</v>
      </c>
      <c r="Q282" s="11">
        <v>269</v>
      </c>
      <c r="R282" s="78" t="s">
        <v>4597</v>
      </c>
      <c r="S282" s="19" t="s">
        <v>54</v>
      </c>
      <c r="T282" s="9">
        <v>2</v>
      </c>
    </row>
    <row r="283" s="3" customFormat="1" customHeight="1" spans="1:20">
      <c r="A283" s="166" t="s">
        <v>2289</v>
      </c>
      <c r="B283" s="166" t="s">
        <v>165</v>
      </c>
      <c r="C283" s="166" t="s">
        <v>2290</v>
      </c>
      <c r="D283" s="11">
        <v>18170815855</v>
      </c>
      <c r="E283" s="167" t="s">
        <v>156</v>
      </c>
      <c r="F283" s="166" t="s">
        <v>13</v>
      </c>
      <c r="G283" s="9">
        <v>202102003</v>
      </c>
      <c r="H283" s="167" t="s">
        <v>157</v>
      </c>
      <c r="I283" s="167" t="s">
        <v>158</v>
      </c>
      <c r="J283" s="167" t="s">
        <v>223</v>
      </c>
      <c r="K283" s="167" t="s">
        <v>170</v>
      </c>
      <c r="L283" s="167" t="s">
        <v>349</v>
      </c>
      <c r="M283" s="167" t="s">
        <v>1692</v>
      </c>
      <c r="N283" s="167" t="s">
        <v>2290</v>
      </c>
      <c r="O283" s="12" t="str">
        <f>_xlfn.DISPIMG("ID_BC3CD3F4A07B4F5DB131E901992815BA",1)</f>
        <v>=DISPIMG("ID_BC3CD3F4A07B4F5DB131E901992815BA",1)</v>
      </c>
      <c r="P283" s="9" t="s">
        <v>2291</v>
      </c>
      <c r="Q283" s="11">
        <v>270</v>
      </c>
      <c r="R283" s="78" t="s">
        <v>4598</v>
      </c>
      <c r="S283" s="19" t="s">
        <v>54</v>
      </c>
      <c r="T283" s="9">
        <v>11</v>
      </c>
    </row>
    <row r="284" s="3" customFormat="1" customHeight="1" spans="1:20">
      <c r="A284" s="166" t="s">
        <v>2303</v>
      </c>
      <c r="B284" s="166" t="s">
        <v>165</v>
      </c>
      <c r="C284" s="166" t="s">
        <v>2304</v>
      </c>
      <c r="D284" s="11">
        <v>18397921329</v>
      </c>
      <c r="E284" s="167" t="s">
        <v>156</v>
      </c>
      <c r="F284" s="166" t="s">
        <v>13</v>
      </c>
      <c r="G284" s="9">
        <v>202102003</v>
      </c>
      <c r="H284" s="167" t="s">
        <v>157</v>
      </c>
      <c r="I284" s="167" t="s">
        <v>233</v>
      </c>
      <c r="J284" s="167" t="s">
        <v>1832</v>
      </c>
      <c r="K284" s="167" t="s">
        <v>160</v>
      </c>
      <c r="L284" s="167" t="s">
        <v>161</v>
      </c>
      <c r="M284" s="167" t="s">
        <v>2284</v>
      </c>
      <c r="N284" s="11">
        <v>0</v>
      </c>
      <c r="O284" s="12" t="str">
        <f>_xlfn.DISPIMG("ID_D3E1E42587914F6EA2229B8441CD1EF2",1)</f>
        <v>=DISPIMG("ID_D3E1E42587914F6EA2229B8441CD1EF2",1)</v>
      </c>
      <c r="P284" s="9" t="s">
        <v>2306</v>
      </c>
      <c r="Q284" s="11">
        <v>272</v>
      </c>
      <c r="R284" s="78" t="s">
        <v>4599</v>
      </c>
      <c r="S284" s="19" t="s">
        <v>54</v>
      </c>
      <c r="T284" s="9">
        <v>14</v>
      </c>
    </row>
    <row r="285" s="3" customFormat="1" customHeight="1" spans="1:20">
      <c r="A285" s="166" t="s">
        <v>2422</v>
      </c>
      <c r="B285" s="166" t="s">
        <v>165</v>
      </c>
      <c r="C285" s="166" t="s">
        <v>2423</v>
      </c>
      <c r="D285" s="11">
        <v>18720291058</v>
      </c>
      <c r="E285" s="167" t="s">
        <v>156</v>
      </c>
      <c r="F285" s="166" t="s">
        <v>13</v>
      </c>
      <c r="G285" s="9">
        <v>202102003</v>
      </c>
      <c r="H285" s="167" t="s">
        <v>157</v>
      </c>
      <c r="I285" s="167" t="s">
        <v>2425</v>
      </c>
      <c r="J285" s="167" t="s">
        <v>395</v>
      </c>
      <c r="K285" s="167" t="s">
        <v>160</v>
      </c>
      <c r="L285" s="167" t="s">
        <v>577</v>
      </c>
      <c r="M285" s="167" t="s">
        <v>324</v>
      </c>
      <c r="N285" s="167" t="s">
        <v>2426</v>
      </c>
      <c r="O285" s="12" t="str">
        <f>_xlfn.DISPIMG("ID_93FC4398D0D24B119D9D1B8E0038C2BD",1)</f>
        <v>=DISPIMG("ID_93FC4398D0D24B119D9D1B8E0038C2BD",1)</v>
      </c>
      <c r="P285" s="9" t="s">
        <v>2427</v>
      </c>
      <c r="Q285" s="11">
        <v>288</v>
      </c>
      <c r="R285" s="78" t="s">
        <v>4600</v>
      </c>
      <c r="S285" s="19" t="s">
        <v>54</v>
      </c>
      <c r="T285" s="9">
        <v>23</v>
      </c>
    </row>
    <row r="286" s="3" customFormat="1" customHeight="1" spans="1:20">
      <c r="A286" s="166" t="s">
        <v>2532</v>
      </c>
      <c r="B286" s="166" t="s">
        <v>165</v>
      </c>
      <c r="C286" s="166" t="s">
        <v>2533</v>
      </c>
      <c r="D286" s="11">
        <v>13687926524</v>
      </c>
      <c r="E286" s="167" t="s">
        <v>156</v>
      </c>
      <c r="F286" s="166" t="s">
        <v>13</v>
      </c>
      <c r="G286" s="9">
        <v>202102003</v>
      </c>
      <c r="H286" s="167" t="s">
        <v>157</v>
      </c>
      <c r="I286" s="167" t="s">
        <v>2535</v>
      </c>
      <c r="J286" s="167" t="s">
        <v>179</v>
      </c>
      <c r="K286" s="167" t="s">
        <v>160</v>
      </c>
      <c r="L286" s="167" t="s">
        <v>161</v>
      </c>
      <c r="M286" s="167" t="s">
        <v>13</v>
      </c>
      <c r="N286" s="11">
        <v>0</v>
      </c>
      <c r="O286" s="12" t="str">
        <f>_xlfn.DISPIMG("ID_B2A378810E7443059EBD825CE991BFE9",1)</f>
        <v>=DISPIMG("ID_B2A378810E7443059EBD825CE991BFE9",1)</v>
      </c>
      <c r="P286" s="9" t="s">
        <v>2536</v>
      </c>
      <c r="Q286" s="11">
        <v>303</v>
      </c>
      <c r="R286" s="78" t="s">
        <v>4601</v>
      </c>
      <c r="S286" s="19" t="s">
        <v>54</v>
      </c>
      <c r="T286" s="9">
        <v>26</v>
      </c>
    </row>
    <row r="287" s="3" customFormat="1" customHeight="1" spans="1:20">
      <c r="A287" s="166" t="s">
        <v>2547</v>
      </c>
      <c r="B287" s="166" t="s">
        <v>165</v>
      </c>
      <c r="C287" s="166" t="s">
        <v>2548</v>
      </c>
      <c r="D287" s="11">
        <v>18779213164</v>
      </c>
      <c r="E287" s="167" t="s">
        <v>156</v>
      </c>
      <c r="F287" s="166" t="s">
        <v>13</v>
      </c>
      <c r="G287" s="9">
        <v>202102003</v>
      </c>
      <c r="H287" s="167" t="s">
        <v>157</v>
      </c>
      <c r="I287" s="167" t="s">
        <v>158</v>
      </c>
      <c r="J287" s="167" t="s">
        <v>179</v>
      </c>
      <c r="K287" s="167" t="s">
        <v>170</v>
      </c>
      <c r="L287" s="167" t="s">
        <v>2550</v>
      </c>
      <c r="M287" s="167" t="s">
        <v>2551</v>
      </c>
      <c r="N287" s="167" t="s">
        <v>2552</v>
      </c>
      <c r="O287" s="12" t="str">
        <f>_xlfn.DISPIMG("ID_4531DA1F574D4F7CA2AF28BAD514AF1A",1)</f>
        <v>=DISPIMG("ID_4531DA1F574D4F7CA2AF28BAD514AF1A",1)</v>
      </c>
      <c r="P287" s="9" t="s">
        <v>2553</v>
      </c>
      <c r="Q287" s="11">
        <v>305</v>
      </c>
      <c r="R287" s="78" t="s">
        <v>4602</v>
      </c>
      <c r="S287" s="19" t="s">
        <v>54</v>
      </c>
      <c r="T287" s="9">
        <v>1</v>
      </c>
    </row>
    <row r="288" s="3" customFormat="1" customHeight="1" spans="1:20">
      <c r="A288" s="166" t="s">
        <v>2578</v>
      </c>
      <c r="B288" s="166" t="s">
        <v>165</v>
      </c>
      <c r="C288" s="166" t="s">
        <v>2579</v>
      </c>
      <c r="D288" s="11">
        <v>13907924069</v>
      </c>
      <c r="E288" s="167" t="s">
        <v>506</v>
      </c>
      <c r="F288" s="166" t="s">
        <v>13</v>
      </c>
      <c r="G288" s="9">
        <v>202102016</v>
      </c>
      <c r="H288" s="167" t="s">
        <v>279</v>
      </c>
      <c r="I288" s="167" t="s">
        <v>1237</v>
      </c>
      <c r="J288" s="167" t="s">
        <v>169</v>
      </c>
      <c r="K288" s="167" t="s">
        <v>170</v>
      </c>
      <c r="L288" s="167" t="s">
        <v>161</v>
      </c>
      <c r="M288" s="167" t="s">
        <v>2284</v>
      </c>
      <c r="N288" s="167" t="s">
        <v>2581</v>
      </c>
      <c r="O288" s="12" t="str">
        <f>_xlfn.DISPIMG("ID_1B69D0009E5944278A43199D519E50CB",1)</f>
        <v>=DISPIMG("ID_1B69D0009E5944278A43199D519E50CB",1)</v>
      </c>
      <c r="P288" s="9" t="s">
        <v>2582</v>
      </c>
      <c r="Q288" s="11">
        <v>309</v>
      </c>
      <c r="R288" s="78" t="s">
        <v>4603</v>
      </c>
      <c r="S288" s="19" t="s">
        <v>54</v>
      </c>
      <c r="T288" s="9">
        <v>12</v>
      </c>
    </row>
    <row r="289" s="3" customFormat="1" customHeight="1" spans="1:20">
      <c r="A289" s="166" t="s">
        <v>2585</v>
      </c>
      <c r="B289" s="166" t="s">
        <v>153</v>
      </c>
      <c r="C289" s="166" t="s">
        <v>2586</v>
      </c>
      <c r="D289" s="11">
        <v>18870098307</v>
      </c>
      <c r="E289" s="167" t="s">
        <v>156</v>
      </c>
      <c r="F289" s="166" t="s">
        <v>13</v>
      </c>
      <c r="G289" s="9">
        <v>202102003</v>
      </c>
      <c r="H289" s="167" t="s">
        <v>157</v>
      </c>
      <c r="I289" s="167" t="s">
        <v>233</v>
      </c>
      <c r="J289" s="167" t="s">
        <v>179</v>
      </c>
      <c r="K289" s="167" t="s">
        <v>160</v>
      </c>
      <c r="L289" s="167" t="s">
        <v>2298</v>
      </c>
      <c r="M289" s="167" t="s">
        <v>1692</v>
      </c>
      <c r="N289" s="167" t="s">
        <v>2588</v>
      </c>
      <c r="O289" s="12" t="str">
        <f>_xlfn.DISPIMG("ID_C226BACFF043492F9C2831E3F2035CBF",1)</f>
        <v>=DISPIMG("ID_C226BACFF043492F9C2831E3F2035CBF",1)</v>
      </c>
      <c r="P289" s="9" t="s">
        <v>2589</v>
      </c>
      <c r="Q289" s="11">
        <v>310</v>
      </c>
      <c r="R289" s="78" t="s">
        <v>4604</v>
      </c>
      <c r="S289" s="19" t="s">
        <v>54</v>
      </c>
      <c r="T289" s="9">
        <v>13</v>
      </c>
    </row>
    <row r="290" s="3" customFormat="1" customHeight="1" spans="1:20">
      <c r="A290" s="166" t="s">
        <v>2592</v>
      </c>
      <c r="B290" s="166" t="s">
        <v>165</v>
      </c>
      <c r="C290" s="166" t="s">
        <v>2593</v>
      </c>
      <c r="D290" s="11">
        <v>15179254283</v>
      </c>
      <c r="E290" s="167" t="s">
        <v>156</v>
      </c>
      <c r="F290" s="166" t="s">
        <v>13</v>
      </c>
      <c r="G290" s="9">
        <v>202102003</v>
      </c>
      <c r="H290" s="167" t="s">
        <v>157</v>
      </c>
      <c r="I290" s="167" t="s">
        <v>269</v>
      </c>
      <c r="J290" s="167" t="s">
        <v>298</v>
      </c>
      <c r="K290" s="167" t="s">
        <v>160</v>
      </c>
      <c r="L290" s="167" t="s">
        <v>161</v>
      </c>
      <c r="M290" s="167" t="s">
        <v>13</v>
      </c>
      <c r="N290" s="167" t="s">
        <v>2595</v>
      </c>
      <c r="O290" s="12" t="str">
        <f>_xlfn.DISPIMG("ID_4B5E37E946EA4E60BDCBA196E50050B9",1)</f>
        <v>=DISPIMG("ID_4B5E37E946EA4E60BDCBA196E50050B9",1)</v>
      </c>
      <c r="P290" s="9" t="s">
        <v>2596</v>
      </c>
      <c r="Q290" s="11">
        <v>311</v>
      </c>
      <c r="R290" s="78" t="s">
        <v>4605</v>
      </c>
      <c r="S290" s="19" t="s">
        <v>54</v>
      </c>
      <c r="T290" s="9">
        <v>24</v>
      </c>
    </row>
    <row r="291" s="3" customFormat="1" customHeight="1" spans="1:20">
      <c r="A291" s="166" t="s">
        <v>2620</v>
      </c>
      <c r="B291" s="166" t="s">
        <v>165</v>
      </c>
      <c r="C291" s="166" t="s">
        <v>2621</v>
      </c>
      <c r="D291" s="11">
        <v>15374326855</v>
      </c>
      <c r="E291" s="167" t="s">
        <v>156</v>
      </c>
      <c r="F291" s="166" t="s">
        <v>13</v>
      </c>
      <c r="G291" s="9">
        <v>202102003</v>
      </c>
      <c r="H291" s="167" t="s">
        <v>279</v>
      </c>
      <c r="I291" s="167" t="s">
        <v>2623</v>
      </c>
      <c r="J291" s="167" t="s">
        <v>223</v>
      </c>
      <c r="K291" s="167" t="s">
        <v>170</v>
      </c>
      <c r="L291" s="167" t="s">
        <v>587</v>
      </c>
      <c r="M291" s="167" t="s">
        <v>487</v>
      </c>
      <c r="N291" s="167" t="s">
        <v>2624</v>
      </c>
      <c r="O291" s="12" t="str">
        <f>_xlfn.DISPIMG("ID_2F48B8B967A44C168C6D69CE2A1FBAF0",1)</f>
        <v>=DISPIMG("ID_2F48B8B967A44C168C6D69CE2A1FBAF0",1)</v>
      </c>
      <c r="P291" s="9" t="s">
        <v>2625</v>
      </c>
      <c r="Q291" s="11">
        <v>315</v>
      </c>
      <c r="R291" s="78" t="s">
        <v>4606</v>
      </c>
      <c r="S291" s="19" t="s">
        <v>54</v>
      </c>
      <c r="T291" s="9">
        <v>25</v>
      </c>
    </row>
    <row r="292" s="3" customFormat="1" customHeight="1" spans="1:20">
      <c r="A292" s="166" t="s">
        <v>2698</v>
      </c>
      <c r="B292" s="166" t="s">
        <v>165</v>
      </c>
      <c r="C292" s="166" t="s">
        <v>2699</v>
      </c>
      <c r="D292" s="11">
        <v>17879865970</v>
      </c>
      <c r="E292" s="167" t="s">
        <v>156</v>
      </c>
      <c r="F292" s="166" t="s">
        <v>13</v>
      </c>
      <c r="G292" s="9">
        <v>202102003</v>
      </c>
      <c r="H292" s="167" t="s">
        <v>157</v>
      </c>
      <c r="I292" s="167" t="s">
        <v>603</v>
      </c>
      <c r="J292" s="167" t="s">
        <v>179</v>
      </c>
      <c r="K292" s="167" t="s">
        <v>160</v>
      </c>
      <c r="L292" s="167" t="s">
        <v>161</v>
      </c>
      <c r="M292" s="167" t="s">
        <v>13</v>
      </c>
      <c r="N292" s="167" t="s">
        <v>2701</v>
      </c>
      <c r="O292" s="12" t="str">
        <f>_xlfn.DISPIMG("ID_F144CD0E4B7B43F08EC41420B132D7BF",1)</f>
        <v>=DISPIMG("ID_F144CD0E4B7B43F08EC41420B132D7BF",1)</v>
      </c>
      <c r="P292" s="9" t="s">
        <v>2702</v>
      </c>
      <c r="Q292" s="11">
        <v>325</v>
      </c>
      <c r="R292" s="78" t="s">
        <v>4607</v>
      </c>
      <c r="S292" s="19" t="s">
        <v>55</v>
      </c>
      <c r="T292" s="9">
        <v>6</v>
      </c>
    </row>
    <row r="293" s="3" customFormat="1" customHeight="1" spans="1:20">
      <c r="A293" s="166" t="s">
        <v>2711</v>
      </c>
      <c r="B293" s="166" t="s">
        <v>165</v>
      </c>
      <c r="C293" s="166" t="s">
        <v>2712</v>
      </c>
      <c r="D293" s="11">
        <v>17722507024</v>
      </c>
      <c r="E293" s="167" t="s">
        <v>156</v>
      </c>
      <c r="F293" s="166" t="s">
        <v>13</v>
      </c>
      <c r="G293" s="9">
        <v>202102003</v>
      </c>
      <c r="H293" s="167" t="s">
        <v>157</v>
      </c>
      <c r="I293" s="167" t="s">
        <v>2714</v>
      </c>
      <c r="J293" s="167" t="s">
        <v>179</v>
      </c>
      <c r="K293" s="167" t="s">
        <v>160</v>
      </c>
      <c r="L293" s="167" t="s">
        <v>216</v>
      </c>
      <c r="M293" s="167" t="s">
        <v>13</v>
      </c>
      <c r="N293" s="11">
        <v>0</v>
      </c>
      <c r="O293" s="12" t="str">
        <f>_xlfn.DISPIMG("ID_8518D0C3018F4000B213F1115E41EEAA",1)</f>
        <v>=DISPIMG("ID_8518D0C3018F4000B213F1115E41EEAA",1)</v>
      </c>
      <c r="P293" s="9" t="s">
        <v>2715</v>
      </c>
      <c r="Q293" s="11">
        <v>327</v>
      </c>
      <c r="R293" s="78" t="s">
        <v>4608</v>
      </c>
      <c r="S293" s="19" t="s">
        <v>55</v>
      </c>
      <c r="T293" s="9">
        <v>7</v>
      </c>
    </row>
    <row r="294" s="3" customFormat="1" customHeight="1" spans="1:20">
      <c r="A294" s="166" t="s">
        <v>2753</v>
      </c>
      <c r="B294" s="166" t="s">
        <v>165</v>
      </c>
      <c r="C294" s="166" t="s">
        <v>2754</v>
      </c>
      <c r="D294" s="11">
        <v>18770057517</v>
      </c>
      <c r="E294" s="167" t="s">
        <v>156</v>
      </c>
      <c r="F294" s="166" t="s">
        <v>13</v>
      </c>
      <c r="G294" s="9">
        <v>202102003</v>
      </c>
      <c r="H294" s="167" t="s">
        <v>157</v>
      </c>
      <c r="I294" s="167" t="s">
        <v>646</v>
      </c>
      <c r="J294" s="167" t="s">
        <v>179</v>
      </c>
      <c r="K294" s="167" t="s">
        <v>160</v>
      </c>
      <c r="L294" s="167" t="s">
        <v>548</v>
      </c>
      <c r="M294" s="167" t="s">
        <v>2284</v>
      </c>
      <c r="N294" s="167" t="s">
        <v>2756</v>
      </c>
      <c r="O294" s="12" t="str">
        <f>_xlfn.DISPIMG("ID_2E6C674524F0427FBB4E2C3FFA53D3DF",1)</f>
        <v>=DISPIMG("ID_2E6C674524F0427FBB4E2C3FFA53D3DF",1)</v>
      </c>
      <c r="P294" s="9" t="s">
        <v>2757</v>
      </c>
      <c r="Q294" s="11">
        <v>333</v>
      </c>
      <c r="R294" s="78" t="s">
        <v>4609</v>
      </c>
      <c r="S294" s="19" t="s">
        <v>55</v>
      </c>
      <c r="T294" s="9">
        <v>18</v>
      </c>
    </row>
    <row r="295" s="3" customFormat="1" customHeight="1" spans="1:20">
      <c r="A295" s="166" t="s">
        <v>2760</v>
      </c>
      <c r="B295" s="166" t="s">
        <v>165</v>
      </c>
      <c r="C295" s="166" t="s">
        <v>2761</v>
      </c>
      <c r="D295" s="11">
        <v>18296291050</v>
      </c>
      <c r="E295" s="167" t="s">
        <v>156</v>
      </c>
      <c r="F295" s="166" t="s">
        <v>13</v>
      </c>
      <c r="G295" s="9">
        <v>202102003</v>
      </c>
      <c r="H295" s="167" t="s">
        <v>157</v>
      </c>
      <c r="I295" s="167" t="s">
        <v>2763</v>
      </c>
      <c r="J295" s="167" t="s">
        <v>179</v>
      </c>
      <c r="K295" s="167" t="s">
        <v>160</v>
      </c>
      <c r="L295" s="167" t="s">
        <v>261</v>
      </c>
      <c r="M295" s="167" t="s">
        <v>487</v>
      </c>
      <c r="N295" s="11">
        <v>0</v>
      </c>
      <c r="O295" s="12" t="str">
        <f>_xlfn.DISPIMG("ID_345E5ECE839B455186CF8C80E701C44C",1)</f>
        <v>=DISPIMG("ID_345E5ECE839B455186CF8C80E701C44C",1)</v>
      </c>
      <c r="P295" s="9" t="s">
        <v>2764</v>
      </c>
      <c r="Q295" s="11">
        <v>334</v>
      </c>
      <c r="R295" s="78" t="s">
        <v>4610</v>
      </c>
      <c r="S295" s="19" t="s">
        <v>55</v>
      </c>
      <c r="T295" s="9">
        <v>19</v>
      </c>
    </row>
    <row r="296" s="3" customFormat="1" customHeight="1" spans="1:20">
      <c r="A296" s="166" t="s">
        <v>2781</v>
      </c>
      <c r="B296" s="166" t="s">
        <v>165</v>
      </c>
      <c r="C296" s="166" t="s">
        <v>2782</v>
      </c>
      <c r="D296" s="11">
        <v>15720953943</v>
      </c>
      <c r="E296" s="167" t="s">
        <v>156</v>
      </c>
      <c r="F296" s="166" t="s">
        <v>13</v>
      </c>
      <c r="G296" s="9">
        <v>202102003</v>
      </c>
      <c r="H296" s="167" t="s">
        <v>279</v>
      </c>
      <c r="I296" s="167" t="s">
        <v>178</v>
      </c>
      <c r="J296" s="167" t="s">
        <v>223</v>
      </c>
      <c r="K296" s="167" t="s">
        <v>170</v>
      </c>
      <c r="L296" s="167" t="s">
        <v>281</v>
      </c>
      <c r="M296" s="167" t="s">
        <v>13</v>
      </c>
      <c r="N296" s="167" t="s">
        <v>2784</v>
      </c>
      <c r="O296" s="12" t="str">
        <f>_xlfn.DISPIMG("ID_88B18CBF153241AE8E07B8EDC59079D6",1)</f>
        <v>=DISPIMG("ID_88B18CBF153241AE8E07B8EDC59079D6",1)</v>
      </c>
      <c r="P296" s="9" t="s">
        <v>2785</v>
      </c>
      <c r="Q296" s="11">
        <v>337</v>
      </c>
      <c r="R296" s="78" t="s">
        <v>4611</v>
      </c>
      <c r="S296" s="19" t="s">
        <v>55</v>
      </c>
      <c r="T296" s="9">
        <v>30</v>
      </c>
    </row>
    <row r="297" s="3" customFormat="1" customHeight="1" spans="1:20">
      <c r="A297" s="166" t="s">
        <v>2788</v>
      </c>
      <c r="B297" s="166" t="s">
        <v>165</v>
      </c>
      <c r="C297" s="166" t="s">
        <v>2789</v>
      </c>
      <c r="D297" s="11">
        <v>15727651558</v>
      </c>
      <c r="E297" s="167" t="s">
        <v>156</v>
      </c>
      <c r="F297" s="166" t="s">
        <v>13</v>
      </c>
      <c r="G297" s="9">
        <v>202102003</v>
      </c>
      <c r="H297" s="167" t="s">
        <v>157</v>
      </c>
      <c r="I297" s="167" t="s">
        <v>827</v>
      </c>
      <c r="J297" s="167" t="s">
        <v>223</v>
      </c>
      <c r="K297" s="167" t="s">
        <v>170</v>
      </c>
      <c r="L297" s="167" t="s">
        <v>306</v>
      </c>
      <c r="M297" s="167" t="s">
        <v>2791</v>
      </c>
      <c r="N297" s="167" t="s">
        <v>2792</v>
      </c>
      <c r="O297" s="12" t="str">
        <f>_xlfn.DISPIMG("ID_5273CD0F4AF44426A565D4F4C926815B",1)</f>
        <v>=DISPIMG("ID_5273CD0F4AF44426A565D4F4C926815B",1)</v>
      </c>
      <c r="P297" s="9" t="s">
        <v>2793</v>
      </c>
      <c r="Q297" s="11">
        <v>338</v>
      </c>
      <c r="R297" s="78" t="s">
        <v>4612</v>
      </c>
      <c r="S297" s="19" t="s">
        <v>55</v>
      </c>
      <c r="T297" s="9">
        <v>5</v>
      </c>
    </row>
    <row r="298" s="3" customFormat="1" customHeight="1" spans="1:20">
      <c r="A298" s="166" t="s">
        <v>2812</v>
      </c>
      <c r="B298" s="166" t="s">
        <v>165</v>
      </c>
      <c r="C298" s="166" t="s">
        <v>2813</v>
      </c>
      <c r="D298" s="11">
        <v>17770890987</v>
      </c>
      <c r="E298" s="167" t="s">
        <v>156</v>
      </c>
      <c r="F298" s="166" t="s">
        <v>13</v>
      </c>
      <c r="G298" s="9">
        <v>202102003</v>
      </c>
      <c r="H298" s="167" t="s">
        <v>157</v>
      </c>
      <c r="I298" s="167" t="s">
        <v>385</v>
      </c>
      <c r="J298" s="167" t="s">
        <v>179</v>
      </c>
      <c r="K298" s="167" t="s">
        <v>170</v>
      </c>
      <c r="L298" s="167" t="s">
        <v>2047</v>
      </c>
      <c r="M298" s="167" t="s">
        <v>1692</v>
      </c>
      <c r="N298" s="167" t="s">
        <v>2815</v>
      </c>
      <c r="O298" s="12" t="str">
        <f>_xlfn.DISPIMG("ID_5757AB93890A4F58A4EA7B46206D2416",1)</f>
        <v>=DISPIMG("ID_5757AB93890A4F58A4EA7B46206D2416",1)</v>
      </c>
      <c r="P298" s="9" t="s">
        <v>2816</v>
      </c>
      <c r="Q298" s="11">
        <v>341</v>
      </c>
      <c r="R298" s="78" t="s">
        <v>4613</v>
      </c>
      <c r="S298" s="19" t="s">
        <v>55</v>
      </c>
      <c r="T298" s="9">
        <v>8</v>
      </c>
    </row>
    <row r="299" s="3" customFormat="1" customHeight="1" spans="1:20">
      <c r="A299" s="166" t="s">
        <v>2819</v>
      </c>
      <c r="B299" s="166" t="s">
        <v>165</v>
      </c>
      <c r="C299" s="166" t="s">
        <v>2820</v>
      </c>
      <c r="D299" s="11">
        <v>18720151872</v>
      </c>
      <c r="E299" s="167" t="s">
        <v>156</v>
      </c>
      <c r="F299" s="166" t="s">
        <v>13</v>
      </c>
      <c r="G299" s="9">
        <v>202102003</v>
      </c>
      <c r="H299" s="167" t="s">
        <v>157</v>
      </c>
      <c r="I299" s="167" t="s">
        <v>269</v>
      </c>
      <c r="J299" s="167" t="s">
        <v>2821</v>
      </c>
      <c r="K299" s="167" t="s">
        <v>170</v>
      </c>
      <c r="L299" s="167" t="s">
        <v>455</v>
      </c>
      <c r="M299" s="167" t="s">
        <v>13</v>
      </c>
      <c r="N299" s="11">
        <v>0</v>
      </c>
      <c r="O299" s="12" t="str">
        <f>_xlfn.DISPIMG("ID_3C9269A8B40D486AA589E83B191F62F8",1)</f>
        <v>=DISPIMG("ID_3C9269A8B40D486AA589E83B191F62F8",1)</v>
      </c>
      <c r="P299" s="9" t="s">
        <v>2822</v>
      </c>
      <c r="Q299" s="11">
        <v>342</v>
      </c>
      <c r="R299" s="78" t="s">
        <v>4614</v>
      </c>
      <c r="S299" s="19" t="s">
        <v>55</v>
      </c>
      <c r="T299" s="9">
        <v>17</v>
      </c>
    </row>
    <row r="300" s="3" customFormat="1" customHeight="1" spans="1:20">
      <c r="A300" s="166" t="s">
        <v>2895</v>
      </c>
      <c r="B300" s="166" t="s">
        <v>165</v>
      </c>
      <c r="C300" s="166" t="s">
        <v>2896</v>
      </c>
      <c r="D300" s="11">
        <v>13667020095</v>
      </c>
      <c r="E300" s="167" t="s">
        <v>156</v>
      </c>
      <c r="F300" s="166" t="s">
        <v>13</v>
      </c>
      <c r="G300" s="9">
        <v>202102003</v>
      </c>
      <c r="H300" s="167" t="s">
        <v>157</v>
      </c>
      <c r="I300" s="167" t="s">
        <v>1413</v>
      </c>
      <c r="J300" s="167" t="s">
        <v>298</v>
      </c>
      <c r="K300" s="167" t="s">
        <v>160</v>
      </c>
      <c r="L300" s="167" t="s">
        <v>455</v>
      </c>
      <c r="M300" s="167" t="s">
        <v>13</v>
      </c>
      <c r="N300" s="11">
        <v>0</v>
      </c>
      <c r="O300" s="12" t="str">
        <f>_xlfn.DISPIMG("ID_C271EED4B7664E51B0603E12A2C5BA93",1)</f>
        <v>=DISPIMG("ID_C271EED4B7664E51B0603E12A2C5BA93",1)</v>
      </c>
      <c r="P300" s="9" t="s">
        <v>2898</v>
      </c>
      <c r="Q300" s="11">
        <v>352</v>
      </c>
      <c r="R300" s="78" t="s">
        <v>4615</v>
      </c>
      <c r="S300" s="19" t="s">
        <v>55</v>
      </c>
      <c r="T300" s="9">
        <v>20</v>
      </c>
    </row>
    <row r="301" s="3" customFormat="1" customHeight="1" spans="1:20">
      <c r="A301" s="166" t="s">
        <v>2901</v>
      </c>
      <c r="B301" s="166" t="s">
        <v>165</v>
      </c>
      <c r="C301" s="166" t="s">
        <v>2902</v>
      </c>
      <c r="D301" s="11">
        <v>18070124707</v>
      </c>
      <c r="E301" s="167" t="s">
        <v>156</v>
      </c>
      <c r="F301" s="166" t="s">
        <v>13</v>
      </c>
      <c r="G301" s="9">
        <v>202102003</v>
      </c>
      <c r="H301" s="167" t="s">
        <v>157</v>
      </c>
      <c r="I301" s="167" t="s">
        <v>2904</v>
      </c>
      <c r="J301" s="167" t="s">
        <v>2379</v>
      </c>
      <c r="K301" s="167" t="s">
        <v>160</v>
      </c>
      <c r="L301" s="167" t="s">
        <v>396</v>
      </c>
      <c r="M301" s="167" t="s">
        <v>13</v>
      </c>
      <c r="N301" s="11">
        <v>0</v>
      </c>
      <c r="O301" s="12" t="str">
        <f>_xlfn.DISPIMG("ID_C611D78CF3534BF4A6063B88C3B55BD9",1)</f>
        <v>=DISPIMG("ID_C611D78CF3534BF4A6063B88C3B55BD9",1)</v>
      </c>
      <c r="P301" s="9" t="s">
        <v>2905</v>
      </c>
      <c r="Q301" s="11">
        <v>353</v>
      </c>
      <c r="R301" s="78" t="s">
        <v>4616</v>
      </c>
      <c r="S301" s="19" t="s">
        <v>55</v>
      </c>
      <c r="T301" s="9">
        <v>29</v>
      </c>
    </row>
    <row r="302" s="6" customFormat="1" customHeight="1" spans="1:20">
      <c r="A302" s="166" t="s">
        <v>2932</v>
      </c>
      <c r="B302" s="166" t="s">
        <v>165</v>
      </c>
      <c r="C302" s="166" t="s">
        <v>2933</v>
      </c>
      <c r="D302" s="11">
        <v>13870255583</v>
      </c>
      <c r="E302" s="167" t="s">
        <v>156</v>
      </c>
      <c r="F302" s="166" t="s">
        <v>13</v>
      </c>
      <c r="G302" s="9">
        <v>202102003</v>
      </c>
      <c r="H302" s="167" t="s">
        <v>157</v>
      </c>
      <c r="I302" s="167" t="s">
        <v>385</v>
      </c>
      <c r="J302" s="167" t="s">
        <v>1832</v>
      </c>
      <c r="K302" s="167" t="s">
        <v>160</v>
      </c>
      <c r="L302" s="167" t="s">
        <v>2935</v>
      </c>
      <c r="M302" s="167" t="s">
        <v>487</v>
      </c>
      <c r="N302" s="167" t="s">
        <v>2936</v>
      </c>
      <c r="O302" s="12" t="str">
        <f>_xlfn.DISPIMG("ID_63C75D62D3BC4F35AC4FD3D224F21D03",1)</f>
        <v>=DISPIMG("ID_63C75D62D3BC4F35AC4FD3D224F21D03",1)</v>
      </c>
      <c r="P302" s="9" t="s">
        <v>2937</v>
      </c>
      <c r="Q302" s="11">
        <v>360</v>
      </c>
      <c r="R302" s="78" t="s">
        <v>4617</v>
      </c>
      <c r="S302" s="19" t="s">
        <v>55</v>
      </c>
      <c r="T302" s="9">
        <v>4</v>
      </c>
    </row>
    <row r="303" s="98" customFormat="1" customHeight="1" spans="1:20">
      <c r="A303" s="170" t="s">
        <v>2955</v>
      </c>
      <c r="B303" s="170" t="s">
        <v>165</v>
      </c>
      <c r="C303" s="170" t="s">
        <v>2956</v>
      </c>
      <c r="D303" s="21">
        <v>18000230267</v>
      </c>
      <c r="E303" s="163" t="s">
        <v>384</v>
      </c>
      <c r="F303" s="170" t="s">
        <v>13</v>
      </c>
      <c r="G303" s="99">
        <v>202102003</v>
      </c>
      <c r="H303" s="163" t="s">
        <v>157</v>
      </c>
      <c r="I303" s="163" t="s">
        <v>158</v>
      </c>
      <c r="J303" s="163" t="s">
        <v>179</v>
      </c>
      <c r="K303" s="163" t="s">
        <v>160</v>
      </c>
      <c r="L303" s="163" t="s">
        <v>171</v>
      </c>
      <c r="M303" s="163" t="s">
        <v>1156</v>
      </c>
      <c r="N303" s="21">
        <v>0</v>
      </c>
      <c r="O303" s="100" t="str">
        <f>_xlfn.DISPIMG("ID_89E1C4B49DA543108DA428FD2BB17935",1)</f>
        <v>=DISPIMG("ID_89E1C4B49DA543108DA428FD2BB17935",1)</v>
      </c>
      <c r="P303" s="99" t="s">
        <v>2958</v>
      </c>
      <c r="Q303" s="21">
        <v>363</v>
      </c>
      <c r="R303" s="101" t="s">
        <v>4618</v>
      </c>
      <c r="S303" s="102" t="s">
        <v>55</v>
      </c>
      <c r="T303" s="99">
        <v>9</v>
      </c>
    </row>
    <row r="304" s="3" customFormat="1" customHeight="1" spans="1:20">
      <c r="A304" s="166" t="s">
        <v>3008</v>
      </c>
      <c r="B304" s="166" t="s">
        <v>165</v>
      </c>
      <c r="C304" s="166" t="s">
        <v>3009</v>
      </c>
      <c r="D304" s="11">
        <v>15180626109</v>
      </c>
      <c r="E304" s="167" t="s">
        <v>156</v>
      </c>
      <c r="F304" s="166" t="s">
        <v>13</v>
      </c>
      <c r="G304" s="9">
        <v>202102003</v>
      </c>
      <c r="H304" s="167" t="s">
        <v>157</v>
      </c>
      <c r="I304" s="167" t="s">
        <v>197</v>
      </c>
      <c r="J304" s="167" t="s">
        <v>179</v>
      </c>
      <c r="K304" s="167" t="s">
        <v>160</v>
      </c>
      <c r="L304" s="167" t="s">
        <v>261</v>
      </c>
      <c r="M304" s="167" t="s">
        <v>3011</v>
      </c>
      <c r="N304" s="11">
        <v>0</v>
      </c>
      <c r="O304" s="12" t="str">
        <f>_xlfn.DISPIMG("ID_81E01CE746794A43971E9E864E9A0098",1)</f>
        <v>=DISPIMG("ID_81E01CE746794A43971E9E864E9A0098",1)</v>
      </c>
      <c r="P304" s="9" t="s">
        <v>3012</v>
      </c>
      <c r="Q304" s="11">
        <v>371</v>
      </c>
      <c r="R304" s="78" t="s">
        <v>4619</v>
      </c>
      <c r="S304" s="19" t="s">
        <v>55</v>
      </c>
      <c r="T304" s="9">
        <v>16</v>
      </c>
    </row>
    <row r="305" s="98" customFormat="1" customHeight="1" spans="1:20">
      <c r="A305" s="170" t="s">
        <v>3044</v>
      </c>
      <c r="B305" s="170" t="s">
        <v>165</v>
      </c>
      <c r="C305" s="170" t="s">
        <v>3045</v>
      </c>
      <c r="D305" s="21">
        <v>13699543820</v>
      </c>
      <c r="E305" s="163" t="s">
        <v>384</v>
      </c>
      <c r="F305" s="170" t="s">
        <v>13</v>
      </c>
      <c r="G305" s="99">
        <v>202102003</v>
      </c>
      <c r="H305" s="163" t="s">
        <v>157</v>
      </c>
      <c r="I305" s="163" t="s">
        <v>385</v>
      </c>
      <c r="J305" s="163" t="s">
        <v>828</v>
      </c>
      <c r="K305" s="163" t="s">
        <v>170</v>
      </c>
      <c r="L305" s="163" t="s">
        <v>180</v>
      </c>
      <c r="M305" s="163" t="s">
        <v>25</v>
      </c>
      <c r="N305" s="163" t="s">
        <v>3047</v>
      </c>
      <c r="O305" s="100" t="str">
        <f>_xlfn.DISPIMG("ID_FA7CA8E8B8074253ACA743E7DE4282F0",1)</f>
        <v>=DISPIMG("ID_FA7CA8E8B8074253ACA743E7DE4282F0",1)</v>
      </c>
      <c r="P305" s="99" t="s">
        <v>3048</v>
      </c>
      <c r="Q305" s="21">
        <v>376</v>
      </c>
      <c r="R305" s="101" t="s">
        <v>4620</v>
      </c>
      <c r="S305" s="102" t="s">
        <v>55</v>
      </c>
      <c r="T305" s="99">
        <v>21</v>
      </c>
    </row>
    <row r="306" s="3" customFormat="1" customHeight="1" spans="1:20">
      <c r="A306" s="166" t="s">
        <v>3151</v>
      </c>
      <c r="B306" s="166" t="s">
        <v>165</v>
      </c>
      <c r="C306" s="166" t="s">
        <v>3152</v>
      </c>
      <c r="D306" s="11">
        <v>15807046137</v>
      </c>
      <c r="E306" s="167" t="s">
        <v>156</v>
      </c>
      <c r="F306" s="166" t="s">
        <v>13</v>
      </c>
      <c r="G306" s="9">
        <v>202102003</v>
      </c>
      <c r="H306" s="167" t="s">
        <v>157</v>
      </c>
      <c r="I306" s="167" t="s">
        <v>611</v>
      </c>
      <c r="J306" s="167" t="s">
        <v>179</v>
      </c>
      <c r="K306" s="167" t="s">
        <v>160</v>
      </c>
      <c r="L306" s="167" t="s">
        <v>261</v>
      </c>
      <c r="M306" s="167" t="s">
        <v>13</v>
      </c>
      <c r="N306" s="167" t="s">
        <v>3154</v>
      </c>
      <c r="O306" s="12" t="str">
        <f>_xlfn.DISPIMG("ID_677BA8871B344518950747C60527229E",1)</f>
        <v>=DISPIMG("ID_677BA8871B344518950747C60527229E",1)</v>
      </c>
      <c r="P306" s="9" t="s">
        <v>3155</v>
      </c>
      <c r="Q306" s="11">
        <v>390</v>
      </c>
      <c r="R306" s="78" t="s">
        <v>4621</v>
      </c>
      <c r="S306" s="19" t="s">
        <v>55</v>
      </c>
      <c r="T306" s="9">
        <v>28</v>
      </c>
    </row>
    <row r="307" s="3" customFormat="1" customHeight="1" spans="1:20">
      <c r="A307" s="166" t="s">
        <v>3204</v>
      </c>
      <c r="B307" s="166" t="s">
        <v>165</v>
      </c>
      <c r="C307" s="166" t="s">
        <v>3205</v>
      </c>
      <c r="D307" s="11">
        <v>18270304769</v>
      </c>
      <c r="E307" s="167" t="s">
        <v>156</v>
      </c>
      <c r="F307" s="166" t="s">
        <v>13</v>
      </c>
      <c r="G307" s="9">
        <v>202102003</v>
      </c>
      <c r="H307" s="167" t="s">
        <v>279</v>
      </c>
      <c r="I307" s="167" t="s">
        <v>168</v>
      </c>
      <c r="J307" s="167" t="s">
        <v>223</v>
      </c>
      <c r="K307" s="167" t="s">
        <v>170</v>
      </c>
      <c r="L307" s="167" t="s">
        <v>171</v>
      </c>
      <c r="M307" s="167" t="s">
        <v>13</v>
      </c>
      <c r="N307" s="167" t="s">
        <v>3207</v>
      </c>
      <c r="O307" s="12" t="str">
        <f>_xlfn.DISPIMG("ID_51BC672EACDF4F87BCFEE4B4000126C2",1)</f>
        <v>=DISPIMG("ID_51BC672EACDF4F87BCFEE4B4000126C2",1)</v>
      </c>
      <c r="P307" s="9" t="s">
        <v>3208</v>
      </c>
      <c r="Q307" s="11">
        <v>399</v>
      </c>
      <c r="R307" s="78" t="s">
        <v>4622</v>
      </c>
      <c r="S307" s="19" t="s">
        <v>55</v>
      </c>
      <c r="T307" s="9">
        <v>3</v>
      </c>
    </row>
    <row r="308" s="3" customFormat="1" customHeight="1" spans="1:20">
      <c r="A308" s="166" t="s">
        <v>3241</v>
      </c>
      <c r="B308" s="166" t="s">
        <v>165</v>
      </c>
      <c r="C308" s="166" t="s">
        <v>3242</v>
      </c>
      <c r="D308" s="11">
        <v>15390868523</v>
      </c>
      <c r="E308" s="167" t="s">
        <v>156</v>
      </c>
      <c r="F308" s="166" t="s">
        <v>13</v>
      </c>
      <c r="G308" s="9">
        <v>202102003</v>
      </c>
      <c r="H308" s="167" t="s">
        <v>157</v>
      </c>
      <c r="I308" s="167" t="s">
        <v>3244</v>
      </c>
      <c r="J308" s="167" t="s">
        <v>179</v>
      </c>
      <c r="K308" s="167" t="s">
        <v>160</v>
      </c>
      <c r="L308" s="167" t="s">
        <v>161</v>
      </c>
      <c r="M308" s="167" t="s">
        <v>190</v>
      </c>
      <c r="N308" s="11">
        <v>0</v>
      </c>
      <c r="O308" s="12" t="str">
        <f>_xlfn.DISPIMG("ID_AED07D8F3E8D4336A7B785D8FBC52BF4",1)</f>
        <v>=DISPIMG("ID_AED07D8F3E8D4336A7B785D8FBC52BF4",1)</v>
      </c>
      <c r="P308" s="9" t="s">
        <v>3245</v>
      </c>
      <c r="Q308" s="11">
        <v>404</v>
      </c>
      <c r="R308" s="78" t="s">
        <v>4623</v>
      </c>
      <c r="S308" s="19" t="s">
        <v>55</v>
      </c>
      <c r="T308" s="9">
        <v>10</v>
      </c>
    </row>
    <row r="309" s="4" customFormat="1" customHeight="1" spans="1:20">
      <c r="A309" s="166" t="s">
        <v>3255</v>
      </c>
      <c r="B309" s="166" t="s">
        <v>165</v>
      </c>
      <c r="C309" s="166" t="s">
        <v>3256</v>
      </c>
      <c r="D309" s="11">
        <v>18770283607</v>
      </c>
      <c r="E309" s="167" t="s">
        <v>156</v>
      </c>
      <c r="F309" s="166" t="s">
        <v>13</v>
      </c>
      <c r="G309" s="9">
        <v>202102003</v>
      </c>
      <c r="H309" s="167" t="s">
        <v>157</v>
      </c>
      <c r="I309" s="167" t="s">
        <v>611</v>
      </c>
      <c r="J309" s="167" t="s">
        <v>179</v>
      </c>
      <c r="K309" s="167" t="s">
        <v>160</v>
      </c>
      <c r="L309" s="167" t="s">
        <v>577</v>
      </c>
      <c r="M309" s="167" t="s">
        <v>3258</v>
      </c>
      <c r="N309" s="167" t="s">
        <v>3259</v>
      </c>
      <c r="O309" s="12" t="str">
        <f>_xlfn.DISPIMG("ID_9640DE1808F9498F8612547EA44506E8",1)</f>
        <v>=DISPIMG("ID_9640DE1808F9498F8612547EA44506E8",1)</v>
      </c>
      <c r="P309" s="9" t="s">
        <v>3260</v>
      </c>
      <c r="Q309" s="11">
        <v>406</v>
      </c>
      <c r="R309" s="78" t="s">
        <v>4624</v>
      </c>
      <c r="S309" s="19" t="s">
        <v>55</v>
      </c>
      <c r="T309" s="9">
        <v>15</v>
      </c>
    </row>
    <row r="310" s="3" customFormat="1" customHeight="1" spans="1:20">
      <c r="A310" s="166" t="s">
        <v>3314</v>
      </c>
      <c r="B310" s="166" t="s">
        <v>165</v>
      </c>
      <c r="C310" s="166" t="s">
        <v>3315</v>
      </c>
      <c r="D310" s="11">
        <v>18070403284</v>
      </c>
      <c r="E310" s="167" t="s">
        <v>156</v>
      </c>
      <c r="F310" s="166" t="s">
        <v>13</v>
      </c>
      <c r="G310" s="9">
        <v>202102003</v>
      </c>
      <c r="H310" s="167" t="s">
        <v>157</v>
      </c>
      <c r="I310" s="167" t="s">
        <v>385</v>
      </c>
      <c r="J310" s="167" t="s">
        <v>2821</v>
      </c>
      <c r="K310" s="167" t="s">
        <v>170</v>
      </c>
      <c r="L310" s="167" t="s">
        <v>281</v>
      </c>
      <c r="M310" s="167" t="s">
        <v>25</v>
      </c>
      <c r="N310" s="167" t="s">
        <v>3317</v>
      </c>
      <c r="O310" s="12" t="str">
        <f>_xlfn.DISPIMG("ID_395A3D0BD71445EA85EA2ACA292A2801",1)</f>
        <v>=DISPIMG("ID_395A3D0BD71445EA85EA2ACA292A2801",1)</v>
      </c>
      <c r="P310" s="9" t="s">
        <v>3318</v>
      </c>
      <c r="Q310" s="11">
        <v>416</v>
      </c>
      <c r="R310" s="78" t="s">
        <v>4625</v>
      </c>
      <c r="S310" s="19" t="s">
        <v>55</v>
      </c>
      <c r="T310" s="9">
        <v>22</v>
      </c>
    </row>
    <row r="311" s="3" customFormat="1" customHeight="1" spans="1:20">
      <c r="A311" s="166" t="s">
        <v>3351</v>
      </c>
      <c r="B311" s="166" t="s">
        <v>165</v>
      </c>
      <c r="C311" s="166" t="s">
        <v>3352</v>
      </c>
      <c r="D311" s="11">
        <v>18720295129</v>
      </c>
      <c r="E311" s="167" t="s">
        <v>156</v>
      </c>
      <c r="F311" s="166" t="s">
        <v>13</v>
      </c>
      <c r="G311" s="9">
        <v>202102003</v>
      </c>
      <c r="H311" s="167" t="s">
        <v>279</v>
      </c>
      <c r="I311" s="167" t="s">
        <v>158</v>
      </c>
      <c r="J311" s="167" t="s">
        <v>223</v>
      </c>
      <c r="K311" s="167" t="s">
        <v>170</v>
      </c>
      <c r="L311" s="167" t="s">
        <v>180</v>
      </c>
      <c r="M311" s="167" t="s">
        <v>3354</v>
      </c>
      <c r="N311" s="167" t="s">
        <v>3355</v>
      </c>
      <c r="O311" s="12" t="str">
        <f>_xlfn.DISPIMG("ID_74A8F2037BB844E7BAC2F04950084CD2",1)</f>
        <v>=DISPIMG("ID_74A8F2037BB844E7BAC2F04950084CD2",1)</v>
      </c>
      <c r="P311" s="9" t="s">
        <v>3356</v>
      </c>
      <c r="Q311" s="11">
        <v>422</v>
      </c>
      <c r="R311" s="78" t="s">
        <v>4626</v>
      </c>
      <c r="S311" s="19" t="s">
        <v>55</v>
      </c>
      <c r="T311" s="9">
        <v>27</v>
      </c>
    </row>
    <row r="312" s="3" customFormat="1" customHeight="1" spans="1:20">
      <c r="A312" s="166" t="s">
        <v>3409</v>
      </c>
      <c r="B312" s="166" t="s">
        <v>165</v>
      </c>
      <c r="C312" s="166" t="s">
        <v>3410</v>
      </c>
      <c r="D312" s="11">
        <v>15079270221</v>
      </c>
      <c r="E312" s="167" t="s">
        <v>156</v>
      </c>
      <c r="F312" s="166" t="s">
        <v>13</v>
      </c>
      <c r="G312" s="9">
        <v>202102003</v>
      </c>
      <c r="H312" s="167" t="s">
        <v>157</v>
      </c>
      <c r="I312" s="167" t="s">
        <v>158</v>
      </c>
      <c r="J312" s="167" t="s">
        <v>298</v>
      </c>
      <c r="K312" s="167" t="s">
        <v>160</v>
      </c>
      <c r="L312" s="167" t="s">
        <v>306</v>
      </c>
      <c r="M312" s="167" t="s">
        <v>13</v>
      </c>
      <c r="N312" s="167" t="s">
        <v>3412</v>
      </c>
      <c r="O312" s="12" t="str">
        <f>_xlfn.DISPIMG("ID_36F8A707A81B40EC83CC116E77C5C07D",1)</f>
        <v>=DISPIMG("ID_36F8A707A81B40EC83CC116E77C5C07D",1)</v>
      </c>
      <c r="P312" s="9" t="s">
        <v>3413</v>
      </c>
      <c r="Q312" s="11">
        <v>430</v>
      </c>
      <c r="R312" s="78" t="s">
        <v>4627</v>
      </c>
      <c r="S312" s="19" t="s">
        <v>55</v>
      </c>
      <c r="T312" s="9">
        <v>2</v>
      </c>
    </row>
    <row r="313" s="3" customFormat="1" customHeight="1" spans="1:20">
      <c r="A313" s="166" t="s">
        <v>3458</v>
      </c>
      <c r="B313" s="166" t="s">
        <v>165</v>
      </c>
      <c r="C313" s="166" t="s">
        <v>3459</v>
      </c>
      <c r="D313" s="11">
        <v>18207577354</v>
      </c>
      <c r="E313" s="167" t="s">
        <v>156</v>
      </c>
      <c r="F313" s="166" t="s">
        <v>13</v>
      </c>
      <c r="G313" s="9">
        <v>202102003</v>
      </c>
      <c r="H313" s="167" t="s">
        <v>157</v>
      </c>
      <c r="I313" s="167" t="s">
        <v>385</v>
      </c>
      <c r="J313" s="167" t="s">
        <v>3461</v>
      </c>
      <c r="K313" s="167" t="s">
        <v>160</v>
      </c>
      <c r="L313" s="167" t="s">
        <v>368</v>
      </c>
      <c r="M313" s="167" t="s">
        <v>3011</v>
      </c>
      <c r="N313" s="167" t="s">
        <v>3462</v>
      </c>
      <c r="O313" s="12" t="str">
        <f>_xlfn.DISPIMG("ID_D2C4D691F93F4717949BB5BBCD3994DD",1)</f>
        <v>=DISPIMG("ID_D2C4D691F93F4717949BB5BBCD3994DD",1)</v>
      </c>
      <c r="P313" s="9" t="s">
        <v>3463</v>
      </c>
      <c r="Q313" s="11">
        <v>437</v>
      </c>
      <c r="R313" s="78" t="s">
        <v>4628</v>
      </c>
      <c r="S313" s="19" t="s">
        <v>55</v>
      </c>
      <c r="T313" s="9">
        <v>11</v>
      </c>
    </row>
    <row r="314" s="3" customFormat="1" customHeight="1" spans="1:20">
      <c r="A314" s="166" t="s">
        <v>3481</v>
      </c>
      <c r="B314" s="166" t="s">
        <v>153</v>
      </c>
      <c r="C314" s="166" t="s">
        <v>3482</v>
      </c>
      <c r="D314" s="11">
        <v>13119548929</v>
      </c>
      <c r="E314" s="167" t="s">
        <v>506</v>
      </c>
      <c r="F314" s="166" t="s">
        <v>13</v>
      </c>
      <c r="G314" s="9">
        <v>202102016</v>
      </c>
      <c r="H314" s="167" t="s">
        <v>157</v>
      </c>
      <c r="I314" s="167" t="s">
        <v>1112</v>
      </c>
      <c r="J314" s="167" t="s">
        <v>3484</v>
      </c>
      <c r="K314" s="167" t="s">
        <v>160</v>
      </c>
      <c r="L314" s="167" t="s">
        <v>216</v>
      </c>
      <c r="M314" s="167" t="s">
        <v>2284</v>
      </c>
      <c r="N314" s="167" t="s">
        <v>3485</v>
      </c>
      <c r="O314" s="12" t="str">
        <f>_xlfn.DISPIMG("ID_9C9702A9D71D49F4A0D4283BE0B57A8D",1)</f>
        <v>=DISPIMG("ID_9C9702A9D71D49F4A0D4283BE0B57A8D",1)</v>
      </c>
      <c r="P314" s="9" t="s">
        <v>3486</v>
      </c>
      <c r="Q314" s="11">
        <v>440</v>
      </c>
      <c r="R314" s="78" t="s">
        <v>4629</v>
      </c>
      <c r="S314" s="19" t="s">
        <v>55</v>
      </c>
      <c r="T314" s="9">
        <v>14</v>
      </c>
    </row>
    <row r="315" s="98" customFormat="1" customHeight="1" spans="1:20">
      <c r="A315" s="170" t="s">
        <v>3615</v>
      </c>
      <c r="B315" s="170" t="s">
        <v>165</v>
      </c>
      <c r="C315" s="170" t="s">
        <v>3616</v>
      </c>
      <c r="D315" s="21">
        <v>18676661873</v>
      </c>
      <c r="E315" s="163" t="s">
        <v>156</v>
      </c>
      <c r="F315" s="170" t="s">
        <v>13</v>
      </c>
      <c r="G315" s="99">
        <v>202101003</v>
      </c>
      <c r="H315" s="163" t="s">
        <v>157</v>
      </c>
      <c r="I315" s="163" t="s">
        <v>2243</v>
      </c>
      <c r="J315" s="163" t="s">
        <v>179</v>
      </c>
      <c r="K315" s="163" t="s">
        <v>160</v>
      </c>
      <c r="L315" s="163" t="s">
        <v>910</v>
      </c>
      <c r="M315" s="163" t="s">
        <v>2244</v>
      </c>
      <c r="N315" s="163" t="s">
        <v>3618</v>
      </c>
      <c r="O315" s="100" t="str">
        <f>_xlfn.DISPIMG("ID_33D1BE3856DC4BDE83B623418C60EC26",1)</f>
        <v>=DISPIMG("ID_33D1BE3856DC4BDE83B623418C60EC26",1)</v>
      </c>
      <c r="P315" s="99" t="s">
        <v>3619</v>
      </c>
      <c r="Q315" s="21">
        <v>460</v>
      </c>
      <c r="R315" s="101" t="s">
        <v>4630</v>
      </c>
      <c r="S315" s="102" t="s">
        <v>55</v>
      </c>
      <c r="T315" s="99">
        <v>23</v>
      </c>
    </row>
    <row r="316" s="3" customFormat="1" customHeight="1" spans="1:20">
      <c r="A316" s="166" t="s">
        <v>3647</v>
      </c>
      <c r="B316" s="166" t="s">
        <v>165</v>
      </c>
      <c r="C316" s="166" t="s">
        <v>3648</v>
      </c>
      <c r="D316" s="11">
        <v>19914728112</v>
      </c>
      <c r="E316" s="167" t="s">
        <v>156</v>
      </c>
      <c r="F316" s="166" t="s">
        <v>13</v>
      </c>
      <c r="G316" s="9">
        <v>202102003</v>
      </c>
      <c r="H316" s="167" t="s">
        <v>705</v>
      </c>
      <c r="I316" s="167" t="s">
        <v>1413</v>
      </c>
      <c r="J316" s="167" t="s">
        <v>3650</v>
      </c>
      <c r="K316" s="167" t="s">
        <v>170</v>
      </c>
      <c r="L316" s="167" t="s">
        <v>455</v>
      </c>
      <c r="M316" s="167" t="s">
        <v>3651</v>
      </c>
      <c r="N316" s="11">
        <v>0</v>
      </c>
      <c r="O316" s="12" t="str">
        <f>_xlfn.DISPIMG("ID_5D17E050202348DFAA14EEF8D985F66D",1)</f>
        <v>=DISPIMG("ID_5D17E050202348DFAA14EEF8D985F66D",1)</v>
      </c>
      <c r="P316" s="9" t="s">
        <v>3652</v>
      </c>
      <c r="Q316" s="11">
        <v>464</v>
      </c>
      <c r="R316" s="78" t="s">
        <v>4631</v>
      </c>
      <c r="S316" s="19" t="s">
        <v>55</v>
      </c>
      <c r="T316" s="9">
        <v>26</v>
      </c>
    </row>
    <row r="317" s="3" customFormat="1" customHeight="1" spans="1:20">
      <c r="A317" s="166" t="s">
        <v>3804</v>
      </c>
      <c r="B317" s="166" t="s">
        <v>165</v>
      </c>
      <c r="C317" s="166" t="s">
        <v>3805</v>
      </c>
      <c r="D317" s="11">
        <v>18859568610</v>
      </c>
      <c r="E317" s="167" t="s">
        <v>156</v>
      </c>
      <c r="F317" s="166" t="s">
        <v>13</v>
      </c>
      <c r="G317" s="9">
        <v>202102003</v>
      </c>
      <c r="H317" s="167" t="s">
        <v>157</v>
      </c>
      <c r="I317" s="167" t="s">
        <v>2943</v>
      </c>
      <c r="J317" s="167" t="s">
        <v>179</v>
      </c>
      <c r="K317" s="167" t="s">
        <v>160</v>
      </c>
      <c r="L317" s="167" t="s">
        <v>235</v>
      </c>
      <c r="M317" s="167" t="s">
        <v>1187</v>
      </c>
      <c r="N317" s="167" t="s">
        <v>3807</v>
      </c>
      <c r="O317" s="12" t="str">
        <f>_xlfn.DISPIMG("ID_958C237DE20E4119882FD97115456597",1)</f>
        <v>=DISPIMG("ID_958C237DE20E4119882FD97115456597",1)</v>
      </c>
      <c r="P317" s="9" t="s">
        <v>3808</v>
      </c>
      <c r="Q317" s="20">
        <v>485</v>
      </c>
      <c r="R317" s="78" t="s">
        <v>4632</v>
      </c>
      <c r="S317" s="19" t="s">
        <v>55</v>
      </c>
      <c r="T317" s="9">
        <v>1</v>
      </c>
    </row>
    <row r="318" s="3" customFormat="1" customHeight="1" spans="1:20">
      <c r="A318" s="166" t="s">
        <v>3826</v>
      </c>
      <c r="B318" s="166" t="s">
        <v>165</v>
      </c>
      <c r="C318" s="166" t="s">
        <v>3827</v>
      </c>
      <c r="D318" s="11">
        <v>18379207307</v>
      </c>
      <c r="E318" s="167" t="s">
        <v>156</v>
      </c>
      <c r="F318" s="166" t="s">
        <v>13</v>
      </c>
      <c r="G318" s="9">
        <v>202102003</v>
      </c>
      <c r="H318" s="167" t="s">
        <v>279</v>
      </c>
      <c r="I318" s="167" t="s">
        <v>158</v>
      </c>
      <c r="J318" s="167" t="s">
        <v>223</v>
      </c>
      <c r="K318" s="167" t="s">
        <v>170</v>
      </c>
      <c r="L318" s="167" t="s">
        <v>180</v>
      </c>
      <c r="M318" s="167" t="s">
        <v>487</v>
      </c>
      <c r="N318" s="167" t="s">
        <v>3829</v>
      </c>
      <c r="O318" s="12" t="str">
        <f>_xlfn.DISPIMG("ID_0F27C17184DB40E4ADCCEAF2E242F8D5",1)</f>
        <v>=DISPIMG("ID_0F27C17184DB40E4ADCCEAF2E242F8D5",1)</v>
      </c>
      <c r="P318" s="9" t="s">
        <v>3830</v>
      </c>
      <c r="Q318" s="20">
        <v>488</v>
      </c>
      <c r="R318" s="78" t="s">
        <v>4633</v>
      </c>
      <c r="S318" s="19" t="s">
        <v>55</v>
      </c>
      <c r="T318" s="9">
        <v>12</v>
      </c>
    </row>
    <row r="319" s="3" customFormat="1" customHeight="1" spans="1:20">
      <c r="A319" s="166" t="s">
        <v>3970</v>
      </c>
      <c r="B319" s="166" t="s">
        <v>165</v>
      </c>
      <c r="C319" s="166" t="s">
        <v>3971</v>
      </c>
      <c r="D319" s="11">
        <v>18279298177</v>
      </c>
      <c r="E319" s="167" t="s">
        <v>156</v>
      </c>
      <c r="F319" s="166" t="s">
        <v>13</v>
      </c>
      <c r="G319" s="9">
        <v>202102003</v>
      </c>
      <c r="H319" s="167" t="s">
        <v>157</v>
      </c>
      <c r="I319" s="167" t="s">
        <v>233</v>
      </c>
      <c r="J319" s="167" t="s">
        <v>3973</v>
      </c>
      <c r="K319" s="167" t="s">
        <v>160</v>
      </c>
      <c r="L319" s="167" t="s">
        <v>161</v>
      </c>
      <c r="M319" s="167" t="s">
        <v>25</v>
      </c>
      <c r="N319" s="167" t="s">
        <v>3974</v>
      </c>
      <c r="O319" s="12" t="str">
        <f>_xlfn.DISPIMG("ID_B1F0BA2C377444B08B7692E1B53E42C5",1)</f>
        <v>=DISPIMG("ID_B1F0BA2C377444B08B7692E1B53E42C5",1)</v>
      </c>
      <c r="P319" s="9" t="s">
        <v>3975</v>
      </c>
      <c r="Q319" s="20">
        <v>507</v>
      </c>
      <c r="R319" s="78" t="s">
        <v>4634</v>
      </c>
      <c r="S319" s="19" t="s">
        <v>55</v>
      </c>
      <c r="T319" s="9">
        <v>13</v>
      </c>
    </row>
    <row r="320" s="98" customFormat="1" customHeight="1" spans="1:20">
      <c r="A320" s="170" t="s">
        <v>3983</v>
      </c>
      <c r="B320" s="170" t="s">
        <v>165</v>
      </c>
      <c r="C320" s="170" t="s">
        <v>3984</v>
      </c>
      <c r="D320" s="21">
        <v>15818583027</v>
      </c>
      <c r="E320" s="163" t="s">
        <v>156</v>
      </c>
      <c r="F320" s="170" t="s">
        <v>13</v>
      </c>
      <c r="G320" s="99">
        <v>202101003</v>
      </c>
      <c r="H320" s="163" t="s">
        <v>157</v>
      </c>
      <c r="I320" s="163" t="s">
        <v>158</v>
      </c>
      <c r="J320" s="163" t="s">
        <v>298</v>
      </c>
      <c r="K320" s="163" t="s">
        <v>160</v>
      </c>
      <c r="L320" s="163" t="s">
        <v>587</v>
      </c>
      <c r="M320" s="163" t="s">
        <v>3986</v>
      </c>
      <c r="N320" s="163" t="s">
        <v>3987</v>
      </c>
      <c r="O320" s="100" t="str">
        <f>_xlfn.DISPIMG("ID_FF960F7406E14486AD9AB0EFE51B3C2E",1)</f>
        <v>=DISPIMG("ID_FF960F7406E14486AD9AB0EFE51B3C2E",1)</v>
      </c>
      <c r="P320" s="99" t="s">
        <v>3988</v>
      </c>
      <c r="Q320" s="104">
        <v>509</v>
      </c>
      <c r="R320" s="101" t="s">
        <v>4635</v>
      </c>
      <c r="S320" s="102" t="s">
        <v>55</v>
      </c>
      <c r="T320" s="99">
        <v>24</v>
      </c>
    </row>
    <row r="321" s="3" customFormat="1" customHeight="1" spans="1:20">
      <c r="A321" s="166" t="s">
        <v>3991</v>
      </c>
      <c r="B321" s="166" t="s">
        <v>165</v>
      </c>
      <c r="C321" s="166" t="s">
        <v>3992</v>
      </c>
      <c r="D321" s="11">
        <v>15779276924</v>
      </c>
      <c r="E321" s="167" t="s">
        <v>156</v>
      </c>
      <c r="F321" s="166" t="s">
        <v>13</v>
      </c>
      <c r="G321" s="9">
        <v>202102003</v>
      </c>
      <c r="H321" s="167" t="s">
        <v>157</v>
      </c>
      <c r="I321" s="167" t="s">
        <v>158</v>
      </c>
      <c r="J321" s="167" t="s">
        <v>298</v>
      </c>
      <c r="K321" s="167" t="s">
        <v>160</v>
      </c>
      <c r="L321" s="167" t="s">
        <v>171</v>
      </c>
      <c r="M321" s="167" t="s">
        <v>1692</v>
      </c>
      <c r="N321" s="167" t="s">
        <v>3994</v>
      </c>
      <c r="O321" s="12" t="str">
        <f>_xlfn.DISPIMG("ID_78A88502741143D5850B496E71BE5DA0",1)</f>
        <v>=DISPIMG("ID_78A88502741143D5850B496E71BE5DA0",1)</v>
      </c>
      <c r="P321" s="9" t="s">
        <v>3995</v>
      </c>
      <c r="Q321" s="20">
        <v>510</v>
      </c>
      <c r="R321" s="78" t="s">
        <v>4636</v>
      </c>
      <c r="S321" s="19" t="s">
        <v>55</v>
      </c>
      <c r="T321" s="9">
        <v>25</v>
      </c>
    </row>
    <row r="322" s="3" customFormat="1" customHeight="1" spans="1:20">
      <c r="A322" s="166" t="s">
        <v>4013</v>
      </c>
      <c r="B322" s="166" t="s">
        <v>165</v>
      </c>
      <c r="C322" s="166" t="s">
        <v>4014</v>
      </c>
      <c r="D322" s="11">
        <v>18870236365</v>
      </c>
      <c r="E322" s="167" t="s">
        <v>156</v>
      </c>
      <c r="F322" s="166" t="s">
        <v>13</v>
      </c>
      <c r="G322" s="9">
        <v>202102003</v>
      </c>
      <c r="H322" s="167" t="s">
        <v>279</v>
      </c>
      <c r="I322" s="167" t="s">
        <v>158</v>
      </c>
      <c r="J322" s="167" t="s">
        <v>223</v>
      </c>
      <c r="K322" s="167" t="s">
        <v>170</v>
      </c>
      <c r="L322" s="167" t="s">
        <v>306</v>
      </c>
      <c r="M322" s="167" t="s">
        <v>4016</v>
      </c>
      <c r="N322" s="167" t="s">
        <v>4017</v>
      </c>
      <c r="O322" s="12" t="str">
        <f>_xlfn.DISPIMG("ID_4B6C2F7765194334A42FC9F1088827FE",1)</f>
        <v>=DISPIMG("ID_4B6C2F7765194334A42FC9F1088827FE",1)</v>
      </c>
      <c r="P322" s="9" t="s">
        <v>4018</v>
      </c>
      <c r="Q322" s="20">
        <v>513</v>
      </c>
      <c r="R322" s="78" t="s">
        <v>4637</v>
      </c>
      <c r="S322" s="19" t="s">
        <v>56</v>
      </c>
      <c r="T322" s="14">
        <v>6</v>
      </c>
    </row>
    <row r="323" s="3" customFormat="1" customHeight="1" spans="1:20">
      <c r="A323" s="166" t="s">
        <v>4021</v>
      </c>
      <c r="B323" s="166" t="s">
        <v>165</v>
      </c>
      <c r="C323" s="166" t="s">
        <v>4022</v>
      </c>
      <c r="D323" s="11">
        <v>15870639139</v>
      </c>
      <c r="E323" s="167" t="s">
        <v>156</v>
      </c>
      <c r="F323" s="166" t="s">
        <v>13</v>
      </c>
      <c r="G323" s="9">
        <v>202102003</v>
      </c>
      <c r="H323" s="167" t="s">
        <v>157</v>
      </c>
      <c r="I323" s="167" t="s">
        <v>1413</v>
      </c>
      <c r="J323" s="167" t="s">
        <v>1122</v>
      </c>
      <c r="K323" s="167" t="s">
        <v>160</v>
      </c>
      <c r="L323" s="167" t="s">
        <v>235</v>
      </c>
      <c r="M323" s="167" t="s">
        <v>487</v>
      </c>
      <c r="N323" s="167" t="s">
        <v>4024</v>
      </c>
      <c r="O323" s="12" t="str">
        <f>_xlfn.DISPIMG("ID_678965A481D64CEABA15E59CA2B84698",1)</f>
        <v>=DISPIMG("ID_678965A481D64CEABA15E59CA2B84698",1)</v>
      </c>
      <c r="P323" s="9" t="s">
        <v>4025</v>
      </c>
      <c r="Q323" s="20">
        <v>514</v>
      </c>
      <c r="R323" s="78" t="s">
        <v>4638</v>
      </c>
      <c r="S323" s="19" t="s">
        <v>56</v>
      </c>
      <c r="T323" s="14">
        <v>7</v>
      </c>
    </row>
    <row r="324" s="3" customFormat="1" customHeight="1" spans="1:20">
      <c r="A324" s="166" t="s">
        <v>4065</v>
      </c>
      <c r="B324" s="166" t="s">
        <v>165</v>
      </c>
      <c r="C324" s="166" t="s">
        <v>4066</v>
      </c>
      <c r="D324" s="11">
        <v>15797987795</v>
      </c>
      <c r="E324" s="167" t="s">
        <v>506</v>
      </c>
      <c r="F324" s="166" t="s">
        <v>13</v>
      </c>
      <c r="G324" s="9">
        <v>202102016</v>
      </c>
      <c r="H324" s="167" t="s">
        <v>279</v>
      </c>
      <c r="I324" s="167" t="s">
        <v>158</v>
      </c>
      <c r="J324" s="167" t="s">
        <v>223</v>
      </c>
      <c r="K324" s="167" t="s">
        <v>170</v>
      </c>
      <c r="L324" s="167" t="s">
        <v>368</v>
      </c>
      <c r="M324" s="167" t="s">
        <v>4068</v>
      </c>
      <c r="N324" s="167" t="s">
        <v>4069</v>
      </c>
      <c r="O324" s="12" t="str">
        <f>_xlfn.DISPIMG("ID_699B420D06BD4D209FB40A52E07C758F",1)</f>
        <v>=DISPIMG("ID_699B420D06BD4D209FB40A52E07C758F",1)</v>
      </c>
      <c r="P324" s="9" t="s">
        <v>4070</v>
      </c>
      <c r="Q324" s="11">
        <v>520</v>
      </c>
      <c r="R324" s="78" t="s">
        <v>4642</v>
      </c>
      <c r="S324" s="19" t="s">
        <v>56</v>
      </c>
      <c r="T324" s="14">
        <v>5</v>
      </c>
    </row>
    <row r="325" s="3" customFormat="1" customHeight="1" spans="1:20">
      <c r="A325" s="166" t="s">
        <v>4096</v>
      </c>
      <c r="B325" s="166" t="s">
        <v>165</v>
      </c>
      <c r="C325" s="166" t="s">
        <v>4097</v>
      </c>
      <c r="D325" s="11">
        <v>18279205166</v>
      </c>
      <c r="E325" s="167" t="s">
        <v>506</v>
      </c>
      <c r="F325" s="166" t="s">
        <v>13</v>
      </c>
      <c r="G325" s="9">
        <v>202102016</v>
      </c>
      <c r="H325" s="167" t="s">
        <v>157</v>
      </c>
      <c r="I325" s="167" t="s">
        <v>1121</v>
      </c>
      <c r="J325" s="167" t="s">
        <v>179</v>
      </c>
      <c r="K325" s="167" t="s">
        <v>160</v>
      </c>
      <c r="L325" s="167" t="s">
        <v>199</v>
      </c>
      <c r="M325" s="167" t="s">
        <v>13</v>
      </c>
      <c r="N325" s="167" t="s">
        <v>4099</v>
      </c>
      <c r="O325" s="12" t="str">
        <f>_xlfn.DISPIMG("ID_AF2EA5B71B5B4904B17F83B386FDD8B5",1)</f>
        <v>=DISPIMG("ID_AF2EA5B71B5B4904B17F83B386FDD8B5",1)</v>
      </c>
      <c r="P325" s="9" t="s">
        <v>4100</v>
      </c>
      <c r="Q325" s="11">
        <v>524</v>
      </c>
      <c r="R325" s="78" t="s">
        <v>4643</v>
      </c>
      <c r="S325" s="19" t="s">
        <v>56</v>
      </c>
      <c r="T325" s="14">
        <v>8</v>
      </c>
    </row>
    <row r="326" s="3" customFormat="1" customHeight="1" spans="1:20">
      <c r="A326" s="166" t="s">
        <v>4120</v>
      </c>
      <c r="B326" s="166" t="s">
        <v>153</v>
      </c>
      <c r="C326" s="166" t="s">
        <v>4121</v>
      </c>
      <c r="D326" s="11">
        <v>15070281790</v>
      </c>
      <c r="E326" s="167" t="s">
        <v>506</v>
      </c>
      <c r="F326" s="166" t="s">
        <v>13</v>
      </c>
      <c r="G326" s="9">
        <v>202102016</v>
      </c>
      <c r="H326" s="167" t="s">
        <v>157</v>
      </c>
      <c r="I326" s="167" t="s">
        <v>269</v>
      </c>
      <c r="J326" s="167" t="s">
        <v>179</v>
      </c>
      <c r="K326" s="167" t="s">
        <v>170</v>
      </c>
      <c r="L326" s="167" t="s">
        <v>3039</v>
      </c>
      <c r="M326" s="167" t="s">
        <v>307</v>
      </c>
      <c r="N326" s="167" t="s">
        <v>4123</v>
      </c>
      <c r="O326" s="12" t="str">
        <f>_xlfn.DISPIMG("ID_E27C6548F4194D02B9DC397724E0FA4F",1)</f>
        <v>=DISPIMG("ID_E27C6548F4194D02B9DC397724E0FA4F",1)</v>
      </c>
      <c r="P326" s="9" t="s">
        <v>4124</v>
      </c>
      <c r="Q326" s="11">
        <v>527</v>
      </c>
      <c r="R326" s="78" t="s">
        <v>4647</v>
      </c>
      <c r="S326" s="19" t="s">
        <v>56</v>
      </c>
      <c r="T326" s="14">
        <v>4</v>
      </c>
    </row>
    <row r="327" s="3" customFormat="1" customHeight="1" spans="1:20">
      <c r="A327" s="166" t="s">
        <v>4169</v>
      </c>
      <c r="B327" s="166" t="s">
        <v>165</v>
      </c>
      <c r="C327" s="166" t="s">
        <v>4170</v>
      </c>
      <c r="D327" s="11">
        <v>13970241382</v>
      </c>
      <c r="E327" s="167" t="s">
        <v>156</v>
      </c>
      <c r="F327" s="166" t="s">
        <v>13</v>
      </c>
      <c r="G327" s="9">
        <v>202102003</v>
      </c>
      <c r="H327" s="167" t="s">
        <v>157</v>
      </c>
      <c r="I327" s="167" t="s">
        <v>233</v>
      </c>
      <c r="J327" s="167" t="s">
        <v>4172</v>
      </c>
      <c r="K327" s="167" t="s">
        <v>170</v>
      </c>
      <c r="L327" s="167" t="s">
        <v>161</v>
      </c>
      <c r="M327" s="167" t="s">
        <v>4173</v>
      </c>
      <c r="N327" s="11">
        <v>0</v>
      </c>
      <c r="O327" s="12" t="str">
        <f>_xlfn.DISPIMG("ID_5B6CA2E5A2044344BC4069C94E27DF22",1)</f>
        <v>=DISPIMG("ID_5B6CA2E5A2044344BC4069C94E27DF22",1)</v>
      </c>
      <c r="P327" s="9" t="s">
        <v>4174</v>
      </c>
      <c r="Q327" s="20">
        <v>533</v>
      </c>
      <c r="R327" s="78" t="s">
        <v>4648</v>
      </c>
      <c r="S327" s="19" t="s">
        <v>56</v>
      </c>
      <c r="T327" s="14">
        <v>9</v>
      </c>
    </row>
    <row r="328" s="98" customFormat="1" customHeight="1" spans="1:20">
      <c r="A328" s="170" t="s">
        <v>4206</v>
      </c>
      <c r="B328" s="170" t="s">
        <v>153</v>
      </c>
      <c r="C328" s="170" t="s">
        <v>4207</v>
      </c>
      <c r="D328" s="21">
        <v>19942126864</v>
      </c>
      <c r="E328" s="163" t="s">
        <v>506</v>
      </c>
      <c r="F328" s="170" t="s">
        <v>13</v>
      </c>
      <c r="G328" s="99">
        <v>202101016</v>
      </c>
      <c r="H328" s="163" t="s">
        <v>157</v>
      </c>
      <c r="I328" s="163" t="s">
        <v>4209</v>
      </c>
      <c r="J328" s="163" t="s">
        <v>179</v>
      </c>
      <c r="K328" s="163" t="s">
        <v>160</v>
      </c>
      <c r="L328" s="163" t="s">
        <v>396</v>
      </c>
      <c r="M328" s="163" t="s">
        <v>25</v>
      </c>
      <c r="N328" s="163" t="s">
        <v>4210</v>
      </c>
      <c r="O328" s="100" t="str">
        <f>_xlfn.DISPIMG("ID_7372970AEB0B4E9DBEDB39C293267296",1)</f>
        <v>=DISPIMG("ID_7372970AEB0B4E9DBEDB39C293267296",1)</v>
      </c>
      <c r="P328" s="99" t="s">
        <v>4211</v>
      </c>
      <c r="Q328" s="21">
        <v>538</v>
      </c>
      <c r="R328" s="101" t="s">
        <v>4652</v>
      </c>
      <c r="S328" s="102" t="s">
        <v>56</v>
      </c>
      <c r="T328" s="105">
        <v>3</v>
      </c>
    </row>
    <row r="329" s="3" customFormat="1" customHeight="1" spans="1:20">
      <c r="A329" s="166" t="s">
        <v>4244</v>
      </c>
      <c r="B329" s="166" t="s">
        <v>165</v>
      </c>
      <c r="C329" s="166" t="s">
        <v>4245</v>
      </c>
      <c r="D329" s="11">
        <v>18296230426</v>
      </c>
      <c r="E329" s="167" t="s">
        <v>156</v>
      </c>
      <c r="F329" s="166" t="s">
        <v>13</v>
      </c>
      <c r="G329" s="9">
        <v>202102003</v>
      </c>
      <c r="H329" s="167" t="s">
        <v>157</v>
      </c>
      <c r="I329" s="167" t="s">
        <v>646</v>
      </c>
      <c r="J329" s="167" t="s">
        <v>179</v>
      </c>
      <c r="K329" s="167" t="s">
        <v>160</v>
      </c>
      <c r="L329" s="167" t="s">
        <v>180</v>
      </c>
      <c r="M329" s="167" t="s">
        <v>25</v>
      </c>
      <c r="N329" s="167" t="s">
        <v>4247</v>
      </c>
      <c r="O329" s="12" t="str">
        <f>_xlfn.DISPIMG("ID_36DA19808F4346CB8F6359485B7E0248",1)</f>
        <v>=DISPIMG("ID_36DA19808F4346CB8F6359485B7E0248",1)</v>
      </c>
      <c r="P329" s="9" t="s">
        <v>4248</v>
      </c>
      <c r="Q329" s="20">
        <v>543</v>
      </c>
      <c r="R329" s="78" t="s">
        <v>4653</v>
      </c>
      <c r="S329" s="19" t="s">
        <v>56</v>
      </c>
      <c r="T329" s="14">
        <v>10</v>
      </c>
    </row>
    <row r="330" s="3" customFormat="1" customHeight="1" spans="1:20">
      <c r="A330" s="166" t="s">
        <v>4273</v>
      </c>
      <c r="B330" s="166" t="s">
        <v>165</v>
      </c>
      <c r="C330" s="166" t="s">
        <v>4274</v>
      </c>
      <c r="D330" s="11">
        <v>18317912297</v>
      </c>
      <c r="E330" s="167" t="s">
        <v>156</v>
      </c>
      <c r="F330" s="166" t="s">
        <v>13</v>
      </c>
      <c r="G330" s="9">
        <v>202102003</v>
      </c>
      <c r="H330" s="167" t="s">
        <v>157</v>
      </c>
      <c r="I330" s="167" t="s">
        <v>1513</v>
      </c>
      <c r="J330" s="167" t="s">
        <v>1331</v>
      </c>
      <c r="K330" s="167" t="s">
        <v>160</v>
      </c>
      <c r="L330" s="167" t="s">
        <v>368</v>
      </c>
      <c r="M330" s="167" t="s">
        <v>13</v>
      </c>
      <c r="N330" s="167" t="s">
        <v>4276</v>
      </c>
      <c r="O330" s="12" t="str">
        <f>_xlfn.DISPIMG("ID_BFA48D3AEAE641428A104A2BB93F50F8",1)</f>
        <v>=DISPIMG("ID_BFA48D3AEAE641428A104A2BB93F50F8",1)</v>
      </c>
      <c r="P330" s="9" t="s">
        <v>4277</v>
      </c>
      <c r="Q330" s="20">
        <v>547</v>
      </c>
      <c r="R330" s="78" t="s">
        <v>4657</v>
      </c>
      <c r="S330" s="19" t="s">
        <v>56</v>
      </c>
      <c r="T330" s="14">
        <v>2</v>
      </c>
    </row>
    <row r="331" s="3" customFormat="1" customHeight="1" spans="1:20">
      <c r="A331" s="166" t="s">
        <v>4280</v>
      </c>
      <c r="B331" s="166" t="s">
        <v>165</v>
      </c>
      <c r="C331" s="166" t="s">
        <v>4281</v>
      </c>
      <c r="D331" s="11">
        <v>15949551660</v>
      </c>
      <c r="E331" s="167" t="s">
        <v>156</v>
      </c>
      <c r="F331" s="166" t="s">
        <v>13</v>
      </c>
      <c r="G331" s="9">
        <v>202102003</v>
      </c>
      <c r="H331" s="167" t="s">
        <v>157</v>
      </c>
      <c r="I331" s="167" t="s">
        <v>158</v>
      </c>
      <c r="J331" s="167" t="s">
        <v>298</v>
      </c>
      <c r="K331" s="167" t="s">
        <v>160</v>
      </c>
      <c r="L331" s="167" t="s">
        <v>252</v>
      </c>
      <c r="M331" s="167" t="s">
        <v>13</v>
      </c>
      <c r="N331" s="167" t="s">
        <v>4283</v>
      </c>
      <c r="O331" s="12" t="str">
        <f>_xlfn.DISPIMG("ID_0A7C024448EB4671A840FBA92AB35983",1)</f>
        <v>=DISPIMG("ID_0A7C024448EB4671A840FBA92AB35983",1)</v>
      </c>
      <c r="P331" s="9" t="s">
        <v>4284</v>
      </c>
      <c r="Q331" s="11">
        <v>548</v>
      </c>
      <c r="R331" s="78" t="s">
        <v>4658</v>
      </c>
      <c r="S331" s="19" t="s">
        <v>56</v>
      </c>
      <c r="T331" s="14">
        <v>11</v>
      </c>
    </row>
    <row r="332" s="3" customFormat="1" customHeight="1" spans="1:20">
      <c r="A332" s="166" t="s">
        <v>4287</v>
      </c>
      <c r="B332" s="166" t="s">
        <v>165</v>
      </c>
      <c r="C332" s="166" t="s">
        <v>4288</v>
      </c>
      <c r="D332" s="11">
        <v>15067121965</v>
      </c>
      <c r="E332" s="167" t="s">
        <v>156</v>
      </c>
      <c r="F332" s="166" t="s">
        <v>13</v>
      </c>
      <c r="G332" s="9">
        <v>202102003</v>
      </c>
      <c r="H332" s="167" t="s">
        <v>279</v>
      </c>
      <c r="I332" s="167" t="s">
        <v>4290</v>
      </c>
      <c r="J332" s="167" t="s">
        <v>4291</v>
      </c>
      <c r="K332" s="167" t="s">
        <v>170</v>
      </c>
      <c r="L332" s="167" t="s">
        <v>224</v>
      </c>
      <c r="M332" s="167" t="s">
        <v>1398</v>
      </c>
      <c r="N332" s="11">
        <v>0</v>
      </c>
      <c r="O332" s="12" t="str">
        <f>_xlfn.DISPIMG("ID_722A9A1419ED4209B5078EB200B4615A",1)</f>
        <v>=DISPIMG("ID_722A9A1419ED4209B5078EB200B4615A",1)</v>
      </c>
      <c r="P332" s="9" t="s">
        <v>4292</v>
      </c>
      <c r="Q332" s="11">
        <v>549</v>
      </c>
      <c r="R332" s="78" t="s">
        <v>4662</v>
      </c>
      <c r="S332" s="19" t="s">
        <v>56</v>
      </c>
      <c r="T332" s="14">
        <v>1</v>
      </c>
    </row>
    <row r="333" s="3" customFormat="1" customHeight="1" spans="1:20">
      <c r="A333" s="166" t="s">
        <v>4295</v>
      </c>
      <c r="B333" s="166" t="s">
        <v>165</v>
      </c>
      <c r="C333" s="166" t="s">
        <v>4296</v>
      </c>
      <c r="D333" s="11">
        <v>18174018729</v>
      </c>
      <c r="E333" s="167" t="s">
        <v>156</v>
      </c>
      <c r="F333" s="166" t="s">
        <v>13</v>
      </c>
      <c r="G333" s="9">
        <v>202102003</v>
      </c>
      <c r="H333" s="167" t="s">
        <v>157</v>
      </c>
      <c r="I333" s="167" t="s">
        <v>3054</v>
      </c>
      <c r="J333" s="167" t="s">
        <v>4298</v>
      </c>
      <c r="K333" s="167" t="s">
        <v>160</v>
      </c>
      <c r="L333" s="167" t="s">
        <v>261</v>
      </c>
      <c r="M333" s="167" t="s">
        <v>13</v>
      </c>
      <c r="N333" s="11">
        <v>0</v>
      </c>
      <c r="O333" s="12" t="str">
        <f>_xlfn.DISPIMG("ID_AB63EA744ECF442183CACE9AA5A6EA85",1)</f>
        <v>=DISPIMG("ID_AB63EA744ECF442183CACE9AA5A6EA85",1)</v>
      </c>
      <c r="P333" s="9" t="s">
        <v>4299</v>
      </c>
      <c r="Q333" s="20">
        <v>550</v>
      </c>
      <c r="R333" s="78" t="s">
        <v>4663</v>
      </c>
      <c r="S333" s="19" t="s">
        <v>56</v>
      </c>
      <c r="T333" s="14">
        <v>12</v>
      </c>
    </row>
    <row r="334" s="3" customFormat="1" customHeight="1" spans="1:20">
      <c r="A334" s="166" t="s">
        <v>4302</v>
      </c>
      <c r="B334" s="166" t="s">
        <v>165</v>
      </c>
      <c r="C334" s="166" t="s">
        <v>4303</v>
      </c>
      <c r="D334" s="11">
        <v>15279209806</v>
      </c>
      <c r="E334" s="167" t="s">
        <v>506</v>
      </c>
      <c r="F334" s="166" t="s">
        <v>13</v>
      </c>
      <c r="G334" s="9">
        <v>202102016</v>
      </c>
      <c r="H334" s="167" t="s">
        <v>279</v>
      </c>
      <c r="I334" s="167" t="s">
        <v>168</v>
      </c>
      <c r="J334" s="167" t="s">
        <v>223</v>
      </c>
      <c r="K334" s="167" t="s">
        <v>170</v>
      </c>
      <c r="L334" s="167" t="s">
        <v>577</v>
      </c>
      <c r="M334" s="167" t="s">
        <v>487</v>
      </c>
      <c r="N334" s="167" t="s">
        <v>4304</v>
      </c>
      <c r="O334" s="12" t="str">
        <f>_xlfn.DISPIMG("ID_2F1FB7C94C004C5BAD8EEBBBB9C7D0C9",1)</f>
        <v>=DISPIMG("ID_2F1FB7C94C004C5BAD8EEBBBB9C7D0C9",1)</v>
      </c>
      <c r="P334" s="9" t="s">
        <v>4305</v>
      </c>
      <c r="Q334" s="11">
        <v>551</v>
      </c>
      <c r="R334" s="78" t="s">
        <v>4664</v>
      </c>
      <c r="S334" s="19" t="s">
        <v>56</v>
      </c>
      <c r="T334" s="14">
        <v>13</v>
      </c>
    </row>
    <row r="335" s="3" customFormat="1" customHeight="1" spans="1:20">
      <c r="A335" s="166" t="s">
        <v>441</v>
      </c>
      <c r="B335" s="166" t="s">
        <v>165</v>
      </c>
      <c r="C335" s="166" t="s">
        <v>442</v>
      </c>
      <c r="D335" s="11">
        <v>15172397471</v>
      </c>
      <c r="E335" s="167" t="s">
        <v>156</v>
      </c>
      <c r="F335" s="166" t="s">
        <v>12</v>
      </c>
      <c r="G335" s="9">
        <v>202102010</v>
      </c>
      <c r="H335" s="167" t="s">
        <v>157</v>
      </c>
      <c r="I335" s="167" t="s">
        <v>444</v>
      </c>
      <c r="J335" s="167" t="s">
        <v>445</v>
      </c>
      <c r="K335" s="167" t="s">
        <v>160</v>
      </c>
      <c r="L335" s="167" t="s">
        <v>252</v>
      </c>
      <c r="M335" s="167" t="s">
        <v>446</v>
      </c>
      <c r="N335" s="167" t="s">
        <v>447</v>
      </c>
      <c r="O335" s="12" t="str">
        <f>_xlfn.DISPIMG("ID_8FDFD8CDACA94911BFEF3051E2235221",1)</f>
        <v>=DISPIMG("ID_8FDFD8CDACA94911BFEF3051E2235221",1)</v>
      </c>
      <c r="P335" s="9" t="s">
        <v>448</v>
      </c>
      <c r="Q335" s="11">
        <v>34</v>
      </c>
      <c r="R335" s="78" t="s">
        <v>4639</v>
      </c>
      <c r="S335" s="19" t="s">
        <v>56</v>
      </c>
      <c r="T335" s="14">
        <v>18</v>
      </c>
    </row>
    <row r="336" s="3" customFormat="1" customHeight="1" spans="1:20">
      <c r="A336" s="166" t="s">
        <v>906</v>
      </c>
      <c r="B336" s="166" t="s">
        <v>165</v>
      </c>
      <c r="C336" s="166" t="s">
        <v>907</v>
      </c>
      <c r="D336" s="11">
        <v>18872969481</v>
      </c>
      <c r="E336" s="167" t="s">
        <v>156</v>
      </c>
      <c r="F336" s="166" t="s">
        <v>12</v>
      </c>
      <c r="G336" s="9">
        <v>202102010</v>
      </c>
      <c r="H336" s="167" t="s">
        <v>157</v>
      </c>
      <c r="I336" s="167" t="s">
        <v>909</v>
      </c>
      <c r="J336" s="167" t="s">
        <v>445</v>
      </c>
      <c r="K336" s="167" t="s">
        <v>170</v>
      </c>
      <c r="L336" s="167" t="s">
        <v>910</v>
      </c>
      <c r="M336" s="167" t="s">
        <v>911</v>
      </c>
      <c r="N336" s="167" t="s">
        <v>912</v>
      </c>
      <c r="O336" s="12" t="str">
        <f>_xlfn.DISPIMG("ID_5478E78BEF25454AA0569457DA503AEE",1)</f>
        <v>=DISPIMG("ID_5478E78BEF25454AA0569457DA503AEE",1)</v>
      </c>
      <c r="P336" s="9" t="s">
        <v>913</v>
      </c>
      <c r="Q336" s="11">
        <v>91</v>
      </c>
      <c r="R336" s="78" t="s">
        <v>4640</v>
      </c>
      <c r="S336" s="19" t="s">
        <v>56</v>
      </c>
      <c r="T336" s="14">
        <v>19</v>
      </c>
    </row>
    <row r="337" s="3" customFormat="1" customHeight="1" spans="1:20">
      <c r="A337" s="166" t="s">
        <v>1034</v>
      </c>
      <c r="B337" s="166" t="s">
        <v>165</v>
      </c>
      <c r="C337" s="166" t="s">
        <v>1035</v>
      </c>
      <c r="D337" s="11">
        <v>18270651805</v>
      </c>
      <c r="E337" s="167" t="s">
        <v>156</v>
      </c>
      <c r="F337" s="166" t="s">
        <v>12</v>
      </c>
      <c r="G337" s="9">
        <v>202102010</v>
      </c>
      <c r="H337" s="167" t="s">
        <v>157</v>
      </c>
      <c r="I337" s="167" t="s">
        <v>178</v>
      </c>
      <c r="J337" s="167" t="s">
        <v>1037</v>
      </c>
      <c r="K337" s="167" t="s">
        <v>170</v>
      </c>
      <c r="L337" s="167" t="s">
        <v>161</v>
      </c>
      <c r="M337" s="167" t="s">
        <v>1038</v>
      </c>
      <c r="N337" s="167" t="s">
        <v>1039</v>
      </c>
      <c r="O337" s="12" t="str">
        <f>_xlfn.DISPIMG("ID_0FA5FFDB4D0442D5AB7C6CB6A0A51E2D",1)</f>
        <v>=DISPIMG("ID_0FA5FFDB4D0442D5AB7C6CB6A0A51E2D",1)</v>
      </c>
      <c r="P337" s="9" t="s">
        <v>1040</v>
      </c>
      <c r="Q337" s="20">
        <v>106</v>
      </c>
      <c r="R337" s="78" t="s">
        <v>4644</v>
      </c>
      <c r="S337" s="19" t="s">
        <v>56</v>
      </c>
      <c r="T337" s="14">
        <v>17</v>
      </c>
    </row>
    <row r="338" s="3" customFormat="1" customHeight="1" spans="1:20">
      <c r="A338" s="166" t="s">
        <v>1153</v>
      </c>
      <c r="B338" s="166" t="s">
        <v>165</v>
      </c>
      <c r="C338" s="166" t="s">
        <v>1154</v>
      </c>
      <c r="D338" s="11">
        <v>13803552587</v>
      </c>
      <c r="E338" s="167" t="s">
        <v>156</v>
      </c>
      <c r="F338" s="166" t="s">
        <v>12</v>
      </c>
      <c r="G338" s="9">
        <v>202102010</v>
      </c>
      <c r="H338" s="167" t="s">
        <v>157</v>
      </c>
      <c r="I338" s="167" t="s">
        <v>385</v>
      </c>
      <c r="J338" s="167" t="s">
        <v>445</v>
      </c>
      <c r="K338" s="167" t="s">
        <v>160</v>
      </c>
      <c r="L338" s="167" t="s">
        <v>261</v>
      </c>
      <c r="M338" s="167" t="s">
        <v>1156</v>
      </c>
      <c r="N338" s="167" t="s">
        <v>1157</v>
      </c>
      <c r="O338" s="12" t="str">
        <f>_xlfn.DISPIMG("ID_2A6402E44B2C4CB5B00B003CEEB85AA0",1)</f>
        <v>=DISPIMG("ID_2A6402E44B2C4CB5B00B003CEEB85AA0",1)</v>
      </c>
      <c r="P338" s="9" t="s">
        <v>1158</v>
      </c>
      <c r="Q338" s="11">
        <v>121</v>
      </c>
      <c r="R338" s="78" t="s">
        <v>4645</v>
      </c>
      <c r="S338" s="19" t="s">
        <v>56</v>
      </c>
      <c r="T338" s="14">
        <v>20</v>
      </c>
    </row>
    <row r="339" s="3" customFormat="1" customHeight="1" spans="1:20">
      <c r="A339" s="166" t="s">
        <v>1439</v>
      </c>
      <c r="B339" s="166" t="s">
        <v>165</v>
      </c>
      <c r="C339" s="166" t="s">
        <v>1440</v>
      </c>
      <c r="D339" s="11">
        <v>13687083396</v>
      </c>
      <c r="E339" s="167" t="s">
        <v>156</v>
      </c>
      <c r="F339" s="166" t="s">
        <v>12</v>
      </c>
      <c r="G339" s="9">
        <v>202102010</v>
      </c>
      <c r="H339" s="167" t="s">
        <v>157</v>
      </c>
      <c r="I339" s="167" t="s">
        <v>444</v>
      </c>
      <c r="J339" s="167" t="s">
        <v>1442</v>
      </c>
      <c r="K339" s="167" t="s">
        <v>160</v>
      </c>
      <c r="L339" s="167" t="s">
        <v>396</v>
      </c>
      <c r="M339" s="167" t="s">
        <v>24</v>
      </c>
      <c r="N339" s="11">
        <v>0</v>
      </c>
      <c r="O339" s="12" t="str">
        <f>_xlfn.DISPIMG("ID_4F7FAD79CF244D82AC4A116B39238E93",1)</f>
        <v>=DISPIMG("ID_4F7FAD79CF244D82AC4A116B39238E93",1)</v>
      </c>
      <c r="P339" s="9" t="s">
        <v>1443</v>
      </c>
      <c r="Q339" s="11">
        <v>159</v>
      </c>
      <c r="R339" s="78" t="s">
        <v>4649</v>
      </c>
      <c r="S339" s="19" t="s">
        <v>56</v>
      </c>
      <c r="T339" s="14">
        <v>16</v>
      </c>
    </row>
    <row r="340" s="3" customFormat="1" customHeight="1" spans="1:20">
      <c r="A340" s="166" t="s">
        <v>2240</v>
      </c>
      <c r="B340" s="166" t="s">
        <v>153</v>
      </c>
      <c r="C340" s="166" t="s">
        <v>2241</v>
      </c>
      <c r="D340" s="11">
        <v>18079253586</v>
      </c>
      <c r="E340" s="167" t="s">
        <v>156</v>
      </c>
      <c r="F340" s="166" t="s">
        <v>12</v>
      </c>
      <c r="G340" s="9">
        <v>202102010</v>
      </c>
      <c r="H340" s="167" t="s">
        <v>157</v>
      </c>
      <c r="I340" s="167" t="s">
        <v>2243</v>
      </c>
      <c r="J340" s="167" t="s">
        <v>445</v>
      </c>
      <c r="K340" s="167" t="s">
        <v>160</v>
      </c>
      <c r="L340" s="167" t="s">
        <v>368</v>
      </c>
      <c r="M340" s="167" t="s">
        <v>2244</v>
      </c>
      <c r="N340" s="167" t="s">
        <v>2245</v>
      </c>
      <c r="O340" s="12" t="str">
        <f>_xlfn.DISPIMG("ID_36DB22886E2542F0B08D8BC7EEC58760",1)</f>
        <v>=DISPIMG("ID_36DB22886E2542F0B08D8BC7EEC58760",1)</v>
      </c>
      <c r="P340" s="9" t="s">
        <v>2246</v>
      </c>
      <c r="Q340" s="20">
        <v>264</v>
      </c>
      <c r="R340" s="78" t="s">
        <v>4650</v>
      </c>
      <c r="S340" s="19" t="s">
        <v>56</v>
      </c>
      <c r="T340" s="14">
        <v>21</v>
      </c>
    </row>
    <row r="341" s="3" customFormat="1" customHeight="1" spans="1:20">
      <c r="A341" s="166" t="s">
        <v>3274</v>
      </c>
      <c r="B341" s="166" t="s">
        <v>165</v>
      </c>
      <c r="C341" s="166" t="s">
        <v>3275</v>
      </c>
      <c r="D341" s="11">
        <v>15870802185</v>
      </c>
      <c r="E341" s="167" t="s">
        <v>156</v>
      </c>
      <c r="F341" s="166" t="s">
        <v>12</v>
      </c>
      <c r="G341" s="9">
        <v>202102010</v>
      </c>
      <c r="H341" s="167" t="s">
        <v>157</v>
      </c>
      <c r="I341" s="167" t="s">
        <v>3276</v>
      </c>
      <c r="J341" s="167" t="s">
        <v>3277</v>
      </c>
      <c r="K341" s="167" t="s">
        <v>170</v>
      </c>
      <c r="L341" s="167" t="s">
        <v>516</v>
      </c>
      <c r="M341" s="167" t="s">
        <v>3278</v>
      </c>
      <c r="N341" s="167" t="s">
        <v>3279</v>
      </c>
      <c r="O341" s="12" t="str">
        <f>_xlfn.DISPIMG("ID_CA7F81D47ACB4FA38E0278F330AEC9F9",1)</f>
        <v>=DISPIMG("ID_CA7F81D47ACB4FA38E0278F330AEC9F9",1)</v>
      </c>
      <c r="P341" s="9" t="s">
        <v>3280</v>
      </c>
      <c r="Q341" s="20">
        <v>409</v>
      </c>
      <c r="R341" s="78" t="s">
        <v>4654</v>
      </c>
      <c r="S341" s="19" t="s">
        <v>56</v>
      </c>
      <c r="T341" s="14">
        <v>15</v>
      </c>
    </row>
    <row r="342" s="3" customFormat="1" customHeight="1" spans="1:20">
      <c r="A342" s="166" t="s">
        <v>4134</v>
      </c>
      <c r="B342" s="166" t="s">
        <v>165</v>
      </c>
      <c r="C342" s="166" t="s">
        <v>4135</v>
      </c>
      <c r="D342" s="11">
        <v>15207926555</v>
      </c>
      <c r="E342" s="167" t="s">
        <v>156</v>
      </c>
      <c r="F342" s="166" t="s">
        <v>12</v>
      </c>
      <c r="G342" s="9">
        <v>202102010</v>
      </c>
      <c r="H342" s="167" t="s">
        <v>157</v>
      </c>
      <c r="I342" s="167" t="s">
        <v>4137</v>
      </c>
      <c r="J342" s="167" t="s">
        <v>1442</v>
      </c>
      <c r="K342" s="167" t="s">
        <v>160</v>
      </c>
      <c r="L342" s="167" t="s">
        <v>368</v>
      </c>
      <c r="M342" s="167" t="s">
        <v>4138</v>
      </c>
      <c r="N342" s="11">
        <v>0</v>
      </c>
      <c r="O342" s="12" t="str">
        <f>_xlfn.DISPIMG("ID_911EFC838815489D872B9030D6735741",1)</f>
        <v>=DISPIMG("ID_911EFC838815489D872B9030D6735741",1)</v>
      </c>
      <c r="P342" s="9" t="s">
        <v>4139</v>
      </c>
      <c r="Q342" s="11">
        <v>529</v>
      </c>
      <c r="R342" s="78" t="s">
        <v>4655</v>
      </c>
      <c r="S342" s="19" t="s">
        <v>56</v>
      </c>
      <c r="T342" s="14">
        <v>22</v>
      </c>
    </row>
    <row r="343" s="3" customFormat="1" customHeight="1" spans="1:20">
      <c r="A343" s="166" t="s">
        <v>4198</v>
      </c>
      <c r="B343" s="166" t="s">
        <v>165</v>
      </c>
      <c r="C343" s="166" t="s">
        <v>4199</v>
      </c>
      <c r="D343" s="11">
        <v>18160796883</v>
      </c>
      <c r="E343" s="167" t="s">
        <v>156</v>
      </c>
      <c r="F343" s="166" t="s">
        <v>12</v>
      </c>
      <c r="G343" s="9">
        <v>202102010</v>
      </c>
      <c r="H343" s="167" t="s">
        <v>157</v>
      </c>
      <c r="I343" s="167" t="s">
        <v>4201</v>
      </c>
      <c r="J343" s="167" t="s">
        <v>445</v>
      </c>
      <c r="K343" s="167" t="s">
        <v>170</v>
      </c>
      <c r="L343" s="167" t="s">
        <v>199</v>
      </c>
      <c r="M343" s="167" t="s">
        <v>359</v>
      </c>
      <c r="N343" s="167" t="s">
        <v>4202</v>
      </c>
      <c r="O343" s="12" t="str">
        <f>_xlfn.DISPIMG("ID_85E134BF0AB1468FAAB0CB1A9F9C4F34",1)</f>
        <v>=DISPIMG("ID_85E134BF0AB1468FAAB0CB1A9F9C4F34",1)</v>
      </c>
      <c r="P343" s="9" t="s">
        <v>4203</v>
      </c>
      <c r="Q343" s="11">
        <v>537</v>
      </c>
      <c r="R343" s="78" t="s">
        <v>4659</v>
      </c>
      <c r="S343" s="19" t="s">
        <v>56</v>
      </c>
      <c r="T343" s="14">
        <v>14</v>
      </c>
    </row>
    <row r="344" s="3" customFormat="1" customHeight="1" spans="1:20">
      <c r="A344" s="166" t="s">
        <v>239</v>
      </c>
      <c r="B344" s="166" t="s">
        <v>165</v>
      </c>
      <c r="C344" s="166" t="s">
        <v>240</v>
      </c>
      <c r="D344" s="11">
        <v>13697988167</v>
      </c>
      <c r="E344" s="167" t="s">
        <v>156</v>
      </c>
      <c r="F344" s="166" t="s">
        <v>5</v>
      </c>
      <c r="G344" s="9">
        <v>202102008</v>
      </c>
      <c r="H344" s="167" t="s">
        <v>157</v>
      </c>
      <c r="I344" s="167" t="s">
        <v>242</v>
      </c>
      <c r="J344" s="167" t="s">
        <v>243</v>
      </c>
      <c r="K344" s="167" t="s">
        <v>160</v>
      </c>
      <c r="L344" s="167" t="s">
        <v>161</v>
      </c>
      <c r="M344" s="167" t="s">
        <v>5</v>
      </c>
      <c r="N344" s="11">
        <v>0</v>
      </c>
      <c r="O344" s="12" t="str">
        <f>_xlfn.DISPIMG("ID_9CBFB21D3F5B4658948522EF0C2AECE4",1)</f>
        <v>=DISPIMG("ID_9CBFB21D3F5B4658948522EF0C2AECE4",1)</v>
      </c>
      <c r="P344" s="9" t="s">
        <v>244</v>
      </c>
      <c r="Q344" s="20">
        <v>11</v>
      </c>
      <c r="R344" s="78" t="s">
        <v>4641</v>
      </c>
      <c r="S344" s="19" t="s">
        <v>56</v>
      </c>
      <c r="T344" s="14">
        <v>30</v>
      </c>
    </row>
    <row r="345" s="3" customFormat="1" customHeight="1" spans="1:20">
      <c r="A345" s="166" t="s">
        <v>286</v>
      </c>
      <c r="B345" s="166" t="s">
        <v>153</v>
      </c>
      <c r="C345" s="166" t="s">
        <v>287</v>
      </c>
      <c r="D345" s="11">
        <v>18755672832</v>
      </c>
      <c r="E345" s="167" t="s">
        <v>156</v>
      </c>
      <c r="F345" s="166" t="s">
        <v>5</v>
      </c>
      <c r="G345" s="9">
        <v>202102008</v>
      </c>
      <c r="H345" s="167" t="s">
        <v>157</v>
      </c>
      <c r="I345" s="167" t="s">
        <v>289</v>
      </c>
      <c r="J345" s="167" t="s">
        <v>290</v>
      </c>
      <c r="K345" s="167" t="s">
        <v>170</v>
      </c>
      <c r="L345" s="167" t="s">
        <v>261</v>
      </c>
      <c r="M345" s="167" t="s">
        <v>5</v>
      </c>
      <c r="N345" s="11">
        <v>0</v>
      </c>
      <c r="O345" s="12" t="str">
        <f>_xlfn.DISPIMG("ID_5BB4AA0F377240A584934BCE0D4B941B",1)</f>
        <v>=DISPIMG("ID_5BB4AA0F377240A584934BCE0D4B941B",1)</v>
      </c>
      <c r="P345" s="9" t="s">
        <v>291</v>
      </c>
      <c r="Q345" s="20">
        <v>16</v>
      </c>
      <c r="R345" s="78" t="s">
        <v>4646</v>
      </c>
      <c r="S345" s="19" t="s">
        <v>56</v>
      </c>
      <c r="T345" s="14">
        <v>29</v>
      </c>
    </row>
    <row r="346" s="3" customFormat="1" customHeight="1" spans="1:20">
      <c r="A346" s="166" t="s">
        <v>1630</v>
      </c>
      <c r="B346" s="166" t="s">
        <v>153</v>
      </c>
      <c r="C346" s="166" t="s">
        <v>1631</v>
      </c>
      <c r="D346" s="11">
        <v>18437922593</v>
      </c>
      <c r="E346" s="167" t="s">
        <v>156</v>
      </c>
      <c r="F346" s="166" t="s">
        <v>5</v>
      </c>
      <c r="G346" s="9">
        <v>202102008</v>
      </c>
      <c r="H346" s="167" t="s">
        <v>157</v>
      </c>
      <c r="I346" s="167" t="s">
        <v>1633</v>
      </c>
      <c r="J346" s="167" t="s">
        <v>280</v>
      </c>
      <c r="K346" s="167" t="s">
        <v>170</v>
      </c>
      <c r="L346" s="167" t="s">
        <v>199</v>
      </c>
      <c r="M346" s="167" t="s">
        <v>5</v>
      </c>
      <c r="N346" s="11">
        <v>0</v>
      </c>
      <c r="O346" s="12" t="str">
        <f>_xlfn.DISPIMG("ID_30389EE5D2254B4693F3D201E2C25479",1)</f>
        <v>=DISPIMG("ID_30389EE5D2254B4693F3D201E2C25479",1)</v>
      </c>
      <c r="P346" s="9" t="s">
        <v>1634</v>
      </c>
      <c r="Q346" s="20">
        <v>183</v>
      </c>
      <c r="R346" s="78" t="s">
        <v>4651</v>
      </c>
      <c r="S346" s="19" t="s">
        <v>56</v>
      </c>
      <c r="T346" s="14">
        <v>28</v>
      </c>
    </row>
    <row r="347" s="3" customFormat="1" customHeight="1" spans="1:20">
      <c r="A347" s="166" t="s">
        <v>1706</v>
      </c>
      <c r="B347" s="166" t="s">
        <v>153</v>
      </c>
      <c r="C347" s="166" t="s">
        <v>1707</v>
      </c>
      <c r="D347" s="11">
        <v>15070040825</v>
      </c>
      <c r="E347" s="167" t="s">
        <v>506</v>
      </c>
      <c r="F347" s="166" t="s">
        <v>5</v>
      </c>
      <c r="G347" s="9">
        <v>202102020</v>
      </c>
      <c r="H347" s="167" t="s">
        <v>157</v>
      </c>
      <c r="I347" s="167" t="s">
        <v>789</v>
      </c>
      <c r="J347" s="167" t="s">
        <v>1709</v>
      </c>
      <c r="K347" s="167" t="s">
        <v>160</v>
      </c>
      <c r="L347" s="167" t="s">
        <v>1346</v>
      </c>
      <c r="M347" s="167" t="s">
        <v>1710</v>
      </c>
      <c r="N347" s="167" t="s">
        <v>1711</v>
      </c>
      <c r="O347" s="12" t="str">
        <f>_xlfn.DISPIMG("ID_B3E8781AF7454377842FD7EC53A6E781",1)</f>
        <v>=DISPIMG("ID_B3E8781AF7454377842FD7EC53A6E781",1)</v>
      </c>
      <c r="P347" s="9" t="s">
        <v>1712</v>
      </c>
      <c r="Q347" s="20">
        <v>193</v>
      </c>
      <c r="R347" s="78" t="s">
        <v>4656</v>
      </c>
      <c r="S347" s="19" t="s">
        <v>56</v>
      </c>
      <c r="T347" s="14">
        <v>27</v>
      </c>
    </row>
    <row r="348" s="3" customFormat="1" customHeight="1" spans="1:20">
      <c r="A348" s="166" t="s">
        <v>1846</v>
      </c>
      <c r="B348" s="166" t="s">
        <v>165</v>
      </c>
      <c r="C348" s="166" t="s">
        <v>1847</v>
      </c>
      <c r="D348" s="11">
        <v>18879254089</v>
      </c>
      <c r="E348" s="167" t="s">
        <v>156</v>
      </c>
      <c r="F348" s="166" t="s">
        <v>5</v>
      </c>
      <c r="G348" s="9">
        <v>202102008</v>
      </c>
      <c r="H348" s="167" t="s">
        <v>279</v>
      </c>
      <c r="I348" s="167" t="s">
        <v>158</v>
      </c>
      <c r="J348" s="167" t="s">
        <v>1849</v>
      </c>
      <c r="K348" s="167" t="s">
        <v>170</v>
      </c>
      <c r="L348" s="167" t="s">
        <v>396</v>
      </c>
      <c r="M348" s="167" t="s">
        <v>1850</v>
      </c>
      <c r="N348" s="167" t="s">
        <v>1851</v>
      </c>
      <c r="O348" s="12" t="str">
        <f>_xlfn.DISPIMG("ID_19DBAF911A5F41D795A3B7585DA543D3",1)</f>
        <v>=DISPIMG("ID_19DBAF911A5F41D795A3B7585DA543D3",1)</v>
      </c>
      <c r="P348" s="9" t="s">
        <v>1852</v>
      </c>
      <c r="Q348" s="20">
        <v>211</v>
      </c>
      <c r="R348" s="78" t="s">
        <v>4660</v>
      </c>
      <c r="S348" s="19" t="s">
        <v>56</v>
      </c>
      <c r="T348" s="14">
        <v>23</v>
      </c>
    </row>
    <row r="349" s="3" customFormat="1" customHeight="1" spans="1:20">
      <c r="A349" s="166" t="s">
        <v>2294</v>
      </c>
      <c r="B349" s="166" t="s">
        <v>153</v>
      </c>
      <c r="C349" s="166" t="s">
        <v>2295</v>
      </c>
      <c r="D349" s="11">
        <v>18179457855</v>
      </c>
      <c r="E349" s="167" t="s">
        <v>156</v>
      </c>
      <c r="F349" s="166" t="s">
        <v>5</v>
      </c>
      <c r="G349" s="9">
        <v>202102008</v>
      </c>
      <c r="H349" s="167" t="s">
        <v>157</v>
      </c>
      <c r="I349" s="167" t="s">
        <v>1654</v>
      </c>
      <c r="J349" s="167" t="s">
        <v>2297</v>
      </c>
      <c r="K349" s="167" t="s">
        <v>160</v>
      </c>
      <c r="L349" s="167" t="s">
        <v>2298</v>
      </c>
      <c r="M349" s="167" t="s">
        <v>2299</v>
      </c>
      <c r="N349" s="11">
        <v>0</v>
      </c>
      <c r="O349" s="12" t="str">
        <f>_xlfn.DISPIMG("ID_2348B3C3CCB6443B92AD1A08F0A487FA",1)</f>
        <v>=DISPIMG("ID_2348B3C3CCB6443B92AD1A08F0A487FA",1)</v>
      </c>
      <c r="P349" s="9" t="s">
        <v>2300</v>
      </c>
      <c r="Q349" s="11">
        <v>271</v>
      </c>
      <c r="R349" s="78" t="s">
        <v>4661</v>
      </c>
      <c r="S349" s="19" t="s">
        <v>56</v>
      </c>
      <c r="T349" s="14">
        <v>26</v>
      </c>
    </row>
    <row r="350" s="3" customFormat="1" customHeight="1" spans="1:20">
      <c r="A350" s="166" t="s">
        <v>2459</v>
      </c>
      <c r="B350" s="166" t="s">
        <v>165</v>
      </c>
      <c r="C350" s="166" t="s">
        <v>2460</v>
      </c>
      <c r="D350" s="11">
        <v>18702519372</v>
      </c>
      <c r="E350" s="167" t="s">
        <v>156</v>
      </c>
      <c r="F350" s="166" t="s">
        <v>5</v>
      </c>
      <c r="G350" s="9">
        <v>202102008</v>
      </c>
      <c r="H350" s="167" t="s">
        <v>279</v>
      </c>
      <c r="I350" s="167" t="s">
        <v>662</v>
      </c>
      <c r="J350" s="167" t="s">
        <v>348</v>
      </c>
      <c r="K350" s="167" t="s">
        <v>170</v>
      </c>
      <c r="L350" s="167" t="s">
        <v>199</v>
      </c>
      <c r="M350" s="167" t="s">
        <v>2462</v>
      </c>
      <c r="N350" s="11">
        <v>0</v>
      </c>
      <c r="O350" s="12" t="str">
        <f>_xlfn.DISPIMG("ID_C162899F9DDD4F8CA771F69FFB2795AD",1)</f>
        <v>=DISPIMG("ID_C162899F9DDD4F8CA771F69FFB2795AD",1)</v>
      </c>
      <c r="P350" s="9" t="s">
        <v>2463</v>
      </c>
      <c r="Q350" s="20">
        <v>293</v>
      </c>
      <c r="R350" s="78" t="s">
        <v>4665</v>
      </c>
      <c r="S350" s="19" t="s">
        <v>56</v>
      </c>
      <c r="T350" s="14">
        <v>24</v>
      </c>
    </row>
    <row r="351" s="3" customFormat="1" customHeight="1" spans="1:20">
      <c r="A351" s="166" t="s">
        <v>3873</v>
      </c>
      <c r="B351" s="166" t="s">
        <v>153</v>
      </c>
      <c r="C351" s="166" t="s">
        <v>3874</v>
      </c>
      <c r="D351" s="11">
        <v>13317434772</v>
      </c>
      <c r="E351" s="167" t="s">
        <v>156</v>
      </c>
      <c r="F351" s="166" t="s">
        <v>5</v>
      </c>
      <c r="G351" s="9">
        <v>202102008</v>
      </c>
      <c r="H351" s="167" t="s">
        <v>157</v>
      </c>
      <c r="I351" s="167" t="s">
        <v>3876</v>
      </c>
      <c r="J351" s="167" t="s">
        <v>290</v>
      </c>
      <c r="K351" s="167" t="s">
        <v>170</v>
      </c>
      <c r="L351" s="167" t="s">
        <v>171</v>
      </c>
      <c r="M351" s="167" t="s">
        <v>1064</v>
      </c>
      <c r="N351" s="167" t="s">
        <v>3877</v>
      </c>
      <c r="O351" s="12" t="str">
        <f>_xlfn.DISPIMG("ID_707B86616C5E4D0A96852FA2ECC7652E",1)</f>
        <v>=DISPIMG("ID_707B86616C5E4D0A96852FA2ECC7652E",1)</v>
      </c>
      <c r="P351" s="9" t="s">
        <v>3878</v>
      </c>
      <c r="Q351" s="20">
        <v>494</v>
      </c>
      <c r="R351" s="78" t="s">
        <v>4666</v>
      </c>
      <c r="S351" s="19" t="s">
        <v>56</v>
      </c>
      <c r="T351" s="14">
        <v>25</v>
      </c>
    </row>
    <row r="352" s="3" customFormat="1" customHeight="1" spans="1:20">
      <c r="A352" s="166" t="s">
        <v>184</v>
      </c>
      <c r="B352" s="166" t="s">
        <v>153</v>
      </c>
      <c r="C352" s="166" t="s">
        <v>185</v>
      </c>
      <c r="D352" s="11">
        <v>18038082134</v>
      </c>
      <c r="E352" s="167" t="s">
        <v>156</v>
      </c>
      <c r="F352" s="166" t="s">
        <v>6</v>
      </c>
      <c r="G352" s="9">
        <v>202102012</v>
      </c>
      <c r="H352" s="167" t="s">
        <v>157</v>
      </c>
      <c r="I352" s="167" t="s">
        <v>187</v>
      </c>
      <c r="J352" s="167" t="s">
        <v>188</v>
      </c>
      <c r="K352" s="167" t="s">
        <v>160</v>
      </c>
      <c r="L352" s="167" t="s">
        <v>189</v>
      </c>
      <c r="M352" s="167" t="s">
        <v>190</v>
      </c>
      <c r="N352" s="11">
        <v>0</v>
      </c>
      <c r="O352" s="12" t="str">
        <f>_xlfn.DISPIMG("ID_F9EC90828AC344EC8EE9AB75C1318672",1)</f>
        <v>=DISPIMG("ID_F9EC90828AC344EC8EE9AB75C1318672",1)</v>
      </c>
      <c r="P352" s="9" t="s">
        <v>191</v>
      </c>
      <c r="Q352" s="11">
        <v>5</v>
      </c>
      <c r="R352" s="78" t="s">
        <v>4667</v>
      </c>
      <c r="S352" s="19" t="s">
        <v>60</v>
      </c>
      <c r="T352" s="9">
        <v>6</v>
      </c>
    </row>
    <row r="353" s="3" customFormat="1" customHeight="1" spans="1:20">
      <c r="A353" s="166" t="s">
        <v>203</v>
      </c>
      <c r="B353" s="166" t="s">
        <v>165</v>
      </c>
      <c r="C353" s="166" t="s">
        <v>204</v>
      </c>
      <c r="D353" s="11">
        <v>18451114131</v>
      </c>
      <c r="E353" s="167" t="s">
        <v>156</v>
      </c>
      <c r="F353" s="166" t="s">
        <v>6</v>
      </c>
      <c r="G353" s="9">
        <v>202102012</v>
      </c>
      <c r="H353" s="167" t="s">
        <v>157</v>
      </c>
      <c r="I353" s="167" t="s">
        <v>206</v>
      </c>
      <c r="J353" s="167" t="s">
        <v>207</v>
      </c>
      <c r="K353" s="167" t="s">
        <v>160</v>
      </c>
      <c r="L353" s="167" t="s">
        <v>199</v>
      </c>
      <c r="M353" s="167" t="s">
        <v>6</v>
      </c>
      <c r="N353" s="167" t="s">
        <v>208</v>
      </c>
      <c r="O353" s="12" t="str">
        <f>_xlfn.DISPIMG("ID_F7457C8055E845839E12BBC94DC0151A",1)</f>
        <v>=DISPIMG("ID_F7457C8055E845839E12BBC94DC0151A",1)</v>
      </c>
      <c r="P353" s="9" t="s">
        <v>209</v>
      </c>
      <c r="Q353" s="11">
        <v>7</v>
      </c>
      <c r="R353" s="78" t="s">
        <v>4668</v>
      </c>
      <c r="S353" s="19" t="s">
        <v>60</v>
      </c>
      <c r="T353" s="9">
        <v>7</v>
      </c>
    </row>
    <row r="354" s="3" customFormat="1" customHeight="1" spans="1:20">
      <c r="A354" s="166" t="s">
        <v>247</v>
      </c>
      <c r="B354" s="166" t="s">
        <v>165</v>
      </c>
      <c r="C354" s="166" t="s">
        <v>248</v>
      </c>
      <c r="D354" s="11">
        <v>18194294670</v>
      </c>
      <c r="E354" s="167" t="s">
        <v>156</v>
      </c>
      <c r="F354" s="166" t="s">
        <v>6</v>
      </c>
      <c r="G354" s="9">
        <v>202102012</v>
      </c>
      <c r="H354" s="167" t="s">
        <v>157</v>
      </c>
      <c r="I354" s="167" t="s">
        <v>250</v>
      </c>
      <c r="J354" s="167" t="s">
        <v>251</v>
      </c>
      <c r="K354" s="167" t="s">
        <v>160</v>
      </c>
      <c r="L354" s="167" t="s">
        <v>252</v>
      </c>
      <c r="M354" s="167" t="s">
        <v>253</v>
      </c>
      <c r="N354" s="167" t="s">
        <v>254</v>
      </c>
      <c r="O354" s="12" t="str">
        <f>_xlfn.DISPIMG("ID_75E1D16F2E6F48168F32947A4DF07EC3",1)</f>
        <v>=DISPIMG("ID_75E1D16F2E6F48168F32947A4DF07EC3",1)</v>
      </c>
      <c r="P354" s="9" t="s">
        <v>255</v>
      </c>
      <c r="Q354" s="11">
        <v>12</v>
      </c>
      <c r="R354" s="78" t="s">
        <v>4669</v>
      </c>
      <c r="S354" s="19" t="s">
        <v>60</v>
      </c>
      <c r="T354" s="9">
        <v>18</v>
      </c>
    </row>
    <row r="355" s="3" customFormat="1" customHeight="1" spans="1:20">
      <c r="A355" s="166" t="s">
        <v>319</v>
      </c>
      <c r="B355" s="166" t="s">
        <v>165</v>
      </c>
      <c r="C355" s="166" t="s">
        <v>320</v>
      </c>
      <c r="D355" s="11">
        <v>18679938518</v>
      </c>
      <c r="E355" s="167" t="s">
        <v>156</v>
      </c>
      <c r="F355" s="166" t="s">
        <v>6</v>
      </c>
      <c r="G355" s="9">
        <v>202102012</v>
      </c>
      <c r="H355" s="167" t="s">
        <v>157</v>
      </c>
      <c r="I355" s="167" t="s">
        <v>322</v>
      </c>
      <c r="J355" s="167" t="s">
        <v>323</v>
      </c>
      <c r="K355" s="167" t="s">
        <v>170</v>
      </c>
      <c r="L355" s="167" t="s">
        <v>180</v>
      </c>
      <c r="M355" s="167" t="s">
        <v>324</v>
      </c>
      <c r="N355" s="167" t="s">
        <v>325</v>
      </c>
      <c r="O355" s="12" t="str">
        <f>_xlfn.DISPIMG("ID_7D94F98EB3D041FA910044FDF5DF1027",1)</f>
        <v>=DISPIMG("ID_7D94F98EB3D041FA910044FDF5DF1027",1)</v>
      </c>
      <c r="P355" s="9" t="s">
        <v>326</v>
      </c>
      <c r="Q355" s="11">
        <v>20</v>
      </c>
      <c r="R355" s="78" t="s">
        <v>4670</v>
      </c>
      <c r="S355" s="19" t="s">
        <v>60</v>
      </c>
      <c r="T355" s="9">
        <v>19</v>
      </c>
    </row>
    <row r="356" s="3" customFormat="1" customHeight="1" spans="1:20">
      <c r="A356" s="166" t="s">
        <v>400</v>
      </c>
      <c r="B356" s="166" t="s">
        <v>165</v>
      </c>
      <c r="C356" s="166" t="s">
        <v>401</v>
      </c>
      <c r="D356" s="11">
        <v>18279242907</v>
      </c>
      <c r="E356" s="167" t="s">
        <v>156</v>
      </c>
      <c r="F356" s="166" t="s">
        <v>6</v>
      </c>
      <c r="G356" s="9">
        <v>202102012</v>
      </c>
      <c r="H356" s="167" t="s">
        <v>157</v>
      </c>
      <c r="I356" s="167" t="s">
        <v>403</v>
      </c>
      <c r="J356" s="167" t="s">
        <v>404</v>
      </c>
      <c r="K356" s="167" t="s">
        <v>160</v>
      </c>
      <c r="L356" s="167" t="s">
        <v>252</v>
      </c>
      <c r="M356" s="167" t="s">
        <v>6</v>
      </c>
      <c r="N356" s="167" t="s">
        <v>405</v>
      </c>
      <c r="O356" s="12" t="str">
        <f>_xlfn.DISPIMG("ID_CF4959AF4AC44C8391DB8D257F1D8B87",1)</f>
        <v>=DISPIMG("ID_CF4959AF4AC44C8391DB8D257F1D8B87",1)</v>
      </c>
      <c r="P356" s="9" t="s">
        <v>406</v>
      </c>
      <c r="Q356" s="11">
        <v>29</v>
      </c>
      <c r="R356" s="78" t="s">
        <v>4671</v>
      </c>
      <c r="S356" s="19" t="s">
        <v>60</v>
      </c>
      <c r="T356" s="9">
        <v>30</v>
      </c>
    </row>
    <row r="357" s="3" customFormat="1" customHeight="1" spans="1:20">
      <c r="A357" s="166" t="s">
        <v>409</v>
      </c>
      <c r="B357" s="166" t="s">
        <v>153</v>
      </c>
      <c r="C357" s="166" t="s">
        <v>410</v>
      </c>
      <c r="D357" s="11">
        <v>13177702893</v>
      </c>
      <c r="E357" s="167" t="s">
        <v>156</v>
      </c>
      <c r="F357" s="166" t="s">
        <v>6</v>
      </c>
      <c r="G357" s="9">
        <v>202102012</v>
      </c>
      <c r="H357" s="167" t="s">
        <v>157</v>
      </c>
      <c r="I357" s="167" t="s">
        <v>412</v>
      </c>
      <c r="J357" s="167" t="s">
        <v>323</v>
      </c>
      <c r="K357" s="167" t="s">
        <v>170</v>
      </c>
      <c r="L357" s="167" t="s">
        <v>252</v>
      </c>
      <c r="M357" s="167" t="s">
        <v>413</v>
      </c>
      <c r="N357" s="167" t="s">
        <v>414</v>
      </c>
      <c r="O357" s="12" t="str">
        <f>_xlfn.DISPIMG("ID_C929C0A6F3B54FF18F2B98BE28643203",1)</f>
        <v>=DISPIMG("ID_C929C0A6F3B54FF18F2B98BE28643203",1)</v>
      </c>
      <c r="P357" s="9" t="s">
        <v>415</v>
      </c>
      <c r="Q357" s="11">
        <v>30</v>
      </c>
      <c r="R357" s="78" t="s">
        <v>4672</v>
      </c>
      <c r="S357" s="19" t="s">
        <v>60</v>
      </c>
      <c r="T357" s="9">
        <v>5</v>
      </c>
    </row>
    <row r="358" s="3" customFormat="1" customHeight="1" spans="1:20">
      <c r="A358" s="166" t="s">
        <v>627</v>
      </c>
      <c r="B358" s="166" t="s">
        <v>165</v>
      </c>
      <c r="C358" s="166" t="s">
        <v>628</v>
      </c>
      <c r="D358" s="11">
        <v>18162269962</v>
      </c>
      <c r="E358" s="167" t="s">
        <v>156</v>
      </c>
      <c r="F358" s="166" t="s">
        <v>6</v>
      </c>
      <c r="G358" s="9">
        <v>202102012</v>
      </c>
      <c r="H358" s="167" t="s">
        <v>157</v>
      </c>
      <c r="I358" s="167" t="s">
        <v>630</v>
      </c>
      <c r="J358" s="167" t="s">
        <v>207</v>
      </c>
      <c r="K358" s="167" t="s">
        <v>160</v>
      </c>
      <c r="L358" s="167" t="s">
        <v>541</v>
      </c>
      <c r="M358" s="167" t="s">
        <v>18</v>
      </c>
      <c r="N358" s="167" t="s">
        <v>631</v>
      </c>
      <c r="O358" s="12" t="str">
        <f>_xlfn.DISPIMG("ID_50ADA4D0B38B42B786E2DD18C78CCC60",1)</f>
        <v>=DISPIMG("ID_50ADA4D0B38B42B786E2DD18C78CCC60",1)</v>
      </c>
      <c r="P358" s="9" t="s">
        <v>632</v>
      </c>
      <c r="Q358" s="11">
        <v>57</v>
      </c>
      <c r="R358" s="78" t="s">
        <v>4673</v>
      </c>
      <c r="S358" s="19" t="s">
        <v>60</v>
      </c>
      <c r="T358" s="9">
        <v>8</v>
      </c>
    </row>
    <row r="359" s="3" customFormat="1" customHeight="1" spans="1:20">
      <c r="A359" s="166" t="s">
        <v>746</v>
      </c>
      <c r="B359" s="166" t="s">
        <v>165</v>
      </c>
      <c r="C359" s="166" t="s">
        <v>747</v>
      </c>
      <c r="D359" s="11">
        <v>15641592275</v>
      </c>
      <c r="E359" s="167" t="s">
        <v>156</v>
      </c>
      <c r="F359" s="166" t="s">
        <v>6</v>
      </c>
      <c r="G359" s="9">
        <v>202102012</v>
      </c>
      <c r="H359" s="167" t="s">
        <v>157</v>
      </c>
      <c r="I359" s="167" t="s">
        <v>749</v>
      </c>
      <c r="J359" s="167" t="s">
        <v>750</v>
      </c>
      <c r="K359" s="167" t="s">
        <v>160</v>
      </c>
      <c r="L359" s="167" t="s">
        <v>252</v>
      </c>
      <c r="M359" s="167" t="s">
        <v>6</v>
      </c>
      <c r="N359" s="11">
        <v>0</v>
      </c>
      <c r="O359" s="12" t="str">
        <f>_xlfn.DISPIMG("ID_7B1FBC3D2E8F42D28CA9AC35B8C2D010",1)</f>
        <v>=DISPIMG("ID_7B1FBC3D2E8F42D28CA9AC35B8C2D010",1)</v>
      </c>
      <c r="P359" s="9" t="s">
        <v>751</v>
      </c>
      <c r="Q359" s="11">
        <v>71</v>
      </c>
      <c r="R359" s="78" t="s">
        <v>4674</v>
      </c>
      <c r="S359" s="19" t="s">
        <v>60</v>
      </c>
      <c r="T359" s="9">
        <v>17</v>
      </c>
    </row>
    <row r="360" s="3" customFormat="1" customHeight="1" spans="1:20">
      <c r="A360" s="166" t="s">
        <v>770</v>
      </c>
      <c r="B360" s="166" t="s">
        <v>165</v>
      </c>
      <c r="C360" s="166" t="s">
        <v>771</v>
      </c>
      <c r="D360" s="11">
        <v>13360075847</v>
      </c>
      <c r="E360" s="167" t="s">
        <v>156</v>
      </c>
      <c r="F360" s="166" t="s">
        <v>6</v>
      </c>
      <c r="G360" s="9">
        <v>202102012</v>
      </c>
      <c r="H360" s="167" t="s">
        <v>157</v>
      </c>
      <c r="I360" s="167" t="s">
        <v>773</v>
      </c>
      <c r="J360" s="167" t="s">
        <v>188</v>
      </c>
      <c r="K360" s="167" t="s">
        <v>160</v>
      </c>
      <c r="L360" s="167" t="s">
        <v>516</v>
      </c>
      <c r="M360" s="167" t="s">
        <v>774</v>
      </c>
      <c r="N360" s="167" t="s">
        <v>775</v>
      </c>
      <c r="O360" s="12" t="str">
        <f>_xlfn.DISPIMG("ID_F0D9772787374E2C95921274F505EDAD",1)</f>
        <v>=DISPIMG("ID_F0D9772787374E2C95921274F505EDAD",1)</v>
      </c>
      <c r="P360" s="9" t="s">
        <v>776</v>
      </c>
      <c r="Q360" s="11">
        <v>74</v>
      </c>
      <c r="R360" s="78" t="s">
        <v>4675</v>
      </c>
      <c r="S360" s="19" t="s">
        <v>60</v>
      </c>
      <c r="T360" s="9">
        <v>20</v>
      </c>
    </row>
    <row r="361" s="3" customFormat="1" customHeight="1" spans="1:20">
      <c r="A361" s="166" t="s">
        <v>1076</v>
      </c>
      <c r="B361" s="166" t="s">
        <v>165</v>
      </c>
      <c r="C361" s="166" t="s">
        <v>1077</v>
      </c>
      <c r="D361" s="11">
        <v>18870203440</v>
      </c>
      <c r="E361" s="167" t="s">
        <v>156</v>
      </c>
      <c r="F361" s="166" t="s">
        <v>6</v>
      </c>
      <c r="G361" s="9">
        <v>202102012</v>
      </c>
      <c r="H361" s="167" t="s">
        <v>157</v>
      </c>
      <c r="I361" s="167" t="s">
        <v>1079</v>
      </c>
      <c r="J361" s="167" t="s">
        <v>1080</v>
      </c>
      <c r="K361" s="167" t="s">
        <v>160</v>
      </c>
      <c r="L361" s="167" t="s">
        <v>235</v>
      </c>
      <c r="M361" s="167" t="s">
        <v>413</v>
      </c>
      <c r="N361" s="167" t="s">
        <v>1081</v>
      </c>
      <c r="O361" s="12" t="str">
        <f>_xlfn.DISPIMG("ID_78C412614C7B42A0AA2A4D942DD9F1A2",1)</f>
        <v>=DISPIMG("ID_78C412614C7B42A0AA2A4D942DD9F1A2",1)</v>
      </c>
      <c r="P361" s="9" t="s">
        <v>1082</v>
      </c>
      <c r="Q361" s="11">
        <v>112</v>
      </c>
      <c r="R361" s="78" t="s">
        <v>4676</v>
      </c>
      <c r="S361" s="19" t="s">
        <v>60</v>
      </c>
      <c r="T361" s="9">
        <v>29</v>
      </c>
    </row>
    <row r="362" s="3" customFormat="1" customHeight="1" spans="1:20">
      <c r="A362" s="166" t="s">
        <v>1135</v>
      </c>
      <c r="B362" s="166" t="s">
        <v>165</v>
      </c>
      <c r="C362" s="166" t="s">
        <v>1136</v>
      </c>
      <c r="D362" s="11">
        <v>13767277916</v>
      </c>
      <c r="E362" s="167" t="s">
        <v>506</v>
      </c>
      <c r="F362" s="166" t="s">
        <v>6</v>
      </c>
      <c r="G362" s="9">
        <v>202102021</v>
      </c>
      <c r="H362" s="167" t="s">
        <v>279</v>
      </c>
      <c r="I362" s="167" t="s">
        <v>158</v>
      </c>
      <c r="J362" s="167" t="s">
        <v>1138</v>
      </c>
      <c r="K362" s="167" t="s">
        <v>170</v>
      </c>
      <c r="L362" s="167" t="s">
        <v>673</v>
      </c>
      <c r="M362" s="167" t="s">
        <v>6</v>
      </c>
      <c r="N362" s="167" t="s">
        <v>1139</v>
      </c>
      <c r="O362" s="12" t="str">
        <f>_xlfn.DISPIMG("ID_18B5B97762B948069F50AE4DD03BA465",1)</f>
        <v>=DISPIMG("ID_18B5B97762B948069F50AE4DD03BA465",1)</v>
      </c>
      <c r="P362" s="9" t="s">
        <v>1140</v>
      </c>
      <c r="Q362" s="11">
        <v>119</v>
      </c>
      <c r="R362" s="78" t="s">
        <v>4677</v>
      </c>
      <c r="S362" s="19" t="s">
        <v>60</v>
      </c>
      <c r="T362" s="9">
        <v>4</v>
      </c>
    </row>
    <row r="363" s="3" customFormat="1" customHeight="1" spans="1:20">
      <c r="A363" s="166" t="s">
        <v>1227</v>
      </c>
      <c r="B363" s="166" t="s">
        <v>165</v>
      </c>
      <c r="C363" s="166" t="s">
        <v>1228</v>
      </c>
      <c r="D363" s="11">
        <v>18279868722</v>
      </c>
      <c r="E363" s="167" t="s">
        <v>156</v>
      </c>
      <c r="F363" s="166" t="s">
        <v>6</v>
      </c>
      <c r="G363" s="9">
        <v>202102012</v>
      </c>
      <c r="H363" s="167" t="s">
        <v>279</v>
      </c>
      <c r="I363" s="167" t="s">
        <v>168</v>
      </c>
      <c r="J363" s="167" t="s">
        <v>1138</v>
      </c>
      <c r="K363" s="167" t="s">
        <v>170</v>
      </c>
      <c r="L363" s="167" t="s">
        <v>368</v>
      </c>
      <c r="M363" s="167" t="s">
        <v>498</v>
      </c>
      <c r="N363" s="167" t="s">
        <v>1230</v>
      </c>
      <c r="O363" s="12" t="str">
        <f>_xlfn.DISPIMG("ID_F7BC6213D6E44840BB6BEB26E73F83E9",1)</f>
        <v>=DISPIMG("ID_F7BC6213D6E44840BB6BEB26E73F83E9",1)</v>
      </c>
      <c r="P363" s="9" t="s">
        <v>1231</v>
      </c>
      <c r="Q363" s="11">
        <v>130</v>
      </c>
      <c r="R363" s="78" t="s">
        <v>4678</v>
      </c>
      <c r="S363" s="19" t="s">
        <v>60</v>
      </c>
      <c r="T363" s="9">
        <v>9</v>
      </c>
    </row>
    <row r="364" s="3" customFormat="1" customHeight="1" spans="1:20">
      <c r="A364" s="166" t="s">
        <v>1068</v>
      </c>
      <c r="B364" s="166" t="s">
        <v>165</v>
      </c>
      <c r="C364" s="166" t="s">
        <v>1069</v>
      </c>
      <c r="D364" s="11">
        <v>18279237136</v>
      </c>
      <c r="E364" s="167" t="s">
        <v>506</v>
      </c>
      <c r="F364" s="166" t="s">
        <v>6</v>
      </c>
      <c r="G364" s="9">
        <v>202102021</v>
      </c>
      <c r="H364" s="167" t="s">
        <v>157</v>
      </c>
      <c r="I364" s="167" t="s">
        <v>1071</v>
      </c>
      <c r="J364" s="167" t="s">
        <v>454</v>
      </c>
      <c r="K364" s="167" t="s">
        <v>160</v>
      </c>
      <c r="L364" s="167" t="s">
        <v>161</v>
      </c>
      <c r="M364" s="167" t="s">
        <v>413</v>
      </c>
      <c r="N364" s="167" t="s">
        <v>1072</v>
      </c>
      <c r="O364" s="12" t="str">
        <f>_xlfn.DISPIMG("ID_4A5DEA3E498746E9A9AC483CF4ABDF91",1)</f>
        <v>=DISPIMG("ID_4A5DEA3E498746E9A9AC483CF4ABDF91",1)</v>
      </c>
      <c r="P364" s="9" t="s">
        <v>1073</v>
      </c>
      <c r="Q364" s="11">
        <v>137</v>
      </c>
      <c r="R364" s="78" t="s">
        <v>4679</v>
      </c>
      <c r="S364" s="19" t="s">
        <v>60</v>
      </c>
      <c r="T364" s="9">
        <v>16</v>
      </c>
    </row>
    <row r="365" s="3" customFormat="1" customHeight="1" spans="1:20">
      <c r="A365" s="166" t="s">
        <v>1336</v>
      </c>
      <c r="B365" s="166" t="s">
        <v>165</v>
      </c>
      <c r="C365" s="166" t="s">
        <v>1337</v>
      </c>
      <c r="D365" s="11">
        <v>15827758062</v>
      </c>
      <c r="E365" s="167" t="s">
        <v>506</v>
      </c>
      <c r="F365" s="166" t="s">
        <v>6</v>
      </c>
      <c r="G365" s="9">
        <v>202102021</v>
      </c>
      <c r="H365" s="167" t="s">
        <v>157</v>
      </c>
      <c r="I365" s="167" t="s">
        <v>909</v>
      </c>
      <c r="J365" s="167" t="s">
        <v>323</v>
      </c>
      <c r="K365" s="167" t="s">
        <v>170</v>
      </c>
      <c r="L365" s="167" t="s">
        <v>235</v>
      </c>
      <c r="M365" s="167" t="s">
        <v>1339</v>
      </c>
      <c r="N365" s="167" t="s">
        <v>1340</v>
      </c>
      <c r="O365" s="12" t="str">
        <f>_xlfn.DISPIMG("ID_59602C342648425A87CF8C12540A5579",1)</f>
        <v>=DISPIMG("ID_59602C342648425A87CF8C12540A5579",1)</v>
      </c>
      <c r="P365" s="9" t="s">
        <v>1341</v>
      </c>
      <c r="Q365" s="11">
        <v>145</v>
      </c>
      <c r="R365" s="78" t="s">
        <v>4680</v>
      </c>
      <c r="S365" s="19" t="s">
        <v>60</v>
      </c>
      <c r="T365" s="9">
        <v>21</v>
      </c>
    </row>
    <row r="366" s="3" customFormat="1" customHeight="1" spans="1:20">
      <c r="A366" s="166" t="s">
        <v>1622</v>
      </c>
      <c r="B366" s="166" t="s">
        <v>165</v>
      </c>
      <c r="C366" s="166" t="s">
        <v>1623</v>
      </c>
      <c r="D366" s="11">
        <v>15170969760</v>
      </c>
      <c r="E366" s="167" t="s">
        <v>506</v>
      </c>
      <c r="F366" s="166" t="s">
        <v>6</v>
      </c>
      <c r="G366" s="9">
        <v>202102021</v>
      </c>
      <c r="H366" s="167" t="s">
        <v>157</v>
      </c>
      <c r="I366" s="167" t="s">
        <v>1625</v>
      </c>
      <c r="J366" s="167" t="s">
        <v>750</v>
      </c>
      <c r="K366" s="167" t="s">
        <v>160</v>
      </c>
      <c r="L366" s="167" t="s">
        <v>1089</v>
      </c>
      <c r="M366" s="167" t="s">
        <v>6</v>
      </c>
      <c r="N366" s="167" t="s">
        <v>1626</v>
      </c>
      <c r="O366" s="12" t="str">
        <f>_xlfn.DISPIMG("ID_F5B5B7553FD14A38A3CEAB4A3171FC0C",1)</f>
        <v>=DISPIMG("ID_F5B5B7553FD14A38A3CEAB4A3171FC0C",1)</v>
      </c>
      <c r="P366" s="9" t="s">
        <v>1627</v>
      </c>
      <c r="Q366" s="11">
        <v>182</v>
      </c>
      <c r="R366" s="78" t="s">
        <v>4681</v>
      </c>
      <c r="S366" s="19" t="s">
        <v>60</v>
      </c>
      <c r="T366" s="9">
        <v>28</v>
      </c>
    </row>
    <row r="367" s="3" customFormat="1" customHeight="1" spans="1:20">
      <c r="A367" s="166" t="s">
        <v>1798</v>
      </c>
      <c r="B367" s="166" t="s">
        <v>165</v>
      </c>
      <c r="C367" s="166" t="s">
        <v>1799</v>
      </c>
      <c r="D367" s="11">
        <v>18070223507</v>
      </c>
      <c r="E367" s="167" t="s">
        <v>506</v>
      </c>
      <c r="F367" s="166" t="s">
        <v>6</v>
      </c>
      <c r="G367" s="9">
        <v>202102021</v>
      </c>
      <c r="H367" s="167" t="s">
        <v>157</v>
      </c>
      <c r="I367" s="167" t="s">
        <v>1801</v>
      </c>
      <c r="J367" s="167" t="s">
        <v>1802</v>
      </c>
      <c r="K367" s="167" t="s">
        <v>160</v>
      </c>
      <c r="L367" s="167" t="s">
        <v>161</v>
      </c>
      <c r="M367" s="167" t="s">
        <v>6</v>
      </c>
      <c r="N367" s="167" t="s">
        <v>1803</v>
      </c>
      <c r="O367" s="12" t="str">
        <f>_xlfn.DISPIMG("ID_054E9F37DEBB4C16973D352603A54499",1)</f>
        <v>=DISPIMG("ID_054E9F37DEBB4C16973D352603A54499",1)</v>
      </c>
      <c r="P367" s="9" t="s">
        <v>1804</v>
      </c>
      <c r="Q367" s="11">
        <v>205</v>
      </c>
      <c r="R367" s="78" t="s">
        <v>4682</v>
      </c>
      <c r="S367" s="19" t="s">
        <v>60</v>
      </c>
      <c r="T367" s="9">
        <v>3</v>
      </c>
    </row>
    <row r="368" s="3" customFormat="1" customHeight="1" spans="1:20">
      <c r="A368" s="166" t="s">
        <v>2233</v>
      </c>
      <c r="B368" s="166" t="s">
        <v>165</v>
      </c>
      <c r="C368" s="166" t="s">
        <v>2234</v>
      </c>
      <c r="D368" s="11">
        <v>18279238026</v>
      </c>
      <c r="E368" s="167" t="s">
        <v>156</v>
      </c>
      <c r="F368" s="166" t="s">
        <v>6</v>
      </c>
      <c r="G368" s="9">
        <v>202102012</v>
      </c>
      <c r="H368" s="167" t="s">
        <v>157</v>
      </c>
      <c r="I368" s="167" t="s">
        <v>2236</v>
      </c>
      <c r="J368" s="167" t="s">
        <v>188</v>
      </c>
      <c r="K368" s="167" t="s">
        <v>160</v>
      </c>
      <c r="L368" s="167" t="s">
        <v>516</v>
      </c>
      <c r="M368" s="167" t="s">
        <v>18</v>
      </c>
      <c r="N368" s="11">
        <v>0</v>
      </c>
      <c r="O368" s="12" t="str">
        <f>_xlfn.DISPIMG("ID_B83409D3E833484EAA2409A5675BAA5D",1)</f>
        <v>=DISPIMG("ID_B83409D3E833484EAA2409A5675BAA5D",1)</v>
      </c>
      <c r="P368" s="9" t="s">
        <v>2237</v>
      </c>
      <c r="Q368" s="11">
        <v>263</v>
      </c>
      <c r="R368" s="78" t="s">
        <v>4683</v>
      </c>
      <c r="S368" s="19" t="s">
        <v>60</v>
      </c>
      <c r="T368" s="9">
        <v>10</v>
      </c>
    </row>
    <row r="369" s="3" customFormat="1" customHeight="1" spans="1:20">
      <c r="A369" s="166" t="s">
        <v>2264</v>
      </c>
      <c r="B369" s="166" t="s">
        <v>153</v>
      </c>
      <c r="C369" s="166" t="s">
        <v>2265</v>
      </c>
      <c r="D369" s="11">
        <v>13755257750</v>
      </c>
      <c r="E369" s="167" t="s">
        <v>506</v>
      </c>
      <c r="F369" s="166" t="s">
        <v>6</v>
      </c>
      <c r="G369" s="9">
        <v>202102021</v>
      </c>
      <c r="H369" s="167" t="s">
        <v>157</v>
      </c>
      <c r="I369" s="167" t="s">
        <v>2267</v>
      </c>
      <c r="J369" s="167" t="s">
        <v>2268</v>
      </c>
      <c r="K369" s="167" t="s">
        <v>160</v>
      </c>
      <c r="L369" s="167" t="s">
        <v>161</v>
      </c>
      <c r="M369" s="167" t="s">
        <v>2269</v>
      </c>
      <c r="N369" s="11">
        <v>0</v>
      </c>
      <c r="O369" s="12" t="str">
        <f>_xlfn.DISPIMG("ID_73D56986F7DE44CDB5B00B7AF01CF017",1)</f>
        <v>=DISPIMG("ID_73D56986F7DE44CDB5B00B7AF01CF017",1)</v>
      </c>
      <c r="P369" s="9" t="s">
        <v>2270</v>
      </c>
      <c r="Q369" s="11">
        <v>267</v>
      </c>
      <c r="R369" s="78" t="s">
        <v>4684</v>
      </c>
      <c r="S369" s="19" t="s">
        <v>60</v>
      </c>
      <c r="T369" s="9">
        <v>15</v>
      </c>
    </row>
    <row r="370" s="3" customFormat="1" customHeight="1" spans="1:20">
      <c r="A370" s="166" t="s">
        <v>2316</v>
      </c>
      <c r="B370" s="166" t="s">
        <v>165</v>
      </c>
      <c r="C370" s="166" t="s">
        <v>2317</v>
      </c>
      <c r="D370" s="11">
        <v>18790256284</v>
      </c>
      <c r="E370" s="167" t="s">
        <v>156</v>
      </c>
      <c r="F370" s="166" t="s">
        <v>6</v>
      </c>
      <c r="G370" s="9">
        <v>202102012</v>
      </c>
      <c r="H370" s="167" t="s">
        <v>157</v>
      </c>
      <c r="I370" s="167" t="s">
        <v>403</v>
      </c>
      <c r="J370" s="167" t="s">
        <v>207</v>
      </c>
      <c r="K370" s="167" t="s">
        <v>160</v>
      </c>
      <c r="L370" s="167" t="s">
        <v>161</v>
      </c>
      <c r="M370" s="167" t="s">
        <v>1156</v>
      </c>
      <c r="N370" s="167" t="s">
        <v>2319</v>
      </c>
      <c r="O370" s="12" t="str">
        <f>_xlfn.DISPIMG("ID_CE4D4038789D4DF1AB53AB5B07B379E6",1)</f>
        <v>=DISPIMG("ID_CE4D4038789D4DF1AB53AB5B07B379E6",1)</v>
      </c>
      <c r="P370" s="9" t="s">
        <v>2320</v>
      </c>
      <c r="Q370" s="11">
        <v>274</v>
      </c>
      <c r="R370" s="78" t="s">
        <v>4685</v>
      </c>
      <c r="S370" s="19" t="s">
        <v>60</v>
      </c>
      <c r="T370" s="9">
        <v>22</v>
      </c>
    </row>
    <row r="371" s="3" customFormat="1" customHeight="1" spans="1:20">
      <c r="A371" s="166" t="s">
        <v>2643</v>
      </c>
      <c r="B371" s="166" t="s">
        <v>165</v>
      </c>
      <c r="C371" s="166" t="s">
        <v>2644</v>
      </c>
      <c r="D371" s="11">
        <v>15779267017</v>
      </c>
      <c r="E371" s="167" t="s">
        <v>156</v>
      </c>
      <c r="F371" s="166" t="s">
        <v>6</v>
      </c>
      <c r="G371" s="9">
        <v>202102012</v>
      </c>
      <c r="H371" s="167" t="s">
        <v>157</v>
      </c>
      <c r="I371" s="167" t="s">
        <v>2646</v>
      </c>
      <c r="J371" s="167" t="s">
        <v>2647</v>
      </c>
      <c r="K371" s="167" t="s">
        <v>160</v>
      </c>
      <c r="L371" s="167" t="s">
        <v>306</v>
      </c>
      <c r="M371" s="167" t="s">
        <v>18</v>
      </c>
      <c r="N371" s="167" t="s">
        <v>2648</v>
      </c>
      <c r="O371" s="12" t="str">
        <f>_xlfn.DISPIMG("ID_5444703683DB4591A53B76ECB3D8FAE4",1)</f>
        <v>=DISPIMG("ID_5444703683DB4591A53B76ECB3D8FAE4",1)</v>
      </c>
      <c r="P371" s="9" t="s">
        <v>2649</v>
      </c>
      <c r="Q371" s="11">
        <v>318</v>
      </c>
      <c r="R371" s="78" t="s">
        <v>4686</v>
      </c>
      <c r="S371" s="19" t="s">
        <v>60</v>
      </c>
      <c r="T371" s="9">
        <v>27</v>
      </c>
    </row>
    <row r="372" s="3" customFormat="1" customHeight="1" spans="1:20">
      <c r="A372" s="166" t="s">
        <v>2705</v>
      </c>
      <c r="B372" s="166" t="s">
        <v>165</v>
      </c>
      <c r="C372" s="166" t="s">
        <v>2706</v>
      </c>
      <c r="D372" s="11">
        <v>18879206969</v>
      </c>
      <c r="E372" s="167" t="s">
        <v>156</v>
      </c>
      <c r="F372" s="166" t="s">
        <v>6</v>
      </c>
      <c r="G372" s="9">
        <v>202102012</v>
      </c>
      <c r="H372" s="167" t="s">
        <v>157</v>
      </c>
      <c r="I372" s="167" t="s">
        <v>2708</v>
      </c>
      <c r="J372" s="167" t="s">
        <v>750</v>
      </c>
      <c r="K372" s="167" t="s">
        <v>160</v>
      </c>
      <c r="L372" s="167" t="s">
        <v>216</v>
      </c>
      <c r="M372" s="167" t="s">
        <v>18</v>
      </c>
      <c r="N372" s="11">
        <v>0</v>
      </c>
      <c r="O372" s="12" t="str">
        <f>_xlfn.DISPIMG("ID_4ECDECBC23404DF3A6E316268C69D43E",1)</f>
        <v>=DISPIMG("ID_4ECDECBC23404DF3A6E316268C69D43E",1)</v>
      </c>
      <c r="P372" s="9" t="s">
        <v>2709</v>
      </c>
      <c r="Q372" s="11">
        <v>326</v>
      </c>
      <c r="R372" s="78" t="s">
        <v>4687</v>
      </c>
      <c r="S372" s="19" t="s">
        <v>60</v>
      </c>
      <c r="T372" s="9">
        <v>2</v>
      </c>
    </row>
    <row r="373" s="3" customFormat="1" customHeight="1" spans="1:20">
      <c r="A373" s="166" t="s">
        <v>2718</v>
      </c>
      <c r="B373" s="166" t="s">
        <v>153</v>
      </c>
      <c r="C373" s="166" t="s">
        <v>2719</v>
      </c>
      <c r="D373" s="11">
        <v>15779215230</v>
      </c>
      <c r="E373" s="167" t="s">
        <v>156</v>
      </c>
      <c r="F373" s="166" t="s">
        <v>6</v>
      </c>
      <c r="G373" s="9">
        <v>202102012</v>
      </c>
      <c r="H373" s="167" t="s">
        <v>157</v>
      </c>
      <c r="I373" s="167" t="s">
        <v>168</v>
      </c>
      <c r="J373" s="167" t="s">
        <v>2721</v>
      </c>
      <c r="K373" s="167" t="s">
        <v>160</v>
      </c>
      <c r="L373" s="167" t="s">
        <v>455</v>
      </c>
      <c r="M373" s="167" t="s">
        <v>18</v>
      </c>
      <c r="N373" s="167" t="s">
        <v>2722</v>
      </c>
      <c r="O373" s="12" t="str">
        <f>_xlfn.DISPIMG("ID_2B62698B077F4147874AB6F7E19938E7",1)</f>
        <v>=DISPIMG("ID_2B62698B077F4147874AB6F7E19938E7",1)</v>
      </c>
      <c r="P373" s="9" t="s">
        <v>2723</v>
      </c>
      <c r="Q373" s="11">
        <v>328</v>
      </c>
      <c r="R373" s="78" t="s">
        <v>4688</v>
      </c>
      <c r="S373" s="19" t="s">
        <v>60</v>
      </c>
      <c r="T373" s="9">
        <v>11</v>
      </c>
    </row>
    <row r="374" s="3" customFormat="1" customHeight="1" spans="1:20">
      <c r="A374" s="166" t="s">
        <v>2922</v>
      </c>
      <c r="B374" s="166" t="s">
        <v>165</v>
      </c>
      <c r="C374" s="166" t="s">
        <v>2923</v>
      </c>
      <c r="D374" s="11">
        <v>18079240698</v>
      </c>
      <c r="E374" s="167" t="s">
        <v>156</v>
      </c>
      <c r="F374" s="166" t="s">
        <v>6</v>
      </c>
      <c r="G374" s="9">
        <v>202102012</v>
      </c>
      <c r="H374" s="167" t="s">
        <v>157</v>
      </c>
      <c r="I374" s="167" t="s">
        <v>322</v>
      </c>
      <c r="J374" s="167" t="s">
        <v>2268</v>
      </c>
      <c r="K374" s="167" t="s">
        <v>160</v>
      </c>
      <c r="L374" s="167" t="s">
        <v>455</v>
      </c>
      <c r="M374" s="167" t="s">
        <v>2925</v>
      </c>
      <c r="N374" s="11">
        <v>0</v>
      </c>
      <c r="O374" s="12" t="str">
        <f>_xlfn.DISPIMG("ID_40B4A1C67261465298C744E0F0D93767",1)</f>
        <v>=DISPIMG("ID_40B4A1C67261465298C744E0F0D93767",1)</v>
      </c>
      <c r="P374" s="9" t="s">
        <v>2926</v>
      </c>
      <c r="Q374" s="11">
        <v>356</v>
      </c>
      <c r="R374" s="78" t="s">
        <v>4689</v>
      </c>
      <c r="S374" s="19" t="s">
        <v>60</v>
      </c>
      <c r="T374" s="9">
        <v>14</v>
      </c>
    </row>
    <row r="375" s="3" customFormat="1" customHeight="1" spans="1:20">
      <c r="A375" s="166" t="s">
        <v>3091</v>
      </c>
      <c r="B375" s="166" t="s">
        <v>165</v>
      </c>
      <c r="C375" s="166" t="s">
        <v>3092</v>
      </c>
      <c r="D375" s="11">
        <v>18679162461</v>
      </c>
      <c r="E375" s="167" t="s">
        <v>156</v>
      </c>
      <c r="F375" s="166" t="s">
        <v>6</v>
      </c>
      <c r="G375" s="9">
        <v>202102012</v>
      </c>
      <c r="H375" s="167" t="s">
        <v>157</v>
      </c>
      <c r="I375" s="167" t="s">
        <v>3094</v>
      </c>
      <c r="J375" s="167" t="s">
        <v>3095</v>
      </c>
      <c r="K375" s="167" t="s">
        <v>160</v>
      </c>
      <c r="L375" s="167" t="s">
        <v>171</v>
      </c>
      <c r="M375" s="167" t="s">
        <v>18</v>
      </c>
      <c r="N375" s="167" t="s">
        <v>3096</v>
      </c>
      <c r="O375" s="12" t="str">
        <f>_xlfn.DISPIMG("ID_26230D3A7A254FB387523A67FAC705F7",1)</f>
        <v>=DISPIMG("ID_26230D3A7A254FB387523A67FAC705F7",1)</v>
      </c>
      <c r="P375" s="9" t="s">
        <v>3097</v>
      </c>
      <c r="Q375" s="11">
        <v>382</v>
      </c>
      <c r="R375" s="78" t="s">
        <v>4690</v>
      </c>
      <c r="S375" s="19" t="s">
        <v>60</v>
      </c>
      <c r="T375" s="9">
        <v>23</v>
      </c>
    </row>
    <row r="376" s="3" customFormat="1" customHeight="1" spans="1:20">
      <c r="A376" s="166" t="s">
        <v>3123</v>
      </c>
      <c r="B376" s="166" t="s">
        <v>165</v>
      </c>
      <c r="C376" s="166" t="s">
        <v>3124</v>
      </c>
      <c r="D376" s="11">
        <v>19979611731</v>
      </c>
      <c r="E376" s="167" t="s">
        <v>156</v>
      </c>
      <c r="F376" s="166" t="s">
        <v>6</v>
      </c>
      <c r="G376" s="9">
        <v>202102012</v>
      </c>
      <c r="H376" s="167" t="s">
        <v>157</v>
      </c>
      <c r="I376" s="167" t="s">
        <v>3126</v>
      </c>
      <c r="J376" s="167" t="s">
        <v>404</v>
      </c>
      <c r="K376" s="167" t="s">
        <v>160</v>
      </c>
      <c r="L376" s="167" t="s">
        <v>199</v>
      </c>
      <c r="M376" s="167" t="s">
        <v>18</v>
      </c>
      <c r="N376" s="11">
        <v>0</v>
      </c>
      <c r="O376" s="12" t="str">
        <f>_xlfn.DISPIMG("ID_A2488CA19AE844B4BBFD68619FFEAA1D",1)</f>
        <v>=DISPIMG("ID_A2488CA19AE844B4BBFD68619FFEAA1D",1)</v>
      </c>
      <c r="P376" s="9" t="s">
        <v>3127</v>
      </c>
      <c r="Q376" s="11">
        <v>386</v>
      </c>
      <c r="R376" s="78" t="s">
        <v>4691</v>
      </c>
      <c r="S376" s="19" t="s">
        <v>60</v>
      </c>
      <c r="T376" s="9">
        <v>26</v>
      </c>
    </row>
    <row r="377" s="3" customFormat="1" customHeight="1" spans="1:20">
      <c r="A377" s="166" t="s">
        <v>3366</v>
      </c>
      <c r="B377" s="166" t="s">
        <v>153</v>
      </c>
      <c r="C377" s="166" t="s">
        <v>3367</v>
      </c>
      <c r="D377" s="11">
        <v>13755682208</v>
      </c>
      <c r="E377" s="167" t="s">
        <v>506</v>
      </c>
      <c r="F377" s="166" t="s">
        <v>6</v>
      </c>
      <c r="G377" s="9">
        <v>202102021</v>
      </c>
      <c r="H377" s="167" t="s">
        <v>279</v>
      </c>
      <c r="I377" s="167" t="s">
        <v>178</v>
      </c>
      <c r="J377" s="167" t="s">
        <v>1138</v>
      </c>
      <c r="K377" s="167" t="s">
        <v>170</v>
      </c>
      <c r="L377" s="167" t="s">
        <v>216</v>
      </c>
      <c r="M377" s="167" t="s">
        <v>3369</v>
      </c>
      <c r="N377" s="167" t="s">
        <v>3370</v>
      </c>
      <c r="O377" s="12" t="str">
        <f>_xlfn.DISPIMG("ID_5C988A3540504C69ADD9A8ABF15446E0",1)</f>
        <v>=DISPIMG("ID_5C988A3540504C69ADD9A8ABF15446E0",1)</v>
      </c>
      <c r="P377" s="9" t="s">
        <v>3371</v>
      </c>
      <c r="Q377" s="11">
        <v>424</v>
      </c>
      <c r="R377" s="78" t="s">
        <v>4692</v>
      </c>
      <c r="S377" s="19" t="s">
        <v>60</v>
      </c>
      <c r="T377" s="9">
        <v>1</v>
      </c>
    </row>
    <row r="378" s="3" customFormat="1" customHeight="1" spans="1:20">
      <c r="A378" s="166" t="s">
        <v>3423</v>
      </c>
      <c r="B378" s="166" t="s">
        <v>165</v>
      </c>
      <c r="C378" s="166" t="s">
        <v>3424</v>
      </c>
      <c r="D378" s="11">
        <v>18720214779</v>
      </c>
      <c r="E378" s="167" t="s">
        <v>156</v>
      </c>
      <c r="F378" s="166" t="s">
        <v>6</v>
      </c>
      <c r="G378" s="9">
        <v>202102012</v>
      </c>
      <c r="H378" s="167" t="s">
        <v>157</v>
      </c>
      <c r="I378" s="167" t="s">
        <v>1424</v>
      </c>
      <c r="J378" s="167" t="s">
        <v>404</v>
      </c>
      <c r="K378" s="167" t="s">
        <v>160</v>
      </c>
      <c r="L378" s="167" t="s">
        <v>171</v>
      </c>
      <c r="M378" s="167" t="s">
        <v>18</v>
      </c>
      <c r="N378" s="167" t="s">
        <v>3425</v>
      </c>
      <c r="O378" s="12" t="str">
        <f>_xlfn.DISPIMG("ID_F35EB404C32C41B8B6B9DFFF6A73D9A8",1)</f>
        <v>=DISPIMG("ID_F35EB404C32C41B8B6B9DFFF6A73D9A8",1)</v>
      </c>
      <c r="P378" s="9" t="s">
        <v>3426</v>
      </c>
      <c r="Q378" s="11">
        <v>432</v>
      </c>
      <c r="R378" s="78" t="s">
        <v>4693</v>
      </c>
      <c r="S378" s="19" t="s">
        <v>60</v>
      </c>
      <c r="T378" s="9">
        <v>12</v>
      </c>
    </row>
    <row r="379" s="3" customFormat="1" customHeight="1" spans="1:20">
      <c r="A379" s="166" t="s">
        <v>3450</v>
      </c>
      <c r="B379" s="166" t="s">
        <v>165</v>
      </c>
      <c r="C379" s="166" t="s">
        <v>3451</v>
      </c>
      <c r="D379" s="11">
        <v>13122970585</v>
      </c>
      <c r="E379" s="167" t="s">
        <v>156</v>
      </c>
      <c r="F379" s="166" t="s">
        <v>6</v>
      </c>
      <c r="G379" s="9">
        <v>202102012</v>
      </c>
      <c r="H379" s="167" t="s">
        <v>157</v>
      </c>
      <c r="I379" s="167" t="s">
        <v>3453</v>
      </c>
      <c r="J379" s="167" t="s">
        <v>323</v>
      </c>
      <c r="K379" s="167" t="s">
        <v>170</v>
      </c>
      <c r="L379" s="167" t="s">
        <v>396</v>
      </c>
      <c r="M379" s="167" t="s">
        <v>2244</v>
      </c>
      <c r="N379" s="167" t="s">
        <v>3454</v>
      </c>
      <c r="O379" s="12" t="str">
        <f>_xlfn.DISPIMG("ID_75AF34168E0448D4A462EFA2E90CB632",1)</f>
        <v>=DISPIMG("ID_75AF34168E0448D4A462EFA2E90CB632",1)</v>
      </c>
      <c r="P379" s="9" t="s">
        <v>3455</v>
      </c>
      <c r="Q379" s="11">
        <v>436</v>
      </c>
      <c r="R379" s="78" t="s">
        <v>4694</v>
      </c>
      <c r="S379" s="19" t="s">
        <v>60</v>
      </c>
      <c r="T379" s="9">
        <v>13</v>
      </c>
    </row>
    <row r="380" s="3" customFormat="1" customHeight="1" spans="1:20">
      <c r="A380" s="166" t="s">
        <v>3466</v>
      </c>
      <c r="B380" s="166" t="s">
        <v>165</v>
      </c>
      <c r="C380" s="166" t="s">
        <v>3467</v>
      </c>
      <c r="D380" s="11">
        <v>15879126790</v>
      </c>
      <c r="E380" s="167" t="s">
        <v>156</v>
      </c>
      <c r="F380" s="166" t="s">
        <v>6</v>
      </c>
      <c r="G380" s="9">
        <v>202102012</v>
      </c>
      <c r="H380" s="167" t="s">
        <v>157</v>
      </c>
      <c r="I380" s="167" t="s">
        <v>901</v>
      </c>
      <c r="J380" s="167" t="s">
        <v>188</v>
      </c>
      <c r="K380" s="167" t="s">
        <v>160</v>
      </c>
      <c r="L380" s="167" t="s">
        <v>281</v>
      </c>
      <c r="M380" s="167" t="s">
        <v>1579</v>
      </c>
      <c r="N380" s="167" t="s">
        <v>3469</v>
      </c>
      <c r="O380" s="12" t="str">
        <f>_xlfn.DISPIMG("ID_F4E1B2AC46944606B0ACE14F8CC9918C",1)</f>
        <v>=DISPIMG("ID_F4E1B2AC46944606B0ACE14F8CC9918C",1)</v>
      </c>
      <c r="P380" s="9" t="s">
        <v>3470</v>
      </c>
      <c r="Q380" s="11">
        <v>438</v>
      </c>
      <c r="R380" s="78" t="s">
        <v>4695</v>
      </c>
      <c r="S380" s="19" t="s">
        <v>60</v>
      </c>
      <c r="T380" s="9">
        <v>24</v>
      </c>
    </row>
    <row r="381" s="3" customFormat="1" customHeight="1" spans="1:20">
      <c r="A381" s="166" t="s">
        <v>3630</v>
      </c>
      <c r="B381" s="166" t="s">
        <v>153</v>
      </c>
      <c r="C381" s="166" t="s">
        <v>3631</v>
      </c>
      <c r="D381" s="11">
        <v>19979468695</v>
      </c>
      <c r="E381" s="167" t="s">
        <v>506</v>
      </c>
      <c r="F381" s="166" t="s">
        <v>6</v>
      </c>
      <c r="G381" s="9">
        <v>202102021</v>
      </c>
      <c r="H381" s="167" t="s">
        <v>157</v>
      </c>
      <c r="I381" s="167" t="s">
        <v>3633</v>
      </c>
      <c r="J381" s="167" t="s">
        <v>323</v>
      </c>
      <c r="K381" s="167" t="s">
        <v>170</v>
      </c>
      <c r="L381" s="167" t="s">
        <v>171</v>
      </c>
      <c r="M381" s="167" t="s">
        <v>3634</v>
      </c>
      <c r="N381" s="167" t="s">
        <v>3635</v>
      </c>
      <c r="O381" s="12" t="str">
        <f>_xlfn.DISPIMG("ID_7CE83E02BD574BEF88ED6441327C41EF",1)</f>
        <v>=DISPIMG("ID_7CE83E02BD574BEF88ED6441327C41EF",1)</v>
      </c>
      <c r="P381" s="9" t="s">
        <v>3636</v>
      </c>
      <c r="Q381" s="11">
        <v>462</v>
      </c>
      <c r="R381" s="78" t="s">
        <v>4696</v>
      </c>
      <c r="S381" s="19" t="s">
        <v>60</v>
      </c>
      <c r="T381" s="9">
        <v>25</v>
      </c>
    </row>
    <row r="382" s="3" customFormat="1" customHeight="1" spans="1:20">
      <c r="A382" s="166" t="s">
        <v>3743</v>
      </c>
      <c r="B382" s="166" t="s">
        <v>165</v>
      </c>
      <c r="C382" s="166" t="s">
        <v>3744</v>
      </c>
      <c r="D382" s="11">
        <v>15679201300</v>
      </c>
      <c r="E382" s="167" t="s">
        <v>156</v>
      </c>
      <c r="F382" s="166" t="s">
        <v>6</v>
      </c>
      <c r="G382" s="9">
        <v>202102012</v>
      </c>
      <c r="H382" s="167" t="s">
        <v>157</v>
      </c>
      <c r="I382" s="167" t="s">
        <v>437</v>
      </c>
      <c r="J382" s="167" t="s">
        <v>3746</v>
      </c>
      <c r="K382" s="167" t="s">
        <v>160</v>
      </c>
      <c r="L382" s="167" t="s">
        <v>216</v>
      </c>
      <c r="M382" s="167" t="s">
        <v>18</v>
      </c>
      <c r="N382" s="167" t="s">
        <v>3747</v>
      </c>
      <c r="O382" s="12" t="str">
        <f>_xlfn.DISPIMG("ID_B41ADE81115D4115B428E62357BC8F70",1)</f>
        <v>=DISPIMG("ID_B41ADE81115D4115B428E62357BC8F70",1)</v>
      </c>
      <c r="P382" s="9" t="s">
        <v>3748</v>
      </c>
      <c r="Q382" s="20">
        <v>477</v>
      </c>
      <c r="R382" s="78" t="s">
        <v>4697</v>
      </c>
      <c r="S382" s="19" t="s">
        <v>62</v>
      </c>
      <c r="T382" s="14">
        <v>6</v>
      </c>
    </row>
    <row r="383" s="3" customFormat="1" customHeight="1" spans="1:20">
      <c r="A383" s="166" t="s">
        <v>3758</v>
      </c>
      <c r="B383" s="166" t="s">
        <v>165</v>
      </c>
      <c r="C383" s="166" t="s">
        <v>3759</v>
      </c>
      <c r="D383" s="11">
        <v>15946993908</v>
      </c>
      <c r="E383" s="167" t="s">
        <v>156</v>
      </c>
      <c r="F383" s="166" t="s">
        <v>6</v>
      </c>
      <c r="G383" s="9">
        <v>202102012</v>
      </c>
      <c r="H383" s="167" t="s">
        <v>157</v>
      </c>
      <c r="I383" s="167" t="s">
        <v>3761</v>
      </c>
      <c r="J383" s="167" t="s">
        <v>404</v>
      </c>
      <c r="K383" s="167" t="s">
        <v>160</v>
      </c>
      <c r="L383" s="167" t="s">
        <v>252</v>
      </c>
      <c r="M383" s="167" t="s">
        <v>6</v>
      </c>
      <c r="N383" s="167" t="s">
        <v>3762</v>
      </c>
      <c r="O383" s="12" t="str">
        <f>_xlfn.DISPIMG("ID_C2F02D4F7B2D4545A16075F83680F752",1)</f>
        <v>=DISPIMG("ID_C2F02D4F7B2D4545A16075F83680F752",1)</v>
      </c>
      <c r="P383" s="9" t="s">
        <v>3763</v>
      </c>
      <c r="Q383" s="11">
        <v>479</v>
      </c>
      <c r="R383" s="78" t="s">
        <v>4701</v>
      </c>
      <c r="S383" s="19" t="s">
        <v>62</v>
      </c>
      <c r="T383" s="14">
        <v>5</v>
      </c>
    </row>
    <row r="384" s="3" customFormat="1" customHeight="1" spans="1:20">
      <c r="A384" s="166" t="s">
        <v>3780</v>
      </c>
      <c r="B384" s="166" t="s">
        <v>165</v>
      </c>
      <c r="C384" s="166" t="s">
        <v>3781</v>
      </c>
      <c r="D384" s="11">
        <v>18372112404</v>
      </c>
      <c r="E384" s="167" t="s">
        <v>156</v>
      </c>
      <c r="F384" s="166" t="s">
        <v>6</v>
      </c>
      <c r="G384" s="9">
        <v>202102012</v>
      </c>
      <c r="H384" s="167" t="s">
        <v>157</v>
      </c>
      <c r="I384" s="167" t="s">
        <v>3783</v>
      </c>
      <c r="J384" s="167" t="s">
        <v>3784</v>
      </c>
      <c r="K384" s="167" t="s">
        <v>160</v>
      </c>
      <c r="L384" s="167" t="s">
        <v>252</v>
      </c>
      <c r="M384" s="167" t="s">
        <v>6</v>
      </c>
      <c r="N384" s="167" t="s">
        <v>3785</v>
      </c>
      <c r="O384" s="12" t="str">
        <f>_xlfn.DISPIMG("ID_D2BC3DB6B6B24D07A1729D0ECE731594",1)</f>
        <v>=DISPIMG("ID_D2BC3DB6B6B24D07A1729D0ECE731594",1)</v>
      </c>
      <c r="P384" s="9" t="s">
        <v>3786</v>
      </c>
      <c r="Q384" s="11">
        <v>482</v>
      </c>
      <c r="R384" s="78" t="s">
        <v>4706</v>
      </c>
      <c r="S384" s="19" t="s">
        <v>62</v>
      </c>
      <c r="T384" s="14">
        <v>4</v>
      </c>
    </row>
    <row r="385" s="3" customFormat="1" customHeight="1" spans="1:20">
      <c r="A385" s="166" t="s">
        <v>3797</v>
      </c>
      <c r="B385" s="166" t="s">
        <v>165</v>
      </c>
      <c r="C385" s="166" t="s">
        <v>3798</v>
      </c>
      <c r="D385" s="11">
        <v>15879245873</v>
      </c>
      <c r="E385" s="167" t="s">
        <v>506</v>
      </c>
      <c r="F385" s="166" t="s">
        <v>6</v>
      </c>
      <c r="G385" s="9">
        <v>202102021</v>
      </c>
      <c r="H385" s="167" t="s">
        <v>157</v>
      </c>
      <c r="I385" s="167" t="s">
        <v>158</v>
      </c>
      <c r="J385" s="167" t="s">
        <v>188</v>
      </c>
      <c r="K385" s="167" t="s">
        <v>160</v>
      </c>
      <c r="L385" s="167" t="s">
        <v>306</v>
      </c>
      <c r="M385" s="167" t="s">
        <v>3800</v>
      </c>
      <c r="N385" s="11">
        <v>0</v>
      </c>
      <c r="O385" s="12" t="str">
        <f>_xlfn.DISPIMG("ID_B80DCC3A028B4FB2A6977287EC2BFAD8",1)</f>
        <v>=DISPIMG("ID_B80DCC3A028B4FB2A6977287EC2BFAD8",1)</v>
      </c>
      <c r="P385" s="9" t="s">
        <v>3801</v>
      </c>
      <c r="Q385" s="11">
        <v>484</v>
      </c>
      <c r="R385" s="78" t="s">
        <v>4711</v>
      </c>
      <c r="S385" s="19" t="s">
        <v>62</v>
      </c>
      <c r="T385" s="14">
        <v>3</v>
      </c>
    </row>
    <row r="386" s="3" customFormat="1" customHeight="1" spans="1:20">
      <c r="A386" s="166" t="s">
        <v>3895</v>
      </c>
      <c r="B386" s="166" t="s">
        <v>165</v>
      </c>
      <c r="C386" s="166" t="s">
        <v>3896</v>
      </c>
      <c r="D386" s="11">
        <v>17859733350</v>
      </c>
      <c r="E386" s="167" t="s">
        <v>156</v>
      </c>
      <c r="F386" s="166" t="s">
        <v>6</v>
      </c>
      <c r="G386" s="9">
        <v>202102012</v>
      </c>
      <c r="H386" s="167" t="s">
        <v>157</v>
      </c>
      <c r="I386" s="167" t="s">
        <v>3898</v>
      </c>
      <c r="J386" s="167" t="s">
        <v>3784</v>
      </c>
      <c r="K386" s="167" t="s">
        <v>160</v>
      </c>
      <c r="L386" s="167" t="s">
        <v>235</v>
      </c>
      <c r="M386" s="167" t="s">
        <v>3899</v>
      </c>
      <c r="N386" s="167" t="s">
        <v>3900</v>
      </c>
      <c r="O386" s="12" t="str">
        <f>_xlfn.DISPIMG("ID_BC241117C250469C89F85CEC4B64E8AA",1)</f>
        <v>=DISPIMG("ID_BC241117C250469C89F85CEC4B64E8AA",1)</v>
      </c>
      <c r="P386" s="9" t="s">
        <v>3901</v>
      </c>
      <c r="Q386" s="20">
        <v>497</v>
      </c>
      <c r="R386" s="78" t="s">
        <v>4716</v>
      </c>
      <c r="S386" s="19" t="s">
        <v>62</v>
      </c>
      <c r="T386" s="14">
        <v>2</v>
      </c>
    </row>
    <row r="387" s="4" customFormat="1" customHeight="1" spans="1:20">
      <c r="A387" s="166" t="s">
        <v>4058</v>
      </c>
      <c r="B387" s="166" t="s">
        <v>165</v>
      </c>
      <c r="C387" s="166" t="s">
        <v>4059</v>
      </c>
      <c r="D387" s="11">
        <v>15679268911</v>
      </c>
      <c r="E387" s="167" t="s">
        <v>156</v>
      </c>
      <c r="F387" s="166" t="s">
        <v>6</v>
      </c>
      <c r="G387" s="9">
        <v>202102022</v>
      </c>
      <c r="H387" s="167" t="s">
        <v>157</v>
      </c>
      <c r="I387" s="167" t="s">
        <v>3054</v>
      </c>
      <c r="J387" s="167" t="s">
        <v>404</v>
      </c>
      <c r="K387" s="167" t="s">
        <v>160</v>
      </c>
      <c r="L387" s="167" t="s">
        <v>261</v>
      </c>
      <c r="M387" s="167" t="s">
        <v>4061</v>
      </c>
      <c r="N387" s="11">
        <v>0</v>
      </c>
      <c r="O387" s="12" t="str">
        <f>_xlfn.DISPIMG("ID_9ECCE1798899427AA809C16B6659E359",1)</f>
        <v>=DISPIMG("ID_9ECCE1798899427AA809C16B6659E359",1)</v>
      </c>
      <c r="P387" s="9" t="s">
        <v>4062</v>
      </c>
      <c r="Q387" s="11">
        <v>519</v>
      </c>
      <c r="R387" s="78" t="s">
        <v>4721</v>
      </c>
      <c r="S387" s="19" t="s">
        <v>62</v>
      </c>
      <c r="T387" s="14">
        <v>1</v>
      </c>
    </row>
    <row r="388" s="3" customFormat="1" customHeight="1" spans="1:20">
      <c r="A388" s="166" t="s">
        <v>164</v>
      </c>
      <c r="B388" s="166" t="s">
        <v>165</v>
      </c>
      <c r="C388" s="166" t="s">
        <v>166</v>
      </c>
      <c r="D388" s="11">
        <v>15879299279</v>
      </c>
      <c r="E388" s="167" t="s">
        <v>156</v>
      </c>
      <c r="F388" s="166" t="s">
        <v>4</v>
      </c>
      <c r="G388" s="9">
        <v>202102005</v>
      </c>
      <c r="H388" s="167" t="s">
        <v>157</v>
      </c>
      <c r="I388" s="167" t="s">
        <v>168</v>
      </c>
      <c r="J388" s="167" t="s">
        <v>169</v>
      </c>
      <c r="K388" s="167" t="s">
        <v>170</v>
      </c>
      <c r="L388" s="167" t="s">
        <v>171</v>
      </c>
      <c r="M388" s="167" t="s">
        <v>4</v>
      </c>
      <c r="N388" s="11">
        <v>0</v>
      </c>
      <c r="O388" s="12" t="str">
        <f>_xlfn.DISPIMG("ID_7D4B330FD7544FC19CF8CAA4A42A6F11",1)</f>
        <v>=DISPIMG("ID_7D4B330FD7544FC19CF8CAA4A42A6F11",1)</v>
      </c>
      <c r="P388" s="9" t="s">
        <v>172</v>
      </c>
      <c r="Q388" s="11">
        <v>3</v>
      </c>
      <c r="R388" s="78" t="s">
        <v>4698</v>
      </c>
      <c r="S388" s="19" t="s">
        <v>62</v>
      </c>
      <c r="T388" s="14">
        <v>7</v>
      </c>
    </row>
    <row r="389" s="3" customFormat="1" customHeight="1" spans="1:20">
      <c r="A389" s="166" t="s">
        <v>1085</v>
      </c>
      <c r="B389" s="166" t="s">
        <v>165</v>
      </c>
      <c r="C389" s="166" t="s">
        <v>1086</v>
      </c>
      <c r="D389" s="11">
        <v>15179282018</v>
      </c>
      <c r="E389" s="167" t="s">
        <v>156</v>
      </c>
      <c r="F389" s="166" t="s">
        <v>4</v>
      </c>
      <c r="G389" s="9">
        <v>202102005</v>
      </c>
      <c r="H389" s="167" t="s">
        <v>279</v>
      </c>
      <c r="I389" s="167" t="s">
        <v>158</v>
      </c>
      <c r="J389" s="167" t="s">
        <v>1088</v>
      </c>
      <c r="K389" s="167" t="s">
        <v>170</v>
      </c>
      <c r="L389" s="167" t="s">
        <v>1089</v>
      </c>
      <c r="M389" s="167" t="s">
        <v>4</v>
      </c>
      <c r="N389" s="167" t="s">
        <v>1090</v>
      </c>
      <c r="O389" s="12" t="str">
        <f>_xlfn.DISPIMG("ID_2B72C85721DF4DA8A46A71B57C490F39",1)</f>
        <v>=DISPIMG("ID_2B72C85721DF4DA8A46A71B57C490F39",1)</v>
      </c>
      <c r="P389" s="9" t="s">
        <v>1091</v>
      </c>
      <c r="Q389" s="11">
        <v>113</v>
      </c>
      <c r="R389" s="78" t="s">
        <v>4699</v>
      </c>
      <c r="S389" s="19" t="s">
        <v>62</v>
      </c>
      <c r="T389" s="14">
        <v>18</v>
      </c>
    </row>
    <row r="390" s="3" customFormat="1" customHeight="1" spans="1:20">
      <c r="A390" s="166" t="s">
        <v>1393</v>
      </c>
      <c r="B390" s="166" t="s">
        <v>165</v>
      </c>
      <c r="C390" s="166" t="s">
        <v>1394</v>
      </c>
      <c r="D390" s="11">
        <v>18807004721</v>
      </c>
      <c r="E390" s="167" t="s">
        <v>156</v>
      </c>
      <c r="F390" s="166" t="s">
        <v>4</v>
      </c>
      <c r="G390" s="9">
        <v>202102005</v>
      </c>
      <c r="H390" s="167" t="s">
        <v>157</v>
      </c>
      <c r="I390" s="167" t="s">
        <v>1396</v>
      </c>
      <c r="J390" s="167" t="s">
        <v>1397</v>
      </c>
      <c r="K390" s="167" t="s">
        <v>160</v>
      </c>
      <c r="L390" s="167" t="s">
        <v>548</v>
      </c>
      <c r="M390" s="167" t="s">
        <v>1398</v>
      </c>
      <c r="N390" s="167" t="s">
        <v>1399</v>
      </c>
      <c r="O390" s="12" t="str">
        <f>_xlfn.DISPIMG("ID_55E386EEE22A4F28AA3DFCB82607D0EC",1)</f>
        <v>=DISPIMG("ID_55E386EEE22A4F28AA3DFCB82607D0EC",1)</v>
      </c>
      <c r="P390" s="9" t="s">
        <v>1400</v>
      </c>
      <c r="Q390" s="11">
        <v>153</v>
      </c>
      <c r="R390" s="78" t="s">
        <v>4702</v>
      </c>
      <c r="S390" s="19" t="s">
        <v>62</v>
      </c>
      <c r="T390" s="14">
        <v>8</v>
      </c>
    </row>
    <row r="391" s="3" customFormat="1" customHeight="1" spans="1:20">
      <c r="A391" s="166" t="s">
        <v>1511</v>
      </c>
      <c r="B391" s="166" t="s">
        <v>165</v>
      </c>
      <c r="C391" s="166" t="s">
        <v>1512</v>
      </c>
      <c r="D391" s="11">
        <v>15179159428</v>
      </c>
      <c r="E391" s="167" t="s">
        <v>156</v>
      </c>
      <c r="F391" s="166" t="s">
        <v>4</v>
      </c>
      <c r="G391" s="9">
        <v>202102005</v>
      </c>
      <c r="H391" s="167" t="s">
        <v>157</v>
      </c>
      <c r="I391" s="167" t="s">
        <v>1513</v>
      </c>
      <c r="J391" s="167" t="s">
        <v>1514</v>
      </c>
      <c r="K391" s="167" t="s">
        <v>160</v>
      </c>
      <c r="L391" s="167" t="s">
        <v>396</v>
      </c>
      <c r="M391" s="167" t="s">
        <v>1515</v>
      </c>
      <c r="N391" s="167" t="s">
        <v>1516</v>
      </c>
      <c r="O391" s="12" t="str">
        <f>_xlfn.DISPIMG("ID_0409F7F95EEA403395B315D31E8491E7",1)</f>
        <v>=DISPIMG("ID_0409F7F95EEA403395B315D31E8491E7",1)</v>
      </c>
      <c r="P391" s="9" t="s">
        <v>1517</v>
      </c>
      <c r="Q391" s="20">
        <v>168</v>
      </c>
      <c r="R391" s="78" t="s">
        <v>4703</v>
      </c>
      <c r="S391" s="19" t="s">
        <v>62</v>
      </c>
      <c r="T391" s="14">
        <v>17</v>
      </c>
    </row>
    <row r="392" s="3" customFormat="1" customHeight="1" spans="1:20">
      <c r="A392" s="166" t="s">
        <v>1882</v>
      </c>
      <c r="B392" s="166" t="s">
        <v>165</v>
      </c>
      <c r="C392" s="166" t="s">
        <v>1883</v>
      </c>
      <c r="D392" s="11">
        <v>19807985498</v>
      </c>
      <c r="E392" s="167" t="s">
        <v>156</v>
      </c>
      <c r="F392" s="166" t="s">
        <v>4</v>
      </c>
      <c r="G392" s="9">
        <v>202102005</v>
      </c>
      <c r="H392" s="167" t="s">
        <v>279</v>
      </c>
      <c r="I392" s="167" t="s">
        <v>269</v>
      </c>
      <c r="J392" s="167" t="s">
        <v>1088</v>
      </c>
      <c r="K392" s="167" t="s">
        <v>170</v>
      </c>
      <c r="L392" s="167" t="s">
        <v>171</v>
      </c>
      <c r="M392" s="167" t="s">
        <v>1885</v>
      </c>
      <c r="N392" s="167" t="s">
        <v>1886</v>
      </c>
      <c r="O392" s="12" t="str">
        <f>_xlfn.DISPIMG("ID_D29EC84107E94871B7B70E677BC40AB8",1)</f>
        <v>=DISPIMG("ID_D29EC84107E94871B7B70E677BC40AB8",1)</v>
      </c>
      <c r="P392" s="9" t="s">
        <v>1887</v>
      </c>
      <c r="Q392" s="11">
        <v>216</v>
      </c>
      <c r="R392" s="78" t="s">
        <v>4707</v>
      </c>
      <c r="S392" s="19" t="s">
        <v>62</v>
      </c>
      <c r="T392" s="14">
        <v>9</v>
      </c>
    </row>
    <row r="393" s="3" customFormat="1" customHeight="1" spans="1:20">
      <c r="A393" s="166" t="s">
        <v>2878</v>
      </c>
      <c r="B393" s="166" t="s">
        <v>165</v>
      </c>
      <c r="C393" s="166" t="s">
        <v>2879</v>
      </c>
      <c r="D393" s="11">
        <v>17310085449</v>
      </c>
      <c r="E393" s="167" t="s">
        <v>156</v>
      </c>
      <c r="F393" s="166" t="s">
        <v>4</v>
      </c>
      <c r="G393" s="9">
        <v>202102005</v>
      </c>
      <c r="H393" s="167" t="s">
        <v>157</v>
      </c>
      <c r="I393" s="167" t="s">
        <v>385</v>
      </c>
      <c r="J393" s="167" t="s">
        <v>2881</v>
      </c>
      <c r="K393" s="167" t="s">
        <v>170</v>
      </c>
      <c r="L393" s="167" t="s">
        <v>306</v>
      </c>
      <c r="M393" s="167" t="s">
        <v>2882</v>
      </c>
      <c r="N393" s="167" t="s">
        <v>2883</v>
      </c>
      <c r="O393" s="12" t="str">
        <f>_xlfn.DISPIMG("ID_EC7DE1A270244013822D2AF30798D0D0",1)</f>
        <v>=DISPIMG("ID_EC7DE1A270244013822D2AF30798D0D0",1)</v>
      </c>
      <c r="P393" s="9" t="s">
        <v>2884</v>
      </c>
      <c r="Q393" s="11">
        <v>350</v>
      </c>
      <c r="R393" s="78" t="s">
        <v>4708</v>
      </c>
      <c r="S393" s="19" t="s">
        <v>62</v>
      </c>
      <c r="T393" s="14">
        <v>16</v>
      </c>
    </row>
    <row r="394" s="3" customFormat="1" customHeight="1" spans="1:20">
      <c r="A394" s="166" t="s">
        <v>3586</v>
      </c>
      <c r="B394" s="166" t="s">
        <v>165</v>
      </c>
      <c r="C394" s="166" t="s">
        <v>3587</v>
      </c>
      <c r="D394" s="11">
        <v>13970222797</v>
      </c>
      <c r="E394" s="167" t="s">
        <v>156</v>
      </c>
      <c r="F394" s="166" t="s">
        <v>4</v>
      </c>
      <c r="G394" s="9">
        <v>202102006</v>
      </c>
      <c r="H394" s="167" t="s">
        <v>157</v>
      </c>
      <c r="I394" s="167" t="s">
        <v>158</v>
      </c>
      <c r="J394" s="167" t="s">
        <v>3589</v>
      </c>
      <c r="K394" s="167" t="s">
        <v>160</v>
      </c>
      <c r="L394" s="167" t="s">
        <v>235</v>
      </c>
      <c r="M394" s="167" t="s">
        <v>4</v>
      </c>
      <c r="N394" s="167" t="s">
        <v>3590</v>
      </c>
      <c r="O394" s="12" t="str">
        <f>_xlfn.DISPIMG("ID_1E4E55AF2274433A8809E53B95627C78",1)</f>
        <v>=DISPIMG("ID_1E4E55AF2274433A8809E53B95627C78",1)</v>
      </c>
      <c r="P394" s="9" t="s">
        <v>3591</v>
      </c>
      <c r="Q394" s="11">
        <v>456</v>
      </c>
      <c r="R394" s="78" t="s">
        <v>4712</v>
      </c>
      <c r="S394" s="19" t="s">
        <v>62</v>
      </c>
      <c r="T394" s="14">
        <v>10</v>
      </c>
    </row>
    <row r="395" s="4" customFormat="1" customHeight="1" spans="1:20">
      <c r="A395" s="166" t="s">
        <v>3655</v>
      </c>
      <c r="B395" s="166" t="s">
        <v>153</v>
      </c>
      <c r="C395" s="166" t="s">
        <v>3656</v>
      </c>
      <c r="D395" s="11">
        <v>13177872440</v>
      </c>
      <c r="E395" s="167" t="s">
        <v>156</v>
      </c>
      <c r="F395" s="166" t="s">
        <v>4</v>
      </c>
      <c r="G395" s="9">
        <v>202102005</v>
      </c>
      <c r="H395" s="167" t="s">
        <v>157</v>
      </c>
      <c r="I395" s="167" t="s">
        <v>385</v>
      </c>
      <c r="J395" s="167" t="s">
        <v>179</v>
      </c>
      <c r="K395" s="167" t="s">
        <v>170</v>
      </c>
      <c r="L395" s="167" t="s">
        <v>368</v>
      </c>
      <c r="M395" s="167" t="s">
        <v>4</v>
      </c>
      <c r="N395" s="11">
        <v>0</v>
      </c>
      <c r="O395" s="12" t="str">
        <f>_xlfn.DISPIMG("ID_252B07FFDA0E4134A421E2449004C504",1)</f>
        <v>=DISPIMG("ID_252B07FFDA0E4134A421E2449004C504",1)</v>
      </c>
      <c r="P395" s="9" t="s">
        <v>3658</v>
      </c>
      <c r="Q395" s="11">
        <v>465</v>
      </c>
      <c r="R395" s="78" t="s">
        <v>4713</v>
      </c>
      <c r="S395" s="19" t="s">
        <v>62</v>
      </c>
      <c r="T395" s="14">
        <v>15</v>
      </c>
    </row>
    <row r="396" s="3" customFormat="1" customHeight="1" spans="1:20">
      <c r="A396" s="166" t="s">
        <v>3817</v>
      </c>
      <c r="B396" s="166" t="s">
        <v>165</v>
      </c>
      <c r="C396" s="166" t="s">
        <v>3818</v>
      </c>
      <c r="D396" s="11">
        <v>13002997695</v>
      </c>
      <c r="E396" s="167" t="s">
        <v>156</v>
      </c>
      <c r="F396" s="166" t="s">
        <v>4</v>
      </c>
      <c r="G396" s="9">
        <v>202102005</v>
      </c>
      <c r="H396" s="167" t="s">
        <v>157</v>
      </c>
      <c r="I396" s="167" t="s">
        <v>3820</v>
      </c>
      <c r="J396" s="167" t="s">
        <v>3821</v>
      </c>
      <c r="K396" s="167" t="s">
        <v>160</v>
      </c>
      <c r="L396" s="167" t="s">
        <v>199</v>
      </c>
      <c r="M396" s="167" t="s">
        <v>4</v>
      </c>
      <c r="N396" s="167" t="s">
        <v>3822</v>
      </c>
      <c r="O396" s="12" t="str">
        <f>_xlfn.DISPIMG("ID_F12BD6FEE7C74060A499738E5A967A51",1)</f>
        <v>=DISPIMG("ID_F12BD6FEE7C74060A499738E5A967A51",1)</v>
      </c>
      <c r="P396" s="9" t="s">
        <v>3823</v>
      </c>
      <c r="Q396" s="20">
        <v>487</v>
      </c>
      <c r="R396" s="78" t="s">
        <v>4717</v>
      </c>
      <c r="S396" s="19" t="s">
        <v>62</v>
      </c>
      <c r="T396" s="14">
        <v>11</v>
      </c>
    </row>
    <row r="397" s="3" customFormat="1" customHeight="1" spans="1:20">
      <c r="A397" s="166" t="s">
        <v>3940</v>
      </c>
      <c r="B397" s="166" t="s">
        <v>165</v>
      </c>
      <c r="C397" s="166" t="s">
        <v>3941</v>
      </c>
      <c r="D397" s="11">
        <v>13699503652</v>
      </c>
      <c r="E397" s="167" t="s">
        <v>156</v>
      </c>
      <c r="F397" s="166" t="s">
        <v>4</v>
      </c>
      <c r="G397" s="9">
        <v>202102005</v>
      </c>
      <c r="H397" s="167" t="s">
        <v>157</v>
      </c>
      <c r="I397" s="167" t="s">
        <v>385</v>
      </c>
      <c r="J397" s="167" t="s">
        <v>3943</v>
      </c>
      <c r="K397" s="167" t="s">
        <v>170</v>
      </c>
      <c r="L397" s="167" t="s">
        <v>180</v>
      </c>
      <c r="M397" s="167" t="s">
        <v>4</v>
      </c>
      <c r="N397" s="167" t="s">
        <v>3944</v>
      </c>
      <c r="O397" s="12" t="str">
        <f>_xlfn.DISPIMG("ID_5F49521312D540BAA0750C7E0D3B723B",1)</f>
        <v>=DISPIMG("ID_5F49521312D540BAA0750C7E0D3B723B",1)</v>
      </c>
      <c r="P397" s="9" t="s">
        <v>3945</v>
      </c>
      <c r="Q397" s="11">
        <v>503</v>
      </c>
      <c r="R397" s="78" t="s">
        <v>4718</v>
      </c>
      <c r="S397" s="19" t="s">
        <v>62</v>
      </c>
      <c r="T397" s="14">
        <v>14</v>
      </c>
    </row>
    <row r="398" s="3" customFormat="1" customHeight="1" spans="1:20">
      <c r="A398" s="166" t="s">
        <v>3962</v>
      </c>
      <c r="B398" s="166" t="s">
        <v>165</v>
      </c>
      <c r="C398" s="166" t="s">
        <v>3963</v>
      </c>
      <c r="D398" s="11">
        <v>18870866549</v>
      </c>
      <c r="E398" s="167" t="s">
        <v>156</v>
      </c>
      <c r="F398" s="166" t="s">
        <v>4</v>
      </c>
      <c r="G398" s="9">
        <v>202102005</v>
      </c>
      <c r="H398" s="167" t="s">
        <v>157</v>
      </c>
      <c r="I398" s="167" t="s">
        <v>3965</v>
      </c>
      <c r="J398" s="167" t="s">
        <v>3966</v>
      </c>
      <c r="K398" s="167" t="s">
        <v>160</v>
      </c>
      <c r="L398" s="167" t="s">
        <v>216</v>
      </c>
      <c r="M398" s="167" t="s">
        <v>4</v>
      </c>
      <c r="N398" s="11">
        <v>0</v>
      </c>
      <c r="O398" s="12" t="str">
        <f>_xlfn.DISPIMG("ID_B16A7073492C47F799EB61B1BAB98F3E",1)</f>
        <v>=DISPIMG("ID_B16A7073492C47F799EB61B1BAB98F3E",1)</v>
      </c>
      <c r="P398" s="9" t="s">
        <v>3967</v>
      </c>
      <c r="Q398" s="11">
        <v>506</v>
      </c>
      <c r="R398" s="78" t="s">
        <v>4722</v>
      </c>
      <c r="S398" s="19" t="s">
        <v>62</v>
      </c>
      <c r="T398" s="14">
        <v>12</v>
      </c>
    </row>
    <row r="399" s="3" customFormat="1" customHeight="1" spans="1:20">
      <c r="A399" s="166" t="s">
        <v>4267</v>
      </c>
      <c r="B399" s="166" t="s">
        <v>165</v>
      </c>
      <c r="C399" s="166" t="s">
        <v>4268</v>
      </c>
      <c r="D399" s="11">
        <v>15979953990</v>
      </c>
      <c r="E399" s="167" t="s">
        <v>156</v>
      </c>
      <c r="F399" s="166" t="s">
        <v>4</v>
      </c>
      <c r="G399" s="9">
        <v>202102005</v>
      </c>
      <c r="H399" s="167" t="s">
        <v>279</v>
      </c>
      <c r="I399" s="167" t="s">
        <v>269</v>
      </c>
      <c r="J399" s="167" t="s">
        <v>1088</v>
      </c>
      <c r="K399" s="167" t="s">
        <v>170</v>
      </c>
      <c r="L399" s="167" t="s">
        <v>235</v>
      </c>
      <c r="M399" s="167" t="s">
        <v>4</v>
      </c>
      <c r="N399" s="11">
        <v>0</v>
      </c>
      <c r="O399" s="12" t="str">
        <f>_xlfn.DISPIMG("ID_6B663AA29D5341758E4C0EAB0E013B9E",1)</f>
        <v>=DISPIMG("ID_6B663AA29D5341758E4C0EAB0E013B9E",1)</v>
      </c>
      <c r="P399" s="9" t="s">
        <v>4270</v>
      </c>
      <c r="Q399" s="11">
        <v>546</v>
      </c>
      <c r="R399" s="78" t="s">
        <v>4723</v>
      </c>
      <c r="S399" s="19" t="s">
        <v>62</v>
      </c>
      <c r="T399" s="14">
        <v>13</v>
      </c>
    </row>
    <row r="400" s="3" customFormat="1" customHeight="1" spans="1:20">
      <c r="A400" s="166" t="s">
        <v>212</v>
      </c>
      <c r="B400" s="166" t="s">
        <v>165</v>
      </c>
      <c r="C400" s="166" t="s">
        <v>213</v>
      </c>
      <c r="D400" s="11">
        <v>13197911998</v>
      </c>
      <c r="E400" s="167" t="s">
        <v>156</v>
      </c>
      <c r="F400" s="166" t="s">
        <v>15</v>
      </c>
      <c r="G400" s="9">
        <v>202102007</v>
      </c>
      <c r="H400" s="167" t="s">
        <v>157</v>
      </c>
      <c r="I400" s="167" t="s">
        <v>178</v>
      </c>
      <c r="J400" s="167" t="s">
        <v>215</v>
      </c>
      <c r="K400" s="167" t="s">
        <v>170</v>
      </c>
      <c r="L400" s="167" t="s">
        <v>216</v>
      </c>
      <c r="M400" s="167" t="s">
        <v>15</v>
      </c>
      <c r="N400" s="11">
        <v>0</v>
      </c>
      <c r="O400" s="12" t="str">
        <f>_xlfn.DISPIMG("ID_A8B2B34FEB1F4C29AD364FF328B946F1",1)</f>
        <v>=DISPIMG("ID_A8B2B34FEB1F4C29AD364FF328B946F1",1)</v>
      </c>
      <c r="P400" s="9" t="s">
        <v>217</v>
      </c>
      <c r="Q400" s="11">
        <v>8</v>
      </c>
      <c r="R400" s="78" t="s">
        <v>4700</v>
      </c>
      <c r="S400" s="19" t="s">
        <v>62</v>
      </c>
      <c r="T400" s="14">
        <v>19</v>
      </c>
    </row>
    <row r="401" s="3" customFormat="1" customHeight="1" spans="1:20">
      <c r="A401" s="166" t="s">
        <v>391</v>
      </c>
      <c r="B401" s="166" t="s">
        <v>165</v>
      </c>
      <c r="C401" s="166" t="s">
        <v>392</v>
      </c>
      <c r="D401" s="11">
        <v>17620119411</v>
      </c>
      <c r="E401" s="167" t="s">
        <v>156</v>
      </c>
      <c r="F401" s="166" t="s">
        <v>15</v>
      </c>
      <c r="G401" s="9">
        <v>202102007</v>
      </c>
      <c r="H401" s="167" t="s">
        <v>157</v>
      </c>
      <c r="I401" s="167" t="s">
        <v>394</v>
      </c>
      <c r="J401" s="167" t="s">
        <v>395</v>
      </c>
      <c r="K401" s="167" t="s">
        <v>160</v>
      </c>
      <c r="L401" s="167" t="s">
        <v>396</v>
      </c>
      <c r="M401" s="167" t="s">
        <v>15</v>
      </c>
      <c r="N401" s="11">
        <v>0</v>
      </c>
      <c r="O401" s="12" t="str">
        <f>_xlfn.DISPIMG("ID_EBB3EDBB16514C57957D178C829CE459",1)</f>
        <v>=DISPIMG("ID_EBB3EDBB16514C57957D178C829CE459",1)</v>
      </c>
      <c r="P401" s="9" t="s">
        <v>397</v>
      </c>
      <c r="Q401" s="20">
        <v>28</v>
      </c>
      <c r="R401" s="78" t="s">
        <v>4704</v>
      </c>
      <c r="S401" s="19" t="s">
        <v>62</v>
      </c>
      <c r="T401" s="14">
        <v>20</v>
      </c>
    </row>
    <row r="402" s="3" customFormat="1" customHeight="1" spans="1:20">
      <c r="A402" s="166" t="s">
        <v>856</v>
      </c>
      <c r="B402" s="166" t="s">
        <v>165</v>
      </c>
      <c r="C402" s="166" t="s">
        <v>857</v>
      </c>
      <c r="D402" s="11">
        <v>18296159294</v>
      </c>
      <c r="E402" s="167" t="s">
        <v>156</v>
      </c>
      <c r="F402" s="166" t="s">
        <v>15</v>
      </c>
      <c r="G402" s="9">
        <v>202102007</v>
      </c>
      <c r="H402" s="167" t="s">
        <v>279</v>
      </c>
      <c r="I402" s="167" t="s">
        <v>178</v>
      </c>
      <c r="J402" s="167" t="s">
        <v>215</v>
      </c>
      <c r="K402" s="167" t="s">
        <v>170</v>
      </c>
      <c r="L402" s="167" t="s">
        <v>216</v>
      </c>
      <c r="M402" s="167" t="s">
        <v>859</v>
      </c>
      <c r="N402" s="167" t="s">
        <v>860</v>
      </c>
      <c r="O402" s="12" t="str">
        <f>_xlfn.DISPIMG("ID_D74EFBEA1A81482A857D7A1473663067",1)</f>
        <v>=DISPIMG("ID_D74EFBEA1A81482A857D7A1473663067",1)</v>
      </c>
      <c r="P402" s="9" t="s">
        <v>861</v>
      </c>
      <c r="Q402" s="20">
        <v>85</v>
      </c>
      <c r="R402" s="78" t="s">
        <v>4705</v>
      </c>
      <c r="S402" s="19" t="s">
        <v>62</v>
      </c>
      <c r="T402" s="14">
        <v>29</v>
      </c>
    </row>
    <row r="403" s="3" customFormat="1" customHeight="1" spans="1:20">
      <c r="A403" s="166" t="s">
        <v>1658</v>
      </c>
      <c r="B403" s="166" t="s">
        <v>153</v>
      </c>
      <c r="C403" s="166" t="s">
        <v>1659</v>
      </c>
      <c r="D403" s="11">
        <v>15170625945</v>
      </c>
      <c r="E403" s="167" t="s">
        <v>506</v>
      </c>
      <c r="F403" s="166" t="s">
        <v>15</v>
      </c>
      <c r="G403" s="9">
        <v>202102019</v>
      </c>
      <c r="H403" s="167" t="s">
        <v>157</v>
      </c>
      <c r="I403" s="167" t="s">
        <v>611</v>
      </c>
      <c r="J403" s="167" t="s">
        <v>454</v>
      </c>
      <c r="K403" s="167" t="s">
        <v>160</v>
      </c>
      <c r="L403" s="167" t="s">
        <v>261</v>
      </c>
      <c r="M403" s="167" t="s">
        <v>1661</v>
      </c>
      <c r="N403" s="11">
        <v>0</v>
      </c>
      <c r="O403" s="12" t="str">
        <f>_xlfn.DISPIMG("ID_40EE23CAD6BE466D8A6330DBB5734F8E",1)</f>
        <v>=DISPIMG("ID_40EE23CAD6BE466D8A6330DBB5734F8E",1)</v>
      </c>
      <c r="P403" s="9" t="s">
        <v>1662</v>
      </c>
      <c r="Q403" s="20">
        <v>187</v>
      </c>
      <c r="R403" s="78" t="s">
        <v>4709</v>
      </c>
      <c r="S403" s="19" t="s">
        <v>62</v>
      </c>
      <c r="T403" s="14">
        <v>21</v>
      </c>
    </row>
    <row r="404" s="3" customFormat="1" customHeight="1" spans="1:20">
      <c r="A404" s="166" t="s">
        <v>1897</v>
      </c>
      <c r="B404" s="166" t="s">
        <v>165</v>
      </c>
      <c r="C404" s="166" t="s">
        <v>1898</v>
      </c>
      <c r="D404" s="11">
        <v>13588255405</v>
      </c>
      <c r="E404" s="167" t="s">
        <v>156</v>
      </c>
      <c r="F404" s="166" t="s">
        <v>15</v>
      </c>
      <c r="G404" s="9">
        <v>202102007</v>
      </c>
      <c r="H404" s="167" t="s">
        <v>157</v>
      </c>
      <c r="I404" s="167" t="s">
        <v>1900</v>
      </c>
      <c r="J404" s="167" t="s">
        <v>179</v>
      </c>
      <c r="K404" s="167" t="s">
        <v>160</v>
      </c>
      <c r="L404" s="167" t="s">
        <v>235</v>
      </c>
      <c r="M404" s="167" t="s">
        <v>15</v>
      </c>
      <c r="N404" s="11">
        <v>0</v>
      </c>
      <c r="O404" s="12" t="str">
        <f>_xlfn.DISPIMG("ID_427E6301FF984C74BA8E87820A04494C",1)</f>
        <v>=DISPIMG("ID_427E6301FF984C74BA8E87820A04494C",1)</v>
      </c>
      <c r="P404" s="9" t="s">
        <v>1901</v>
      </c>
      <c r="Q404" s="11">
        <v>218</v>
      </c>
      <c r="R404" s="78" t="s">
        <v>4710</v>
      </c>
      <c r="S404" s="19" t="s">
        <v>62</v>
      </c>
      <c r="T404" s="14">
        <v>28</v>
      </c>
    </row>
    <row r="405" s="3" customFormat="1" customHeight="1" spans="1:20">
      <c r="A405" s="166" t="s">
        <v>2407</v>
      </c>
      <c r="B405" s="166" t="s">
        <v>165</v>
      </c>
      <c r="C405" s="166" t="s">
        <v>2408</v>
      </c>
      <c r="D405" s="11">
        <v>15070401093</v>
      </c>
      <c r="E405" s="167" t="s">
        <v>156</v>
      </c>
      <c r="F405" s="166" t="s">
        <v>15</v>
      </c>
      <c r="G405" s="9">
        <v>202102007</v>
      </c>
      <c r="H405" s="167" t="s">
        <v>157</v>
      </c>
      <c r="I405" s="167" t="s">
        <v>827</v>
      </c>
      <c r="J405" s="167" t="s">
        <v>2394</v>
      </c>
      <c r="K405" s="167" t="s">
        <v>160</v>
      </c>
      <c r="L405" s="167" t="s">
        <v>171</v>
      </c>
      <c r="M405" s="167" t="s">
        <v>2410</v>
      </c>
      <c r="N405" s="167" t="s">
        <v>2411</v>
      </c>
      <c r="O405" s="12" t="str">
        <f>_xlfn.DISPIMG("ID_AC752CE0DFA24D83A60721AFA892E1C6",1)</f>
        <v>=DISPIMG("ID_AC752CE0DFA24D83A60721AFA892E1C6",1)</v>
      </c>
      <c r="P405" s="9" t="s">
        <v>2412</v>
      </c>
      <c r="Q405" s="11">
        <v>286</v>
      </c>
      <c r="R405" s="78" t="s">
        <v>4714</v>
      </c>
      <c r="S405" s="19" t="s">
        <v>62</v>
      </c>
      <c r="T405" s="14">
        <v>22</v>
      </c>
    </row>
    <row r="406" s="3" customFormat="1" customHeight="1" spans="1:20">
      <c r="A406" s="166" t="s">
        <v>2915</v>
      </c>
      <c r="B406" s="166" t="s">
        <v>165</v>
      </c>
      <c r="C406" s="166" t="s">
        <v>2916</v>
      </c>
      <c r="D406" s="11">
        <v>18779224246</v>
      </c>
      <c r="E406" s="167" t="s">
        <v>506</v>
      </c>
      <c r="F406" s="166" t="s">
        <v>15</v>
      </c>
      <c r="G406" s="9">
        <v>202102019</v>
      </c>
      <c r="H406" s="167" t="s">
        <v>279</v>
      </c>
      <c r="I406" s="167" t="s">
        <v>367</v>
      </c>
      <c r="J406" s="167" t="s">
        <v>348</v>
      </c>
      <c r="K406" s="167" t="s">
        <v>170</v>
      </c>
      <c r="L406" s="167" t="s">
        <v>180</v>
      </c>
      <c r="M406" s="167" t="s">
        <v>2918</v>
      </c>
      <c r="N406" s="11">
        <v>0</v>
      </c>
      <c r="O406" s="12" t="str">
        <f>_xlfn.DISPIMG("ID_0C4A3B774E384F888DCC2803C749C7F6",1)</f>
        <v>=DISPIMG("ID_0C4A3B774E384F888DCC2803C749C7F6",1)</v>
      </c>
      <c r="P406" s="9" t="s">
        <v>2919</v>
      </c>
      <c r="Q406" s="20">
        <v>355</v>
      </c>
      <c r="R406" s="78" t="s">
        <v>4715</v>
      </c>
      <c r="S406" s="19" t="s">
        <v>62</v>
      </c>
      <c r="T406" s="14">
        <v>27</v>
      </c>
    </row>
    <row r="407" s="98" customFormat="1" customHeight="1" spans="1:20">
      <c r="A407" s="170" t="s">
        <v>3211</v>
      </c>
      <c r="B407" s="170" t="s">
        <v>165</v>
      </c>
      <c r="C407" s="170" t="s">
        <v>3212</v>
      </c>
      <c r="D407" s="21">
        <v>15779234299</v>
      </c>
      <c r="E407" s="163" t="s">
        <v>506</v>
      </c>
      <c r="F407" s="170" t="s">
        <v>15</v>
      </c>
      <c r="G407" s="99">
        <v>202101019</v>
      </c>
      <c r="H407" s="163" t="s">
        <v>157</v>
      </c>
      <c r="I407" s="163" t="s">
        <v>178</v>
      </c>
      <c r="J407" s="163" t="s">
        <v>215</v>
      </c>
      <c r="K407" s="163" t="s">
        <v>170</v>
      </c>
      <c r="L407" s="163" t="s">
        <v>199</v>
      </c>
      <c r="M407" s="163" t="s">
        <v>3214</v>
      </c>
      <c r="N407" s="163" t="s">
        <v>3215</v>
      </c>
      <c r="O407" s="100" t="str">
        <f>_xlfn.DISPIMG("ID_C6192F8F8B3E4D2CBC3C30A06AF40B6E",1)</f>
        <v>=DISPIMG("ID_C6192F8F8B3E4D2CBC3C30A06AF40B6E",1)</v>
      </c>
      <c r="P407" s="99" t="s">
        <v>3216</v>
      </c>
      <c r="Q407" s="104">
        <v>400</v>
      </c>
      <c r="R407" s="101" t="s">
        <v>4719</v>
      </c>
      <c r="S407" s="102" t="s">
        <v>62</v>
      </c>
      <c r="T407" s="105">
        <v>23</v>
      </c>
    </row>
    <row r="408" s="3" customFormat="1" customHeight="1" spans="1:20">
      <c r="A408" s="166" t="s">
        <v>3570</v>
      </c>
      <c r="B408" s="166" t="s">
        <v>165</v>
      </c>
      <c r="C408" s="166" t="s">
        <v>3571</v>
      </c>
      <c r="D408" s="11">
        <v>13879176428</v>
      </c>
      <c r="E408" s="167" t="s">
        <v>156</v>
      </c>
      <c r="F408" s="166" t="s">
        <v>15</v>
      </c>
      <c r="G408" s="9">
        <v>202102007</v>
      </c>
      <c r="H408" s="167" t="s">
        <v>157</v>
      </c>
      <c r="I408" s="167" t="s">
        <v>233</v>
      </c>
      <c r="J408" s="167" t="s">
        <v>454</v>
      </c>
      <c r="K408" s="167" t="s">
        <v>170</v>
      </c>
      <c r="L408" s="167" t="s">
        <v>3573</v>
      </c>
      <c r="M408" s="167" t="s">
        <v>3574</v>
      </c>
      <c r="N408" s="167" t="s">
        <v>3575</v>
      </c>
      <c r="O408" s="12" t="str">
        <f>_xlfn.DISPIMG("ID_4E9B8A157E55446AAA9BAC9D6541DF67",1)</f>
        <v>=DISPIMG("ID_4E9B8A157E55446AAA9BAC9D6541DF67",1)</v>
      </c>
      <c r="P408" s="9" t="s">
        <v>3576</v>
      </c>
      <c r="Q408" s="20">
        <v>454</v>
      </c>
      <c r="R408" s="78" t="s">
        <v>4720</v>
      </c>
      <c r="S408" s="19" t="s">
        <v>62</v>
      </c>
      <c r="T408" s="14">
        <v>26</v>
      </c>
    </row>
    <row r="409" s="3" customFormat="1" customHeight="1" spans="1:20">
      <c r="A409" s="166" t="s">
        <v>3579</v>
      </c>
      <c r="B409" s="166" t="s">
        <v>153</v>
      </c>
      <c r="C409" s="166" t="s">
        <v>3580</v>
      </c>
      <c r="D409" s="11">
        <v>15179270292</v>
      </c>
      <c r="E409" s="167" t="s">
        <v>156</v>
      </c>
      <c r="F409" s="166" t="s">
        <v>15</v>
      </c>
      <c r="G409" s="9">
        <v>202102007</v>
      </c>
      <c r="H409" s="167" t="s">
        <v>157</v>
      </c>
      <c r="I409" s="167" t="s">
        <v>158</v>
      </c>
      <c r="J409" s="167" t="s">
        <v>1832</v>
      </c>
      <c r="K409" s="167" t="s">
        <v>160</v>
      </c>
      <c r="L409" s="167" t="s">
        <v>368</v>
      </c>
      <c r="M409" s="167" t="s">
        <v>3582</v>
      </c>
      <c r="N409" s="11">
        <v>0</v>
      </c>
      <c r="O409" s="12" t="str">
        <f>_xlfn.DISPIMG("ID_10B7637016814F53B0B0689821F0D756",1)</f>
        <v>=DISPIMG("ID_10B7637016814F53B0B0689821F0D756",1)</v>
      </c>
      <c r="P409" s="9" t="s">
        <v>3583</v>
      </c>
      <c r="Q409" s="11">
        <v>455</v>
      </c>
      <c r="R409" s="78" t="s">
        <v>4724</v>
      </c>
      <c r="S409" s="19" t="s">
        <v>62</v>
      </c>
      <c r="T409" s="14">
        <v>24</v>
      </c>
    </row>
    <row r="410" s="3" customFormat="1" customHeight="1" spans="1:20">
      <c r="A410" s="166" t="s">
        <v>3841</v>
      </c>
      <c r="B410" s="166" t="s">
        <v>165</v>
      </c>
      <c r="C410" s="166" t="s">
        <v>3842</v>
      </c>
      <c r="D410" s="11">
        <v>13177873876</v>
      </c>
      <c r="E410" s="167" t="s">
        <v>156</v>
      </c>
      <c r="F410" s="166" t="s">
        <v>15</v>
      </c>
      <c r="G410" s="9">
        <v>202102007</v>
      </c>
      <c r="H410" s="167" t="s">
        <v>157</v>
      </c>
      <c r="I410" s="167" t="s">
        <v>233</v>
      </c>
      <c r="J410" s="167" t="s">
        <v>169</v>
      </c>
      <c r="K410" s="167" t="s">
        <v>170</v>
      </c>
      <c r="L410" s="167" t="s">
        <v>3844</v>
      </c>
      <c r="M410" s="167" t="s">
        <v>3845</v>
      </c>
      <c r="N410" s="167" t="s">
        <v>3846</v>
      </c>
      <c r="O410" s="12" t="str">
        <f>_xlfn.DISPIMG("ID_0D39E07DE3FA4F1EAFE382357648332E",1)</f>
        <v>=DISPIMG("ID_0D39E07DE3FA4F1EAFE382357648332E",1)</v>
      </c>
      <c r="P410" s="9" t="s">
        <v>3847</v>
      </c>
      <c r="Q410" s="20">
        <v>490</v>
      </c>
      <c r="R410" s="78" t="s">
        <v>4725</v>
      </c>
      <c r="S410" s="19" t="s">
        <v>62</v>
      </c>
      <c r="T410" s="14">
        <v>25</v>
      </c>
    </row>
    <row r="411" s="3" customFormat="1" customHeight="1" spans="1:20">
      <c r="A411" s="166" t="s">
        <v>1671</v>
      </c>
      <c r="B411" s="166" t="s">
        <v>153</v>
      </c>
      <c r="C411" s="166" t="s">
        <v>1672</v>
      </c>
      <c r="D411" s="11">
        <v>13576944053</v>
      </c>
      <c r="E411" s="167" t="s">
        <v>156</v>
      </c>
      <c r="F411" s="166" t="s">
        <v>7</v>
      </c>
      <c r="G411" s="9">
        <v>202102006</v>
      </c>
      <c r="H411" s="167" t="s">
        <v>157</v>
      </c>
      <c r="I411" s="167" t="s">
        <v>1674</v>
      </c>
      <c r="J411" s="167" t="s">
        <v>1675</v>
      </c>
      <c r="K411" s="167" t="s">
        <v>170</v>
      </c>
      <c r="L411" s="167" t="s">
        <v>1676</v>
      </c>
      <c r="M411" s="167" t="s">
        <v>7</v>
      </c>
      <c r="N411" s="167" t="s">
        <v>1677</v>
      </c>
      <c r="O411" s="12" t="str">
        <f>_xlfn.DISPIMG("ID_834E256FE11F482DB22CD6E09A0E87FD",1)</f>
        <v>=DISPIMG("ID_834E256FE11F482DB22CD6E09A0E87FD",1)</v>
      </c>
      <c r="P411" s="9" t="s">
        <v>1678</v>
      </c>
      <c r="Q411" s="11">
        <v>189</v>
      </c>
      <c r="R411" s="78" t="s">
        <v>4726</v>
      </c>
      <c r="S411" s="19" t="s">
        <v>66</v>
      </c>
      <c r="T411" s="14">
        <v>6</v>
      </c>
    </row>
    <row r="412" s="3" customFormat="1" customHeight="1" spans="1:20">
      <c r="A412" s="166" t="s">
        <v>2004</v>
      </c>
      <c r="B412" s="166" t="s">
        <v>153</v>
      </c>
      <c r="C412" s="166" t="s">
        <v>2005</v>
      </c>
      <c r="D412" s="11">
        <v>18296155146</v>
      </c>
      <c r="E412" s="167" t="s">
        <v>156</v>
      </c>
      <c r="F412" s="166" t="s">
        <v>7</v>
      </c>
      <c r="G412" s="9">
        <v>202102006</v>
      </c>
      <c r="H412" s="167" t="s">
        <v>157</v>
      </c>
      <c r="I412" s="167" t="s">
        <v>1112</v>
      </c>
      <c r="J412" s="167" t="s">
        <v>159</v>
      </c>
      <c r="K412" s="167" t="s">
        <v>160</v>
      </c>
      <c r="L412" s="167" t="s">
        <v>368</v>
      </c>
      <c r="M412" s="167" t="s">
        <v>2007</v>
      </c>
      <c r="N412" s="167" t="s">
        <v>2008</v>
      </c>
      <c r="O412" s="12" t="str">
        <f>_xlfn.DISPIMG("ID_56BCD58120C9403E8AA33B4C6EF6927A",1)</f>
        <v>=DISPIMG("ID_56BCD58120C9403E8AA33B4C6EF6927A",1)</v>
      </c>
      <c r="P412" s="9" t="s">
        <v>2009</v>
      </c>
      <c r="Q412" s="11">
        <v>233</v>
      </c>
      <c r="R412" s="78" t="s">
        <v>4730</v>
      </c>
      <c r="S412" s="19" t="s">
        <v>66</v>
      </c>
      <c r="T412" s="14">
        <v>5</v>
      </c>
    </row>
    <row r="413" s="3" customFormat="1" customHeight="1" spans="1:20">
      <c r="A413" s="166" t="s">
        <v>2732</v>
      </c>
      <c r="B413" s="166" t="s">
        <v>165</v>
      </c>
      <c r="C413" s="166" t="s">
        <v>2733</v>
      </c>
      <c r="D413" s="11">
        <v>15079218024</v>
      </c>
      <c r="E413" s="167" t="s">
        <v>156</v>
      </c>
      <c r="F413" s="166" t="s">
        <v>7</v>
      </c>
      <c r="G413" s="9">
        <v>202102006</v>
      </c>
      <c r="H413" s="167" t="s">
        <v>157</v>
      </c>
      <c r="I413" s="167" t="s">
        <v>1112</v>
      </c>
      <c r="J413" s="167" t="s">
        <v>159</v>
      </c>
      <c r="K413" s="167" t="s">
        <v>160</v>
      </c>
      <c r="L413" s="167" t="s">
        <v>199</v>
      </c>
      <c r="M413" s="167" t="s">
        <v>19</v>
      </c>
      <c r="N413" s="167" t="s">
        <v>2735</v>
      </c>
      <c r="O413" s="12" t="str">
        <f>_xlfn.DISPIMG("ID_8B921756A8224507AE26B26EA7A47E29",1)</f>
        <v>=DISPIMG("ID_8B921756A8224507AE26B26EA7A47E29",1)</v>
      </c>
      <c r="P413" s="9" t="s">
        <v>2736</v>
      </c>
      <c r="Q413" s="11">
        <v>330</v>
      </c>
      <c r="R413" s="78" t="s">
        <v>4734</v>
      </c>
      <c r="S413" s="19" t="s">
        <v>66</v>
      </c>
      <c r="T413" s="14">
        <v>4</v>
      </c>
    </row>
    <row r="414" s="3" customFormat="1" customHeight="1" spans="1:20">
      <c r="A414" s="166" t="s">
        <v>2774</v>
      </c>
      <c r="B414" s="166" t="s">
        <v>165</v>
      </c>
      <c r="C414" s="166" t="s">
        <v>2775</v>
      </c>
      <c r="D414" s="11">
        <v>18720298910</v>
      </c>
      <c r="E414" s="167" t="s">
        <v>156</v>
      </c>
      <c r="F414" s="166" t="s">
        <v>7</v>
      </c>
      <c r="G414" s="9">
        <v>202102006</v>
      </c>
      <c r="H414" s="167" t="s">
        <v>157</v>
      </c>
      <c r="I414" s="167" t="s">
        <v>158</v>
      </c>
      <c r="J414" s="167" t="s">
        <v>1639</v>
      </c>
      <c r="K414" s="167" t="s">
        <v>170</v>
      </c>
      <c r="L414" s="167" t="s">
        <v>306</v>
      </c>
      <c r="M414" s="167" t="s">
        <v>19</v>
      </c>
      <c r="N414" s="167" t="s">
        <v>2777</v>
      </c>
      <c r="O414" s="12" t="str">
        <f>_xlfn.DISPIMG("ID_DC860A7FCB384FE48AFC2F135021FF6F",1)</f>
        <v>=DISPIMG("ID_DC860A7FCB384FE48AFC2F135021FF6F",1)</v>
      </c>
      <c r="P414" s="9" t="s">
        <v>2778</v>
      </c>
      <c r="Q414" s="11">
        <v>336</v>
      </c>
      <c r="R414" s="78" t="s">
        <v>4738</v>
      </c>
      <c r="S414" s="19" t="s">
        <v>66</v>
      </c>
      <c r="T414" s="14">
        <v>3</v>
      </c>
    </row>
    <row r="415" s="3" customFormat="1" customHeight="1" spans="1:20">
      <c r="A415" s="166" t="s">
        <v>3263</v>
      </c>
      <c r="B415" s="166" t="s">
        <v>165</v>
      </c>
      <c r="C415" s="166" t="s">
        <v>3264</v>
      </c>
      <c r="D415" s="11">
        <v>15297923055</v>
      </c>
      <c r="E415" s="167" t="s">
        <v>156</v>
      </c>
      <c r="F415" s="166" t="s">
        <v>7</v>
      </c>
      <c r="G415" s="9">
        <v>202102006</v>
      </c>
      <c r="H415" s="167" t="s">
        <v>157</v>
      </c>
      <c r="I415" s="167" t="s">
        <v>507</v>
      </c>
      <c r="J415" s="167" t="s">
        <v>243</v>
      </c>
      <c r="K415" s="167" t="s">
        <v>160</v>
      </c>
      <c r="L415" s="167" t="s">
        <v>1089</v>
      </c>
      <c r="M415" s="167" t="s">
        <v>13</v>
      </c>
      <c r="N415" s="11">
        <v>0</v>
      </c>
      <c r="O415" s="12" t="str">
        <f>_xlfn.DISPIMG("ID_E2A16755D9294F19AC6C5724406D1776",1)</f>
        <v>=DISPIMG("ID_E2A16755D9294F19AC6C5724406D1776",1)</v>
      </c>
      <c r="P415" s="9" t="s">
        <v>3265</v>
      </c>
      <c r="Q415" s="11">
        <v>407</v>
      </c>
      <c r="R415" s="78" t="s">
        <v>4742</v>
      </c>
      <c r="S415" s="19" t="s">
        <v>66</v>
      </c>
      <c r="T415" s="14">
        <v>2</v>
      </c>
    </row>
    <row r="416" s="3" customFormat="1" customHeight="1" spans="1:20">
      <c r="A416" s="166" t="s">
        <v>3685</v>
      </c>
      <c r="B416" s="166" t="s">
        <v>165</v>
      </c>
      <c r="C416" s="166" t="s">
        <v>3686</v>
      </c>
      <c r="D416" s="11">
        <v>18270929326</v>
      </c>
      <c r="E416" s="167" t="s">
        <v>156</v>
      </c>
      <c r="F416" s="166" t="s">
        <v>7</v>
      </c>
      <c r="G416" s="9">
        <v>202102006</v>
      </c>
      <c r="H416" s="167" t="s">
        <v>157</v>
      </c>
      <c r="I416" s="167" t="s">
        <v>884</v>
      </c>
      <c r="J416" s="167" t="s">
        <v>454</v>
      </c>
      <c r="K416" s="167" t="s">
        <v>170</v>
      </c>
      <c r="L416" s="167" t="s">
        <v>3687</v>
      </c>
      <c r="M416" s="167" t="s">
        <v>7</v>
      </c>
      <c r="N416" s="167" t="s">
        <v>3688</v>
      </c>
      <c r="O416" s="12" t="str">
        <f>_xlfn.DISPIMG("ID_E15A59AE3AB3482DA375DB6FC21D8F4C",1)</f>
        <v>=DISPIMG("ID_E15A59AE3AB3482DA375DB6FC21D8F4C",1)</v>
      </c>
      <c r="P416" s="9" t="s">
        <v>3689</v>
      </c>
      <c r="Q416" s="11">
        <v>469</v>
      </c>
      <c r="R416" s="78" t="s">
        <v>4745</v>
      </c>
      <c r="S416" s="19" t="s">
        <v>66</v>
      </c>
      <c r="T416" s="14">
        <v>1</v>
      </c>
    </row>
    <row r="417" s="3" customFormat="1" customHeight="1" spans="1:20">
      <c r="A417" s="166" t="s">
        <v>459</v>
      </c>
      <c r="B417" s="166" t="s">
        <v>153</v>
      </c>
      <c r="C417" s="166" t="s">
        <v>460</v>
      </c>
      <c r="D417" s="11">
        <v>13265072773</v>
      </c>
      <c r="E417" s="167" t="s">
        <v>156</v>
      </c>
      <c r="F417" s="166" t="s">
        <v>9</v>
      </c>
      <c r="G417" s="9">
        <v>202102011</v>
      </c>
      <c r="H417" s="167" t="s">
        <v>157</v>
      </c>
      <c r="I417" s="167" t="s">
        <v>462</v>
      </c>
      <c r="J417" s="167" t="s">
        <v>463</v>
      </c>
      <c r="K417" s="167" t="s">
        <v>160</v>
      </c>
      <c r="L417" s="167" t="s">
        <v>161</v>
      </c>
      <c r="M417" s="167" t="s">
        <v>464</v>
      </c>
      <c r="N417" s="11">
        <v>0</v>
      </c>
      <c r="O417" s="12" t="str">
        <f>_xlfn.DISPIMG("ID_DCCAD4E9E505474E946107D340C03662",1)</f>
        <v>=DISPIMG("ID_DCCAD4E9E505474E946107D340C03662",1)</v>
      </c>
      <c r="P417" s="9" t="s">
        <v>465</v>
      </c>
      <c r="Q417" s="11">
        <v>36</v>
      </c>
      <c r="R417" s="78" t="s">
        <v>4727</v>
      </c>
      <c r="S417" s="19" t="s">
        <v>66</v>
      </c>
      <c r="T417" s="14">
        <v>7</v>
      </c>
    </row>
    <row r="418" s="98" customFormat="1" customHeight="1" spans="1:20">
      <c r="A418" s="170" t="s">
        <v>468</v>
      </c>
      <c r="B418" s="170" t="s">
        <v>165</v>
      </c>
      <c r="C418" s="170" t="s">
        <v>469</v>
      </c>
      <c r="D418" s="21">
        <v>18146761825</v>
      </c>
      <c r="E418" s="163" t="s">
        <v>156</v>
      </c>
      <c r="F418" s="170" t="s">
        <v>9</v>
      </c>
      <c r="G418" s="99">
        <v>202101011</v>
      </c>
      <c r="H418" s="163" t="s">
        <v>157</v>
      </c>
      <c r="I418" s="163" t="s">
        <v>471</v>
      </c>
      <c r="J418" s="163" t="s">
        <v>472</v>
      </c>
      <c r="K418" s="163" t="s">
        <v>160</v>
      </c>
      <c r="L418" s="163" t="s">
        <v>261</v>
      </c>
      <c r="M418" s="163" t="s">
        <v>473</v>
      </c>
      <c r="N418" s="163" t="s">
        <v>474</v>
      </c>
      <c r="O418" s="100" t="str">
        <f>_xlfn.DISPIMG("ID_1D525F375CC54BBBB3EFFDF9EC99FC2F",1)</f>
        <v>=DISPIMG("ID_1D525F375CC54BBBB3EFFDF9EC99FC2F",1)</v>
      </c>
      <c r="P418" s="99" t="s">
        <v>475</v>
      </c>
      <c r="Q418" s="21">
        <v>37</v>
      </c>
      <c r="R418" s="101" t="s">
        <v>4728</v>
      </c>
      <c r="S418" s="102" t="s">
        <v>66</v>
      </c>
      <c r="T418" s="105">
        <v>18</v>
      </c>
    </row>
    <row r="419" s="3" customFormat="1" customHeight="1" spans="1:20">
      <c r="A419" s="166" t="s">
        <v>1167</v>
      </c>
      <c r="B419" s="166" t="s">
        <v>153</v>
      </c>
      <c r="C419" s="166" t="s">
        <v>1168</v>
      </c>
      <c r="D419" s="11">
        <v>18370130888</v>
      </c>
      <c r="E419" s="167" t="s">
        <v>156</v>
      </c>
      <c r="F419" s="166" t="s">
        <v>9</v>
      </c>
      <c r="G419" s="9">
        <v>202102011</v>
      </c>
      <c r="H419" s="167" t="s">
        <v>279</v>
      </c>
      <c r="I419" s="167" t="s">
        <v>158</v>
      </c>
      <c r="J419" s="167" t="s">
        <v>682</v>
      </c>
      <c r="K419" s="167" t="s">
        <v>170</v>
      </c>
      <c r="L419" s="167" t="s">
        <v>1170</v>
      </c>
      <c r="M419" s="167" t="s">
        <v>1171</v>
      </c>
      <c r="N419" s="167" t="s">
        <v>1172</v>
      </c>
      <c r="O419" s="12" t="str">
        <f>_xlfn.DISPIMG("ID_A11E1242B6CE401EA988641535D09239",1)</f>
        <v>=DISPIMG("ID_A11E1242B6CE401EA988641535D09239",1)</v>
      </c>
      <c r="P419" s="9" t="s">
        <v>1173</v>
      </c>
      <c r="Q419" s="11">
        <v>123</v>
      </c>
      <c r="R419" s="78" t="s">
        <v>4729</v>
      </c>
      <c r="S419" s="19" t="s">
        <v>66</v>
      </c>
      <c r="T419" s="14">
        <v>19</v>
      </c>
    </row>
    <row r="420" s="3" customFormat="1" customHeight="1" spans="1:20">
      <c r="A420" s="166" t="s">
        <v>1403</v>
      </c>
      <c r="B420" s="166" t="s">
        <v>153</v>
      </c>
      <c r="C420" s="166" t="s">
        <v>1404</v>
      </c>
      <c r="D420" s="11">
        <v>15779981835</v>
      </c>
      <c r="E420" s="167" t="s">
        <v>156</v>
      </c>
      <c r="F420" s="166" t="s">
        <v>9</v>
      </c>
      <c r="G420" s="9">
        <v>202102011</v>
      </c>
      <c r="H420" s="167" t="s">
        <v>157</v>
      </c>
      <c r="I420" s="167" t="s">
        <v>827</v>
      </c>
      <c r="J420" s="167" t="s">
        <v>682</v>
      </c>
      <c r="K420" s="167" t="s">
        <v>170</v>
      </c>
      <c r="L420" s="167" t="s">
        <v>261</v>
      </c>
      <c r="M420" s="167" t="s">
        <v>1406</v>
      </c>
      <c r="N420" s="11">
        <v>0</v>
      </c>
      <c r="O420" s="12" t="str">
        <f>_xlfn.DISPIMG("ID_FA69E1E4EF8743A583B1A39075AAAF21",1)</f>
        <v>=DISPIMG("ID_FA69E1E4EF8743A583B1A39075AAAF21",1)</v>
      </c>
      <c r="P420" s="9" t="s">
        <v>1407</v>
      </c>
      <c r="Q420" s="11">
        <v>154</v>
      </c>
      <c r="R420" s="78" t="s">
        <v>4731</v>
      </c>
      <c r="S420" s="19" t="s">
        <v>66</v>
      </c>
      <c r="T420" s="14">
        <v>8</v>
      </c>
    </row>
    <row r="421" s="4" customFormat="1" customHeight="1" spans="1:20">
      <c r="A421" s="166" t="s">
        <v>1821</v>
      </c>
      <c r="B421" s="166" t="s">
        <v>153</v>
      </c>
      <c r="C421" s="166" t="s">
        <v>1822</v>
      </c>
      <c r="D421" s="11">
        <v>15083520312</v>
      </c>
      <c r="E421" s="167" t="s">
        <v>156</v>
      </c>
      <c r="F421" s="166" t="s">
        <v>9</v>
      </c>
      <c r="G421" s="9">
        <v>202102011</v>
      </c>
      <c r="H421" s="167" t="s">
        <v>157</v>
      </c>
      <c r="I421" s="167" t="s">
        <v>437</v>
      </c>
      <c r="J421" s="167" t="s">
        <v>682</v>
      </c>
      <c r="K421" s="167" t="s">
        <v>170</v>
      </c>
      <c r="L421" s="167" t="s">
        <v>455</v>
      </c>
      <c r="M421" s="167" t="s">
        <v>1824</v>
      </c>
      <c r="N421" s="11">
        <v>0</v>
      </c>
      <c r="O421" s="12" t="str">
        <f>_xlfn.DISPIMG("ID_DDBA99C80B934FEAA0E6DE75BE0B792D",1)</f>
        <v>=DISPIMG("ID_DDBA99C80B934FEAA0E6DE75BE0B792D",1)</v>
      </c>
      <c r="P421" s="9" t="s">
        <v>1825</v>
      </c>
      <c r="Q421" s="11">
        <v>208</v>
      </c>
      <c r="R421" s="78" t="s">
        <v>4732</v>
      </c>
      <c r="S421" s="19" t="s">
        <v>66</v>
      </c>
      <c r="T421" s="14">
        <v>17</v>
      </c>
    </row>
    <row r="422" s="4" customFormat="1" customHeight="1" spans="1:20">
      <c r="A422" s="166" t="s">
        <v>2330</v>
      </c>
      <c r="B422" s="166" t="s">
        <v>165</v>
      </c>
      <c r="C422" s="166" t="s">
        <v>2331</v>
      </c>
      <c r="D422" s="11">
        <v>13627002257</v>
      </c>
      <c r="E422" s="167" t="s">
        <v>156</v>
      </c>
      <c r="F422" s="166" t="s">
        <v>9</v>
      </c>
      <c r="G422" s="9">
        <v>202102011</v>
      </c>
      <c r="H422" s="167" t="s">
        <v>157</v>
      </c>
      <c r="I422" s="167" t="s">
        <v>233</v>
      </c>
      <c r="J422" s="167" t="s">
        <v>2333</v>
      </c>
      <c r="K422" s="167" t="s">
        <v>160</v>
      </c>
      <c r="L422" s="167" t="s">
        <v>455</v>
      </c>
      <c r="M422" s="167" t="s">
        <v>9</v>
      </c>
      <c r="N422" s="11">
        <v>0</v>
      </c>
      <c r="O422" s="12" t="str">
        <f>_xlfn.DISPIMG("ID_1491B19669C14541B371C6C8BBB97425",1)</f>
        <v>=DISPIMG("ID_1491B19669C14541B371C6C8BBB97425",1)</v>
      </c>
      <c r="P422" s="9" t="s">
        <v>2334</v>
      </c>
      <c r="Q422" s="11">
        <v>276</v>
      </c>
      <c r="R422" s="78" t="s">
        <v>4733</v>
      </c>
      <c r="S422" s="19" t="s">
        <v>66</v>
      </c>
      <c r="T422" s="14">
        <v>20</v>
      </c>
    </row>
    <row r="423" s="5" customFormat="1" customHeight="1" spans="1:20">
      <c r="A423" s="166" t="s">
        <v>2598</v>
      </c>
      <c r="B423" s="166" t="s">
        <v>153</v>
      </c>
      <c r="C423" s="166" t="s">
        <v>2599</v>
      </c>
      <c r="D423" s="11">
        <v>15979967100</v>
      </c>
      <c r="E423" s="167" t="s">
        <v>156</v>
      </c>
      <c r="F423" s="166" t="s">
        <v>9</v>
      </c>
      <c r="G423" s="9">
        <v>202102011</v>
      </c>
      <c r="H423" s="167" t="s">
        <v>157</v>
      </c>
      <c r="I423" s="167" t="s">
        <v>2601</v>
      </c>
      <c r="J423" s="167" t="s">
        <v>463</v>
      </c>
      <c r="K423" s="167" t="s">
        <v>160</v>
      </c>
      <c r="L423" s="167" t="s">
        <v>368</v>
      </c>
      <c r="M423" s="167" t="s">
        <v>1406</v>
      </c>
      <c r="N423" s="167" t="s">
        <v>2602</v>
      </c>
      <c r="O423" s="12" t="str">
        <f>_xlfn.DISPIMG("ID_6E5E26FD0608404987009AB35A215594",1)</f>
        <v>=DISPIMG("ID_6E5E26FD0608404987009AB35A215594",1)</v>
      </c>
      <c r="P423" s="9" t="s">
        <v>2603</v>
      </c>
      <c r="Q423" s="11">
        <v>312</v>
      </c>
      <c r="R423" s="78" t="s">
        <v>4735</v>
      </c>
      <c r="S423" s="19" t="s">
        <v>66</v>
      </c>
      <c r="T423" s="14">
        <v>9</v>
      </c>
    </row>
    <row r="424" s="98" customFormat="1" customHeight="1" spans="1:20">
      <c r="A424" s="170" t="s">
        <v>3515</v>
      </c>
      <c r="B424" s="170" t="s">
        <v>153</v>
      </c>
      <c r="C424" s="170" t="s">
        <v>3516</v>
      </c>
      <c r="D424" s="21">
        <v>17770840211</v>
      </c>
      <c r="E424" s="163" t="s">
        <v>384</v>
      </c>
      <c r="F424" s="170" t="s">
        <v>9</v>
      </c>
      <c r="G424" s="99">
        <v>202101001</v>
      </c>
      <c r="H424" s="163" t="s">
        <v>157</v>
      </c>
      <c r="I424" s="163" t="s">
        <v>3518</v>
      </c>
      <c r="J424" s="163" t="s">
        <v>472</v>
      </c>
      <c r="K424" s="163" t="s">
        <v>160</v>
      </c>
      <c r="L424" s="163" t="s">
        <v>455</v>
      </c>
      <c r="M424" s="163" t="s">
        <v>3519</v>
      </c>
      <c r="N424" s="21">
        <v>202101023</v>
      </c>
      <c r="O424" s="100" t="str">
        <f>_xlfn.DISPIMG("ID_C58F0E7AF40D45868F2F2F76C4EDE485",1)</f>
        <v>=DISPIMG("ID_C58F0E7AF40D45868F2F2F76C4EDE485",1)</v>
      </c>
      <c r="P424" s="99" t="s">
        <v>3520</v>
      </c>
      <c r="Q424" s="21">
        <v>446</v>
      </c>
      <c r="R424" s="101" t="s">
        <v>4736</v>
      </c>
      <c r="S424" s="102" t="s">
        <v>66</v>
      </c>
      <c r="T424" s="105">
        <v>16</v>
      </c>
    </row>
    <row r="425" s="3" customFormat="1" customHeight="1" spans="1:20">
      <c r="A425" s="166" t="s">
        <v>3538</v>
      </c>
      <c r="B425" s="166" t="s">
        <v>153</v>
      </c>
      <c r="C425" s="166" t="s">
        <v>3539</v>
      </c>
      <c r="D425" s="11">
        <v>15770899535</v>
      </c>
      <c r="E425" s="167" t="s">
        <v>156</v>
      </c>
      <c r="F425" s="166" t="s">
        <v>9</v>
      </c>
      <c r="G425" s="9">
        <v>202102011</v>
      </c>
      <c r="H425" s="167" t="s">
        <v>157</v>
      </c>
      <c r="I425" s="167" t="s">
        <v>3518</v>
      </c>
      <c r="J425" s="167" t="s">
        <v>472</v>
      </c>
      <c r="K425" s="167" t="s">
        <v>160</v>
      </c>
      <c r="L425" s="167" t="s">
        <v>455</v>
      </c>
      <c r="M425" s="167" t="s">
        <v>3519</v>
      </c>
      <c r="N425" s="167" t="s">
        <v>3519</v>
      </c>
      <c r="O425" s="12" t="str">
        <f>_xlfn.DISPIMG("ID_0BCC1778ACA14DBF957E729E6605C713",1)</f>
        <v>=DISPIMG("ID_0BCC1778ACA14DBF957E729E6605C713",1)</v>
      </c>
      <c r="P425" s="9" t="s">
        <v>3541</v>
      </c>
      <c r="Q425" s="11">
        <v>449</v>
      </c>
      <c r="R425" s="78" t="s">
        <v>4737</v>
      </c>
      <c r="S425" s="19" t="s">
        <v>66</v>
      </c>
      <c r="T425" s="14">
        <v>21</v>
      </c>
    </row>
    <row r="426" s="3" customFormat="1" customHeight="1" spans="1:20">
      <c r="A426" s="166" t="s">
        <v>3543</v>
      </c>
      <c r="B426" s="166" t="s">
        <v>153</v>
      </c>
      <c r="C426" s="166" t="s">
        <v>3544</v>
      </c>
      <c r="D426" s="11">
        <v>17683950767</v>
      </c>
      <c r="E426" s="167" t="s">
        <v>156</v>
      </c>
      <c r="F426" s="166" t="s">
        <v>9</v>
      </c>
      <c r="G426" s="9">
        <v>202102011</v>
      </c>
      <c r="H426" s="167" t="s">
        <v>157</v>
      </c>
      <c r="I426" s="167" t="s">
        <v>3518</v>
      </c>
      <c r="J426" s="167" t="s">
        <v>472</v>
      </c>
      <c r="K426" s="167" t="s">
        <v>160</v>
      </c>
      <c r="L426" s="167" t="s">
        <v>455</v>
      </c>
      <c r="M426" s="167" t="s">
        <v>3519</v>
      </c>
      <c r="N426" s="11">
        <v>0</v>
      </c>
      <c r="O426" s="12" t="str">
        <f>_xlfn.DISPIMG("ID_2D99CEE979EF4ECAAD8A877BAF74FBA6",1)</f>
        <v>=DISPIMG("ID_2D99CEE979EF4ECAAD8A877BAF74FBA6",1)</v>
      </c>
      <c r="P426" s="9" t="s">
        <v>3546</v>
      </c>
      <c r="Q426" s="11">
        <v>450</v>
      </c>
      <c r="R426" s="78" t="s">
        <v>4739</v>
      </c>
      <c r="S426" s="19" t="s">
        <v>66</v>
      </c>
      <c r="T426" s="14">
        <v>10</v>
      </c>
    </row>
    <row r="427" s="3" customFormat="1" customHeight="1" spans="1:20">
      <c r="A427" s="166" t="s">
        <v>3549</v>
      </c>
      <c r="B427" s="166" t="s">
        <v>153</v>
      </c>
      <c r="C427" s="166" t="s">
        <v>3550</v>
      </c>
      <c r="D427" s="11">
        <v>15879724111</v>
      </c>
      <c r="E427" s="167" t="s">
        <v>156</v>
      </c>
      <c r="F427" s="166" t="s">
        <v>9</v>
      </c>
      <c r="G427" s="9">
        <v>202102011</v>
      </c>
      <c r="H427" s="167" t="s">
        <v>157</v>
      </c>
      <c r="I427" s="167" t="s">
        <v>1413</v>
      </c>
      <c r="J427" s="167" t="s">
        <v>682</v>
      </c>
      <c r="K427" s="167" t="s">
        <v>170</v>
      </c>
      <c r="L427" s="167" t="s">
        <v>261</v>
      </c>
      <c r="M427" s="167" t="s">
        <v>3552</v>
      </c>
      <c r="N427" s="11">
        <v>0</v>
      </c>
      <c r="O427" s="12" t="str">
        <f>_xlfn.DISPIMG("ID_DB61A8C4A58C4CD3A7E5339498EDC8D8",1)</f>
        <v>=DISPIMG("ID_DB61A8C4A58C4CD3A7E5339498EDC8D8",1)</v>
      </c>
      <c r="P427" s="9" t="s">
        <v>3553</v>
      </c>
      <c r="Q427" s="11">
        <v>451</v>
      </c>
      <c r="R427" s="78" t="s">
        <v>4740</v>
      </c>
      <c r="S427" s="19" t="s">
        <v>66</v>
      </c>
      <c r="T427" s="14">
        <v>15</v>
      </c>
    </row>
    <row r="428" s="4" customFormat="1" customHeight="1" spans="1:20">
      <c r="A428" s="166" t="s">
        <v>3556</v>
      </c>
      <c r="B428" s="166" t="s">
        <v>153</v>
      </c>
      <c r="C428" s="166" t="s">
        <v>3557</v>
      </c>
      <c r="D428" s="11">
        <v>17346719580</v>
      </c>
      <c r="E428" s="167" t="s">
        <v>156</v>
      </c>
      <c r="F428" s="166" t="s">
        <v>9</v>
      </c>
      <c r="G428" s="9">
        <v>202102011</v>
      </c>
      <c r="H428" s="167" t="s">
        <v>157</v>
      </c>
      <c r="I428" s="167" t="s">
        <v>3518</v>
      </c>
      <c r="J428" s="167" t="s">
        <v>3559</v>
      </c>
      <c r="K428" s="167" t="s">
        <v>160</v>
      </c>
      <c r="L428" s="167" t="s">
        <v>455</v>
      </c>
      <c r="M428" s="167" t="s">
        <v>3519</v>
      </c>
      <c r="N428" s="11">
        <v>0</v>
      </c>
      <c r="O428" s="12" t="str">
        <f>_xlfn.DISPIMG("ID_21EB11AFC3FB431C8DEC9B4C05162E66",1)</f>
        <v>=DISPIMG("ID_21EB11AFC3FB431C8DEC9B4C05162E66",1)</v>
      </c>
      <c r="P428" s="9" t="s">
        <v>3560</v>
      </c>
      <c r="Q428" s="11">
        <v>452</v>
      </c>
      <c r="R428" s="78" t="s">
        <v>4741</v>
      </c>
      <c r="S428" s="19" t="s">
        <v>66</v>
      </c>
      <c r="T428" s="14">
        <v>22</v>
      </c>
    </row>
    <row r="429" s="3" customFormat="1" customHeight="1" spans="1:20">
      <c r="A429" s="166" t="s">
        <v>3563</v>
      </c>
      <c r="B429" s="166" t="s">
        <v>153</v>
      </c>
      <c r="C429" s="166" t="s">
        <v>3564</v>
      </c>
      <c r="D429" s="11">
        <v>15907977787</v>
      </c>
      <c r="E429" s="167" t="s">
        <v>156</v>
      </c>
      <c r="F429" s="166" t="s">
        <v>9</v>
      </c>
      <c r="G429" s="9">
        <v>202102011</v>
      </c>
      <c r="H429" s="167" t="s">
        <v>157</v>
      </c>
      <c r="I429" s="167" t="s">
        <v>233</v>
      </c>
      <c r="J429" s="167" t="s">
        <v>3566</v>
      </c>
      <c r="K429" s="167" t="s">
        <v>170</v>
      </c>
      <c r="L429" s="167" t="s">
        <v>261</v>
      </c>
      <c r="M429" s="167" t="s">
        <v>1579</v>
      </c>
      <c r="N429" s="11">
        <v>0</v>
      </c>
      <c r="O429" s="12" t="str">
        <f>_xlfn.DISPIMG("ID_3C6447D057EF4BF7AE9ECFE35CBC5ECF",1)</f>
        <v>=DISPIMG("ID_3C6447D057EF4BF7AE9ECFE35CBC5ECF",1)</v>
      </c>
      <c r="P429" s="9" t="s">
        <v>3567</v>
      </c>
      <c r="Q429" s="11">
        <v>453</v>
      </c>
      <c r="R429" s="78" t="s">
        <v>4743</v>
      </c>
      <c r="S429" s="19" t="s">
        <v>66</v>
      </c>
      <c r="T429" s="14">
        <v>11</v>
      </c>
    </row>
    <row r="430" s="3" customFormat="1" customHeight="1" spans="1:20">
      <c r="A430" s="166" t="s">
        <v>3248</v>
      </c>
      <c r="B430" s="166" t="s">
        <v>153</v>
      </c>
      <c r="C430" s="166" t="s">
        <v>3249</v>
      </c>
      <c r="D430" s="11">
        <v>15180608216</v>
      </c>
      <c r="E430" s="167" t="s">
        <v>156</v>
      </c>
      <c r="F430" s="166" t="s">
        <v>11</v>
      </c>
      <c r="G430" s="9">
        <v>202102013</v>
      </c>
      <c r="H430" s="167" t="s">
        <v>157</v>
      </c>
      <c r="I430" s="167" t="s">
        <v>827</v>
      </c>
      <c r="J430" s="167" t="s">
        <v>3251</v>
      </c>
      <c r="K430" s="167" t="s">
        <v>160</v>
      </c>
      <c r="L430" s="167" t="s">
        <v>161</v>
      </c>
      <c r="M430" s="167" t="s">
        <v>8</v>
      </c>
      <c r="N430" s="11">
        <v>0</v>
      </c>
      <c r="O430" s="12" t="str">
        <f>_xlfn.DISPIMG("ID_80F22CEDB358451BB7235F67F99FD33D",1)</f>
        <v>=DISPIMG("ID_80F22CEDB358451BB7235F67F99FD33D",1)</v>
      </c>
      <c r="P430" s="9" t="s">
        <v>3252</v>
      </c>
      <c r="Q430" s="11">
        <v>405</v>
      </c>
      <c r="R430" s="78" t="s">
        <v>4744</v>
      </c>
      <c r="S430" s="19" t="s">
        <v>66</v>
      </c>
      <c r="T430" s="14">
        <v>14</v>
      </c>
    </row>
    <row r="431" s="3" customFormat="1" customHeight="1" spans="1:20">
      <c r="A431" s="166" t="s">
        <v>3335</v>
      </c>
      <c r="B431" s="166" t="s">
        <v>165</v>
      </c>
      <c r="C431" s="166" t="s">
        <v>3336</v>
      </c>
      <c r="D431" s="11">
        <v>15170662594</v>
      </c>
      <c r="E431" s="167" t="s">
        <v>156</v>
      </c>
      <c r="F431" s="166" t="s">
        <v>11</v>
      </c>
      <c r="G431" s="9">
        <v>202102013</v>
      </c>
      <c r="H431" s="167" t="s">
        <v>157</v>
      </c>
      <c r="I431" s="167" t="s">
        <v>3070</v>
      </c>
      <c r="J431" s="167" t="s">
        <v>1147</v>
      </c>
      <c r="K431" s="167" t="s">
        <v>170</v>
      </c>
      <c r="L431" s="167" t="s">
        <v>306</v>
      </c>
      <c r="M431" s="167" t="s">
        <v>23</v>
      </c>
      <c r="N431" s="167" t="s">
        <v>3338</v>
      </c>
      <c r="O431" s="12" t="str">
        <f>_xlfn.DISPIMG("ID_1086188647994FC4A050F44FE33ED3AF",1)</f>
        <v>=DISPIMG("ID_1086188647994FC4A050F44FE33ED3AF",1)</v>
      </c>
      <c r="P431" s="9" t="s">
        <v>3339</v>
      </c>
      <c r="Q431" s="11">
        <v>420</v>
      </c>
      <c r="R431" s="78" t="s">
        <v>4746</v>
      </c>
      <c r="S431" s="19" t="s">
        <v>66</v>
      </c>
      <c r="T431" s="14">
        <v>12</v>
      </c>
    </row>
    <row r="432" s="98" customFormat="1" customHeight="1" spans="1:20">
      <c r="A432" s="170" t="s">
        <v>3727</v>
      </c>
      <c r="B432" s="170" t="s">
        <v>165</v>
      </c>
      <c r="C432" s="170" t="s">
        <v>3728</v>
      </c>
      <c r="D432" s="21">
        <v>18270897422</v>
      </c>
      <c r="E432" s="163" t="s">
        <v>297</v>
      </c>
      <c r="F432" s="170" t="s">
        <v>11</v>
      </c>
      <c r="G432" s="99">
        <v>202101031</v>
      </c>
      <c r="H432" s="163" t="s">
        <v>157</v>
      </c>
      <c r="I432" s="163" t="s">
        <v>385</v>
      </c>
      <c r="J432" s="163" t="s">
        <v>1147</v>
      </c>
      <c r="K432" s="163" t="s">
        <v>170</v>
      </c>
      <c r="L432" s="163" t="s">
        <v>368</v>
      </c>
      <c r="M432" s="163" t="s">
        <v>2882</v>
      </c>
      <c r="N432" s="163" t="s">
        <v>3730</v>
      </c>
      <c r="O432" s="100" t="str">
        <f>_xlfn.DISPIMG("ID_9A8E5B0A21704ED9ACFE9C7380F006F7",1)</f>
        <v>=DISPIMG("ID_9A8E5B0A21704ED9ACFE9C7380F006F7",1)</v>
      </c>
      <c r="P432" s="99" t="s">
        <v>3731</v>
      </c>
      <c r="Q432" s="104">
        <v>475</v>
      </c>
      <c r="R432" s="101" t="s">
        <v>4747</v>
      </c>
      <c r="S432" s="102" t="s">
        <v>66</v>
      </c>
      <c r="T432" s="105">
        <v>13</v>
      </c>
    </row>
    <row r="433" s="3" customFormat="1" customHeight="1" spans="1:20">
      <c r="A433" s="166" t="s">
        <v>294</v>
      </c>
      <c r="B433" s="166" t="s">
        <v>165</v>
      </c>
      <c r="C433" s="166" t="s">
        <v>295</v>
      </c>
      <c r="D433" s="11">
        <v>18214938323</v>
      </c>
      <c r="E433" s="167" t="s">
        <v>297</v>
      </c>
      <c r="F433" s="166" t="s">
        <v>25</v>
      </c>
      <c r="G433" s="9">
        <v>202101008</v>
      </c>
      <c r="H433" s="167" t="s">
        <v>157</v>
      </c>
      <c r="I433" s="167" t="s">
        <v>178</v>
      </c>
      <c r="J433" s="167" t="s">
        <v>298</v>
      </c>
      <c r="K433" s="167" t="s">
        <v>160</v>
      </c>
      <c r="L433" s="167" t="s">
        <v>261</v>
      </c>
      <c r="M433" s="167" t="s">
        <v>25</v>
      </c>
      <c r="N433" s="11">
        <v>0</v>
      </c>
      <c r="O433" s="12" t="str">
        <f>_xlfn.DISPIMG("ID_60CDE70AF1564D1B99D89BFC637EF6FF",1)</f>
        <v>=DISPIMG("ID_60CDE70AF1564D1B99D89BFC637EF6FF",1)</v>
      </c>
      <c r="P433" s="9" t="s">
        <v>299</v>
      </c>
      <c r="Q433" s="11">
        <v>17</v>
      </c>
      <c r="R433" s="78" t="s">
        <v>4748</v>
      </c>
      <c r="S433" s="19" t="s">
        <v>70</v>
      </c>
      <c r="T433" s="9">
        <v>6</v>
      </c>
    </row>
    <row r="434" s="3" customFormat="1" customHeight="1" spans="1:20">
      <c r="A434" s="166" t="s">
        <v>312</v>
      </c>
      <c r="B434" s="166" t="s">
        <v>165</v>
      </c>
      <c r="C434" s="166" t="s">
        <v>313</v>
      </c>
      <c r="D434" s="11">
        <v>13479263942</v>
      </c>
      <c r="E434" s="167" t="s">
        <v>297</v>
      </c>
      <c r="F434" s="166" t="s">
        <v>25</v>
      </c>
      <c r="G434" s="9">
        <v>202101008</v>
      </c>
      <c r="H434" s="167" t="s">
        <v>157</v>
      </c>
      <c r="I434" s="167" t="s">
        <v>158</v>
      </c>
      <c r="J434" s="167" t="s">
        <v>223</v>
      </c>
      <c r="K434" s="167" t="s">
        <v>170</v>
      </c>
      <c r="L434" s="167" t="s">
        <v>306</v>
      </c>
      <c r="M434" s="167" t="s">
        <v>315</v>
      </c>
      <c r="N434" s="167" t="s">
        <v>316</v>
      </c>
      <c r="O434" s="12" t="str">
        <f>_xlfn.DISPIMG("ID_70953AC2E42945A88FA3E573D09D6D1B",1)</f>
        <v>=DISPIMG("ID_70953AC2E42945A88FA3E573D09D6D1B",1)</v>
      </c>
      <c r="P434" s="9" t="s">
        <v>317</v>
      </c>
      <c r="Q434" s="11">
        <v>19</v>
      </c>
      <c r="R434" s="78" t="s">
        <v>4749</v>
      </c>
      <c r="S434" s="19" t="s">
        <v>70</v>
      </c>
      <c r="T434" s="9">
        <v>7</v>
      </c>
    </row>
    <row r="435" s="3" customFormat="1" customHeight="1" spans="1:20">
      <c r="A435" s="166" t="s">
        <v>381</v>
      </c>
      <c r="B435" s="166" t="s">
        <v>165</v>
      </c>
      <c r="C435" s="166" t="s">
        <v>382</v>
      </c>
      <c r="D435" s="11">
        <v>15180106412</v>
      </c>
      <c r="E435" s="167" t="s">
        <v>384</v>
      </c>
      <c r="F435" s="166" t="s">
        <v>25</v>
      </c>
      <c r="G435" s="9">
        <v>202101007</v>
      </c>
      <c r="H435" s="167" t="s">
        <v>157</v>
      </c>
      <c r="I435" s="167" t="s">
        <v>385</v>
      </c>
      <c r="J435" s="167" t="s">
        <v>386</v>
      </c>
      <c r="K435" s="167" t="s">
        <v>170</v>
      </c>
      <c r="L435" s="167" t="s">
        <v>216</v>
      </c>
      <c r="M435" s="167" t="s">
        <v>25</v>
      </c>
      <c r="N435" s="167" t="s">
        <v>387</v>
      </c>
      <c r="O435" s="12" t="str">
        <f>_xlfn.DISPIMG("ID_66D69597049F4F76B0A0201065CACE75",1)</f>
        <v>=DISPIMG("ID_66D69597049F4F76B0A0201065CACE75",1)</v>
      </c>
      <c r="P435" s="9" t="s">
        <v>388</v>
      </c>
      <c r="Q435" s="11">
        <v>27</v>
      </c>
      <c r="R435" s="78" t="s">
        <v>4750</v>
      </c>
      <c r="S435" s="19" t="s">
        <v>70</v>
      </c>
      <c r="T435" s="9">
        <v>18</v>
      </c>
    </row>
    <row r="436" s="3" customFormat="1" customHeight="1" spans="1:20">
      <c r="A436" s="166" t="s">
        <v>545</v>
      </c>
      <c r="B436" s="166" t="s">
        <v>165</v>
      </c>
      <c r="C436" s="166" t="s">
        <v>546</v>
      </c>
      <c r="D436" s="11">
        <v>13282964470</v>
      </c>
      <c r="E436" s="167" t="s">
        <v>384</v>
      </c>
      <c r="F436" s="166" t="s">
        <v>25</v>
      </c>
      <c r="G436" s="9">
        <v>202101007</v>
      </c>
      <c r="H436" s="167" t="s">
        <v>157</v>
      </c>
      <c r="I436" s="167" t="s">
        <v>158</v>
      </c>
      <c r="J436" s="167" t="s">
        <v>223</v>
      </c>
      <c r="K436" s="167" t="s">
        <v>170</v>
      </c>
      <c r="L436" s="167" t="s">
        <v>548</v>
      </c>
      <c r="M436" s="167" t="s">
        <v>549</v>
      </c>
      <c r="N436" s="167" t="s">
        <v>550</v>
      </c>
      <c r="O436" s="12" t="str">
        <f>_xlfn.DISPIMG("ID_815DB3FDB9924FE5A27318CA3E9A763D",1)</f>
        <v>=DISPIMG("ID_815DB3FDB9924FE5A27318CA3E9A763D",1)</v>
      </c>
      <c r="P436" s="9" t="s">
        <v>551</v>
      </c>
      <c r="Q436" s="11">
        <v>47</v>
      </c>
      <c r="R436" s="78" t="s">
        <v>4751</v>
      </c>
      <c r="S436" s="19" t="s">
        <v>70</v>
      </c>
      <c r="T436" s="9">
        <v>19</v>
      </c>
    </row>
    <row r="437" s="3" customFormat="1" customHeight="1" spans="1:20">
      <c r="A437" s="166" t="s">
        <v>554</v>
      </c>
      <c r="B437" s="166" t="s">
        <v>165</v>
      </c>
      <c r="C437" s="166" t="s">
        <v>555</v>
      </c>
      <c r="D437" s="11">
        <v>15508941977</v>
      </c>
      <c r="E437" s="167" t="s">
        <v>384</v>
      </c>
      <c r="F437" s="166" t="s">
        <v>25</v>
      </c>
      <c r="G437" s="9">
        <v>202101007</v>
      </c>
      <c r="H437" s="167" t="s">
        <v>157</v>
      </c>
      <c r="I437" s="167" t="s">
        <v>557</v>
      </c>
      <c r="J437" s="167" t="s">
        <v>558</v>
      </c>
      <c r="K437" s="167" t="s">
        <v>170</v>
      </c>
      <c r="L437" s="167" t="s">
        <v>559</v>
      </c>
      <c r="M437" s="167" t="s">
        <v>560</v>
      </c>
      <c r="N437" s="167" t="s">
        <v>561</v>
      </c>
      <c r="O437" s="12" t="str">
        <f>_xlfn.DISPIMG("ID_ED037D5B8E7D49BEA8FD0DBFF3A4827B",1)</f>
        <v>=DISPIMG("ID_ED037D5B8E7D49BEA8FD0DBFF3A4827B",1)</v>
      </c>
      <c r="P437" s="9" t="s">
        <v>562</v>
      </c>
      <c r="Q437" s="11">
        <v>48</v>
      </c>
      <c r="R437" s="78" t="s">
        <v>4752</v>
      </c>
      <c r="S437" s="19" t="s">
        <v>70</v>
      </c>
      <c r="T437" s="9">
        <v>30</v>
      </c>
    </row>
    <row r="438" s="3" customFormat="1" customHeight="1" spans="1:20">
      <c r="A438" s="166" t="s">
        <v>720</v>
      </c>
      <c r="B438" s="166" t="s">
        <v>165</v>
      </c>
      <c r="C438" s="166" t="s">
        <v>721</v>
      </c>
      <c r="D438" s="11">
        <v>18070248182</v>
      </c>
      <c r="E438" s="167" t="s">
        <v>384</v>
      </c>
      <c r="F438" s="166" t="s">
        <v>25</v>
      </c>
      <c r="G438" s="9">
        <v>202101007</v>
      </c>
      <c r="H438" s="167" t="s">
        <v>157</v>
      </c>
      <c r="I438" s="167" t="s">
        <v>723</v>
      </c>
      <c r="J438" s="167" t="s">
        <v>223</v>
      </c>
      <c r="K438" s="167" t="s">
        <v>170</v>
      </c>
      <c r="L438" s="167" t="s">
        <v>252</v>
      </c>
      <c r="M438" s="167" t="s">
        <v>724</v>
      </c>
      <c r="N438" s="167" t="s">
        <v>725</v>
      </c>
      <c r="O438" s="12" t="str">
        <f>_xlfn.DISPIMG("ID_18752421A8044E9999D06F0B98A5B3A9",1)</f>
        <v>=DISPIMG("ID_18752421A8044E9999D06F0B98A5B3A9",1)</v>
      </c>
      <c r="P438" s="9" t="s">
        <v>726</v>
      </c>
      <c r="Q438" s="11">
        <v>68</v>
      </c>
      <c r="R438" s="78" t="s">
        <v>4753</v>
      </c>
      <c r="S438" s="19" t="s">
        <v>70</v>
      </c>
      <c r="T438" s="9">
        <v>5</v>
      </c>
    </row>
    <row r="439" s="3" customFormat="1" customHeight="1" spans="1:20">
      <c r="A439" s="166" t="s">
        <v>786</v>
      </c>
      <c r="B439" s="166" t="s">
        <v>165</v>
      </c>
      <c r="C439" s="166" t="s">
        <v>787</v>
      </c>
      <c r="D439" s="11">
        <v>15870883510</v>
      </c>
      <c r="E439" s="167" t="s">
        <v>384</v>
      </c>
      <c r="F439" s="166" t="s">
        <v>25</v>
      </c>
      <c r="G439" s="9">
        <v>202101007</v>
      </c>
      <c r="H439" s="167" t="s">
        <v>705</v>
      </c>
      <c r="I439" s="167" t="s">
        <v>789</v>
      </c>
      <c r="J439" s="167" t="s">
        <v>790</v>
      </c>
      <c r="K439" s="167" t="s">
        <v>160</v>
      </c>
      <c r="L439" s="167" t="s">
        <v>455</v>
      </c>
      <c r="M439" s="167" t="s">
        <v>307</v>
      </c>
      <c r="N439" s="167" t="s">
        <v>791</v>
      </c>
      <c r="O439" s="12" t="str">
        <f>_xlfn.DISPIMG("ID_81CFC0148DBF4084ADB804B82E5E7200",1)</f>
        <v>=DISPIMG("ID_81CFC0148DBF4084ADB804B82E5E7200",1)</v>
      </c>
      <c r="P439" s="9" t="s">
        <v>792</v>
      </c>
      <c r="Q439" s="11">
        <v>76</v>
      </c>
      <c r="R439" s="78" t="s">
        <v>4754</v>
      </c>
      <c r="S439" s="19" t="s">
        <v>70</v>
      </c>
      <c r="T439" s="9">
        <v>8</v>
      </c>
    </row>
    <row r="440" s="3" customFormat="1" customHeight="1" spans="1:20">
      <c r="A440" s="166" t="s">
        <v>824</v>
      </c>
      <c r="B440" s="166" t="s">
        <v>165</v>
      </c>
      <c r="C440" s="166" t="s">
        <v>825</v>
      </c>
      <c r="D440" s="11">
        <v>18870036528</v>
      </c>
      <c r="E440" s="167" t="s">
        <v>297</v>
      </c>
      <c r="F440" s="166" t="s">
        <v>25</v>
      </c>
      <c r="G440" s="9">
        <v>202101008</v>
      </c>
      <c r="H440" s="167" t="s">
        <v>157</v>
      </c>
      <c r="I440" s="167" t="s">
        <v>827</v>
      </c>
      <c r="J440" s="167" t="s">
        <v>828</v>
      </c>
      <c r="K440" s="167" t="s">
        <v>170</v>
      </c>
      <c r="L440" s="167" t="s">
        <v>396</v>
      </c>
      <c r="M440" s="167" t="s">
        <v>25</v>
      </c>
      <c r="N440" s="167" t="s">
        <v>829</v>
      </c>
      <c r="O440" s="12" t="str">
        <f>_xlfn.DISPIMG("ID_8A1A22938F334E1D900FC8311DB2BE9A",1)</f>
        <v>=DISPIMG("ID_8A1A22938F334E1D900FC8311DB2BE9A",1)</v>
      </c>
      <c r="P440" s="9" t="s">
        <v>830</v>
      </c>
      <c r="Q440" s="11">
        <v>81</v>
      </c>
      <c r="R440" s="78" t="s">
        <v>4755</v>
      </c>
      <c r="S440" s="19" t="s">
        <v>70</v>
      </c>
      <c r="T440" s="9">
        <v>17</v>
      </c>
    </row>
    <row r="441" s="3" customFormat="1" customHeight="1" spans="1:20">
      <c r="A441" s="166" t="s">
        <v>949</v>
      </c>
      <c r="B441" s="166" t="s">
        <v>165</v>
      </c>
      <c r="C441" s="166" t="s">
        <v>950</v>
      </c>
      <c r="D441" s="11">
        <v>15720934889</v>
      </c>
      <c r="E441" s="167" t="s">
        <v>384</v>
      </c>
      <c r="F441" s="166" t="s">
        <v>25</v>
      </c>
      <c r="G441" s="9">
        <v>202101007</v>
      </c>
      <c r="H441" s="167" t="s">
        <v>157</v>
      </c>
      <c r="I441" s="167" t="s">
        <v>269</v>
      </c>
      <c r="J441" s="167" t="s">
        <v>179</v>
      </c>
      <c r="K441" s="167" t="s">
        <v>170</v>
      </c>
      <c r="L441" s="167" t="s">
        <v>171</v>
      </c>
      <c r="M441" s="167" t="s">
        <v>952</v>
      </c>
      <c r="N441" s="167" t="s">
        <v>953</v>
      </c>
      <c r="O441" s="12" t="str">
        <f>_xlfn.DISPIMG("ID_7778BC47A591458DA9EA33FB1000B681",1)</f>
        <v>=DISPIMG("ID_7778BC47A591458DA9EA33FB1000B681",1)</v>
      </c>
      <c r="P441" s="9" t="s">
        <v>954</v>
      </c>
      <c r="Q441" s="11">
        <v>96</v>
      </c>
      <c r="R441" s="78" t="s">
        <v>4756</v>
      </c>
      <c r="S441" s="19" t="s">
        <v>70</v>
      </c>
      <c r="T441" s="9">
        <v>20</v>
      </c>
    </row>
    <row r="442" s="3" customFormat="1" customHeight="1" spans="1:20">
      <c r="A442" s="166" t="s">
        <v>1373</v>
      </c>
      <c r="B442" s="166" t="s">
        <v>165</v>
      </c>
      <c r="C442" s="166" t="s">
        <v>1374</v>
      </c>
      <c r="D442" s="11">
        <v>15070130599</v>
      </c>
      <c r="E442" s="167" t="s">
        <v>384</v>
      </c>
      <c r="F442" s="166" t="s">
        <v>25</v>
      </c>
      <c r="G442" s="9">
        <v>202101007</v>
      </c>
      <c r="H442" s="167" t="s">
        <v>705</v>
      </c>
      <c r="I442" s="167" t="s">
        <v>1376</v>
      </c>
      <c r="J442" s="167" t="s">
        <v>790</v>
      </c>
      <c r="K442" s="167" t="s">
        <v>160</v>
      </c>
      <c r="L442" s="167" t="s">
        <v>455</v>
      </c>
      <c r="M442" s="167" t="s">
        <v>1156</v>
      </c>
      <c r="N442" s="11">
        <v>0</v>
      </c>
      <c r="O442" s="12" t="str">
        <f>_xlfn.DISPIMG("ID_ECF84772EBB248C2BC2BD56C2C168331",1)</f>
        <v>=DISPIMG("ID_ECF84772EBB248C2BC2BD56C2C168331",1)</v>
      </c>
      <c r="P442" s="9" t="s">
        <v>1377</v>
      </c>
      <c r="Q442" s="11">
        <v>150</v>
      </c>
      <c r="R442" s="78" t="s">
        <v>4757</v>
      </c>
      <c r="S442" s="19" t="s">
        <v>70</v>
      </c>
      <c r="T442" s="9">
        <v>29</v>
      </c>
    </row>
    <row r="443" s="3" customFormat="1" customHeight="1" spans="1:20">
      <c r="A443" s="166" t="s">
        <v>1552</v>
      </c>
      <c r="B443" s="166" t="s">
        <v>165</v>
      </c>
      <c r="C443" s="166" t="s">
        <v>1553</v>
      </c>
      <c r="D443" s="11">
        <v>18795899857</v>
      </c>
      <c r="E443" s="167" t="s">
        <v>384</v>
      </c>
      <c r="F443" s="166" t="s">
        <v>25</v>
      </c>
      <c r="G443" s="9">
        <v>202101007</v>
      </c>
      <c r="H443" s="167" t="s">
        <v>157</v>
      </c>
      <c r="I443" s="167" t="s">
        <v>385</v>
      </c>
      <c r="J443" s="167" t="s">
        <v>828</v>
      </c>
      <c r="K443" s="167" t="s">
        <v>170</v>
      </c>
      <c r="L443" s="167" t="s">
        <v>548</v>
      </c>
      <c r="M443" s="167" t="s">
        <v>25</v>
      </c>
      <c r="N443" s="167" t="s">
        <v>1555</v>
      </c>
      <c r="O443" s="12" t="str">
        <f>_xlfn.DISPIMG("ID_3244697DE8F74EF1A671D4FB148CF806",1)</f>
        <v>=DISPIMG("ID_3244697DE8F74EF1A671D4FB148CF806",1)</v>
      </c>
      <c r="P443" s="9" t="s">
        <v>1556</v>
      </c>
      <c r="Q443" s="11">
        <v>173</v>
      </c>
      <c r="R443" s="78" t="s">
        <v>4758</v>
      </c>
      <c r="S443" s="19" t="s">
        <v>70</v>
      </c>
      <c r="T443" s="9">
        <v>4</v>
      </c>
    </row>
    <row r="444" s="5" customFormat="1" customHeight="1" spans="1:20">
      <c r="A444" s="166" t="s">
        <v>1597</v>
      </c>
      <c r="B444" s="166" t="s">
        <v>153</v>
      </c>
      <c r="C444" s="166" t="s">
        <v>1598</v>
      </c>
      <c r="D444" s="11">
        <v>13979287846</v>
      </c>
      <c r="E444" s="167" t="s">
        <v>384</v>
      </c>
      <c r="F444" s="166" t="s">
        <v>25</v>
      </c>
      <c r="G444" s="9">
        <v>202101007</v>
      </c>
      <c r="H444" s="167" t="s">
        <v>157</v>
      </c>
      <c r="I444" s="167" t="s">
        <v>1600</v>
      </c>
      <c r="J444" s="167" t="s">
        <v>1601</v>
      </c>
      <c r="K444" s="167" t="s">
        <v>170</v>
      </c>
      <c r="L444" s="167" t="s">
        <v>252</v>
      </c>
      <c r="M444" s="167" t="s">
        <v>25</v>
      </c>
      <c r="N444" s="167" t="s">
        <v>1602</v>
      </c>
      <c r="O444" s="12" t="str">
        <f>_xlfn.DISPIMG("ID_E78F3BF41C5D43B8884910B23D8EE46A",1)</f>
        <v>=DISPIMG("ID_E78F3BF41C5D43B8884910B23D8EE46A",1)</v>
      </c>
      <c r="P444" s="9" t="s">
        <v>1603</v>
      </c>
      <c r="Q444" s="11">
        <v>179</v>
      </c>
      <c r="R444" s="78" t="s">
        <v>4759</v>
      </c>
      <c r="S444" s="19" t="s">
        <v>70</v>
      </c>
      <c r="T444" s="9">
        <v>9</v>
      </c>
    </row>
    <row r="445" s="3" customFormat="1" customHeight="1" spans="1:20">
      <c r="A445" s="166" t="s">
        <v>1689</v>
      </c>
      <c r="B445" s="166" t="s">
        <v>165</v>
      </c>
      <c r="C445" s="166" t="s">
        <v>1690</v>
      </c>
      <c r="D445" s="11">
        <v>13677055035</v>
      </c>
      <c r="E445" s="167" t="s">
        <v>384</v>
      </c>
      <c r="F445" s="166" t="s">
        <v>25</v>
      </c>
      <c r="G445" s="9">
        <v>202101007</v>
      </c>
      <c r="H445" s="167" t="s">
        <v>157</v>
      </c>
      <c r="I445" s="167" t="s">
        <v>1258</v>
      </c>
      <c r="J445" s="167" t="s">
        <v>179</v>
      </c>
      <c r="K445" s="167" t="s">
        <v>170</v>
      </c>
      <c r="L445" s="167" t="s">
        <v>180</v>
      </c>
      <c r="M445" s="167" t="s">
        <v>1692</v>
      </c>
      <c r="N445" s="167" t="s">
        <v>1693</v>
      </c>
      <c r="O445" s="12" t="str">
        <f>_xlfn.DISPIMG("ID_43885BD9A06C404291EA89276C573B8A",1)</f>
        <v>=DISPIMG("ID_43885BD9A06C404291EA89276C573B8A",1)</v>
      </c>
      <c r="P445" s="9" t="s">
        <v>1694</v>
      </c>
      <c r="Q445" s="11">
        <v>191</v>
      </c>
      <c r="R445" s="78" t="s">
        <v>4760</v>
      </c>
      <c r="S445" s="19" t="s">
        <v>70</v>
      </c>
      <c r="T445" s="9">
        <v>16</v>
      </c>
    </row>
    <row r="446" s="3" customFormat="1" customHeight="1" spans="1:20">
      <c r="A446" s="166" t="s">
        <v>1807</v>
      </c>
      <c r="B446" s="166" t="s">
        <v>165</v>
      </c>
      <c r="C446" s="166" t="s">
        <v>1808</v>
      </c>
      <c r="D446" s="11">
        <v>18279208598</v>
      </c>
      <c r="E446" s="167" t="s">
        <v>384</v>
      </c>
      <c r="F446" s="166" t="s">
        <v>25</v>
      </c>
      <c r="G446" s="9">
        <v>202101007</v>
      </c>
      <c r="H446" s="167" t="s">
        <v>157</v>
      </c>
      <c r="I446" s="167" t="s">
        <v>1413</v>
      </c>
      <c r="J446" s="167" t="s">
        <v>179</v>
      </c>
      <c r="K446" s="167" t="s">
        <v>170</v>
      </c>
      <c r="L446" s="167" t="s">
        <v>235</v>
      </c>
      <c r="M446" s="167" t="s">
        <v>1692</v>
      </c>
      <c r="N446" s="167" t="s">
        <v>1810</v>
      </c>
      <c r="O446" s="12" t="str">
        <f>_xlfn.DISPIMG("ID_CF289AF208E247F38051A435A278D00A",1)</f>
        <v>=DISPIMG("ID_CF289AF208E247F38051A435A278D00A",1)</v>
      </c>
      <c r="P446" s="9" t="s">
        <v>1811</v>
      </c>
      <c r="Q446" s="11">
        <v>206</v>
      </c>
      <c r="R446" s="78" t="s">
        <v>4761</v>
      </c>
      <c r="S446" s="19" t="s">
        <v>70</v>
      </c>
      <c r="T446" s="9">
        <v>21</v>
      </c>
    </row>
    <row r="447" s="3" customFormat="1" customHeight="1" spans="1:20">
      <c r="A447" s="166" t="s">
        <v>1912</v>
      </c>
      <c r="B447" s="166" t="s">
        <v>165</v>
      </c>
      <c r="C447" s="166" t="s">
        <v>1913</v>
      </c>
      <c r="D447" s="11">
        <v>15079288765</v>
      </c>
      <c r="E447" s="167" t="s">
        <v>297</v>
      </c>
      <c r="F447" s="166" t="s">
        <v>25</v>
      </c>
      <c r="G447" s="9">
        <v>202101008</v>
      </c>
      <c r="H447" s="167" t="s">
        <v>157</v>
      </c>
      <c r="I447" s="167" t="s">
        <v>233</v>
      </c>
      <c r="J447" s="167" t="s">
        <v>298</v>
      </c>
      <c r="K447" s="167" t="s">
        <v>160</v>
      </c>
      <c r="L447" s="167" t="s">
        <v>587</v>
      </c>
      <c r="M447" s="167" t="s">
        <v>25</v>
      </c>
      <c r="N447" s="167" t="s">
        <v>1915</v>
      </c>
      <c r="O447" s="12" t="str">
        <f>_xlfn.DISPIMG("ID_845D85CFFC3A4B2FB996A756749DD1B9",1)</f>
        <v>=DISPIMG("ID_845D85CFFC3A4B2FB996A756749DD1B9",1)</v>
      </c>
      <c r="P447" s="9" t="s">
        <v>1916</v>
      </c>
      <c r="Q447" s="11">
        <v>220</v>
      </c>
      <c r="R447" s="78" t="s">
        <v>4762</v>
      </c>
      <c r="S447" s="19" t="s">
        <v>70</v>
      </c>
      <c r="T447" s="9">
        <v>28</v>
      </c>
    </row>
    <row r="448" s="4" customFormat="1" customHeight="1" spans="1:20">
      <c r="A448" s="166" t="s">
        <v>2069</v>
      </c>
      <c r="B448" s="166" t="s">
        <v>165</v>
      </c>
      <c r="C448" s="166" t="s">
        <v>2070</v>
      </c>
      <c r="D448" s="11">
        <v>18970492528</v>
      </c>
      <c r="E448" s="167" t="s">
        <v>384</v>
      </c>
      <c r="F448" s="166" t="s">
        <v>25</v>
      </c>
      <c r="G448" s="9">
        <v>202101007</v>
      </c>
      <c r="H448" s="167" t="s">
        <v>157</v>
      </c>
      <c r="I448" s="167" t="s">
        <v>233</v>
      </c>
      <c r="J448" s="167" t="s">
        <v>179</v>
      </c>
      <c r="K448" s="167" t="s">
        <v>170</v>
      </c>
      <c r="L448" s="167" t="s">
        <v>1346</v>
      </c>
      <c r="M448" s="167" t="s">
        <v>25</v>
      </c>
      <c r="N448" s="167" t="s">
        <v>2072</v>
      </c>
      <c r="O448" s="12" t="str">
        <f>_xlfn.DISPIMG("ID_AE7BFEF114344F24954EA3AA4FC71BD8",1)</f>
        <v>=DISPIMG("ID_AE7BFEF114344F24954EA3AA4FC71BD8",1)</v>
      </c>
      <c r="P448" s="9" t="s">
        <v>2073</v>
      </c>
      <c r="Q448" s="11">
        <v>241</v>
      </c>
      <c r="R448" s="78" t="s">
        <v>4763</v>
      </c>
      <c r="S448" s="19" t="s">
        <v>70</v>
      </c>
      <c r="T448" s="9">
        <v>3</v>
      </c>
    </row>
    <row r="449" s="4" customFormat="1" customHeight="1" spans="1:20">
      <c r="A449" s="166" t="s">
        <v>2360</v>
      </c>
      <c r="B449" s="166" t="s">
        <v>165</v>
      </c>
      <c r="C449" s="166" t="s">
        <v>2361</v>
      </c>
      <c r="D449" s="11">
        <v>18070140896</v>
      </c>
      <c r="E449" s="167" t="s">
        <v>384</v>
      </c>
      <c r="F449" s="166" t="s">
        <v>25</v>
      </c>
      <c r="G449" s="9">
        <v>202101007</v>
      </c>
      <c r="H449" s="167" t="s">
        <v>157</v>
      </c>
      <c r="I449" s="167" t="s">
        <v>2363</v>
      </c>
      <c r="J449" s="167" t="s">
        <v>179</v>
      </c>
      <c r="K449" s="167" t="s">
        <v>170</v>
      </c>
      <c r="L449" s="167" t="s">
        <v>577</v>
      </c>
      <c r="M449" s="167" t="s">
        <v>25</v>
      </c>
      <c r="N449" s="167" t="s">
        <v>2364</v>
      </c>
      <c r="O449" s="12" t="str">
        <f>_xlfn.DISPIMG("ID_9FF2F7CED6DC40CB89E306847985BA44",1)</f>
        <v>=DISPIMG("ID_9FF2F7CED6DC40CB89E306847985BA44",1)</v>
      </c>
      <c r="P449" s="9" t="s">
        <v>2365</v>
      </c>
      <c r="Q449" s="11">
        <v>280</v>
      </c>
      <c r="R449" s="78" t="s">
        <v>4764</v>
      </c>
      <c r="S449" s="19" t="s">
        <v>70</v>
      </c>
      <c r="T449" s="9">
        <v>10</v>
      </c>
    </row>
    <row r="450" s="3" customFormat="1" customHeight="1" spans="1:20">
      <c r="A450" s="166" t="s">
        <v>2415</v>
      </c>
      <c r="B450" s="166" t="s">
        <v>165</v>
      </c>
      <c r="C450" s="166" t="s">
        <v>2416</v>
      </c>
      <c r="D450" s="11">
        <v>18179591146</v>
      </c>
      <c r="E450" s="167" t="s">
        <v>384</v>
      </c>
      <c r="F450" s="166" t="s">
        <v>25</v>
      </c>
      <c r="G450" s="9">
        <v>202101007</v>
      </c>
      <c r="H450" s="167" t="s">
        <v>157</v>
      </c>
      <c r="I450" s="167" t="s">
        <v>1258</v>
      </c>
      <c r="J450" s="167" t="s">
        <v>828</v>
      </c>
      <c r="K450" s="167" t="s">
        <v>170</v>
      </c>
      <c r="L450" s="167" t="s">
        <v>171</v>
      </c>
      <c r="M450" s="167" t="s">
        <v>25</v>
      </c>
      <c r="N450" s="167" t="s">
        <v>2418</v>
      </c>
      <c r="O450" s="12" t="str">
        <f>_xlfn.DISPIMG("ID_CD5C977DBB8D404E885C56F791C17D27",1)</f>
        <v>=DISPIMG("ID_CD5C977DBB8D404E885C56F791C17D27",1)</v>
      </c>
      <c r="P450" s="9" t="s">
        <v>2419</v>
      </c>
      <c r="Q450" s="11">
        <v>287</v>
      </c>
      <c r="R450" s="78" t="s">
        <v>4765</v>
      </c>
      <c r="S450" s="19" t="s">
        <v>70</v>
      </c>
      <c r="T450" s="9">
        <v>15</v>
      </c>
    </row>
    <row r="451" s="3" customFormat="1" customHeight="1" spans="1:20">
      <c r="A451" s="166" t="s">
        <v>2495</v>
      </c>
      <c r="B451" s="166" t="s">
        <v>165</v>
      </c>
      <c r="C451" s="166" t="s">
        <v>2496</v>
      </c>
      <c r="D451" s="11">
        <v>15170284980</v>
      </c>
      <c r="E451" s="167" t="s">
        <v>384</v>
      </c>
      <c r="F451" s="166" t="s">
        <v>25</v>
      </c>
      <c r="G451" s="9">
        <v>202101007</v>
      </c>
      <c r="H451" s="167" t="s">
        <v>157</v>
      </c>
      <c r="I451" s="167" t="s">
        <v>662</v>
      </c>
      <c r="J451" s="167" t="s">
        <v>179</v>
      </c>
      <c r="K451" s="167" t="s">
        <v>170</v>
      </c>
      <c r="L451" s="167" t="s">
        <v>261</v>
      </c>
      <c r="M451" s="167" t="s">
        <v>25</v>
      </c>
      <c r="N451" s="11">
        <v>0</v>
      </c>
      <c r="O451" s="12" t="str">
        <f>_xlfn.DISPIMG("ID_9517FA682BDD4A72AC67B046C0A956F9",1)</f>
        <v>=DISPIMG("ID_9517FA682BDD4A72AC67B046C0A956F9",1)</v>
      </c>
      <c r="P451" s="9" t="s">
        <v>2498</v>
      </c>
      <c r="Q451" s="11">
        <v>298</v>
      </c>
      <c r="R451" s="78" t="s">
        <v>4766</v>
      </c>
      <c r="S451" s="19" t="s">
        <v>70</v>
      </c>
      <c r="T451" s="9">
        <v>22</v>
      </c>
    </row>
    <row r="452" s="3" customFormat="1" customHeight="1" spans="1:20">
      <c r="A452" s="166" t="s">
        <v>2606</v>
      </c>
      <c r="B452" s="166" t="s">
        <v>165</v>
      </c>
      <c r="C452" s="166" t="s">
        <v>2607</v>
      </c>
      <c r="D452" s="11">
        <v>18720995920</v>
      </c>
      <c r="E452" s="167" t="s">
        <v>297</v>
      </c>
      <c r="F452" s="166" t="s">
        <v>25</v>
      </c>
      <c r="G452" s="9">
        <v>202101008</v>
      </c>
      <c r="H452" s="167" t="s">
        <v>157</v>
      </c>
      <c r="I452" s="167" t="s">
        <v>1654</v>
      </c>
      <c r="J452" s="167" t="s">
        <v>2609</v>
      </c>
      <c r="K452" s="167" t="s">
        <v>160</v>
      </c>
      <c r="L452" s="167" t="s">
        <v>281</v>
      </c>
      <c r="M452" s="167" t="s">
        <v>2610</v>
      </c>
      <c r="N452" s="167" t="s">
        <v>2611</v>
      </c>
      <c r="O452" s="12" t="str">
        <f>_xlfn.DISPIMG("ID_1DA33C1DACDA463582C160858194DE2A",1)</f>
        <v>=DISPIMG("ID_1DA33C1DACDA463582C160858194DE2A",1)</v>
      </c>
      <c r="P452" s="9" t="s">
        <v>2612</v>
      </c>
      <c r="Q452" s="11">
        <v>313</v>
      </c>
      <c r="R452" s="78" t="s">
        <v>4767</v>
      </c>
      <c r="S452" s="19" t="s">
        <v>70</v>
      </c>
      <c r="T452" s="9">
        <v>27</v>
      </c>
    </row>
    <row r="453" s="6" customFormat="1" customHeight="1" spans="1:20">
      <c r="A453" s="166" t="s">
        <v>2674</v>
      </c>
      <c r="B453" s="166" t="s">
        <v>165</v>
      </c>
      <c r="C453" s="166" t="s">
        <v>2675</v>
      </c>
      <c r="D453" s="11">
        <v>18000227120</v>
      </c>
      <c r="E453" s="167" t="s">
        <v>297</v>
      </c>
      <c r="F453" s="166" t="s">
        <v>25</v>
      </c>
      <c r="G453" s="9">
        <v>202101008</v>
      </c>
      <c r="H453" s="167" t="s">
        <v>157</v>
      </c>
      <c r="I453" s="167" t="s">
        <v>269</v>
      </c>
      <c r="J453" s="167" t="s">
        <v>2677</v>
      </c>
      <c r="K453" s="167" t="s">
        <v>160</v>
      </c>
      <c r="L453" s="167" t="s">
        <v>224</v>
      </c>
      <c r="M453" s="167" t="s">
        <v>25</v>
      </c>
      <c r="N453" s="167" t="s">
        <v>2678</v>
      </c>
      <c r="O453" s="12" t="str">
        <f>_xlfn.DISPIMG("ID_03E1DAA8D63B4AFF99883CCD0E6E65E6",1)</f>
        <v>=DISPIMG("ID_03E1DAA8D63B4AFF99883CCD0E6E65E6",1)</v>
      </c>
      <c r="P453" s="9" t="s">
        <v>2679</v>
      </c>
      <c r="Q453" s="11">
        <v>359</v>
      </c>
      <c r="R453" s="78" t="s">
        <v>4768</v>
      </c>
      <c r="S453" s="19" t="s">
        <v>70</v>
      </c>
      <c r="T453" s="9">
        <v>2</v>
      </c>
    </row>
    <row r="454" s="3" customFormat="1" customHeight="1" spans="1:20">
      <c r="A454" s="166" t="s">
        <v>3002</v>
      </c>
      <c r="B454" s="166" t="s">
        <v>165</v>
      </c>
      <c r="C454" s="166" t="s">
        <v>3003</v>
      </c>
      <c r="D454" s="11">
        <v>15798074733</v>
      </c>
      <c r="E454" s="167" t="s">
        <v>297</v>
      </c>
      <c r="F454" s="166" t="s">
        <v>25</v>
      </c>
      <c r="G454" s="9">
        <v>202101008</v>
      </c>
      <c r="H454" s="167" t="s">
        <v>157</v>
      </c>
      <c r="I454" s="167" t="s">
        <v>540</v>
      </c>
      <c r="J454" s="167" t="s">
        <v>179</v>
      </c>
      <c r="K454" s="167" t="s">
        <v>160</v>
      </c>
      <c r="L454" s="167" t="s">
        <v>2047</v>
      </c>
      <c r="M454" s="167" t="s">
        <v>3005</v>
      </c>
      <c r="N454" s="11">
        <v>0</v>
      </c>
      <c r="O454" s="12" t="str">
        <f>_xlfn.DISPIMG("ID_4E0EBDB804BA45EB8B4195F5A93DFBBD",1)</f>
        <v>=DISPIMG("ID_4E0EBDB804BA45EB8B4195F5A93DFBBD",1)</v>
      </c>
      <c r="P454" s="9" t="s">
        <v>3006</v>
      </c>
      <c r="Q454" s="11">
        <v>370</v>
      </c>
      <c r="R454" s="78" t="s">
        <v>4769</v>
      </c>
      <c r="S454" s="19" t="s">
        <v>70</v>
      </c>
      <c r="T454" s="9">
        <v>11</v>
      </c>
    </row>
    <row r="455" s="3" customFormat="1" customHeight="1" spans="1:20">
      <c r="A455" s="166" t="s">
        <v>3130</v>
      </c>
      <c r="B455" s="166" t="s">
        <v>165</v>
      </c>
      <c r="C455" s="166" t="s">
        <v>3131</v>
      </c>
      <c r="D455" s="11">
        <v>13510703252</v>
      </c>
      <c r="E455" s="167" t="s">
        <v>384</v>
      </c>
      <c r="F455" s="166" t="s">
        <v>25</v>
      </c>
      <c r="G455" s="9">
        <v>202101007</v>
      </c>
      <c r="H455" s="167" t="s">
        <v>157</v>
      </c>
      <c r="I455" s="167" t="s">
        <v>1203</v>
      </c>
      <c r="J455" s="167" t="s">
        <v>223</v>
      </c>
      <c r="K455" s="167" t="s">
        <v>170</v>
      </c>
      <c r="L455" s="167" t="s">
        <v>224</v>
      </c>
      <c r="M455" s="167" t="s">
        <v>25</v>
      </c>
      <c r="N455" s="167" t="s">
        <v>3132</v>
      </c>
      <c r="O455" s="12" t="str">
        <f>_xlfn.DISPIMG("ID_DD2B22793A5D42C5A4C202130135D188",1)</f>
        <v>=DISPIMG("ID_DD2B22793A5D42C5A4C202130135D188",1)</v>
      </c>
      <c r="P455" s="9" t="s">
        <v>3133</v>
      </c>
      <c r="Q455" s="11">
        <v>387</v>
      </c>
      <c r="R455" s="78" t="s">
        <v>4770</v>
      </c>
      <c r="S455" s="19" t="s">
        <v>70</v>
      </c>
      <c r="T455" s="9">
        <v>14</v>
      </c>
    </row>
    <row r="456" s="3" customFormat="1" customHeight="1" spans="1:20">
      <c r="A456" s="166" t="s">
        <v>3185</v>
      </c>
      <c r="B456" s="166" t="s">
        <v>165</v>
      </c>
      <c r="C456" s="166" t="s">
        <v>3186</v>
      </c>
      <c r="D456" s="11">
        <v>15070259733</v>
      </c>
      <c r="E456" s="167" t="s">
        <v>297</v>
      </c>
      <c r="F456" s="166" t="s">
        <v>25</v>
      </c>
      <c r="G456" s="9">
        <v>202101008</v>
      </c>
      <c r="H456" s="167" t="s">
        <v>157</v>
      </c>
      <c r="I456" s="167" t="s">
        <v>646</v>
      </c>
      <c r="J456" s="167" t="s">
        <v>179</v>
      </c>
      <c r="K456" s="167" t="s">
        <v>170</v>
      </c>
      <c r="L456" s="167" t="s">
        <v>161</v>
      </c>
      <c r="M456" s="167" t="s">
        <v>3188</v>
      </c>
      <c r="N456" s="11">
        <v>0</v>
      </c>
      <c r="O456" s="12" t="str">
        <f>_xlfn.DISPIMG("ID_76C776A08E8241118AA436F440F434C8",1)</f>
        <v>=DISPIMG("ID_76C776A08E8241118AA436F440F434C8",1)</v>
      </c>
      <c r="P456" s="9" t="s">
        <v>3189</v>
      </c>
      <c r="Q456" s="11">
        <v>396</v>
      </c>
      <c r="R456" s="78" t="s">
        <v>4771</v>
      </c>
      <c r="S456" s="19" t="s">
        <v>70</v>
      </c>
      <c r="T456" s="9">
        <v>23</v>
      </c>
    </row>
    <row r="457" s="4" customFormat="1" customHeight="1" spans="1:20">
      <c r="A457" s="166" t="s">
        <v>3219</v>
      </c>
      <c r="B457" s="166" t="s">
        <v>165</v>
      </c>
      <c r="C457" s="166" t="s">
        <v>3220</v>
      </c>
      <c r="D457" s="11">
        <v>18279832090</v>
      </c>
      <c r="E457" s="167" t="s">
        <v>384</v>
      </c>
      <c r="F457" s="166" t="s">
        <v>25</v>
      </c>
      <c r="G457" s="9">
        <v>202101007</v>
      </c>
      <c r="H457" s="167" t="s">
        <v>157</v>
      </c>
      <c r="I457" s="167" t="s">
        <v>507</v>
      </c>
      <c r="J457" s="167" t="s">
        <v>828</v>
      </c>
      <c r="K457" s="167" t="s">
        <v>170</v>
      </c>
      <c r="L457" s="167" t="s">
        <v>161</v>
      </c>
      <c r="M457" s="167" t="s">
        <v>25</v>
      </c>
      <c r="N457" s="167" t="s">
        <v>3222</v>
      </c>
      <c r="O457" s="12" t="str">
        <f>_xlfn.DISPIMG("ID_31DA0D5E67EC49E4A7DA2145DC608874",1)</f>
        <v>=DISPIMG("ID_31DA0D5E67EC49E4A7DA2145DC608874",1)</v>
      </c>
      <c r="P457" s="9" t="s">
        <v>3223</v>
      </c>
      <c r="Q457" s="11">
        <v>401</v>
      </c>
      <c r="R457" s="78" t="s">
        <v>4772</v>
      </c>
      <c r="S457" s="19" t="s">
        <v>70</v>
      </c>
      <c r="T457" s="9">
        <v>26</v>
      </c>
    </row>
    <row r="458" s="3" customFormat="1" customHeight="1" spans="1:20">
      <c r="A458" s="166" t="s">
        <v>3386</v>
      </c>
      <c r="B458" s="166" t="s">
        <v>165</v>
      </c>
      <c r="C458" s="166" t="s">
        <v>3387</v>
      </c>
      <c r="D458" s="11">
        <v>15070657835</v>
      </c>
      <c r="E458" s="167" t="s">
        <v>384</v>
      </c>
      <c r="F458" s="166" t="s">
        <v>25</v>
      </c>
      <c r="G458" s="9">
        <v>202101007</v>
      </c>
      <c r="H458" s="167" t="s">
        <v>705</v>
      </c>
      <c r="I458" s="167" t="s">
        <v>233</v>
      </c>
      <c r="J458" s="167" t="s">
        <v>3389</v>
      </c>
      <c r="K458" s="167" t="s">
        <v>160</v>
      </c>
      <c r="L458" s="167" t="s">
        <v>261</v>
      </c>
      <c r="M458" s="167" t="s">
        <v>1506</v>
      </c>
      <c r="N458" s="11">
        <v>0</v>
      </c>
      <c r="O458" s="12" t="str">
        <f>_xlfn.DISPIMG("ID_E7900D53DC2C42DFA545534A1C33490B",1)</f>
        <v>=DISPIMG("ID_E7900D53DC2C42DFA545534A1C33490B",1)</v>
      </c>
      <c r="P458" s="9" t="s">
        <v>3390</v>
      </c>
      <c r="Q458" s="11">
        <v>427</v>
      </c>
      <c r="R458" s="78" t="s">
        <v>4773</v>
      </c>
      <c r="S458" s="19" t="s">
        <v>70</v>
      </c>
      <c r="T458" s="9">
        <v>1</v>
      </c>
    </row>
    <row r="459" s="3" customFormat="1" customHeight="1" spans="1:20">
      <c r="A459" s="166" t="s">
        <v>3789</v>
      </c>
      <c r="B459" s="166" t="s">
        <v>165</v>
      </c>
      <c r="C459" s="166" t="s">
        <v>3790</v>
      </c>
      <c r="D459" s="11">
        <v>15979943806</v>
      </c>
      <c r="E459" s="167" t="s">
        <v>384</v>
      </c>
      <c r="F459" s="166" t="s">
        <v>25</v>
      </c>
      <c r="G459" s="9">
        <v>202101007</v>
      </c>
      <c r="H459" s="167" t="s">
        <v>157</v>
      </c>
      <c r="I459" s="167" t="s">
        <v>2874</v>
      </c>
      <c r="J459" s="167" t="s">
        <v>3792</v>
      </c>
      <c r="K459" s="167" t="s">
        <v>170</v>
      </c>
      <c r="L459" s="167" t="s">
        <v>216</v>
      </c>
      <c r="M459" s="167" t="s">
        <v>25</v>
      </c>
      <c r="N459" s="167" t="s">
        <v>3793</v>
      </c>
      <c r="O459" s="12" t="str">
        <f>_xlfn.DISPIMG("ID_7E3A3C48C46B4922B18A5C2AD1587AC0",1)</f>
        <v>=DISPIMG("ID_7E3A3C48C46B4922B18A5C2AD1587AC0",1)</v>
      </c>
      <c r="P459" s="9" t="s">
        <v>3794</v>
      </c>
      <c r="Q459" s="20">
        <v>483</v>
      </c>
      <c r="R459" s="78" t="s">
        <v>4774</v>
      </c>
      <c r="S459" s="19" t="s">
        <v>70</v>
      </c>
      <c r="T459" s="9">
        <v>12</v>
      </c>
    </row>
    <row r="460" s="3" customFormat="1" customHeight="1" spans="1:20">
      <c r="A460" s="166" t="s">
        <v>3918</v>
      </c>
      <c r="B460" s="166" t="s">
        <v>165</v>
      </c>
      <c r="C460" s="166" t="s">
        <v>3919</v>
      </c>
      <c r="D460" s="11">
        <v>18979261626</v>
      </c>
      <c r="E460" s="167" t="s">
        <v>384</v>
      </c>
      <c r="F460" s="166" t="s">
        <v>25</v>
      </c>
      <c r="G460" s="9">
        <v>202101007</v>
      </c>
      <c r="H460" s="167" t="s">
        <v>157</v>
      </c>
      <c r="I460" s="167" t="s">
        <v>178</v>
      </c>
      <c r="J460" s="167" t="s">
        <v>179</v>
      </c>
      <c r="K460" s="167" t="s">
        <v>170</v>
      </c>
      <c r="L460" s="167" t="s">
        <v>161</v>
      </c>
      <c r="M460" s="167" t="s">
        <v>952</v>
      </c>
      <c r="N460" s="167" t="s">
        <v>3920</v>
      </c>
      <c r="O460" s="12" t="str">
        <f>_xlfn.DISPIMG("ID_64C458B5785C4AE8B3EB4D932C0866CC",1)</f>
        <v>=DISPIMG("ID_64C458B5785C4AE8B3EB4D932C0866CC",1)</v>
      </c>
      <c r="P460" s="9" t="s">
        <v>3921</v>
      </c>
      <c r="Q460" s="20">
        <v>500</v>
      </c>
      <c r="R460" s="78" t="s">
        <v>4775</v>
      </c>
      <c r="S460" s="19" t="s">
        <v>70</v>
      </c>
      <c r="T460" s="9">
        <v>13</v>
      </c>
    </row>
    <row r="461" s="3" customFormat="1" customHeight="1" spans="1:20">
      <c r="A461" s="166" t="s">
        <v>4006</v>
      </c>
      <c r="B461" s="166" t="s">
        <v>165</v>
      </c>
      <c r="C461" s="166" t="s">
        <v>4007</v>
      </c>
      <c r="D461" s="11">
        <v>15979112724</v>
      </c>
      <c r="E461" s="167" t="s">
        <v>297</v>
      </c>
      <c r="F461" s="166" t="s">
        <v>25</v>
      </c>
      <c r="G461" s="9">
        <v>202101008</v>
      </c>
      <c r="H461" s="167" t="s">
        <v>157</v>
      </c>
      <c r="I461" s="167" t="s">
        <v>3070</v>
      </c>
      <c r="J461" s="167" t="s">
        <v>179</v>
      </c>
      <c r="K461" s="167" t="s">
        <v>170</v>
      </c>
      <c r="L461" s="167" t="s">
        <v>306</v>
      </c>
      <c r="M461" s="167" t="s">
        <v>1692</v>
      </c>
      <c r="N461" s="167" t="s">
        <v>4009</v>
      </c>
      <c r="O461" s="12" t="str">
        <f>_xlfn.DISPIMG("ID_410BA329CDB34577BE3D2E13C6D8589F",1)</f>
        <v>=DISPIMG("ID_410BA329CDB34577BE3D2E13C6D8589F",1)</v>
      </c>
      <c r="P461" s="9" t="s">
        <v>4010</v>
      </c>
      <c r="Q461" s="20">
        <v>512</v>
      </c>
      <c r="R461" s="78" t="s">
        <v>4776</v>
      </c>
      <c r="S461" s="19" t="s">
        <v>70</v>
      </c>
      <c r="T461" s="9">
        <v>24</v>
      </c>
    </row>
    <row r="462" s="3" customFormat="1" customHeight="1" spans="1:20">
      <c r="A462" s="166" t="s">
        <v>4073</v>
      </c>
      <c r="B462" s="166" t="s">
        <v>165</v>
      </c>
      <c r="C462" s="166" t="s">
        <v>4074</v>
      </c>
      <c r="D462" s="11">
        <v>18379233389</v>
      </c>
      <c r="E462" s="167" t="s">
        <v>297</v>
      </c>
      <c r="F462" s="166" t="s">
        <v>25</v>
      </c>
      <c r="G462" s="9">
        <v>202101008</v>
      </c>
      <c r="H462" s="167" t="s">
        <v>157</v>
      </c>
      <c r="I462" s="167" t="s">
        <v>4076</v>
      </c>
      <c r="J462" s="167" t="s">
        <v>179</v>
      </c>
      <c r="K462" s="167" t="s">
        <v>160</v>
      </c>
      <c r="L462" s="167" t="s">
        <v>919</v>
      </c>
      <c r="M462" s="167" t="s">
        <v>4077</v>
      </c>
      <c r="N462" s="167" t="s">
        <v>4078</v>
      </c>
      <c r="O462" s="12" t="str">
        <f>_xlfn.DISPIMG("ID_5240EB7A8E6D4B1A8B52378BBD0117F8",1)</f>
        <v>=DISPIMG("ID_5240EB7A8E6D4B1A8B52378BBD0117F8",1)</v>
      </c>
      <c r="P462" s="9" t="s">
        <v>4079</v>
      </c>
      <c r="Q462" s="20">
        <v>521</v>
      </c>
      <c r="R462" s="78" t="s">
        <v>4777</v>
      </c>
      <c r="S462" s="19" t="s">
        <v>70</v>
      </c>
      <c r="T462" s="9">
        <v>25</v>
      </c>
    </row>
    <row r="463" s="3" customFormat="1" customHeight="1" spans="1:20">
      <c r="A463" s="166" t="s">
        <v>833</v>
      </c>
      <c r="B463" s="166" t="s">
        <v>165</v>
      </c>
      <c r="C463" s="166" t="s">
        <v>1302</v>
      </c>
      <c r="D463" s="11">
        <v>15770803797</v>
      </c>
      <c r="E463" s="167" t="s">
        <v>384</v>
      </c>
      <c r="F463" s="166" t="s">
        <v>19</v>
      </c>
      <c r="G463" s="9">
        <v>202101014</v>
      </c>
      <c r="H463" s="167" t="s">
        <v>705</v>
      </c>
      <c r="I463" s="167" t="s">
        <v>1304</v>
      </c>
      <c r="J463" s="167" t="s">
        <v>1305</v>
      </c>
      <c r="K463" s="167" t="s">
        <v>160</v>
      </c>
      <c r="L463" s="167" t="s">
        <v>516</v>
      </c>
      <c r="M463" s="167" t="s">
        <v>1306</v>
      </c>
      <c r="N463" s="167" t="s">
        <v>1307</v>
      </c>
      <c r="O463" s="12" t="str">
        <f>_xlfn.DISPIMG("ID_2E0E8C97ADBC44CDA9BEA81CC587B750",1)</f>
        <v>=DISPIMG("ID_2E0E8C97ADBC44CDA9BEA81CC587B750",1)</v>
      </c>
      <c r="P463" s="9" t="s">
        <v>1308</v>
      </c>
      <c r="Q463" s="11">
        <v>141</v>
      </c>
      <c r="R463" s="78" t="s">
        <v>4793</v>
      </c>
      <c r="S463" s="19" t="s">
        <v>72</v>
      </c>
      <c r="T463" s="14">
        <v>3</v>
      </c>
    </row>
    <row r="464" s="3" customFormat="1" customHeight="1" spans="1:20">
      <c r="A464" s="166" t="s">
        <v>1637</v>
      </c>
      <c r="B464" s="166" t="s">
        <v>165</v>
      </c>
      <c r="C464" s="166" t="s">
        <v>1638</v>
      </c>
      <c r="D464" s="11">
        <v>18279206250</v>
      </c>
      <c r="E464" s="167" t="s">
        <v>384</v>
      </c>
      <c r="F464" s="166" t="s">
        <v>19</v>
      </c>
      <c r="G464" s="9">
        <v>202101014</v>
      </c>
      <c r="H464" s="167" t="s">
        <v>157</v>
      </c>
      <c r="I464" s="167" t="s">
        <v>178</v>
      </c>
      <c r="J464" s="167" t="s">
        <v>1639</v>
      </c>
      <c r="K464" s="167" t="s">
        <v>170</v>
      </c>
      <c r="L464" s="167" t="s">
        <v>455</v>
      </c>
      <c r="M464" s="167" t="s">
        <v>19</v>
      </c>
      <c r="N464" s="11">
        <v>0</v>
      </c>
      <c r="O464" s="12" t="str">
        <f>_xlfn.DISPIMG("ID_74FDF0D5FA0548BCA212C8D2C43783F4",1)</f>
        <v>=DISPIMG("ID_74FDF0D5FA0548BCA212C8D2C43783F4",1)</v>
      </c>
      <c r="P464" s="9" t="s">
        <v>1640</v>
      </c>
      <c r="Q464" s="11">
        <v>184</v>
      </c>
      <c r="R464" s="78" t="s">
        <v>4798</v>
      </c>
      <c r="S464" s="19" t="s">
        <v>72</v>
      </c>
      <c r="T464" s="14">
        <v>2</v>
      </c>
    </row>
    <row r="465" s="3" customFormat="1" customHeight="1" spans="1:20">
      <c r="A465" s="166" t="s">
        <v>2104</v>
      </c>
      <c r="B465" s="166" t="s">
        <v>165</v>
      </c>
      <c r="C465" s="166" t="s">
        <v>2105</v>
      </c>
      <c r="D465" s="11">
        <v>13817884693</v>
      </c>
      <c r="E465" s="167" t="s">
        <v>384</v>
      </c>
      <c r="F465" s="166" t="s">
        <v>19</v>
      </c>
      <c r="G465" s="9">
        <v>202101014</v>
      </c>
      <c r="H465" s="167" t="s">
        <v>705</v>
      </c>
      <c r="I465" s="167" t="s">
        <v>2063</v>
      </c>
      <c r="J465" s="167" t="s">
        <v>2107</v>
      </c>
      <c r="K465" s="167" t="s">
        <v>160</v>
      </c>
      <c r="L465" s="167" t="s">
        <v>396</v>
      </c>
      <c r="M465" s="167" t="s">
        <v>2108</v>
      </c>
      <c r="N465" s="167" t="s">
        <v>2109</v>
      </c>
      <c r="O465" s="12" t="str">
        <f>_xlfn.DISPIMG("ID_21FE4349EE994987AC614A279458E356",1)</f>
        <v>=DISPIMG("ID_21FE4349EE994987AC614A279458E356",1)</v>
      </c>
      <c r="P465" s="9" t="s">
        <v>2110</v>
      </c>
      <c r="Q465" s="11">
        <v>246</v>
      </c>
      <c r="R465" s="78" t="s">
        <v>4803</v>
      </c>
      <c r="S465" s="19" t="s">
        <v>72</v>
      </c>
      <c r="T465" s="14">
        <v>1</v>
      </c>
    </row>
    <row r="466" s="3" customFormat="1" customHeight="1" spans="1:20">
      <c r="A466" s="166" t="s">
        <v>265</v>
      </c>
      <c r="B466" s="166" t="s">
        <v>153</v>
      </c>
      <c r="C466" s="166" t="s">
        <v>266</v>
      </c>
      <c r="D466" s="11">
        <v>15720975163</v>
      </c>
      <c r="E466" s="167" t="s">
        <v>268</v>
      </c>
      <c r="F466" s="166" t="s">
        <v>20</v>
      </c>
      <c r="G466" s="9">
        <v>202101004</v>
      </c>
      <c r="H466" s="167" t="s">
        <v>157</v>
      </c>
      <c r="I466" s="167" t="s">
        <v>269</v>
      </c>
      <c r="J466" s="167" t="s">
        <v>270</v>
      </c>
      <c r="K466" s="167" t="s">
        <v>170</v>
      </c>
      <c r="L466" s="167" t="s">
        <v>261</v>
      </c>
      <c r="M466" s="167" t="s">
        <v>20</v>
      </c>
      <c r="N466" s="167" t="s">
        <v>271</v>
      </c>
      <c r="O466" s="12" t="str">
        <f>_xlfn.DISPIMG("ID_E6B64D542CF24756B648DE72B52C0790",1)</f>
        <v>=DISPIMG("ID_E6B64D542CF24756B648DE72B52C0790",1)</v>
      </c>
      <c r="P466" s="9" t="s">
        <v>272</v>
      </c>
      <c r="Q466" s="11">
        <v>14</v>
      </c>
      <c r="R466" s="78" t="s">
        <v>4778</v>
      </c>
      <c r="S466" s="19" t="s">
        <v>72</v>
      </c>
      <c r="T466" s="14">
        <v>6</v>
      </c>
    </row>
    <row r="467" s="3" customFormat="1" customHeight="1" spans="1:20">
      <c r="A467" s="166" t="s">
        <v>522</v>
      </c>
      <c r="B467" s="166" t="s">
        <v>165</v>
      </c>
      <c r="C467" s="166" t="s">
        <v>523</v>
      </c>
      <c r="D467" s="11">
        <v>18779278905</v>
      </c>
      <c r="E467" s="167" t="s">
        <v>268</v>
      </c>
      <c r="F467" s="166" t="s">
        <v>20</v>
      </c>
      <c r="G467" s="9">
        <v>202101004</v>
      </c>
      <c r="H467" s="167" t="s">
        <v>157</v>
      </c>
      <c r="I467" s="167" t="s">
        <v>233</v>
      </c>
      <c r="J467" s="167" t="s">
        <v>525</v>
      </c>
      <c r="K467" s="167" t="s">
        <v>170</v>
      </c>
      <c r="L467" s="167" t="s">
        <v>161</v>
      </c>
      <c r="M467" s="167" t="s">
        <v>20</v>
      </c>
      <c r="N467" s="11">
        <v>0</v>
      </c>
      <c r="O467" s="12" t="str">
        <f>_xlfn.DISPIMG("ID_71DE12F1CD59449693F0263DC215D27B",1)</f>
        <v>=DISPIMG("ID_71DE12F1CD59449693F0263DC215D27B",1)</v>
      </c>
      <c r="P467" s="9" t="s">
        <v>526</v>
      </c>
      <c r="Q467" s="11">
        <v>44</v>
      </c>
      <c r="R467" s="78" t="s">
        <v>4779</v>
      </c>
      <c r="S467" s="19" t="s">
        <v>72</v>
      </c>
      <c r="T467" s="14">
        <v>7</v>
      </c>
    </row>
    <row r="468" s="3" customFormat="1" customHeight="1" spans="1:20">
      <c r="A468" s="166" t="s">
        <v>1050</v>
      </c>
      <c r="B468" s="166" t="s">
        <v>165</v>
      </c>
      <c r="C468" s="166" t="s">
        <v>1051</v>
      </c>
      <c r="D468" s="11">
        <v>15180471768</v>
      </c>
      <c r="E468" s="167" t="s">
        <v>384</v>
      </c>
      <c r="F468" s="166" t="s">
        <v>20</v>
      </c>
      <c r="G468" s="9">
        <v>202101005</v>
      </c>
      <c r="H468" s="167" t="s">
        <v>157</v>
      </c>
      <c r="I468" s="167" t="s">
        <v>178</v>
      </c>
      <c r="J468" s="167" t="s">
        <v>270</v>
      </c>
      <c r="K468" s="167" t="s">
        <v>170</v>
      </c>
      <c r="L468" s="167" t="s">
        <v>261</v>
      </c>
      <c r="M468" s="167" t="s">
        <v>20</v>
      </c>
      <c r="N468" s="11">
        <v>0</v>
      </c>
      <c r="O468" s="12" t="str">
        <f>_xlfn.DISPIMG("ID_296B75901486490E98D040532231AC8D",1)</f>
        <v>=DISPIMG("ID_296B75901486490E98D040532231AC8D",1)</v>
      </c>
      <c r="P468" s="9" t="s">
        <v>1052</v>
      </c>
      <c r="Q468" s="11">
        <v>108</v>
      </c>
      <c r="R468" s="78" t="s">
        <v>4783</v>
      </c>
      <c r="S468" s="19" t="s">
        <v>72</v>
      </c>
      <c r="T468" s="14">
        <v>5</v>
      </c>
    </row>
    <row r="469" s="3" customFormat="1" customHeight="1" spans="1:20">
      <c r="A469" s="166" t="s">
        <v>1055</v>
      </c>
      <c r="B469" s="166" t="s">
        <v>165</v>
      </c>
      <c r="C469" s="166" t="s">
        <v>1056</v>
      </c>
      <c r="D469" s="11">
        <v>15279286807</v>
      </c>
      <c r="E469" s="167" t="s">
        <v>384</v>
      </c>
      <c r="F469" s="166" t="s">
        <v>20</v>
      </c>
      <c r="G469" s="9">
        <v>202101005</v>
      </c>
      <c r="H469" s="167" t="s">
        <v>157</v>
      </c>
      <c r="I469" s="167" t="s">
        <v>178</v>
      </c>
      <c r="J469" s="167" t="s">
        <v>270</v>
      </c>
      <c r="K469" s="167" t="s">
        <v>170</v>
      </c>
      <c r="L469" s="167" t="s">
        <v>261</v>
      </c>
      <c r="M469" s="167" t="s">
        <v>20</v>
      </c>
      <c r="N469" s="11">
        <v>0</v>
      </c>
      <c r="O469" s="12" t="str">
        <f>_xlfn.DISPIMG("ID_1261702926BF4B91B3BBC8CF57D7C930",1)</f>
        <v>=DISPIMG("ID_1261702926BF4B91B3BBC8CF57D7C930",1)</v>
      </c>
      <c r="P469" s="9" t="s">
        <v>1058</v>
      </c>
      <c r="Q469" s="11">
        <v>109</v>
      </c>
      <c r="R469" s="78" t="s">
        <v>4784</v>
      </c>
      <c r="S469" s="19" t="s">
        <v>72</v>
      </c>
      <c r="T469" s="14">
        <v>8</v>
      </c>
    </row>
    <row r="470" s="3" customFormat="1" customHeight="1" spans="1:20">
      <c r="A470" s="166" t="s">
        <v>1729</v>
      </c>
      <c r="B470" s="166" t="s">
        <v>153</v>
      </c>
      <c r="C470" s="166" t="s">
        <v>1730</v>
      </c>
      <c r="D470" s="11">
        <v>18720253839</v>
      </c>
      <c r="E470" s="167" t="s">
        <v>384</v>
      </c>
      <c r="F470" s="166" t="s">
        <v>20</v>
      </c>
      <c r="G470" s="9">
        <v>202101005</v>
      </c>
      <c r="H470" s="167" t="s">
        <v>157</v>
      </c>
      <c r="I470" s="167" t="s">
        <v>1258</v>
      </c>
      <c r="J470" s="167" t="s">
        <v>270</v>
      </c>
      <c r="K470" s="167" t="s">
        <v>170</v>
      </c>
      <c r="L470" s="167" t="s">
        <v>349</v>
      </c>
      <c r="M470" s="167" t="s">
        <v>1732</v>
      </c>
      <c r="N470" s="167" t="s">
        <v>1733</v>
      </c>
      <c r="O470" s="12" t="str">
        <f>_xlfn.DISPIMG("ID_677AC12F255C494892F34EE0AF9DED02",1)</f>
        <v>=DISPIMG("ID_677AC12F255C494892F34EE0AF9DED02",1)</v>
      </c>
      <c r="P470" s="9" t="s">
        <v>1734</v>
      </c>
      <c r="Q470" s="11">
        <v>196</v>
      </c>
      <c r="R470" s="78" t="s">
        <v>4788</v>
      </c>
      <c r="S470" s="19" t="s">
        <v>72</v>
      </c>
      <c r="T470" s="14">
        <v>4</v>
      </c>
    </row>
    <row r="471" s="3" customFormat="1" customHeight="1" spans="1:20">
      <c r="A471" s="166" t="s">
        <v>2044</v>
      </c>
      <c r="B471" s="166" t="s">
        <v>153</v>
      </c>
      <c r="C471" s="166" t="s">
        <v>2045</v>
      </c>
      <c r="D471" s="11">
        <v>15949584388</v>
      </c>
      <c r="E471" s="167" t="s">
        <v>384</v>
      </c>
      <c r="F471" s="166" t="s">
        <v>20</v>
      </c>
      <c r="G471" s="9">
        <v>202101005</v>
      </c>
      <c r="H471" s="167" t="s">
        <v>157</v>
      </c>
      <c r="I471" s="167" t="s">
        <v>158</v>
      </c>
      <c r="J471" s="167" t="s">
        <v>270</v>
      </c>
      <c r="K471" s="167" t="s">
        <v>170</v>
      </c>
      <c r="L471" s="167" t="s">
        <v>2047</v>
      </c>
      <c r="M471" s="167" t="s">
        <v>2048</v>
      </c>
      <c r="N471" s="167" t="s">
        <v>2049</v>
      </c>
      <c r="O471" s="12" t="str">
        <f>_xlfn.DISPIMG("ID_AA05B8B9BBB64A2C8B2DEFAC2B7912C3",1)</f>
        <v>=DISPIMG("ID_AA05B8B9BBB64A2C8B2DEFAC2B7912C3",1)</v>
      </c>
      <c r="P471" s="9" t="s">
        <v>2050</v>
      </c>
      <c r="Q471" s="11">
        <v>238</v>
      </c>
      <c r="R471" s="78" t="s">
        <v>4789</v>
      </c>
      <c r="S471" s="19" t="s">
        <v>72</v>
      </c>
      <c r="T471" s="14">
        <v>9</v>
      </c>
    </row>
    <row r="472" s="3" customFormat="1" customHeight="1" spans="1:20">
      <c r="A472" s="166" t="s">
        <v>2172</v>
      </c>
      <c r="B472" s="166" t="s">
        <v>153</v>
      </c>
      <c r="C472" s="166" t="s">
        <v>2173</v>
      </c>
      <c r="D472" s="11">
        <v>18370791182</v>
      </c>
      <c r="E472" s="167" t="s">
        <v>297</v>
      </c>
      <c r="F472" s="166" t="s">
        <v>20</v>
      </c>
      <c r="G472" s="9">
        <v>202101006</v>
      </c>
      <c r="H472" s="167" t="s">
        <v>157</v>
      </c>
      <c r="I472" s="167" t="s">
        <v>1413</v>
      </c>
      <c r="J472" s="167" t="s">
        <v>243</v>
      </c>
      <c r="K472" s="167" t="s">
        <v>160</v>
      </c>
      <c r="L472" s="167" t="s">
        <v>199</v>
      </c>
      <c r="M472" s="167" t="s">
        <v>2175</v>
      </c>
      <c r="N472" s="167" t="s">
        <v>2176</v>
      </c>
      <c r="O472" s="12" t="str">
        <f>_xlfn.DISPIMG("ID_164BFB36FB944A6B8D1C179D10EFE455",1)</f>
        <v>=DISPIMG("ID_164BFB36FB944A6B8D1C179D10EFE455",1)</v>
      </c>
      <c r="P472" s="9" t="s">
        <v>2177</v>
      </c>
      <c r="Q472" s="11">
        <v>255</v>
      </c>
      <c r="R472" s="78" t="s">
        <v>4794</v>
      </c>
      <c r="S472" s="19" t="s">
        <v>72</v>
      </c>
      <c r="T472" s="14">
        <v>10</v>
      </c>
    </row>
    <row r="473" s="3" customFormat="1" customHeight="1" spans="1:20">
      <c r="A473" s="166" t="s">
        <v>3473</v>
      </c>
      <c r="B473" s="166" t="s">
        <v>165</v>
      </c>
      <c r="C473" s="166" t="s">
        <v>3474</v>
      </c>
      <c r="D473" s="11">
        <v>16605630524</v>
      </c>
      <c r="E473" s="167" t="s">
        <v>384</v>
      </c>
      <c r="F473" s="166" t="s">
        <v>20</v>
      </c>
      <c r="G473" s="9">
        <v>202101005</v>
      </c>
      <c r="H473" s="167" t="s">
        <v>705</v>
      </c>
      <c r="I473" s="167" t="s">
        <v>1112</v>
      </c>
      <c r="J473" s="167" t="s">
        <v>3476</v>
      </c>
      <c r="K473" s="167" t="s">
        <v>160</v>
      </c>
      <c r="L473" s="167" t="s">
        <v>455</v>
      </c>
      <c r="M473" s="167" t="s">
        <v>3477</v>
      </c>
      <c r="N473" s="11">
        <v>0</v>
      </c>
      <c r="O473" s="12" t="str">
        <f>_xlfn.DISPIMG("ID_BFF35F7767BD4AFE8B2C782755AFDE14",1)</f>
        <v>=DISPIMG("ID_BFF35F7767BD4AFE8B2C782755AFDE14",1)</v>
      </c>
      <c r="P473" s="9" t="s">
        <v>3478</v>
      </c>
      <c r="Q473" s="11">
        <v>439</v>
      </c>
      <c r="R473" s="78" t="s">
        <v>4795</v>
      </c>
      <c r="S473" s="19" t="s">
        <v>72</v>
      </c>
      <c r="T473" s="14">
        <v>15</v>
      </c>
    </row>
    <row r="474" s="3" customFormat="1" customHeight="1" spans="1:20">
      <c r="A474" s="166" t="s">
        <v>3661</v>
      </c>
      <c r="B474" s="166" t="s">
        <v>165</v>
      </c>
      <c r="C474" s="166" t="s">
        <v>3662</v>
      </c>
      <c r="D474" s="11">
        <v>15623206169</v>
      </c>
      <c r="E474" s="167" t="s">
        <v>297</v>
      </c>
      <c r="F474" s="166" t="s">
        <v>20</v>
      </c>
      <c r="G474" s="9">
        <v>202101006</v>
      </c>
      <c r="H474" s="167" t="s">
        <v>157</v>
      </c>
      <c r="I474" s="167" t="s">
        <v>3663</v>
      </c>
      <c r="J474" s="167" t="s">
        <v>1832</v>
      </c>
      <c r="K474" s="167" t="s">
        <v>160</v>
      </c>
      <c r="L474" s="167" t="s">
        <v>455</v>
      </c>
      <c r="M474" s="167" t="s">
        <v>20</v>
      </c>
      <c r="N474" s="11">
        <v>0</v>
      </c>
      <c r="O474" s="12" t="str">
        <f>_xlfn.DISPIMG("ID_2A9E22A9ABC949F8A9FA9AA3239D48CC",1)</f>
        <v>=DISPIMG("ID_2A9E22A9ABC949F8A9FA9AA3239D48CC",1)</v>
      </c>
      <c r="P474" s="9" t="s">
        <v>3664</v>
      </c>
      <c r="Q474" s="11">
        <v>466</v>
      </c>
      <c r="R474" s="78" t="s">
        <v>4799</v>
      </c>
      <c r="S474" s="19" t="s">
        <v>72</v>
      </c>
      <c r="T474" s="14">
        <v>11</v>
      </c>
    </row>
    <row r="475" s="3" customFormat="1" customHeight="1" spans="1:20">
      <c r="A475" s="166" t="s">
        <v>3955</v>
      </c>
      <c r="B475" s="166" t="s">
        <v>153</v>
      </c>
      <c r="C475" s="166" t="s">
        <v>3956</v>
      </c>
      <c r="D475" s="11">
        <v>18379670015</v>
      </c>
      <c r="E475" s="167" t="s">
        <v>384</v>
      </c>
      <c r="F475" s="166" t="s">
        <v>20</v>
      </c>
      <c r="G475" s="9">
        <v>202101005</v>
      </c>
      <c r="H475" s="167" t="s">
        <v>157</v>
      </c>
      <c r="I475" s="167" t="s">
        <v>507</v>
      </c>
      <c r="J475" s="167" t="s">
        <v>270</v>
      </c>
      <c r="K475" s="167" t="s">
        <v>170</v>
      </c>
      <c r="L475" s="167" t="s">
        <v>235</v>
      </c>
      <c r="M475" s="167" t="s">
        <v>1322</v>
      </c>
      <c r="N475" s="167" t="s">
        <v>3958</v>
      </c>
      <c r="O475" s="12" t="str">
        <f>_xlfn.DISPIMG("ID_C25C6B154C2847C9934F6981B40FCD0C",1)</f>
        <v>=DISPIMG("ID_C25C6B154C2847C9934F6981B40FCD0C",1)</v>
      </c>
      <c r="P475" s="9" t="s">
        <v>3959</v>
      </c>
      <c r="Q475" s="11">
        <v>505</v>
      </c>
      <c r="R475" s="78" t="s">
        <v>4800</v>
      </c>
      <c r="S475" s="19" t="s">
        <v>72</v>
      </c>
      <c r="T475" s="14">
        <v>14</v>
      </c>
    </row>
    <row r="476" s="3" customFormat="1" customHeight="1" spans="1:20">
      <c r="A476" s="166" t="s">
        <v>3978</v>
      </c>
      <c r="B476" s="166" t="s">
        <v>165</v>
      </c>
      <c r="C476" s="166" t="s">
        <v>3979</v>
      </c>
      <c r="D476" s="11">
        <v>15070298026</v>
      </c>
      <c r="E476" s="167" t="s">
        <v>268</v>
      </c>
      <c r="F476" s="166" t="s">
        <v>20</v>
      </c>
      <c r="G476" s="9">
        <v>202101004</v>
      </c>
      <c r="H476" s="167" t="s">
        <v>157</v>
      </c>
      <c r="I476" s="167" t="s">
        <v>178</v>
      </c>
      <c r="J476" s="167" t="s">
        <v>270</v>
      </c>
      <c r="K476" s="167" t="s">
        <v>170</v>
      </c>
      <c r="L476" s="167" t="s">
        <v>261</v>
      </c>
      <c r="M476" s="167" t="s">
        <v>20</v>
      </c>
      <c r="N476" s="11">
        <v>0</v>
      </c>
      <c r="O476" s="12" t="str">
        <f>_xlfn.DISPIMG("ID_41FDB18DF8F04859BBDC981BC12AE5F4",1)</f>
        <v>=DISPIMG("ID_41FDB18DF8F04859BBDC981BC12AE5F4",1)</v>
      </c>
      <c r="P476" s="9" t="s">
        <v>3981</v>
      </c>
      <c r="Q476" s="11">
        <v>508</v>
      </c>
      <c r="R476" s="78" t="s">
        <v>4804</v>
      </c>
      <c r="S476" s="19" t="s">
        <v>72</v>
      </c>
      <c r="T476" s="14">
        <v>12</v>
      </c>
    </row>
    <row r="477" s="5" customFormat="1" customHeight="1" spans="1:20">
      <c r="A477" s="166" t="s">
        <v>4161</v>
      </c>
      <c r="B477" s="166" t="s">
        <v>165</v>
      </c>
      <c r="C477" s="166" t="s">
        <v>4162</v>
      </c>
      <c r="D477" s="11">
        <v>15999192756</v>
      </c>
      <c r="E477" s="167" t="s">
        <v>297</v>
      </c>
      <c r="F477" s="166" t="s">
        <v>20</v>
      </c>
      <c r="G477" s="9">
        <v>202101006</v>
      </c>
      <c r="H477" s="167" t="s">
        <v>157</v>
      </c>
      <c r="I477" s="167" t="s">
        <v>4164</v>
      </c>
      <c r="J477" s="167" t="s">
        <v>4165</v>
      </c>
      <c r="K477" s="167" t="s">
        <v>160</v>
      </c>
      <c r="L477" s="167" t="s">
        <v>1089</v>
      </c>
      <c r="M477" s="167" t="s">
        <v>20</v>
      </c>
      <c r="N477" s="167" t="s">
        <v>4166</v>
      </c>
      <c r="O477" s="12" t="str">
        <f>_xlfn.DISPIMG("ID_0FB1CC236BB0441E8D7B28856D597318",1)</f>
        <v>=DISPIMG("ID_0FB1CC236BB0441E8D7B28856D597318",1)</v>
      </c>
      <c r="P477" s="9" t="s">
        <v>4167</v>
      </c>
      <c r="Q477" s="11">
        <v>532</v>
      </c>
      <c r="R477" s="78" t="s">
        <v>4805</v>
      </c>
      <c r="S477" s="19" t="s">
        <v>72</v>
      </c>
      <c r="T477" s="14">
        <v>13</v>
      </c>
    </row>
    <row r="478" s="3" customFormat="1" customHeight="1" spans="1:20">
      <c r="A478" s="166" t="s">
        <v>679</v>
      </c>
      <c r="B478" s="166" t="s">
        <v>165</v>
      </c>
      <c r="C478" s="166" t="s">
        <v>680</v>
      </c>
      <c r="D478" s="11">
        <v>15079252278</v>
      </c>
      <c r="E478" s="167" t="s">
        <v>384</v>
      </c>
      <c r="F478" s="166" t="s">
        <v>21</v>
      </c>
      <c r="G478" s="9">
        <v>202101023</v>
      </c>
      <c r="H478" s="167" t="s">
        <v>157</v>
      </c>
      <c r="I478" s="167" t="s">
        <v>233</v>
      </c>
      <c r="J478" s="167" t="s">
        <v>682</v>
      </c>
      <c r="K478" s="167" t="s">
        <v>170</v>
      </c>
      <c r="L478" s="167" t="s">
        <v>261</v>
      </c>
      <c r="M478" s="167" t="s">
        <v>683</v>
      </c>
      <c r="N478" s="11">
        <v>0</v>
      </c>
      <c r="O478" s="12" t="str">
        <f>_xlfn.DISPIMG("ID_6F0A1E5B97CE4F0C8967B602A8189E7F",1)</f>
        <v>=DISPIMG("ID_6F0A1E5B97CE4F0C8967B602A8189E7F",1)</v>
      </c>
      <c r="P478" s="9" t="s">
        <v>684</v>
      </c>
      <c r="Q478" s="11">
        <v>63</v>
      </c>
      <c r="R478" s="78" t="s">
        <v>4780</v>
      </c>
      <c r="S478" s="19" t="s">
        <v>72</v>
      </c>
      <c r="T478" s="14">
        <v>18</v>
      </c>
    </row>
    <row r="479" s="3" customFormat="1" customHeight="1" spans="1:20">
      <c r="A479" s="166" t="s">
        <v>1584</v>
      </c>
      <c r="B479" s="166" t="s">
        <v>153</v>
      </c>
      <c r="C479" s="166" t="s">
        <v>1585</v>
      </c>
      <c r="D479" s="11">
        <v>18460003044</v>
      </c>
      <c r="E479" s="167" t="s">
        <v>268</v>
      </c>
      <c r="F479" s="166" t="s">
        <v>21</v>
      </c>
      <c r="G479" s="9">
        <v>202101022</v>
      </c>
      <c r="H479" s="167" t="s">
        <v>157</v>
      </c>
      <c r="I479" s="167" t="s">
        <v>827</v>
      </c>
      <c r="J479" s="167" t="s">
        <v>682</v>
      </c>
      <c r="K479" s="167" t="s">
        <v>170</v>
      </c>
      <c r="L479" s="167" t="s">
        <v>455</v>
      </c>
      <c r="M479" s="167" t="s">
        <v>1587</v>
      </c>
      <c r="N479" s="11">
        <v>0</v>
      </c>
      <c r="O479" s="12" t="str">
        <f>_xlfn.DISPIMG("ID_E364C79C5CB74A97A356C87CFF697310",1)</f>
        <v>=DISPIMG("ID_E364C79C5CB74A97A356C87CFF697310",1)</v>
      </c>
      <c r="P479" s="9" t="s">
        <v>1588</v>
      </c>
      <c r="Q479" s="11">
        <v>177</v>
      </c>
      <c r="R479" s="78" t="s">
        <v>4781</v>
      </c>
      <c r="S479" s="19" t="s">
        <v>72</v>
      </c>
      <c r="T479" s="14">
        <v>19</v>
      </c>
    </row>
    <row r="480" s="3" customFormat="1" customHeight="1" spans="1:20">
      <c r="A480" s="166" t="s">
        <v>1590</v>
      </c>
      <c r="B480" s="166" t="s">
        <v>153</v>
      </c>
      <c r="C480" s="166" t="s">
        <v>1591</v>
      </c>
      <c r="D480" s="11">
        <v>19165078910</v>
      </c>
      <c r="E480" s="167" t="s">
        <v>268</v>
      </c>
      <c r="F480" s="166" t="s">
        <v>21</v>
      </c>
      <c r="G480" s="9">
        <v>202101022</v>
      </c>
      <c r="H480" s="167" t="s">
        <v>157</v>
      </c>
      <c r="I480" s="167" t="s">
        <v>827</v>
      </c>
      <c r="J480" s="167" t="s">
        <v>682</v>
      </c>
      <c r="K480" s="167" t="s">
        <v>170</v>
      </c>
      <c r="L480" s="167" t="s">
        <v>455</v>
      </c>
      <c r="M480" s="167" t="s">
        <v>1593</v>
      </c>
      <c r="N480" s="11">
        <v>0</v>
      </c>
      <c r="O480" s="12" t="str">
        <f>_xlfn.DISPIMG("ID_A40AE5361B8D44C884FA7CDADC74343E",1)</f>
        <v>=DISPIMG("ID_A40AE5361B8D44C884FA7CDADC74343E",1)</v>
      </c>
      <c r="P480" s="9" t="s">
        <v>1594</v>
      </c>
      <c r="Q480" s="11">
        <v>178</v>
      </c>
      <c r="R480" s="78" t="s">
        <v>4782</v>
      </c>
      <c r="S480" s="19" t="s">
        <v>72</v>
      </c>
      <c r="T480" s="14">
        <v>30</v>
      </c>
    </row>
    <row r="481" s="3" customFormat="1" customHeight="1" spans="1:20">
      <c r="A481" s="166" t="s">
        <v>1737</v>
      </c>
      <c r="B481" s="166" t="s">
        <v>153</v>
      </c>
      <c r="C481" s="166" t="s">
        <v>1738</v>
      </c>
      <c r="D481" s="11">
        <v>19815092923</v>
      </c>
      <c r="E481" s="167" t="s">
        <v>384</v>
      </c>
      <c r="F481" s="166" t="s">
        <v>21</v>
      </c>
      <c r="G481" s="9">
        <v>202101023</v>
      </c>
      <c r="H481" s="167" t="s">
        <v>157</v>
      </c>
      <c r="I481" s="167" t="s">
        <v>1740</v>
      </c>
      <c r="J481" s="167" t="s">
        <v>682</v>
      </c>
      <c r="K481" s="167" t="s">
        <v>170</v>
      </c>
      <c r="L481" s="167" t="s">
        <v>281</v>
      </c>
      <c r="M481" s="167" t="s">
        <v>21</v>
      </c>
      <c r="N481" s="11">
        <v>0</v>
      </c>
      <c r="O481" s="12" t="str">
        <f>_xlfn.DISPIMG("ID_5626D0773278487D84DF299D01619D61",1)</f>
        <v>=DISPIMG("ID_5626D0773278487D84DF299D01619D61",1)</v>
      </c>
      <c r="P481" s="9" t="s">
        <v>1741</v>
      </c>
      <c r="Q481" s="11">
        <v>197</v>
      </c>
      <c r="R481" s="78" t="s">
        <v>4785</v>
      </c>
      <c r="S481" s="19" t="s">
        <v>72</v>
      </c>
      <c r="T481" s="14">
        <v>17</v>
      </c>
    </row>
    <row r="482" s="3" customFormat="1" customHeight="1" spans="1:20">
      <c r="A482" s="166" t="s">
        <v>2524</v>
      </c>
      <c r="B482" s="166" t="s">
        <v>153</v>
      </c>
      <c r="C482" s="166" t="s">
        <v>2525</v>
      </c>
      <c r="D482" s="11">
        <v>13133668154</v>
      </c>
      <c r="E482" s="167" t="s">
        <v>268</v>
      </c>
      <c r="F482" s="166" t="s">
        <v>21</v>
      </c>
      <c r="G482" s="9">
        <v>202101022</v>
      </c>
      <c r="H482" s="167" t="s">
        <v>157</v>
      </c>
      <c r="I482" s="167" t="s">
        <v>876</v>
      </c>
      <c r="J482" s="167" t="s">
        <v>682</v>
      </c>
      <c r="K482" s="167" t="s">
        <v>170</v>
      </c>
      <c r="L482" s="167" t="s">
        <v>180</v>
      </c>
      <c r="M482" s="167" t="s">
        <v>2527</v>
      </c>
      <c r="N482" s="167" t="s">
        <v>2528</v>
      </c>
      <c r="O482" s="12" t="str">
        <f>_xlfn.DISPIMG("ID_C8BB1148198145FCA2837FAC9D925FDE",1)</f>
        <v>=DISPIMG("ID_C8BB1148198145FCA2837FAC9D925FDE",1)</v>
      </c>
      <c r="P482" s="9" t="s">
        <v>2529</v>
      </c>
      <c r="Q482" s="11">
        <v>302</v>
      </c>
      <c r="R482" s="78" t="s">
        <v>4786</v>
      </c>
      <c r="S482" s="19" t="s">
        <v>72</v>
      </c>
      <c r="T482" s="14">
        <v>20</v>
      </c>
    </row>
    <row r="483" s="3" customFormat="1" customHeight="1" spans="1:20">
      <c r="A483" s="166" t="s">
        <v>2539</v>
      </c>
      <c r="B483" s="166" t="s">
        <v>153</v>
      </c>
      <c r="C483" s="166" t="s">
        <v>2540</v>
      </c>
      <c r="D483" s="11">
        <v>18507928899</v>
      </c>
      <c r="E483" s="167" t="s">
        <v>384</v>
      </c>
      <c r="F483" s="166" t="s">
        <v>21</v>
      </c>
      <c r="G483" s="9">
        <v>202101023</v>
      </c>
      <c r="H483" s="167" t="s">
        <v>157</v>
      </c>
      <c r="I483" s="167" t="s">
        <v>876</v>
      </c>
      <c r="J483" s="167" t="s">
        <v>682</v>
      </c>
      <c r="K483" s="167" t="s">
        <v>170</v>
      </c>
      <c r="L483" s="167" t="s">
        <v>180</v>
      </c>
      <c r="M483" s="167" t="s">
        <v>2542</v>
      </c>
      <c r="N483" s="167" t="s">
        <v>2543</v>
      </c>
      <c r="O483" s="12" t="str">
        <f>_xlfn.DISPIMG("ID_718ACAD550894B0696EED0DE65C7554F",1)</f>
        <v>=DISPIMG("ID_718ACAD550894B0696EED0DE65C7554F",1)</v>
      </c>
      <c r="P483" s="9" t="s">
        <v>2544</v>
      </c>
      <c r="Q483" s="11">
        <v>304</v>
      </c>
      <c r="R483" s="78" t="s">
        <v>4787</v>
      </c>
      <c r="S483" s="19" t="s">
        <v>72</v>
      </c>
      <c r="T483" s="14">
        <v>29</v>
      </c>
    </row>
    <row r="484" s="3" customFormat="1" customHeight="1" spans="1:20">
      <c r="A484" s="166" t="s">
        <v>2969</v>
      </c>
      <c r="B484" s="166" t="s">
        <v>153</v>
      </c>
      <c r="C484" s="166" t="s">
        <v>2970</v>
      </c>
      <c r="D484" s="11">
        <v>18579193689</v>
      </c>
      <c r="E484" s="167" t="s">
        <v>268</v>
      </c>
      <c r="F484" s="166" t="s">
        <v>21</v>
      </c>
      <c r="G484" s="9">
        <v>202101022</v>
      </c>
      <c r="H484" s="167" t="s">
        <v>157</v>
      </c>
      <c r="I484" s="167" t="s">
        <v>827</v>
      </c>
      <c r="J484" s="167" t="s">
        <v>682</v>
      </c>
      <c r="K484" s="167" t="s">
        <v>170</v>
      </c>
      <c r="L484" s="167" t="s">
        <v>252</v>
      </c>
      <c r="M484" s="167" t="s">
        <v>2972</v>
      </c>
      <c r="N484" s="11">
        <v>0</v>
      </c>
      <c r="O484" s="12" t="str">
        <f>_xlfn.DISPIMG("ID_99E38CC0E4B2437A8E74F9D976F948B9",1)</f>
        <v>=DISPIMG("ID_99E38CC0E4B2437A8E74F9D976F948B9",1)</v>
      </c>
      <c r="P484" s="9" t="s">
        <v>2973</v>
      </c>
      <c r="Q484" s="11">
        <v>365</v>
      </c>
      <c r="R484" s="78" t="s">
        <v>4790</v>
      </c>
      <c r="S484" s="19" t="s">
        <v>72</v>
      </c>
      <c r="T484" s="14">
        <v>16</v>
      </c>
    </row>
    <row r="485" s="98" customFormat="1" customHeight="1" spans="1:20">
      <c r="A485" s="170" t="s">
        <v>3029</v>
      </c>
      <c r="B485" s="170" t="s">
        <v>153</v>
      </c>
      <c r="C485" s="170" t="s">
        <v>3030</v>
      </c>
      <c r="D485" s="21">
        <v>13517024072</v>
      </c>
      <c r="E485" s="163" t="s">
        <v>156</v>
      </c>
      <c r="F485" s="170" t="s">
        <v>21</v>
      </c>
      <c r="G485" s="99">
        <v>202102011</v>
      </c>
      <c r="H485" s="163" t="s">
        <v>157</v>
      </c>
      <c r="I485" s="163" t="s">
        <v>3032</v>
      </c>
      <c r="J485" s="163" t="s">
        <v>472</v>
      </c>
      <c r="K485" s="163" t="s">
        <v>160</v>
      </c>
      <c r="L485" s="163" t="s">
        <v>455</v>
      </c>
      <c r="M485" s="163" t="s">
        <v>1579</v>
      </c>
      <c r="N485" s="21">
        <v>0</v>
      </c>
      <c r="O485" s="100" t="str">
        <f>_xlfn.DISPIMG("ID_2065FB2DB1EB4190B94172D3F2A5E8E8",1)</f>
        <v>=DISPIMG("ID_2065FB2DB1EB4190B94172D3F2A5E8E8",1)</v>
      </c>
      <c r="P485" s="99" t="s">
        <v>3033</v>
      </c>
      <c r="Q485" s="104">
        <v>374</v>
      </c>
      <c r="R485" s="101" t="s">
        <v>4791</v>
      </c>
      <c r="S485" s="102" t="s">
        <v>72</v>
      </c>
      <c r="T485" s="105">
        <v>21</v>
      </c>
    </row>
    <row r="486" s="3" customFormat="1" customHeight="1" spans="1:20">
      <c r="A486" s="166" t="s">
        <v>3107</v>
      </c>
      <c r="B486" s="166" t="s">
        <v>165</v>
      </c>
      <c r="C486" s="166" t="s">
        <v>3108</v>
      </c>
      <c r="D486" s="11">
        <v>15070251262</v>
      </c>
      <c r="E486" s="167" t="s">
        <v>384</v>
      </c>
      <c r="F486" s="166" t="s">
        <v>21</v>
      </c>
      <c r="G486" s="9">
        <v>202101023</v>
      </c>
      <c r="H486" s="167" t="s">
        <v>157</v>
      </c>
      <c r="I486" s="167" t="s">
        <v>1203</v>
      </c>
      <c r="J486" s="167" t="s">
        <v>682</v>
      </c>
      <c r="K486" s="167" t="s">
        <v>170</v>
      </c>
      <c r="L486" s="167" t="s">
        <v>3110</v>
      </c>
      <c r="M486" s="167" t="s">
        <v>3111</v>
      </c>
      <c r="N486" s="167" t="s">
        <v>3112</v>
      </c>
      <c r="O486" s="12" t="str">
        <f>_xlfn.DISPIMG("ID_865FFCD2F6414202A972206BA39BAB94",1)</f>
        <v>=DISPIMG("ID_865FFCD2F6414202A972206BA39BAB94",1)</v>
      </c>
      <c r="P486" s="9" t="s">
        <v>3113</v>
      </c>
      <c r="Q486" s="11">
        <v>384</v>
      </c>
      <c r="R486" s="78" t="s">
        <v>4792</v>
      </c>
      <c r="S486" s="19" t="s">
        <v>72</v>
      </c>
      <c r="T486" s="14">
        <v>28</v>
      </c>
    </row>
    <row r="487" s="3" customFormat="1" customHeight="1" spans="1:20">
      <c r="A487" s="166" t="s">
        <v>3159</v>
      </c>
      <c r="B487" s="166" t="s">
        <v>153</v>
      </c>
      <c r="C487" s="166" t="s">
        <v>3160</v>
      </c>
      <c r="D487" s="11">
        <v>15070024256</v>
      </c>
      <c r="E487" s="167" t="s">
        <v>268</v>
      </c>
      <c r="F487" s="166" t="s">
        <v>21</v>
      </c>
      <c r="G487" s="9">
        <v>202101022</v>
      </c>
      <c r="H487" s="167" t="s">
        <v>157</v>
      </c>
      <c r="I487" s="167" t="s">
        <v>827</v>
      </c>
      <c r="J487" s="167" t="s">
        <v>682</v>
      </c>
      <c r="K487" s="167" t="s">
        <v>170</v>
      </c>
      <c r="L487" s="167" t="s">
        <v>281</v>
      </c>
      <c r="M487" s="167" t="s">
        <v>2244</v>
      </c>
      <c r="N487" s="167" t="s">
        <v>3162</v>
      </c>
      <c r="O487" s="12" t="str">
        <f>_xlfn.DISPIMG("ID_2F448B7CE8524D1AA48554771DC3D4AB",1)</f>
        <v>=DISPIMG("ID_2F448B7CE8524D1AA48554771DC3D4AB",1)</v>
      </c>
      <c r="P487" s="9" t="s">
        <v>3163</v>
      </c>
      <c r="Q487" s="11">
        <v>392</v>
      </c>
      <c r="R487" s="78" t="s">
        <v>4796</v>
      </c>
      <c r="S487" s="19" t="s">
        <v>72</v>
      </c>
      <c r="T487" s="14">
        <v>22</v>
      </c>
    </row>
    <row r="488" s="3" customFormat="1" customHeight="1" spans="1:20">
      <c r="A488" s="166" t="s">
        <v>3178</v>
      </c>
      <c r="B488" s="166" t="s">
        <v>153</v>
      </c>
      <c r="C488" s="166" t="s">
        <v>3179</v>
      </c>
      <c r="D488" s="11">
        <v>15257934004</v>
      </c>
      <c r="E488" s="167" t="s">
        <v>384</v>
      </c>
      <c r="F488" s="166" t="s">
        <v>21</v>
      </c>
      <c r="G488" s="9">
        <v>202101023</v>
      </c>
      <c r="H488" s="167" t="s">
        <v>157</v>
      </c>
      <c r="I488" s="167" t="s">
        <v>1258</v>
      </c>
      <c r="J488" s="167" t="s">
        <v>682</v>
      </c>
      <c r="K488" s="167" t="s">
        <v>170</v>
      </c>
      <c r="L488" s="167" t="s">
        <v>587</v>
      </c>
      <c r="M488" s="167" t="s">
        <v>1824</v>
      </c>
      <c r="N488" s="167" t="s">
        <v>3181</v>
      </c>
      <c r="O488" s="12" t="str">
        <f>_xlfn.DISPIMG("ID_D70CF13D201844A6B6408BAB9F88D034",1)</f>
        <v>=DISPIMG("ID_D70CF13D201844A6B6408BAB9F88D034",1)</v>
      </c>
      <c r="P488" s="9" t="s">
        <v>3182</v>
      </c>
      <c r="Q488" s="11">
        <v>395</v>
      </c>
      <c r="R488" s="78" t="s">
        <v>4797</v>
      </c>
      <c r="S488" s="19" t="s">
        <v>72</v>
      </c>
      <c r="T488" s="14">
        <v>27</v>
      </c>
    </row>
    <row r="489" s="3" customFormat="1" customHeight="1" spans="1:20">
      <c r="A489" s="166" t="s">
        <v>2831</v>
      </c>
      <c r="B489" s="166" t="s">
        <v>165</v>
      </c>
      <c r="C489" s="166" t="s">
        <v>3200</v>
      </c>
      <c r="D489" s="11">
        <v>15079253920</v>
      </c>
      <c r="E489" s="167" t="s">
        <v>384</v>
      </c>
      <c r="F489" s="166" t="s">
        <v>21</v>
      </c>
      <c r="G489" s="9">
        <v>202101023</v>
      </c>
      <c r="H489" s="167" t="s">
        <v>157</v>
      </c>
      <c r="I489" s="167" t="s">
        <v>1413</v>
      </c>
      <c r="J489" s="167" t="s">
        <v>682</v>
      </c>
      <c r="K489" s="167" t="s">
        <v>170</v>
      </c>
      <c r="L489" s="167" t="s">
        <v>261</v>
      </c>
      <c r="M489" s="167" t="s">
        <v>1824</v>
      </c>
      <c r="N489" s="11">
        <v>0</v>
      </c>
      <c r="O489" s="12" t="str">
        <f>_xlfn.DISPIMG("ID_6FA15DDD4AA745CAA44305EB8A7C29E0",1)</f>
        <v>=DISPIMG("ID_6FA15DDD4AA745CAA44305EB8A7C29E0",1)</v>
      </c>
      <c r="P489" s="9" t="s">
        <v>4312</v>
      </c>
      <c r="Q489" s="20">
        <v>398</v>
      </c>
      <c r="R489" s="78" t="s">
        <v>4801</v>
      </c>
      <c r="S489" s="19" t="s">
        <v>72</v>
      </c>
      <c r="T489" s="14">
        <v>23</v>
      </c>
    </row>
    <row r="490" s="3" customFormat="1" customHeight="1" spans="1:20">
      <c r="A490" s="166" t="s">
        <v>3531</v>
      </c>
      <c r="B490" s="166" t="s">
        <v>153</v>
      </c>
      <c r="C490" s="166" t="s">
        <v>3532</v>
      </c>
      <c r="D490" s="11">
        <v>17687910769</v>
      </c>
      <c r="E490" s="167" t="s">
        <v>384</v>
      </c>
      <c r="F490" s="166" t="s">
        <v>21</v>
      </c>
      <c r="G490" s="9">
        <v>202101023</v>
      </c>
      <c r="H490" s="167" t="s">
        <v>157</v>
      </c>
      <c r="I490" s="167" t="s">
        <v>3518</v>
      </c>
      <c r="J490" s="167" t="s">
        <v>3534</v>
      </c>
      <c r="K490" s="167" t="s">
        <v>160</v>
      </c>
      <c r="L490" s="167" t="s">
        <v>455</v>
      </c>
      <c r="M490" s="167" t="s">
        <v>2462</v>
      </c>
      <c r="N490" s="11">
        <v>0</v>
      </c>
      <c r="O490" s="12" t="str">
        <f>_xlfn.DISPIMG("ID_B9B540B424394A6290A83DEC0AB8F385",1)</f>
        <v>=DISPIMG("ID_B9B540B424394A6290A83DEC0AB8F385",1)</v>
      </c>
      <c r="P490" s="9" t="s">
        <v>3535</v>
      </c>
      <c r="Q490" s="20">
        <v>448</v>
      </c>
      <c r="R490" s="78" t="s">
        <v>4802</v>
      </c>
      <c r="S490" s="19" t="s">
        <v>72</v>
      </c>
      <c r="T490" s="14">
        <v>26</v>
      </c>
    </row>
    <row r="491" s="3" customFormat="1" customHeight="1" spans="1:20">
      <c r="A491" s="166" t="s">
        <v>3699</v>
      </c>
      <c r="B491" s="166" t="s">
        <v>153</v>
      </c>
      <c r="C491" s="166" t="s">
        <v>3700</v>
      </c>
      <c r="D491" s="11">
        <v>18046710217</v>
      </c>
      <c r="E491" s="167" t="s">
        <v>384</v>
      </c>
      <c r="F491" s="166" t="s">
        <v>21</v>
      </c>
      <c r="G491" s="9">
        <v>202101023</v>
      </c>
      <c r="H491" s="167" t="s">
        <v>157</v>
      </c>
      <c r="I491" s="167" t="s">
        <v>233</v>
      </c>
      <c r="J491" s="167" t="s">
        <v>682</v>
      </c>
      <c r="K491" s="167" t="s">
        <v>170</v>
      </c>
      <c r="L491" s="167" t="s">
        <v>306</v>
      </c>
      <c r="M491" s="167" t="s">
        <v>1579</v>
      </c>
      <c r="N491" s="167" t="s">
        <v>3702</v>
      </c>
      <c r="O491" s="12" t="str">
        <f>_xlfn.DISPIMG("ID_E2F022B7DBF04DECBE980BB970833FC7",1)</f>
        <v>=DISPIMG("ID_E2F022B7DBF04DECBE980BB970833FC7",1)</v>
      </c>
      <c r="P491" s="9" t="s">
        <v>3703</v>
      </c>
      <c r="Q491" s="20">
        <v>471</v>
      </c>
      <c r="R491" s="78" t="s">
        <v>4806</v>
      </c>
      <c r="S491" s="19" t="s">
        <v>72</v>
      </c>
      <c r="T491" s="14">
        <v>24</v>
      </c>
    </row>
    <row r="492" s="3" customFormat="1" customHeight="1" spans="1:20">
      <c r="A492" s="166" t="s">
        <v>3751</v>
      </c>
      <c r="B492" s="166" t="s">
        <v>153</v>
      </c>
      <c r="C492" s="166" t="s">
        <v>3752</v>
      </c>
      <c r="D492" s="11">
        <v>15180696881</v>
      </c>
      <c r="E492" s="167" t="s">
        <v>384</v>
      </c>
      <c r="F492" s="166" t="s">
        <v>21</v>
      </c>
      <c r="G492" s="9">
        <v>202101023</v>
      </c>
      <c r="H492" s="167" t="s">
        <v>157</v>
      </c>
      <c r="I492" s="167" t="s">
        <v>827</v>
      </c>
      <c r="J492" s="167" t="s">
        <v>682</v>
      </c>
      <c r="K492" s="167" t="s">
        <v>170</v>
      </c>
      <c r="L492" s="167" t="s">
        <v>161</v>
      </c>
      <c r="M492" s="167" t="s">
        <v>3754</v>
      </c>
      <c r="N492" s="11">
        <v>0</v>
      </c>
      <c r="O492" s="12" t="str">
        <f>_xlfn.DISPIMG("ID_0C4C873C986C4E8A8DE913748576F208",1)</f>
        <v>=DISPIMG("ID_0C4C873C986C4E8A8DE913748576F208",1)</v>
      </c>
      <c r="P492" s="9" t="s">
        <v>3755</v>
      </c>
      <c r="Q492" s="20">
        <v>478</v>
      </c>
      <c r="R492" s="78" t="s">
        <v>4807</v>
      </c>
      <c r="S492" s="19" t="s">
        <v>72</v>
      </c>
      <c r="T492" s="14">
        <v>25</v>
      </c>
    </row>
    <row r="493" s="3" customFormat="1" customHeight="1" spans="1:20">
      <c r="A493" s="166" t="s">
        <v>974</v>
      </c>
      <c r="B493" s="166" t="s">
        <v>153</v>
      </c>
      <c r="C493" s="166" t="s">
        <v>975</v>
      </c>
      <c r="D493" s="11">
        <v>14796380079</v>
      </c>
      <c r="E493" s="167" t="s">
        <v>268</v>
      </c>
      <c r="F493" s="166" t="s">
        <v>16</v>
      </c>
      <c r="G493" s="9">
        <v>202101011</v>
      </c>
      <c r="H493" s="167" t="s">
        <v>157</v>
      </c>
      <c r="I493" s="167" t="s">
        <v>233</v>
      </c>
      <c r="J493" s="167" t="s">
        <v>977</v>
      </c>
      <c r="K493" s="167" t="s">
        <v>170</v>
      </c>
      <c r="L493" s="167" t="s">
        <v>235</v>
      </c>
      <c r="M493" s="167" t="s">
        <v>978</v>
      </c>
      <c r="N493" s="167" t="s">
        <v>979</v>
      </c>
      <c r="O493" s="12" t="str">
        <f>_xlfn.DISPIMG("ID_9AC6BD34E9E244F89B50B29F8EA156DD",1)</f>
        <v>=DISPIMG("ID_9AC6BD34E9E244F89B50B29F8EA156DD",1)</v>
      </c>
      <c r="P493" s="9" t="s">
        <v>980</v>
      </c>
      <c r="Q493" s="11">
        <v>99</v>
      </c>
      <c r="R493" s="78" t="s">
        <v>4808</v>
      </c>
      <c r="S493" s="19" t="s">
        <v>76</v>
      </c>
      <c r="T493" s="14">
        <v>6</v>
      </c>
    </row>
    <row r="494" s="3" customFormat="1" customHeight="1" spans="1:20">
      <c r="A494" s="166" t="s">
        <v>2831</v>
      </c>
      <c r="B494" s="166" t="s">
        <v>165</v>
      </c>
      <c r="C494" s="166" t="s">
        <v>2832</v>
      </c>
      <c r="D494" s="11">
        <v>17794516178</v>
      </c>
      <c r="E494" s="167" t="s">
        <v>268</v>
      </c>
      <c r="F494" s="166" t="s">
        <v>16</v>
      </c>
      <c r="G494" s="9">
        <v>202101011</v>
      </c>
      <c r="H494" s="167" t="s">
        <v>705</v>
      </c>
      <c r="I494" s="167" t="s">
        <v>2834</v>
      </c>
      <c r="J494" s="167" t="s">
        <v>1397</v>
      </c>
      <c r="K494" s="167" t="s">
        <v>160</v>
      </c>
      <c r="L494" s="167" t="s">
        <v>261</v>
      </c>
      <c r="M494" s="167" t="s">
        <v>2835</v>
      </c>
      <c r="N494" s="11">
        <v>0</v>
      </c>
      <c r="O494" s="12" t="str">
        <f>_xlfn.DISPIMG("ID_012851E191D54E319B75F7300CFFD208",1)</f>
        <v>=DISPIMG("ID_012851E191D54E319B75F7300CFFD208",1)</v>
      </c>
      <c r="P494" s="9" t="s">
        <v>2836</v>
      </c>
      <c r="Q494" s="11">
        <v>344</v>
      </c>
      <c r="R494" s="78" t="s">
        <v>4809</v>
      </c>
      <c r="S494" s="19" t="s">
        <v>76</v>
      </c>
      <c r="T494" s="14">
        <v>7</v>
      </c>
    </row>
    <row r="495" s="3" customFormat="1" customHeight="1" spans="1:20">
      <c r="A495" s="166" t="s">
        <v>2961</v>
      </c>
      <c r="B495" s="166" t="s">
        <v>153</v>
      </c>
      <c r="C495" s="166" t="s">
        <v>2962</v>
      </c>
      <c r="D495" s="11">
        <v>15180672774</v>
      </c>
      <c r="E495" s="167" t="s">
        <v>268</v>
      </c>
      <c r="F495" s="166" t="s">
        <v>16</v>
      </c>
      <c r="G495" s="9">
        <v>202101011</v>
      </c>
      <c r="H495" s="167" t="s">
        <v>157</v>
      </c>
      <c r="I495" s="167" t="s">
        <v>385</v>
      </c>
      <c r="J495" s="167" t="s">
        <v>2964</v>
      </c>
      <c r="K495" s="167" t="s">
        <v>170</v>
      </c>
      <c r="L495" s="167" t="s">
        <v>161</v>
      </c>
      <c r="M495" s="167" t="s">
        <v>1156</v>
      </c>
      <c r="N495" s="167" t="s">
        <v>2965</v>
      </c>
      <c r="O495" s="12" t="str">
        <f>_xlfn.DISPIMG("ID_7E33BA02CEC345A989E0186D8EADFECF",1)</f>
        <v>=DISPIMG("ID_7E33BA02CEC345A989E0186D8EADFECF",1)</v>
      </c>
      <c r="P495" s="9" t="s">
        <v>2966</v>
      </c>
      <c r="Q495" s="11">
        <v>364</v>
      </c>
      <c r="R495" s="78" t="s">
        <v>4812</v>
      </c>
      <c r="S495" s="19" t="s">
        <v>76</v>
      </c>
      <c r="T495" s="14">
        <v>5</v>
      </c>
    </row>
    <row r="496" s="3" customFormat="1" customHeight="1" spans="1:20">
      <c r="A496" s="166" t="s">
        <v>3116</v>
      </c>
      <c r="B496" s="166" t="s">
        <v>165</v>
      </c>
      <c r="C496" s="166" t="s">
        <v>3117</v>
      </c>
      <c r="D496" s="11">
        <v>15279286337</v>
      </c>
      <c r="E496" s="167" t="s">
        <v>268</v>
      </c>
      <c r="F496" s="166" t="s">
        <v>16</v>
      </c>
      <c r="G496" s="9">
        <v>202101011</v>
      </c>
      <c r="H496" s="167" t="s">
        <v>157</v>
      </c>
      <c r="I496" s="167" t="s">
        <v>385</v>
      </c>
      <c r="J496" s="167" t="s">
        <v>3119</v>
      </c>
      <c r="K496" s="167" t="s">
        <v>170</v>
      </c>
      <c r="L496" s="167" t="s">
        <v>161</v>
      </c>
      <c r="M496" s="167" t="s">
        <v>190</v>
      </c>
      <c r="N496" s="11">
        <v>0</v>
      </c>
      <c r="O496" s="12" t="str">
        <f>_xlfn.DISPIMG("ID_BC4D6E67EBDF472A876E1598CD3DE965",1)</f>
        <v>=DISPIMG("ID_BC4D6E67EBDF472A876E1598CD3DE965",1)</v>
      </c>
      <c r="P496" s="9" t="s">
        <v>3120</v>
      </c>
      <c r="Q496" s="11">
        <v>385</v>
      </c>
      <c r="R496" s="78" t="s">
        <v>4813</v>
      </c>
      <c r="S496" s="19" t="s">
        <v>76</v>
      </c>
      <c r="T496" s="14">
        <v>8</v>
      </c>
    </row>
    <row r="497" s="3" customFormat="1" customHeight="1" spans="1:20">
      <c r="A497" s="166" t="s">
        <v>3022</v>
      </c>
      <c r="B497" s="166" t="s">
        <v>165</v>
      </c>
      <c r="C497" s="166" t="s">
        <v>3023</v>
      </c>
      <c r="D497" s="11">
        <v>15870035090</v>
      </c>
      <c r="E497" s="167" t="s">
        <v>268</v>
      </c>
      <c r="F497" s="166" t="s">
        <v>16</v>
      </c>
      <c r="G497" s="9">
        <v>202101011</v>
      </c>
      <c r="H497" s="167" t="s">
        <v>157</v>
      </c>
      <c r="I497" s="167" t="s">
        <v>233</v>
      </c>
      <c r="J497" s="167" t="s">
        <v>1088</v>
      </c>
      <c r="K497" s="167" t="s">
        <v>170</v>
      </c>
      <c r="L497" s="167" t="s">
        <v>548</v>
      </c>
      <c r="M497" s="167" t="s">
        <v>1579</v>
      </c>
      <c r="N497" s="167" t="s">
        <v>3025</v>
      </c>
      <c r="O497" s="12" t="str">
        <f>_xlfn.DISPIMG("ID_B71153A1EE7A48CF8E15967732B6C043",1)</f>
        <v>=DISPIMG("ID_B71153A1EE7A48CF8E15967732B6C043",1)</v>
      </c>
      <c r="P497" s="9" t="s">
        <v>3026</v>
      </c>
      <c r="Q497" s="11">
        <v>412</v>
      </c>
      <c r="R497" s="78" t="s">
        <v>4816</v>
      </c>
      <c r="S497" s="19" t="s">
        <v>76</v>
      </c>
      <c r="T497" s="14">
        <v>4</v>
      </c>
    </row>
    <row r="498" s="3" customFormat="1" customHeight="1" spans="1:20">
      <c r="A498" s="166" t="s">
        <v>3507</v>
      </c>
      <c r="B498" s="166" t="s">
        <v>165</v>
      </c>
      <c r="C498" s="166" t="s">
        <v>3508</v>
      </c>
      <c r="D498" s="11">
        <v>15179282402</v>
      </c>
      <c r="E498" s="167" t="s">
        <v>384</v>
      </c>
      <c r="F498" s="166" t="s">
        <v>16</v>
      </c>
      <c r="G498" s="9">
        <v>202101012</v>
      </c>
      <c r="H498" s="167" t="s">
        <v>157</v>
      </c>
      <c r="I498" s="167" t="s">
        <v>158</v>
      </c>
      <c r="J498" s="167" t="s">
        <v>2742</v>
      </c>
      <c r="K498" s="167" t="s">
        <v>160</v>
      </c>
      <c r="L498" s="167" t="s">
        <v>281</v>
      </c>
      <c r="M498" s="167" t="s">
        <v>3510</v>
      </c>
      <c r="N498" s="11">
        <v>0</v>
      </c>
      <c r="O498" s="12" t="str">
        <f>_xlfn.DISPIMG("ID_F203C9D79BED4D608F3184BA9064F545",1)</f>
        <v>=DISPIMG("ID_F203C9D79BED4D608F3184BA9064F545",1)</v>
      </c>
      <c r="P498" s="9" t="s">
        <v>3511</v>
      </c>
      <c r="Q498" s="11">
        <v>445</v>
      </c>
      <c r="R498" s="78" t="s">
        <v>4817</v>
      </c>
      <c r="S498" s="19" t="s">
        <v>76</v>
      </c>
      <c r="T498" s="14">
        <v>9</v>
      </c>
    </row>
    <row r="499" s="3" customFormat="1" customHeight="1" spans="1:20">
      <c r="A499" s="166" t="s">
        <v>3833</v>
      </c>
      <c r="B499" s="166" t="s">
        <v>153</v>
      </c>
      <c r="C499" s="166" t="s">
        <v>3834</v>
      </c>
      <c r="D499" s="11">
        <v>15970472554</v>
      </c>
      <c r="E499" s="167" t="s">
        <v>268</v>
      </c>
      <c r="F499" s="166" t="s">
        <v>16</v>
      </c>
      <c r="G499" s="9">
        <v>202101011</v>
      </c>
      <c r="H499" s="167" t="s">
        <v>705</v>
      </c>
      <c r="I499" s="167" t="s">
        <v>1654</v>
      </c>
      <c r="J499" s="167" t="s">
        <v>3836</v>
      </c>
      <c r="K499" s="167" t="s">
        <v>160</v>
      </c>
      <c r="L499" s="167" t="s">
        <v>235</v>
      </c>
      <c r="M499" s="167" t="s">
        <v>16</v>
      </c>
      <c r="N499" s="167" t="s">
        <v>3837</v>
      </c>
      <c r="O499" s="12" t="str">
        <f>_xlfn.DISPIMG("ID_34928AEB616641BE854DC3D58FC2EECD",1)</f>
        <v>=DISPIMG("ID_34928AEB616641BE854DC3D58FC2EECD",1)</v>
      </c>
      <c r="P499" s="9" t="s">
        <v>3838</v>
      </c>
      <c r="Q499" s="11">
        <v>489</v>
      </c>
      <c r="R499" s="78" t="s">
        <v>4819</v>
      </c>
      <c r="S499" s="19" t="s">
        <v>76</v>
      </c>
      <c r="T499" s="14">
        <v>3</v>
      </c>
    </row>
    <row r="500" s="3" customFormat="1" customHeight="1" spans="1:20">
      <c r="A500" s="166" t="s">
        <v>4111</v>
      </c>
      <c r="B500" s="166" t="s">
        <v>153</v>
      </c>
      <c r="C500" s="166" t="s">
        <v>4112</v>
      </c>
      <c r="D500" s="11">
        <v>15155149842</v>
      </c>
      <c r="E500" s="167" t="s">
        <v>268</v>
      </c>
      <c r="F500" s="166" t="s">
        <v>16</v>
      </c>
      <c r="G500" s="9">
        <v>202101011</v>
      </c>
      <c r="H500" s="167" t="s">
        <v>705</v>
      </c>
      <c r="I500" s="167" t="s">
        <v>4114</v>
      </c>
      <c r="J500" s="167" t="s">
        <v>4115</v>
      </c>
      <c r="K500" s="167" t="s">
        <v>160</v>
      </c>
      <c r="L500" s="167" t="s">
        <v>161</v>
      </c>
      <c r="M500" s="167" t="s">
        <v>16</v>
      </c>
      <c r="N500" s="167" t="s">
        <v>4116</v>
      </c>
      <c r="O500" s="12" t="str">
        <f>_xlfn.DISPIMG("ID_AB3A7CA2D44F41A18DEECB4F4C161234",1)</f>
        <v>=DISPIMG("ID_AB3A7CA2D44F41A18DEECB4F4C161234",1)</v>
      </c>
      <c r="P500" s="9" t="s">
        <v>4117</v>
      </c>
      <c r="Q500" s="11">
        <v>526</v>
      </c>
      <c r="R500" s="78" t="s">
        <v>4820</v>
      </c>
      <c r="S500" s="19" t="s">
        <v>76</v>
      </c>
      <c r="T500" s="14">
        <v>10</v>
      </c>
    </row>
    <row r="501" s="3" customFormat="1" customHeight="1" spans="1:20">
      <c r="A501" s="166" t="s">
        <v>4184</v>
      </c>
      <c r="B501" s="166" t="s">
        <v>153</v>
      </c>
      <c r="C501" s="166" t="s">
        <v>4185</v>
      </c>
      <c r="D501" s="11">
        <v>15779857764</v>
      </c>
      <c r="E501" s="167" t="s">
        <v>384</v>
      </c>
      <c r="F501" s="166" t="s">
        <v>16</v>
      </c>
      <c r="G501" s="9">
        <v>202101012</v>
      </c>
      <c r="H501" s="167" t="s">
        <v>157</v>
      </c>
      <c r="I501" s="167" t="s">
        <v>507</v>
      </c>
      <c r="J501" s="167" t="s">
        <v>977</v>
      </c>
      <c r="K501" s="167" t="s">
        <v>170</v>
      </c>
      <c r="L501" s="167" t="s">
        <v>281</v>
      </c>
      <c r="M501" s="167" t="s">
        <v>16</v>
      </c>
      <c r="N501" s="167" t="s">
        <v>4187</v>
      </c>
      <c r="O501" s="12" t="str">
        <f>_xlfn.DISPIMG("ID_CB7789B563324522805F1ED9D1BFD221",1)</f>
        <v>=DISPIMG("ID_CB7789B563324522805F1ED9D1BFD221",1)</v>
      </c>
      <c r="P501" s="9" t="s">
        <v>4188</v>
      </c>
      <c r="Q501" s="11">
        <v>535</v>
      </c>
      <c r="R501" s="78" t="s">
        <v>4822</v>
      </c>
      <c r="S501" s="19" t="s">
        <v>76</v>
      </c>
      <c r="T501" s="14">
        <v>2</v>
      </c>
    </row>
    <row r="502" s="3" customFormat="1" customHeight="1" spans="1:20">
      <c r="A502" s="166" t="s">
        <v>4222</v>
      </c>
      <c r="B502" s="166" t="s">
        <v>165</v>
      </c>
      <c r="C502" s="166" t="s">
        <v>4223</v>
      </c>
      <c r="D502" s="11">
        <v>18170013045</v>
      </c>
      <c r="E502" s="167" t="s">
        <v>268</v>
      </c>
      <c r="F502" s="166" t="s">
        <v>16</v>
      </c>
      <c r="G502" s="9">
        <v>202101011</v>
      </c>
      <c r="H502" s="167" t="s">
        <v>157</v>
      </c>
      <c r="I502" s="167" t="s">
        <v>385</v>
      </c>
      <c r="J502" s="167" t="s">
        <v>4225</v>
      </c>
      <c r="K502" s="167" t="s">
        <v>170</v>
      </c>
      <c r="L502" s="167" t="s">
        <v>224</v>
      </c>
      <c r="M502" s="167" t="s">
        <v>16</v>
      </c>
      <c r="N502" s="167" t="s">
        <v>4226</v>
      </c>
      <c r="O502" s="12" t="str">
        <f>_xlfn.DISPIMG("ID_6A583EA485744871AED4CEE0D95D9DC4",1)</f>
        <v>=DISPIMG("ID_6A583EA485744871AED4CEE0D95D9DC4",1)</v>
      </c>
      <c r="P502" s="9" t="s">
        <v>4227</v>
      </c>
      <c r="Q502" s="11">
        <v>540</v>
      </c>
      <c r="R502" s="78" t="s">
        <v>4823</v>
      </c>
      <c r="S502" s="19" t="s">
        <v>76</v>
      </c>
      <c r="T502" s="14">
        <v>11</v>
      </c>
    </row>
    <row r="503" s="3" customFormat="1" customHeight="1" spans="1:20">
      <c r="A503" s="166" t="s">
        <v>4251</v>
      </c>
      <c r="B503" s="166" t="s">
        <v>153</v>
      </c>
      <c r="C503" s="166" t="s">
        <v>4252</v>
      </c>
      <c r="D503" s="11">
        <v>13340012018</v>
      </c>
      <c r="E503" s="167" t="s">
        <v>268</v>
      </c>
      <c r="F503" s="166" t="s">
        <v>16</v>
      </c>
      <c r="G503" s="9">
        <v>202101011</v>
      </c>
      <c r="H503" s="167" t="s">
        <v>705</v>
      </c>
      <c r="I503" s="167" t="s">
        <v>233</v>
      </c>
      <c r="J503" s="167" t="s">
        <v>4254</v>
      </c>
      <c r="K503" s="167" t="s">
        <v>160</v>
      </c>
      <c r="L503" s="167" t="s">
        <v>455</v>
      </c>
      <c r="M503" s="167" t="s">
        <v>16</v>
      </c>
      <c r="N503" s="167" t="s">
        <v>4255</v>
      </c>
      <c r="O503" s="12" t="str">
        <f>_xlfn.DISPIMG("ID_7B994A5EE1894E46909466AD8B994299",1)</f>
        <v>=DISPIMG("ID_7B994A5EE1894E46909466AD8B994299",1)</v>
      </c>
      <c r="P503" s="9" t="s">
        <v>4256</v>
      </c>
      <c r="Q503" s="11">
        <v>544</v>
      </c>
      <c r="R503" s="78" t="s">
        <v>4825</v>
      </c>
      <c r="S503" s="19" t="s">
        <v>76</v>
      </c>
      <c r="T503" s="14">
        <v>1</v>
      </c>
    </row>
    <row r="504" s="3" customFormat="1" customHeight="1" spans="1:20">
      <c r="A504" s="166" t="s">
        <v>1061</v>
      </c>
      <c r="B504" s="166" t="s">
        <v>165</v>
      </c>
      <c r="C504" s="166" t="s">
        <v>1062</v>
      </c>
      <c r="D504" s="11">
        <v>18370272213</v>
      </c>
      <c r="E504" s="167" t="s">
        <v>268</v>
      </c>
      <c r="F504" s="166" t="s">
        <v>17</v>
      </c>
      <c r="G504" s="9">
        <v>202101017</v>
      </c>
      <c r="H504" s="167" t="s">
        <v>157</v>
      </c>
      <c r="I504" s="167" t="s">
        <v>269</v>
      </c>
      <c r="J504" s="167" t="s">
        <v>290</v>
      </c>
      <c r="K504" s="167" t="s">
        <v>170</v>
      </c>
      <c r="L504" s="167" t="s">
        <v>261</v>
      </c>
      <c r="M504" s="167" t="s">
        <v>1064</v>
      </c>
      <c r="N504" s="11">
        <v>0</v>
      </c>
      <c r="O504" s="12" t="str">
        <f>_xlfn.DISPIMG("ID_9916007E0F6C44BAA2C2DFDD815EDF7E",1)</f>
        <v>=DISPIMG("ID_9916007E0F6C44BAA2C2DFDD815EDF7E",1)</v>
      </c>
      <c r="P504" s="9" t="s">
        <v>1065</v>
      </c>
      <c r="Q504" s="20">
        <v>110</v>
      </c>
      <c r="R504" s="78" t="s">
        <v>4818</v>
      </c>
      <c r="S504" s="19" t="s">
        <v>76</v>
      </c>
      <c r="T504" s="14">
        <v>16</v>
      </c>
    </row>
    <row r="505" s="3" customFormat="1" customHeight="1" spans="1:20">
      <c r="A505" s="166" t="s">
        <v>1365</v>
      </c>
      <c r="B505" s="166" t="s">
        <v>153</v>
      </c>
      <c r="C505" s="166" t="s">
        <v>1366</v>
      </c>
      <c r="D505" s="11">
        <v>15720964071</v>
      </c>
      <c r="E505" s="167" t="s">
        <v>268</v>
      </c>
      <c r="F505" s="166" t="s">
        <v>17</v>
      </c>
      <c r="G505" s="9">
        <v>202101017</v>
      </c>
      <c r="H505" s="167" t="s">
        <v>157</v>
      </c>
      <c r="I505" s="167" t="s">
        <v>1368</v>
      </c>
      <c r="J505" s="167" t="s">
        <v>290</v>
      </c>
      <c r="K505" s="167" t="s">
        <v>170</v>
      </c>
      <c r="L505" s="167" t="s">
        <v>455</v>
      </c>
      <c r="M505" s="167" t="s">
        <v>1369</v>
      </c>
      <c r="N505" s="11">
        <v>0</v>
      </c>
      <c r="O505" s="12" t="str">
        <f>_xlfn.DISPIMG("ID_EB5AC667C054437CBFE2486B339F8A77",1)</f>
        <v>=DISPIMG("ID_EB5AC667C054437CBFE2486B339F8A77",1)</v>
      </c>
      <c r="P505" s="9" t="s">
        <v>1370</v>
      </c>
      <c r="Q505" s="20">
        <v>149</v>
      </c>
      <c r="R505" s="78" t="s">
        <v>4821</v>
      </c>
      <c r="S505" s="19" t="s">
        <v>76</v>
      </c>
      <c r="T505" s="14">
        <v>15</v>
      </c>
    </row>
    <row r="506" s="3" customFormat="1" customHeight="1" spans="1:20">
      <c r="A506" s="166" t="s">
        <v>2805</v>
      </c>
      <c r="B506" s="166" t="s">
        <v>153</v>
      </c>
      <c r="C506" s="166" t="s">
        <v>2806</v>
      </c>
      <c r="D506" s="11">
        <v>15350253333</v>
      </c>
      <c r="E506" s="167" t="s">
        <v>268</v>
      </c>
      <c r="F506" s="166" t="s">
        <v>17</v>
      </c>
      <c r="G506" s="9">
        <v>202101007</v>
      </c>
      <c r="H506" s="167" t="s">
        <v>157</v>
      </c>
      <c r="I506" s="167" t="s">
        <v>269</v>
      </c>
      <c r="J506" s="167" t="s">
        <v>290</v>
      </c>
      <c r="K506" s="167" t="s">
        <v>170</v>
      </c>
      <c r="L506" s="167" t="s">
        <v>368</v>
      </c>
      <c r="M506" s="167" t="s">
        <v>17</v>
      </c>
      <c r="N506" s="167" t="s">
        <v>2808</v>
      </c>
      <c r="O506" s="12" t="str">
        <f>_xlfn.DISPIMG("ID_7C47A0694F0147EB860DAA1E2F9E87A3",1)</f>
        <v>=DISPIMG("ID_7C47A0694F0147EB860DAA1E2F9E87A3",1)</v>
      </c>
      <c r="P506" s="9" t="s">
        <v>2809</v>
      </c>
      <c r="Q506" s="11">
        <v>340</v>
      </c>
      <c r="R506" s="78" t="s">
        <v>4824</v>
      </c>
      <c r="S506" s="19" t="s">
        <v>76</v>
      </c>
      <c r="T506" s="14">
        <v>14</v>
      </c>
    </row>
    <row r="507" s="3" customFormat="1" customHeight="1" spans="1:20">
      <c r="A507" s="166" t="s">
        <v>3099</v>
      </c>
      <c r="B507" s="166" t="s">
        <v>165</v>
      </c>
      <c r="C507" s="166" t="s">
        <v>3100</v>
      </c>
      <c r="D507" s="11">
        <v>15720976892</v>
      </c>
      <c r="E507" s="167" t="s">
        <v>384</v>
      </c>
      <c r="F507" s="166" t="s">
        <v>17</v>
      </c>
      <c r="G507" s="9">
        <v>202101018</v>
      </c>
      <c r="H507" s="167" t="s">
        <v>157</v>
      </c>
      <c r="I507" s="167" t="s">
        <v>385</v>
      </c>
      <c r="J507" s="167" t="s">
        <v>290</v>
      </c>
      <c r="K507" s="167" t="s">
        <v>170</v>
      </c>
      <c r="L507" s="167" t="s">
        <v>577</v>
      </c>
      <c r="M507" s="167" t="s">
        <v>3102</v>
      </c>
      <c r="N507" s="167" t="s">
        <v>3103</v>
      </c>
      <c r="O507" s="12" t="str">
        <f>_xlfn.DISPIMG("ID_FEEAA5237B6C4B708D314FC0E0560DA3",1)</f>
        <v>=DISPIMG("ID_FEEAA5237B6C4B708D314FC0E0560DA3",1)</v>
      </c>
      <c r="P507" s="9" t="s">
        <v>3104</v>
      </c>
      <c r="Q507" s="20">
        <v>383</v>
      </c>
      <c r="R507" s="78" t="s">
        <v>4826</v>
      </c>
      <c r="S507" s="19" t="s">
        <v>76</v>
      </c>
      <c r="T507" s="14">
        <v>12</v>
      </c>
    </row>
    <row r="508" s="3" customFormat="1" customHeight="1" spans="1:20">
      <c r="A508" s="166" t="s">
        <v>3192</v>
      </c>
      <c r="B508" s="166" t="s">
        <v>165</v>
      </c>
      <c r="C508" s="166" t="s">
        <v>3193</v>
      </c>
      <c r="D508" s="11">
        <v>13361729367</v>
      </c>
      <c r="E508" s="167" t="s">
        <v>268</v>
      </c>
      <c r="F508" s="166" t="s">
        <v>17</v>
      </c>
      <c r="G508" s="9">
        <v>202101017</v>
      </c>
      <c r="H508" s="167" t="s">
        <v>157</v>
      </c>
      <c r="I508" s="167" t="s">
        <v>1258</v>
      </c>
      <c r="J508" s="167" t="s">
        <v>3195</v>
      </c>
      <c r="K508" s="167" t="s">
        <v>170</v>
      </c>
      <c r="L508" s="167" t="s">
        <v>216</v>
      </c>
      <c r="M508" s="167" t="s">
        <v>17</v>
      </c>
      <c r="N508" s="167" t="s">
        <v>3196</v>
      </c>
      <c r="O508" s="12" t="str">
        <f>_xlfn.DISPIMG("ID_F0B384F7F2BD4ECB81B75D08A62A8621",1)</f>
        <v>=DISPIMG("ID_F0B384F7F2BD4ECB81B75D08A62A8621",1)</v>
      </c>
      <c r="P508" s="9" t="s">
        <v>3197</v>
      </c>
      <c r="Q508" s="20">
        <v>397</v>
      </c>
      <c r="R508" s="78" t="s">
        <v>4827</v>
      </c>
      <c r="S508" s="19" t="s">
        <v>76</v>
      </c>
      <c r="T508" s="14">
        <v>13</v>
      </c>
    </row>
    <row r="509" s="3" customFormat="1" customHeight="1" spans="1:20">
      <c r="A509" s="166" t="s">
        <v>1294</v>
      </c>
      <c r="B509" s="166" t="s">
        <v>165</v>
      </c>
      <c r="C509" s="166" t="s">
        <v>1295</v>
      </c>
      <c r="D509" s="11">
        <v>16607139534</v>
      </c>
      <c r="E509" s="167" t="s">
        <v>384</v>
      </c>
      <c r="F509" s="166" t="s">
        <v>18</v>
      </c>
      <c r="G509" s="9">
        <v>202101024</v>
      </c>
      <c r="H509" s="167" t="s">
        <v>705</v>
      </c>
      <c r="I509" s="167" t="s">
        <v>1297</v>
      </c>
      <c r="J509" s="167" t="s">
        <v>323</v>
      </c>
      <c r="K509" s="167" t="s">
        <v>160</v>
      </c>
      <c r="L509" s="167" t="s">
        <v>455</v>
      </c>
      <c r="M509" s="167" t="s">
        <v>18</v>
      </c>
      <c r="N509" s="167" t="s">
        <v>1298</v>
      </c>
      <c r="O509" s="12" t="str">
        <f>_xlfn.DISPIMG("ID_0467DD9C16B84F62946A6DA8763F5DB1",1)</f>
        <v>=DISPIMG("ID_0467DD9C16B84F62946A6DA8763F5DB1",1)</v>
      </c>
      <c r="P509" s="9" t="s">
        <v>1299</v>
      </c>
      <c r="Q509" s="11">
        <v>140</v>
      </c>
      <c r="R509" s="78" t="s">
        <v>4810</v>
      </c>
      <c r="S509" s="19" t="s">
        <v>76</v>
      </c>
      <c r="T509" s="14">
        <v>18</v>
      </c>
    </row>
    <row r="510" s="3" customFormat="1" customHeight="1" spans="1:20">
      <c r="A510" s="166" t="s">
        <v>1387</v>
      </c>
      <c r="B510" s="166" t="s">
        <v>165</v>
      </c>
      <c r="C510" s="166" t="s">
        <v>1388</v>
      </c>
      <c r="D510" s="11">
        <v>15079175259</v>
      </c>
      <c r="E510" s="167" t="s">
        <v>156</v>
      </c>
      <c r="F510" s="166" t="s">
        <v>18</v>
      </c>
      <c r="G510" s="9">
        <v>202101012</v>
      </c>
      <c r="H510" s="167" t="s">
        <v>157</v>
      </c>
      <c r="I510" s="167" t="s">
        <v>827</v>
      </c>
      <c r="J510" s="167" t="s">
        <v>1390</v>
      </c>
      <c r="K510" s="167" t="s">
        <v>170</v>
      </c>
      <c r="L510" s="167" t="s">
        <v>261</v>
      </c>
      <c r="M510" s="167" t="s">
        <v>18</v>
      </c>
      <c r="N510" s="11">
        <v>0</v>
      </c>
      <c r="O510" s="12" t="str">
        <f>_xlfn.DISPIMG("ID_22A5305EF7CD44458C8E85EF1B5003E3",1)</f>
        <v>=DISPIMG("ID_22A5305EF7CD44458C8E85EF1B5003E3",1)</v>
      </c>
      <c r="P510" s="9" t="s">
        <v>1391</v>
      </c>
      <c r="Q510" s="20">
        <v>152</v>
      </c>
      <c r="R510" s="78" t="s">
        <v>4811</v>
      </c>
      <c r="S510" s="19" t="s">
        <v>76</v>
      </c>
      <c r="T510" s="14">
        <v>19</v>
      </c>
    </row>
    <row r="511" s="3" customFormat="1" customHeight="1" spans="1:20">
      <c r="A511" s="166" t="s">
        <v>1789</v>
      </c>
      <c r="B511" s="166" t="s">
        <v>165</v>
      </c>
      <c r="C511" s="166" t="s">
        <v>1790</v>
      </c>
      <c r="D511" s="11">
        <v>15350130023</v>
      </c>
      <c r="E511" s="167" t="s">
        <v>384</v>
      </c>
      <c r="F511" s="166" t="s">
        <v>18</v>
      </c>
      <c r="G511" s="9">
        <v>202101023</v>
      </c>
      <c r="H511" s="167" t="s">
        <v>157</v>
      </c>
      <c r="I511" s="167" t="s">
        <v>1792</v>
      </c>
      <c r="J511" s="167" t="s">
        <v>1793</v>
      </c>
      <c r="K511" s="167" t="s">
        <v>160</v>
      </c>
      <c r="L511" s="167" t="s">
        <v>455</v>
      </c>
      <c r="M511" s="167" t="s">
        <v>1794</v>
      </c>
      <c r="N511" s="11">
        <v>0</v>
      </c>
      <c r="O511" s="12" t="str">
        <f>_xlfn.DISPIMG("ID_F2D31DD52A09466996724F8ACF5386A0",1)</f>
        <v>=DISPIMG("ID_F2D31DD52A09466996724F8ACF5386A0",1)</v>
      </c>
      <c r="P511" s="9" t="s">
        <v>1795</v>
      </c>
      <c r="Q511" s="11">
        <v>204</v>
      </c>
      <c r="R511" s="78" t="s">
        <v>4814</v>
      </c>
      <c r="S511" s="19" t="s">
        <v>76</v>
      </c>
      <c r="T511" s="14">
        <v>17</v>
      </c>
    </row>
    <row r="512" s="3" customFormat="1" customHeight="1" spans="1:20">
      <c r="A512" s="166" t="s">
        <v>3051</v>
      </c>
      <c r="B512" s="166" t="s">
        <v>165</v>
      </c>
      <c r="C512" s="166" t="s">
        <v>3052</v>
      </c>
      <c r="D512" s="11">
        <v>18779104869</v>
      </c>
      <c r="E512" s="167" t="s">
        <v>384</v>
      </c>
      <c r="F512" s="166" t="s">
        <v>18</v>
      </c>
      <c r="G512" s="9">
        <v>202101024</v>
      </c>
      <c r="H512" s="167" t="s">
        <v>157</v>
      </c>
      <c r="I512" s="167" t="s">
        <v>3054</v>
      </c>
      <c r="J512" s="167" t="s">
        <v>404</v>
      </c>
      <c r="K512" s="167" t="s">
        <v>160</v>
      </c>
      <c r="L512" s="167" t="s">
        <v>455</v>
      </c>
      <c r="M512" s="167" t="s">
        <v>18</v>
      </c>
      <c r="N512" s="11">
        <v>0</v>
      </c>
      <c r="O512" s="12" t="str">
        <f>_xlfn.DISPIMG("ID_030DD5A3CEBA48E5AA84D6300BCE898E",1)</f>
        <v>=DISPIMG("ID_030DD5A3CEBA48E5AA84D6300BCE898E",1)</v>
      </c>
      <c r="P512" s="9" t="s">
        <v>3055</v>
      </c>
      <c r="Q512" s="11">
        <v>377</v>
      </c>
      <c r="R512" s="78" t="s">
        <v>4815</v>
      </c>
      <c r="S512" s="19" t="s">
        <v>76</v>
      </c>
      <c r="T512" s="14">
        <v>20</v>
      </c>
    </row>
    <row r="513" s="3" customFormat="1" customHeight="1" spans="1:20">
      <c r="A513" s="166" t="s">
        <v>702</v>
      </c>
      <c r="B513" s="166" t="s">
        <v>165</v>
      </c>
      <c r="C513" s="166" t="s">
        <v>703</v>
      </c>
      <c r="D513" s="11">
        <v>18720956827</v>
      </c>
      <c r="E513" s="167" t="s">
        <v>384</v>
      </c>
      <c r="F513" s="166" t="s">
        <v>26</v>
      </c>
      <c r="G513" s="9">
        <v>202101002</v>
      </c>
      <c r="H513" s="167" t="s">
        <v>705</v>
      </c>
      <c r="I513" s="167" t="s">
        <v>233</v>
      </c>
      <c r="J513" s="167" t="s">
        <v>706</v>
      </c>
      <c r="K513" s="167" t="s">
        <v>170</v>
      </c>
      <c r="L513" s="167" t="s">
        <v>161</v>
      </c>
      <c r="M513" s="167" t="s">
        <v>707</v>
      </c>
      <c r="N513" s="167" t="s">
        <v>708</v>
      </c>
      <c r="O513" s="12" t="str">
        <f>_xlfn.DISPIMG("ID_0553F27943C1489A99AB032B2AD0761A",1)</f>
        <v>=DISPIMG("ID_0553F27943C1489A99AB032B2AD0761A",1)</v>
      </c>
      <c r="P513" s="9" t="s">
        <v>709</v>
      </c>
      <c r="Q513" s="11">
        <v>66</v>
      </c>
      <c r="R513" s="78" t="s">
        <v>4828</v>
      </c>
      <c r="S513" s="19" t="s">
        <v>80</v>
      </c>
      <c r="T513" s="14">
        <v>6</v>
      </c>
    </row>
    <row r="514" s="3" customFormat="1" customHeight="1" spans="1:20">
      <c r="A514" s="166" t="s">
        <v>817</v>
      </c>
      <c r="B514" s="166" t="s">
        <v>165</v>
      </c>
      <c r="C514" s="166" t="s">
        <v>818</v>
      </c>
      <c r="D514" s="11">
        <v>15270286273</v>
      </c>
      <c r="E514" s="167" t="s">
        <v>297</v>
      </c>
      <c r="F514" s="166" t="s">
        <v>26</v>
      </c>
      <c r="G514" s="9">
        <v>202101003</v>
      </c>
      <c r="H514" s="167" t="s">
        <v>157</v>
      </c>
      <c r="I514" s="167" t="s">
        <v>820</v>
      </c>
      <c r="J514" s="167" t="s">
        <v>454</v>
      </c>
      <c r="K514" s="167" t="s">
        <v>160</v>
      </c>
      <c r="L514" s="167" t="s">
        <v>252</v>
      </c>
      <c r="M514" s="167" t="s">
        <v>26</v>
      </c>
      <c r="N514" s="11">
        <v>0</v>
      </c>
      <c r="O514" s="12" t="str">
        <f>_xlfn.DISPIMG("ID_D94148DE170D425EB66AE2DFFF655A13",1)</f>
        <v>=DISPIMG("ID_D94148DE170D425EB66AE2DFFF655A13",1)</v>
      </c>
      <c r="P514" s="9" t="s">
        <v>821</v>
      </c>
      <c r="Q514" s="11">
        <v>80</v>
      </c>
      <c r="R514" s="78" t="s">
        <v>4829</v>
      </c>
      <c r="S514" s="19" t="s">
        <v>80</v>
      </c>
      <c r="T514" s="14">
        <v>7</v>
      </c>
    </row>
    <row r="515" s="3" customFormat="1" customHeight="1" spans="1:20">
      <c r="A515" s="166" t="s">
        <v>898</v>
      </c>
      <c r="B515" s="166" t="s">
        <v>165</v>
      </c>
      <c r="C515" s="166" t="s">
        <v>899</v>
      </c>
      <c r="D515" s="11">
        <v>18970287322</v>
      </c>
      <c r="E515" s="167" t="s">
        <v>268</v>
      </c>
      <c r="F515" s="166" t="s">
        <v>26</v>
      </c>
      <c r="G515" s="9">
        <v>202101001</v>
      </c>
      <c r="H515" s="167" t="s">
        <v>157</v>
      </c>
      <c r="I515" s="167" t="s">
        <v>901</v>
      </c>
      <c r="J515" s="167" t="s">
        <v>454</v>
      </c>
      <c r="K515" s="167" t="s">
        <v>170</v>
      </c>
      <c r="L515" s="167" t="s">
        <v>235</v>
      </c>
      <c r="M515" s="167" t="s">
        <v>26</v>
      </c>
      <c r="N515" s="167" t="s">
        <v>902</v>
      </c>
      <c r="O515" s="12" t="str">
        <f>_xlfn.DISPIMG("ID_1BFE84DC97BC469ABB3506659F95FD8E",1)</f>
        <v>=DISPIMG("ID_1BFE84DC97BC469ABB3506659F95FD8E",1)</v>
      </c>
      <c r="P515" s="9" t="s">
        <v>903</v>
      </c>
      <c r="Q515" s="11">
        <v>90</v>
      </c>
      <c r="R515" s="78" t="s">
        <v>4830</v>
      </c>
      <c r="S515" s="19" t="s">
        <v>80</v>
      </c>
      <c r="T515" s="14">
        <v>5</v>
      </c>
    </row>
    <row r="516" s="3" customFormat="1" customHeight="1" spans="1:20">
      <c r="A516" s="166" t="s">
        <v>932</v>
      </c>
      <c r="B516" s="166" t="s">
        <v>165</v>
      </c>
      <c r="C516" s="166" t="s">
        <v>933</v>
      </c>
      <c r="D516" s="11">
        <v>15373854743</v>
      </c>
      <c r="E516" s="167" t="s">
        <v>268</v>
      </c>
      <c r="F516" s="166" t="s">
        <v>26</v>
      </c>
      <c r="G516" s="9">
        <v>202101001</v>
      </c>
      <c r="H516" s="167" t="s">
        <v>157</v>
      </c>
      <c r="I516" s="167" t="s">
        <v>935</v>
      </c>
      <c r="J516" s="167" t="s">
        <v>936</v>
      </c>
      <c r="K516" s="167" t="s">
        <v>170</v>
      </c>
      <c r="L516" s="167" t="s">
        <v>252</v>
      </c>
      <c r="M516" s="167" t="s">
        <v>26</v>
      </c>
      <c r="N516" s="167" t="s">
        <v>937</v>
      </c>
      <c r="O516" s="12" t="str">
        <f>_xlfn.DISPIMG("ID_B0F72DE4E87649C28924E4AA265BAF06",1)</f>
        <v>=DISPIMG("ID_B0F72DE4E87649C28924E4AA265BAF06",1)</v>
      </c>
      <c r="P516" s="9" t="s">
        <v>938</v>
      </c>
      <c r="Q516" s="11">
        <v>94</v>
      </c>
      <c r="R516" s="78" t="s">
        <v>4831</v>
      </c>
      <c r="S516" s="19" t="s">
        <v>80</v>
      </c>
      <c r="T516" s="14">
        <v>8</v>
      </c>
    </row>
    <row r="517" s="3" customFormat="1" customHeight="1" spans="1:20">
      <c r="A517" s="166" t="s">
        <v>1566</v>
      </c>
      <c r="B517" s="166" t="s">
        <v>165</v>
      </c>
      <c r="C517" s="166" t="s">
        <v>1567</v>
      </c>
      <c r="D517" s="11">
        <v>13535561771</v>
      </c>
      <c r="E517" s="167" t="s">
        <v>268</v>
      </c>
      <c r="F517" s="166" t="s">
        <v>26</v>
      </c>
      <c r="G517" s="9">
        <v>202101001</v>
      </c>
      <c r="H517" s="167" t="s">
        <v>705</v>
      </c>
      <c r="I517" s="167" t="s">
        <v>1569</v>
      </c>
      <c r="J517" s="167" t="s">
        <v>1570</v>
      </c>
      <c r="K517" s="167" t="s">
        <v>160</v>
      </c>
      <c r="L517" s="167" t="s">
        <v>171</v>
      </c>
      <c r="M517" s="167" t="s">
        <v>1571</v>
      </c>
      <c r="N517" s="11">
        <v>0</v>
      </c>
      <c r="O517" s="12" t="str">
        <f>_xlfn.DISPIMG("ID_F9DBEEB152DD4F6D9E9954F28F8B48D4",1)</f>
        <v>=DISPIMG("ID_F9DBEEB152DD4F6D9E9954F28F8B48D4",1)</v>
      </c>
      <c r="P517" s="9" t="s">
        <v>1572</v>
      </c>
      <c r="Q517" s="11">
        <v>175</v>
      </c>
      <c r="R517" s="78" t="s">
        <v>4833</v>
      </c>
      <c r="S517" s="19" t="s">
        <v>80</v>
      </c>
      <c r="T517" s="14">
        <v>4</v>
      </c>
    </row>
    <row r="518" s="3" customFormat="1" customHeight="1" spans="1:20">
      <c r="A518" s="166" t="s">
        <v>1606</v>
      </c>
      <c r="B518" s="166" t="s">
        <v>165</v>
      </c>
      <c r="C518" s="166" t="s">
        <v>1607</v>
      </c>
      <c r="D518" s="11">
        <v>15180623635</v>
      </c>
      <c r="E518" s="167" t="s">
        <v>384</v>
      </c>
      <c r="F518" s="166" t="s">
        <v>26</v>
      </c>
      <c r="G518" s="9">
        <v>202101002</v>
      </c>
      <c r="H518" s="167" t="s">
        <v>705</v>
      </c>
      <c r="I518" s="167" t="s">
        <v>1112</v>
      </c>
      <c r="J518" s="167" t="s">
        <v>1489</v>
      </c>
      <c r="K518" s="167" t="s">
        <v>170</v>
      </c>
      <c r="L518" s="167" t="s">
        <v>261</v>
      </c>
      <c r="M518" s="167" t="s">
        <v>26</v>
      </c>
      <c r="N518" s="167" t="s">
        <v>1609</v>
      </c>
      <c r="O518" s="12" t="str">
        <f>_xlfn.DISPIMG("ID_D4D81D5180FB4698ABF9FADCA15E9025",1)</f>
        <v>=DISPIMG("ID_D4D81D5180FB4698ABF9FADCA15E9025",1)</v>
      </c>
      <c r="P518" s="9" t="s">
        <v>1610</v>
      </c>
      <c r="Q518" s="11">
        <v>180</v>
      </c>
      <c r="R518" s="78" t="s">
        <v>4834</v>
      </c>
      <c r="S518" s="19" t="s">
        <v>80</v>
      </c>
      <c r="T518" s="14">
        <v>9</v>
      </c>
    </row>
    <row r="519" s="3" customFormat="1" customHeight="1" spans="1:20">
      <c r="A519" s="166" t="s">
        <v>1932</v>
      </c>
      <c r="B519" s="166" t="s">
        <v>165</v>
      </c>
      <c r="C519" s="166" t="s">
        <v>1933</v>
      </c>
      <c r="D519" s="11">
        <v>13507099496</v>
      </c>
      <c r="E519" s="167" t="s">
        <v>384</v>
      </c>
      <c r="F519" s="166" t="s">
        <v>26</v>
      </c>
      <c r="G519" s="9">
        <v>202101002</v>
      </c>
      <c r="H519" s="167" t="s">
        <v>157</v>
      </c>
      <c r="I519" s="167" t="s">
        <v>827</v>
      </c>
      <c r="J519" s="167" t="s">
        <v>454</v>
      </c>
      <c r="K519" s="167" t="s">
        <v>170</v>
      </c>
      <c r="L519" s="167" t="s">
        <v>199</v>
      </c>
      <c r="M519" s="167" t="s">
        <v>324</v>
      </c>
      <c r="N519" s="167" t="s">
        <v>1935</v>
      </c>
      <c r="O519" s="12" t="str">
        <f>_xlfn.DISPIMG("ID_4ED50304A31443EC8E946100C168F137",1)</f>
        <v>=DISPIMG("ID_4ED50304A31443EC8E946100C168F137",1)</v>
      </c>
      <c r="P519" s="9" t="s">
        <v>1936</v>
      </c>
      <c r="Q519" s="11">
        <v>223</v>
      </c>
      <c r="R519" s="78" t="s">
        <v>4836</v>
      </c>
      <c r="S519" s="19" t="s">
        <v>80</v>
      </c>
      <c r="T519" s="14">
        <v>3</v>
      </c>
    </row>
    <row r="520" s="3" customFormat="1" customHeight="1" spans="1:20">
      <c r="A520" s="166" t="s">
        <v>3359</v>
      </c>
      <c r="B520" s="166" t="s">
        <v>165</v>
      </c>
      <c r="C520" s="166" t="s">
        <v>3360</v>
      </c>
      <c r="D520" s="11">
        <v>18970285935</v>
      </c>
      <c r="E520" s="167" t="s">
        <v>297</v>
      </c>
      <c r="F520" s="166" t="s">
        <v>26</v>
      </c>
      <c r="G520" s="9">
        <v>202101003</v>
      </c>
      <c r="H520" s="167" t="s">
        <v>157</v>
      </c>
      <c r="I520" s="167" t="s">
        <v>1213</v>
      </c>
      <c r="J520" s="167" t="s">
        <v>3362</v>
      </c>
      <c r="K520" s="167" t="s">
        <v>160</v>
      </c>
      <c r="L520" s="167" t="s">
        <v>224</v>
      </c>
      <c r="M520" s="167" t="s">
        <v>26</v>
      </c>
      <c r="N520" s="11">
        <v>0</v>
      </c>
      <c r="O520" s="12" t="str">
        <f>_xlfn.DISPIMG("ID_8997E37C597A4A678DEC3DE2B773630A",1)</f>
        <v>=DISPIMG("ID_8997E37C597A4A678DEC3DE2B773630A",1)</v>
      </c>
      <c r="P520" s="9" t="s">
        <v>3363</v>
      </c>
      <c r="Q520" s="11">
        <v>423</v>
      </c>
      <c r="R520" s="78" t="s">
        <v>4839</v>
      </c>
      <c r="S520" s="19" t="s">
        <v>80</v>
      </c>
      <c r="T520" s="14">
        <v>2</v>
      </c>
    </row>
    <row r="521" s="3" customFormat="1" customHeight="1" spans="1:20">
      <c r="A521" s="166" t="s">
        <v>4127</v>
      </c>
      <c r="B521" s="166" t="s">
        <v>165</v>
      </c>
      <c r="C521" s="166" t="s">
        <v>4128</v>
      </c>
      <c r="D521" s="11">
        <v>18779230962</v>
      </c>
      <c r="E521" s="167" t="s">
        <v>268</v>
      </c>
      <c r="F521" s="166" t="s">
        <v>26</v>
      </c>
      <c r="G521" s="9">
        <v>202101001</v>
      </c>
      <c r="H521" s="167" t="s">
        <v>157</v>
      </c>
      <c r="I521" s="167" t="s">
        <v>233</v>
      </c>
      <c r="J521" s="167" t="s">
        <v>454</v>
      </c>
      <c r="K521" s="167" t="s">
        <v>170</v>
      </c>
      <c r="L521" s="167" t="s">
        <v>252</v>
      </c>
      <c r="M521" s="167" t="s">
        <v>26</v>
      </c>
      <c r="N521" s="167" t="s">
        <v>4130</v>
      </c>
      <c r="O521" s="12" t="str">
        <f>_xlfn.DISPIMG("ID_135AA7394FE044C981CB1DCD13A764A0",1)</f>
        <v>=DISPIMG("ID_135AA7394FE044C981CB1DCD13A764A0",1)</v>
      </c>
      <c r="P521" s="9" t="s">
        <v>4131</v>
      </c>
      <c r="Q521" s="11">
        <v>528</v>
      </c>
      <c r="R521" s="78" t="s">
        <v>4842</v>
      </c>
      <c r="S521" s="19" t="s">
        <v>80</v>
      </c>
      <c r="T521" s="14">
        <v>1</v>
      </c>
    </row>
    <row r="522" s="3" customFormat="1" customHeight="1" spans="1:20">
      <c r="A522" s="166" t="s">
        <v>1410</v>
      </c>
      <c r="B522" s="166" t="s">
        <v>165</v>
      </c>
      <c r="C522" s="166" t="s">
        <v>1411</v>
      </c>
      <c r="D522" s="11">
        <v>19979027323</v>
      </c>
      <c r="E522" s="167" t="s">
        <v>268</v>
      </c>
      <c r="F522" s="166" t="s">
        <v>22</v>
      </c>
      <c r="G522" s="9">
        <v>202101009</v>
      </c>
      <c r="H522" s="167" t="s">
        <v>157</v>
      </c>
      <c r="I522" s="167" t="s">
        <v>1413</v>
      </c>
      <c r="J522" s="167" t="s">
        <v>944</v>
      </c>
      <c r="K522" s="167" t="s">
        <v>170</v>
      </c>
      <c r="L522" s="167" t="s">
        <v>396</v>
      </c>
      <c r="M522" s="167" t="s">
        <v>1414</v>
      </c>
      <c r="N522" s="167" t="s">
        <v>1415</v>
      </c>
      <c r="O522" s="12" t="str">
        <f>_xlfn.DISPIMG("ID_7AA3981AEA4B4044958F80E226B55196",1)</f>
        <v>=DISPIMG("ID_7AA3981AEA4B4044958F80E226B55196",1)</v>
      </c>
      <c r="P522" s="9" t="s">
        <v>1416</v>
      </c>
      <c r="Q522" s="11">
        <v>155</v>
      </c>
      <c r="R522" s="78" t="s">
        <v>4837</v>
      </c>
      <c r="S522" s="19" t="s">
        <v>80</v>
      </c>
      <c r="T522" s="14">
        <v>10</v>
      </c>
    </row>
    <row r="523" s="3" customFormat="1" customHeight="1" spans="1:20">
      <c r="A523" s="166" t="s">
        <v>329</v>
      </c>
      <c r="B523" s="166" t="s">
        <v>165</v>
      </c>
      <c r="C523" s="166" t="s">
        <v>330</v>
      </c>
      <c r="D523" s="11">
        <v>13635987780</v>
      </c>
      <c r="E523" s="167" t="s">
        <v>156</v>
      </c>
      <c r="F523" s="166" t="s">
        <v>3</v>
      </c>
      <c r="G523" s="9">
        <v>202102009</v>
      </c>
      <c r="H523" s="167" t="s">
        <v>157</v>
      </c>
      <c r="I523" s="167" t="s">
        <v>332</v>
      </c>
      <c r="J523" s="167" t="s">
        <v>333</v>
      </c>
      <c r="K523" s="167" t="s">
        <v>160</v>
      </c>
      <c r="L523" s="167" t="s">
        <v>199</v>
      </c>
      <c r="M523" s="167" t="s">
        <v>3</v>
      </c>
      <c r="N523" s="11">
        <v>0</v>
      </c>
      <c r="O523" s="12" t="str">
        <f>_xlfn.DISPIMG("ID_66E2A8C103C040BCBC4789F49E6E9C74",1)</f>
        <v>=DISPIMG("ID_66E2A8C103C040BCBC4789F49E6E9C74",1)</v>
      </c>
      <c r="P523" s="9" t="s">
        <v>334</v>
      </c>
      <c r="Q523" s="11">
        <v>21</v>
      </c>
      <c r="R523" s="78" t="s">
        <v>4832</v>
      </c>
      <c r="S523" s="19" t="s">
        <v>80</v>
      </c>
      <c r="T523" s="14">
        <v>17</v>
      </c>
    </row>
    <row r="524" s="3" customFormat="1" customHeight="1" spans="1:20">
      <c r="A524" s="166" t="s">
        <v>965</v>
      </c>
      <c r="B524" s="166" t="s">
        <v>165</v>
      </c>
      <c r="C524" s="166" t="s">
        <v>966</v>
      </c>
      <c r="D524" s="11">
        <v>18379223080</v>
      </c>
      <c r="E524" s="167" t="s">
        <v>156</v>
      </c>
      <c r="F524" s="166" t="s">
        <v>3</v>
      </c>
      <c r="G524" s="9">
        <v>202102009</v>
      </c>
      <c r="H524" s="167" t="s">
        <v>157</v>
      </c>
      <c r="I524" s="167" t="s">
        <v>158</v>
      </c>
      <c r="J524" s="167" t="s">
        <v>968</v>
      </c>
      <c r="K524" s="167" t="s">
        <v>160</v>
      </c>
      <c r="L524" s="167" t="s">
        <v>368</v>
      </c>
      <c r="M524" s="167" t="s">
        <v>969</v>
      </c>
      <c r="N524" s="167" t="s">
        <v>970</v>
      </c>
      <c r="O524" s="12" t="str">
        <f>_xlfn.DISPIMG("ID_25A1371DB5D24E7E87AED819AD313075",1)</f>
        <v>=DISPIMG("ID_25A1371DB5D24E7E87AED819AD313075",1)</v>
      </c>
      <c r="P524" s="9" t="s">
        <v>971</v>
      </c>
      <c r="Q524" s="11">
        <v>98</v>
      </c>
      <c r="R524" s="78" t="s">
        <v>4835</v>
      </c>
      <c r="S524" s="19" t="s">
        <v>80</v>
      </c>
      <c r="T524" s="14">
        <v>16</v>
      </c>
    </row>
    <row r="525" s="3" customFormat="1" customHeight="1" spans="1:20">
      <c r="A525" s="166" t="s">
        <v>1161</v>
      </c>
      <c r="B525" s="166" t="s">
        <v>165</v>
      </c>
      <c r="C525" s="166" t="s">
        <v>1162</v>
      </c>
      <c r="D525" s="11">
        <v>15879899835</v>
      </c>
      <c r="E525" s="167" t="s">
        <v>156</v>
      </c>
      <c r="F525" s="166" t="s">
        <v>3</v>
      </c>
      <c r="G525" s="9">
        <v>202102009</v>
      </c>
      <c r="H525" s="167" t="s">
        <v>157</v>
      </c>
      <c r="I525" s="167" t="s">
        <v>1146</v>
      </c>
      <c r="J525" s="167" t="s">
        <v>1164</v>
      </c>
      <c r="K525" s="167" t="s">
        <v>160</v>
      </c>
      <c r="L525" s="167" t="s">
        <v>252</v>
      </c>
      <c r="M525" s="167" t="s">
        <v>3</v>
      </c>
      <c r="N525" s="11">
        <v>0</v>
      </c>
      <c r="O525" s="12" t="str">
        <f>_xlfn.DISPIMG("ID_AF5F9594083C4D63A9C12F6DBB9E6CAE",1)</f>
        <v>=DISPIMG("ID_AF5F9594083C4D63A9C12F6DBB9E6CAE",1)</v>
      </c>
      <c r="P525" s="9" t="s">
        <v>1165</v>
      </c>
      <c r="Q525" s="11">
        <v>122</v>
      </c>
      <c r="R525" s="78" t="s">
        <v>4838</v>
      </c>
      <c r="S525" s="19" t="s">
        <v>80</v>
      </c>
      <c r="T525" s="14">
        <v>15</v>
      </c>
    </row>
    <row r="526" s="3" customFormat="1" customHeight="1" spans="1:20">
      <c r="A526" s="166" t="s">
        <v>1421</v>
      </c>
      <c r="B526" s="166" t="s">
        <v>165</v>
      </c>
      <c r="C526" s="166" t="s">
        <v>1422</v>
      </c>
      <c r="D526" s="11">
        <v>15179266183</v>
      </c>
      <c r="E526" s="167" t="s">
        <v>156</v>
      </c>
      <c r="F526" s="166" t="s">
        <v>3</v>
      </c>
      <c r="G526" s="9">
        <v>202102009</v>
      </c>
      <c r="H526" s="167" t="s">
        <v>157</v>
      </c>
      <c r="I526" s="167" t="s">
        <v>1424</v>
      </c>
      <c r="J526" s="167" t="s">
        <v>298</v>
      </c>
      <c r="K526" s="167" t="s">
        <v>160</v>
      </c>
      <c r="L526" s="167" t="s">
        <v>252</v>
      </c>
      <c r="M526" s="167" t="s">
        <v>1425</v>
      </c>
      <c r="N526" s="11">
        <v>0</v>
      </c>
      <c r="O526" s="12" t="str">
        <f>_xlfn.DISPIMG("ID_9A5193B60E294BCB8EBBC32356364290",1)</f>
        <v>=DISPIMG("ID_9A5193B60E294BCB8EBBC32356364290",1)</v>
      </c>
      <c r="P526" s="9" t="s">
        <v>1426</v>
      </c>
      <c r="Q526" s="11">
        <v>157</v>
      </c>
      <c r="R526" s="78" t="s">
        <v>4840</v>
      </c>
      <c r="S526" s="19" t="s">
        <v>80</v>
      </c>
      <c r="T526" s="14">
        <v>11</v>
      </c>
    </row>
    <row r="527" s="3" customFormat="1" customHeight="1" spans="1:20">
      <c r="A527" s="166" t="s">
        <v>2871</v>
      </c>
      <c r="B527" s="166" t="s">
        <v>165</v>
      </c>
      <c r="C527" s="166" t="s">
        <v>2872</v>
      </c>
      <c r="D527" s="11">
        <v>15135136743</v>
      </c>
      <c r="E527" s="167" t="s">
        <v>156</v>
      </c>
      <c r="F527" s="166" t="s">
        <v>3</v>
      </c>
      <c r="G527" s="9">
        <v>202102009</v>
      </c>
      <c r="H527" s="167" t="s">
        <v>157</v>
      </c>
      <c r="I527" s="167" t="s">
        <v>2874</v>
      </c>
      <c r="J527" s="167" t="s">
        <v>169</v>
      </c>
      <c r="K527" s="167" t="s">
        <v>170</v>
      </c>
      <c r="L527" s="167" t="s">
        <v>171</v>
      </c>
      <c r="M527" s="167" t="s">
        <v>1425</v>
      </c>
      <c r="N527" s="11">
        <v>0</v>
      </c>
      <c r="O527" s="12" t="str">
        <f>_xlfn.DISPIMG("ID_16C7080DFBEB4260AD8944B9B8A16C63",1)</f>
        <v>=DISPIMG("ID_16C7080DFBEB4260AD8944B9B8A16C63",1)</v>
      </c>
      <c r="P527" s="9" t="s">
        <v>2875</v>
      </c>
      <c r="Q527" s="20">
        <v>349</v>
      </c>
      <c r="R527" s="78" t="s">
        <v>4841</v>
      </c>
      <c r="S527" s="19" t="s">
        <v>80</v>
      </c>
      <c r="T527" s="14">
        <v>14</v>
      </c>
    </row>
    <row r="528" s="3" customFormat="1" customHeight="1" spans="1:20">
      <c r="A528" s="166" t="s">
        <v>3301</v>
      </c>
      <c r="B528" s="166" t="s">
        <v>165</v>
      </c>
      <c r="C528" s="166" t="s">
        <v>3302</v>
      </c>
      <c r="D528" s="11">
        <v>13870479934</v>
      </c>
      <c r="E528" s="167" t="s">
        <v>156</v>
      </c>
      <c r="F528" s="166" t="s">
        <v>3</v>
      </c>
      <c r="G528" s="9">
        <v>202102009</v>
      </c>
      <c r="H528" s="167" t="s">
        <v>157</v>
      </c>
      <c r="I528" s="167" t="s">
        <v>178</v>
      </c>
      <c r="J528" s="167" t="s">
        <v>454</v>
      </c>
      <c r="K528" s="167" t="s">
        <v>170</v>
      </c>
      <c r="L528" s="167" t="s">
        <v>261</v>
      </c>
      <c r="M528" s="167" t="s">
        <v>1425</v>
      </c>
      <c r="N528" s="11">
        <v>0</v>
      </c>
      <c r="O528" s="12" t="str">
        <f>_xlfn.DISPIMG("ID_DD8D706699DA435AABD3242B003A06E3",1)</f>
        <v>=DISPIMG("ID_DD8D706699DA435AABD3242B003A06E3",1)</v>
      </c>
      <c r="P528" s="9" t="s">
        <v>3304</v>
      </c>
      <c r="Q528" s="11">
        <v>414</v>
      </c>
      <c r="R528" s="78" t="s">
        <v>4843</v>
      </c>
      <c r="S528" s="19" t="s">
        <v>80</v>
      </c>
      <c r="T528" s="14">
        <v>12</v>
      </c>
    </row>
    <row r="529" s="98" customFormat="1" customHeight="1" spans="1:20">
      <c r="A529" s="170" t="s">
        <v>3998</v>
      </c>
      <c r="B529" s="170" t="s">
        <v>165</v>
      </c>
      <c r="C529" s="170" t="s">
        <v>3999</v>
      </c>
      <c r="D529" s="21">
        <v>13426625013</v>
      </c>
      <c r="E529" s="163" t="s">
        <v>156</v>
      </c>
      <c r="F529" s="170" t="s">
        <v>3</v>
      </c>
      <c r="G529" s="99">
        <v>202101009</v>
      </c>
      <c r="H529" s="163" t="s">
        <v>157</v>
      </c>
      <c r="I529" s="163" t="s">
        <v>507</v>
      </c>
      <c r="J529" s="163" t="s">
        <v>4001</v>
      </c>
      <c r="K529" s="163" t="s">
        <v>170</v>
      </c>
      <c r="L529" s="163" t="s">
        <v>541</v>
      </c>
      <c r="M529" s="163" t="s">
        <v>1425</v>
      </c>
      <c r="N529" s="163" t="s">
        <v>4002</v>
      </c>
      <c r="O529" s="100" t="str">
        <f>_xlfn.DISPIMG("ID_8B0AF6F7619941E4B32785C8E970DA4D",1)</f>
        <v>=DISPIMG("ID_8B0AF6F7619941E4B32785C8E970DA4D",1)</v>
      </c>
      <c r="P529" s="99" t="s">
        <v>4003</v>
      </c>
      <c r="Q529" s="104">
        <v>511</v>
      </c>
      <c r="R529" s="101" t="s">
        <v>4844</v>
      </c>
      <c r="S529" s="102" t="s">
        <v>80</v>
      </c>
      <c r="T529" s="105">
        <v>13</v>
      </c>
    </row>
    <row r="530" s="3" customFormat="1" customHeight="1" spans="1:20">
      <c r="A530" s="166" t="s">
        <v>1143</v>
      </c>
      <c r="B530" s="166" t="s">
        <v>165</v>
      </c>
      <c r="C530" s="166" t="s">
        <v>1144</v>
      </c>
      <c r="D530" s="11">
        <v>15777198130</v>
      </c>
      <c r="E530" s="167" t="s">
        <v>384</v>
      </c>
      <c r="F530" s="166" t="s">
        <v>23</v>
      </c>
      <c r="G530" s="9">
        <v>202101025</v>
      </c>
      <c r="H530" s="167" t="s">
        <v>157</v>
      </c>
      <c r="I530" s="167" t="s">
        <v>1146</v>
      </c>
      <c r="J530" s="167" t="s">
        <v>1147</v>
      </c>
      <c r="K530" s="167" t="s">
        <v>170</v>
      </c>
      <c r="L530" s="167" t="s">
        <v>455</v>
      </c>
      <c r="M530" s="167" t="s">
        <v>1148</v>
      </c>
      <c r="N530" s="167" t="s">
        <v>1149</v>
      </c>
      <c r="O530" s="12" t="str">
        <f>_xlfn.DISPIMG("ID_0415E10C85C94C988A22FA5D4842DE09",1)</f>
        <v>=DISPIMG("ID_0415E10C85C94C988A22FA5D4842DE09",1)</v>
      </c>
      <c r="P530" s="9" t="s">
        <v>1150</v>
      </c>
      <c r="Q530" s="11">
        <v>120</v>
      </c>
      <c r="R530" s="78" t="s">
        <v>4850</v>
      </c>
      <c r="S530" s="19" t="s">
        <v>84</v>
      </c>
      <c r="T530" s="14">
        <v>4</v>
      </c>
    </row>
    <row r="531" s="3" customFormat="1" customHeight="1" spans="1:20">
      <c r="A531" s="166" t="s">
        <v>2036</v>
      </c>
      <c r="B531" s="166" t="s">
        <v>165</v>
      </c>
      <c r="C531" s="166" t="s">
        <v>2037</v>
      </c>
      <c r="D531" s="11">
        <v>17770040821</v>
      </c>
      <c r="E531" s="167" t="s">
        <v>297</v>
      </c>
      <c r="F531" s="166" t="s">
        <v>23</v>
      </c>
      <c r="G531" s="9">
        <v>202101031</v>
      </c>
      <c r="H531" s="167" t="s">
        <v>157</v>
      </c>
      <c r="I531" s="167" t="s">
        <v>2039</v>
      </c>
      <c r="J531" s="167" t="s">
        <v>1147</v>
      </c>
      <c r="K531" s="167" t="s">
        <v>170</v>
      </c>
      <c r="L531" s="167" t="s">
        <v>368</v>
      </c>
      <c r="M531" s="167" t="s">
        <v>23</v>
      </c>
      <c r="N531" s="167" t="s">
        <v>2040</v>
      </c>
      <c r="O531" s="12" t="str">
        <f>_xlfn.DISPIMG("ID_99E16B0934D843998C9152B322CD2339",1)</f>
        <v>=DISPIMG("ID_99E16B0934D843998C9152B322CD2339",1)</v>
      </c>
      <c r="P531" s="9" t="s">
        <v>2041</v>
      </c>
      <c r="Q531" s="11">
        <v>237</v>
      </c>
      <c r="R531" s="78" t="s">
        <v>4851</v>
      </c>
      <c r="S531" s="19" t="s">
        <v>84</v>
      </c>
      <c r="T531" s="14">
        <v>3</v>
      </c>
    </row>
    <row r="532" s="3" customFormat="1" customHeight="1" spans="1:20">
      <c r="A532" s="166" t="s">
        <v>4028</v>
      </c>
      <c r="B532" s="166" t="s">
        <v>165</v>
      </c>
      <c r="C532" s="166" t="s">
        <v>4029</v>
      </c>
      <c r="D532" s="11">
        <v>13820505031</v>
      </c>
      <c r="E532" s="167" t="s">
        <v>384</v>
      </c>
      <c r="F532" s="166" t="s">
        <v>23</v>
      </c>
      <c r="G532" s="9">
        <v>202101025</v>
      </c>
      <c r="H532" s="167" t="s">
        <v>157</v>
      </c>
      <c r="I532" s="167" t="s">
        <v>3737</v>
      </c>
      <c r="J532" s="167" t="s">
        <v>1616</v>
      </c>
      <c r="K532" s="167" t="s">
        <v>170</v>
      </c>
      <c r="L532" s="167" t="s">
        <v>235</v>
      </c>
      <c r="M532" s="167" t="s">
        <v>4031</v>
      </c>
      <c r="N532" s="167" t="s">
        <v>4032</v>
      </c>
      <c r="O532" s="12" t="str">
        <f>_xlfn.DISPIMG("ID_4D845800D3864A2B99D106DDD9FD3F5D",1)</f>
        <v>=DISPIMG("ID_4D845800D3864A2B99D106DDD9FD3F5D",1)</v>
      </c>
      <c r="P532" s="9" t="s">
        <v>4033</v>
      </c>
      <c r="Q532" s="20">
        <v>515</v>
      </c>
      <c r="R532" s="78" t="s">
        <v>4852</v>
      </c>
      <c r="S532" s="19" t="s">
        <v>84</v>
      </c>
      <c r="T532" s="14">
        <v>2</v>
      </c>
    </row>
    <row r="533" s="3" customFormat="1" customHeight="1" spans="1:20">
      <c r="A533" s="166" t="s">
        <v>4051</v>
      </c>
      <c r="B533" s="166" t="s">
        <v>153</v>
      </c>
      <c r="C533" s="166" t="s">
        <v>4052</v>
      </c>
      <c r="D533" s="11">
        <v>15170932237</v>
      </c>
      <c r="E533" s="167" t="s">
        <v>384</v>
      </c>
      <c r="F533" s="166" t="s">
        <v>23</v>
      </c>
      <c r="G533" s="9">
        <v>202101025</v>
      </c>
      <c r="H533" s="167" t="s">
        <v>157</v>
      </c>
      <c r="I533" s="167" t="s">
        <v>269</v>
      </c>
      <c r="J533" s="167" t="s">
        <v>1147</v>
      </c>
      <c r="K533" s="167" t="s">
        <v>170</v>
      </c>
      <c r="L533" s="167" t="s">
        <v>235</v>
      </c>
      <c r="M533" s="167" t="s">
        <v>4053</v>
      </c>
      <c r="N533" s="167" t="s">
        <v>4054</v>
      </c>
      <c r="O533" s="12" t="str">
        <f>_xlfn.DISPIMG("ID_D924765B597248FDA57FB5DFF006BD17",1)</f>
        <v>=DISPIMG("ID_D924765B597248FDA57FB5DFF006BD17",1)</v>
      </c>
      <c r="P533" s="9" t="s">
        <v>4055</v>
      </c>
      <c r="Q533" s="11">
        <v>518</v>
      </c>
      <c r="R533" s="78" t="s">
        <v>4853</v>
      </c>
      <c r="S533" s="19" t="s">
        <v>84</v>
      </c>
      <c r="T533" s="14">
        <v>1</v>
      </c>
    </row>
    <row r="534" s="3" customFormat="1" customHeight="1" spans="1:20">
      <c r="A534" s="166" t="s">
        <v>4142</v>
      </c>
      <c r="B534" s="166" t="s">
        <v>153</v>
      </c>
      <c r="C534" s="166" t="s">
        <v>4143</v>
      </c>
      <c r="D534" s="11">
        <v>13330123354</v>
      </c>
      <c r="E534" s="167" t="s">
        <v>297</v>
      </c>
      <c r="F534" s="166" t="s">
        <v>4847</v>
      </c>
      <c r="G534" s="9">
        <v>202101032</v>
      </c>
      <c r="H534" s="167" t="s">
        <v>705</v>
      </c>
      <c r="I534" s="167" t="s">
        <v>4145</v>
      </c>
      <c r="J534" s="167" t="s">
        <v>4146</v>
      </c>
      <c r="K534" s="167" t="s">
        <v>160</v>
      </c>
      <c r="L534" s="167" t="s">
        <v>235</v>
      </c>
      <c r="M534" s="167" t="s">
        <v>4147</v>
      </c>
      <c r="N534" s="167" t="s">
        <v>4148</v>
      </c>
      <c r="O534" s="12" t="str">
        <f>_xlfn.DISPIMG("ID_28A32B60C96343E48DA79AC0817DB8B2",1)</f>
        <v>=DISPIMG("ID_28A32B60C96343E48DA79AC0817DB8B2",1)</v>
      </c>
      <c r="P534" s="9" t="s">
        <v>4149</v>
      </c>
      <c r="Q534" s="11">
        <v>530</v>
      </c>
      <c r="R534" s="78" t="s">
        <v>4848</v>
      </c>
      <c r="S534" s="19" t="s">
        <v>84</v>
      </c>
      <c r="T534" s="14">
        <v>5</v>
      </c>
    </row>
    <row r="535" s="3" customFormat="1" customHeight="1" spans="1:20">
      <c r="A535" s="166" t="s">
        <v>152</v>
      </c>
      <c r="B535" s="166" t="s">
        <v>153</v>
      </c>
      <c r="C535" s="166" t="s">
        <v>154</v>
      </c>
      <c r="D535" s="11">
        <v>18807023240</v>
      </c>
      <c r="E535" s="167" t="s">
        <v>156</v>
      </c>
      <c r="F535" s="166" t="s">
        <v>10</v>
      </c>
      <c r="G535" s="9">
        <v>202102004</v>
      </c>
      <c r="H535" s="167" t="s">
        <v>157</v>
      </c>
      <c r="I535" s="167" t="s">
        <v>158</v>
      </c>
      <c r="J535" s="167" t="s">
        <v>159</v>
      </c>
      <c r="K535" s="167" t="s">
        <v>160</v>
      </c>
      <c r="L535" s="167" t="s">
        <v>161</v>
      </c>
      <c r="M535" s="167" t="s">
        <v>10</v>
      </c>
      <c r="N535" s="11">
        <v>0</v>
      </c>
      <c r="O535" s="12" t="str">
        <f>_xlfn.DISPIMG("ID_1BBFB8252D30496F95F71593A2B76AF5",1)</f>
        <v>=DISPIMG("ID_1BBFB8252D30496F95F71593A2B76AF5",1)</v>
      </c>
      <c r="P535" s="9" t="s">
        <v>162</v>
      </c>
      <c r="Q535" s="11">
        <v>2</v>
      </c>
      <c r="R535" s="78" t="s">
        <v>4845</v>
      </c>
      <c r="S535" s="19" t="s">
        <v>84</v>
      </c>
      <c r="T535" s="14">
        <v>6</v>
      </c>
    </row>
    <row r="536" s="98" customFormat="1" customHeight="1" spans="1:20">
      <c r="A536" s="172" t="s">
        <v>2516</v>
      </c>
      <c r="B536" s="172" t="s">
        <v>165</v>
      </c>
      <c r="C536" s="172" t="s">
        <v>2517</v>
      </c>
      <c r="D536" s="21">
        <v>13065113806</v>
      </c>
      <c r="E536" s="173" t="s">
        <v>506</v>
      </c>
      <c r="F536" s="172" t="s">
        <v>10</v>
      </c>
      <c r="G536" s="106">
        <v>202101017</v>
      </c>
      <c r="H536" s="173" t="s">
        <v>157</v>
      </c>
      <c r="I536" s="173" t="s">
        <v>876</v>
      </c>
      <c r="J536" s="173" t="s">
        <v>2519</v>
      </c>
      <c r="K536" s="173" t="s">
        <v>160</v>
      </c>
      <c r="L536" s="173" t="s">
        <v>180</v>
      </c>
      <c r="M536" s="173" t="s">
        <v>10</v>
      </c>
      <c r="N536" s="173" t="s">
        <v>2520</v>
      </c>
      <c r="O536" s="108" t="str">
        <f>_xlfn.DISPIMG("ID_216E9082A77B4B129BF3CB2A7364D002",1)</f>
        <v>=DISPIMG("ID_216E9082A77B4B129BF3CB2A7364D002",1)</v>
      </c>
      <c r="P536" s="106" t="s">
        <v>2521</v>
      </c>
      <c r="Q536" s="109">
        <v>301</v>
      </c>
      <c r="R536" s="110" t="s">
        <v>4846</v>
      </c>
      <c r="S536" s="111" t="s">
        <v>84</v>
      </c>
      <c r="T536" s="112">
        <v>7</v>
      </c>
    </row>
    <row r="537" s="3" customFormat="1" customHeight="1" spans="1:20">
      <c r="A537" s="174" t="s">
        <v>2940</v>
      </c>
      <c r="B537" s="174" t="s">
        <v>153</v>
      </c>
      <c r="C537" s="174" t="s">
        <v>2941</v>
      </c>
      <c r="D537" s="11">
        <v>18679635856</v>
      </c>
      <c r="E537" s="175" t="s">
        <v>156</v>
      </c>
      <c r="F537" s="174" t="s">
        <v>10</v>
      </c>
      <c r="G537" s="14">
        <v>202102004</v>
      </c>
      <c r="H537" s="175" t="s">
        <v>157</v>
      </c>
      <c r="I537" s="175" t="s">
        <v>2943</v>
      </c>
      <c r="J537" s="175" t="s">
        <v>2093</v>
      </c>
      <c r="K537" s="175" t="s">
        <v>160</v>
      </c>
      <c r="L537" s="175" t="s">
        <v>587</v>
      </c>
      <c r="M537" s="175" t="s">
        <v>10</v>
      </c>
      <c r="N537" s="25">
        <v>0</v>
      </c>
      <c r="O537" s="26" t="str">
        <f>_xlfn.DISPIMG("ID_5CF4EBD7502F4485844CA64AA4EECF8E",1)</f>
        <v>=DISPIMG("ID_5CF4EBD7502F4485844CA64AA4EECF8E",1)</v>
      </c>
      <c r="P537" s="14" t="s">
        <v>2944</v>
      </c>
      <c r="Q537" s="25">
        <v>361</v>
      </c>
      <c r="R537" s="78" t="s">
        <v>4849</v>
      </c>
      <c r="S537" s="19" t="s">
        <v>84</v>
      </c>
      <c r="T537" s="14">
        <v>8</v>
      </c>
    </row>
  </sheetData>
  <sheetProtection formatCells="0" insertHyperlinks="0" autoFilter="0"/>
  <autoFilter ref="A1:XFD537">
    <extLst/>
  </autoFilter>
  <sortState ref="2:537">
    <sortCondition ref="R2:R537"/>
  </sortState>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16"/>
  <sheetViews>
    <sheetView workbookViewId="0">
      <pane xSplit="1" ySplit="1" topLeftCell="B380" activePane="bottomRight" state="frozen"/>
      <selection/>
      <selection pane="topRight"/>
      <selection pane="bottomLeft"/>
      <selection pane="bottomRight" activeCell="Z383" sqref="Z383"/>
    </sheetView>
  </sheetViews>
  <sheetFormatPr defaultColWidth="9" defaultRowHeight="25" customHeight="1"/>
  <cols>
    <col min="1" max="1" width="11.1296296296296" style="36" customWidth="1"/>
    <col min="2" max="2" width="7.37962962962963" style="36" customWidth="1"/>
    <col min="3" max="3" width="21.5" style="36" customWidth="1"/>
    <col min="4" max="4" width="14.3796296296296" style="36" hidden="1" customWidth="1"/>
    <col min="5" max="5" width="13" style="36" hidden="1" customWidth="1"/>
    <col min="6" max="6" width="16.6296296296296" style="36" customWidth="1"/>
    <col min="7" max="7" width="13" style="36" customWidth="1"/>
    <col min="8" max="17" width="13" style="36" hidden="1" customWidth="1"/>
    <col min="18" max="19" width="13" style="36" customWidth="1"/>
    <col min="20" max="20" width="9.25" style="36" customWidth="1"/>
    <col min="21" max="16384" width="9" style="81"/>
  </cols>
  <sheetData>
    <row r="1" s="3" customFormat="1" customHeight="1" spans="1:20">
      <c r="A1" s="11" t="s">
        <v>133</v>
      </c>
      <c r="B1" s="11" t="s">
        <v>134</v>
      </c>
      <c r="C1" s="11" t="s">
        <v>135</v>
      </c>
      <c r="D1" s="34" t="s">
        <v>136</v>
      </c>
      <c r="E1" s="11" t="s">
        <v>138</v>
      </c>
      <c r="F1" s="11" t="s">
        <v>1</v>
      </c>
      <c r="G1" s="11" t="s">
        <v>139</v>
      </c>
      <c r="H1" s="11" t="s">
        <v>140</v>
      </c>
      <c r="I1" s="11" t="s">
        <v>141</v>
      </c>
      <c r="J1" s="11" t="s">
        <v>142</v>
      </c>
      <c r="K1" s="11" t="s">
        <v>143</v>
      </c>
      <c r="L1" s="11" t="s">
        <v>144</v>
      </c>
      <c r="M1" s="11" t="s">
        <v>145</v>
      </c>
      <c r="N1" s="11" t="s">
        <v>146</v>
      </c>
      <c r="O1" s="11" t="s">
        <v>147</v>
      </c>
      <c r="P1" s="11" t="s">
        <v>148</v>
      </c>
      <c r="Q1" s="97" t="s">
        <v>149</v>
      </c>
      <c r="R1" s="25" t="s">
        <v>4313</v>
      </c>
      <c r="S1" s="25" t="s">
        <v>32</v>
      </c>
      <c r="T1" s="25" t="s">
        <v>4314</v>
      </c>
    </row>
    <row r="2" s="3" customFormat="1" customHeight="1" spans="1:20">
      <c r="A2" s="167" t="s">
        <v>275</v>
      </c>
      <c r="B2" s="167" t="s">
        <v>165</v>
      </c>
      <c r="C2" s="167" t="s">
        <v>276</v>
      </c>
      <c r="D2" s="11">
        <v>15180601470</v>
      </c>
      <c r="E2" s="167" t="s">
        <v>278</v>
      </c>
      <c r="F2" s="167" t="s">
        <v>28</v>
      </c>
      <c r="G2" s="11">
        <v>202103001</v>
      </c>
      <c r="H2" s="167" t="s">
        <v>279</v>
      </c>
      <c r="I2" s="167" t="s">
        <v>233</v>
      </c>
      <c r="J2" s="167" t="s">
        <v>280</v>
      </c>
      <c r="K2" s="167" t="s">
        <v>170</v>
      </c>
      <c r="L2" s="167" t="s">
        <v>281</v>
      </c>
      <c r="M2" s="167" t="s">
        <v>280</v>
      </c>
      <c r="N2" s="167" t="s">
        <v>282</v>
      </c>
      <c r="O2" s="12" t="str">
        <f>_xlfn.DISPIMG("ID_B65C52FC26C14A83A9F7B47ADDC75EF7",1)</f>
        <v>=DISPIMG("ID_B65C52FC26C14A83A9F7B47ADDC75EF7",1)</v>
      </c>
      <c r="P2" s="11" t="s">
        <v>283</v>
      </c>
      <c r="Q2" s="11">
        <v>15</v>
      </c>
      <c r="R2" s="17" t="s">
        <v>4315</v>
      </c>
      <c r="S2" s="94" t="s">
        <v>36</v>
      </c>
      <c r="T2" s="11">
        <v>6</v>
      </c>
    </row>
    <row r="3" s="3" customFormat="1" customHeight="1" spans="1:20">
      <c r="A3" s="167" t="s">
        <v>336</v>
      </c>
      <c r="B3" s="167" t="s">
        <v>165</v>
      </c>
      <c r="C3" s="167" t="s">
        <v>337</v>
      </c>
      <c r="D3" s="11">
        <v>18397927213</v>
      </c>
      <c r="E3" s="167" t="s">
        <v>278</v>
      </c>
      <c r="F3" s="167" t="s">
        <v>28</v>
      </c>
      <c r="G3" s="11">
        <v>202103001</v>
      </c>
      <c r="H3" s="167" t="s">
        <v>279</v>
      </c>
      <c r="I3" s="167" t="s">
        <v>339</v>
      </c>
      <c r="J3" s="167" t="s">
        <v>280</v>
      </c>
      <c r="K3" s="167" t="s">
        <v>170</v>
      </c>
      <c r="L3" s="167" t="s">
        <v>180</v>
      </c>
      <c r="M3" s="167" t="s">
        <v>340</v>
      </c>
      <c r="N3" s="167" t="s">
        <v>341</v>
      </c>
      <c r="O3" s="12" t="str">
        <f>_xlfn.DISPIMG("ID_FA546082303144F6A5FD61F335F92D18",1)</f>
        <v>=DISPIMG("ID_FA546082303144F6A5FD61F335F92D18",1)</v>
      </c>
      <c r="P3" s="11" t="s">
        <v>342</v>
      </c>
      <c r="Q3" s="11">
        <v>22</v>
      </c>
      <c r="R3" s="17" t="s">
        <v>4316</v>
      </c>
      <c r="S3" s="94" t="s">
        <v>36</v>
      </c>
      <c r="T3" s="11">
        <v>7</v>
      </c>
    </row>
    <row r="4" s="3" customFormat="1" customHeight="1" spans="1:20">
      <c r="A4" s="167" t="s">
        <v>373</v>
      </c>
      <c r="B4" s="167" t="s">
        <v>165</v>
      </c>
      <c r="C4" s="167" t="s">
        <v>374</v>
      </c>
      <c r="D4" s="11">
        <v>15170964571</v>
      </c>
      <c r="E4" s="167" t="s">
        <v>278</v>
      </c>
      <c r="F4" s="167" t="s">
        <v>28</v>
      </c>
      <c r="G4" s="11">
        <v>202103001</v>
      </c>
      <c r="H4" s="167" t="s">
        <v>279</v>
      </c>
      <c r="I4" s="167" t="s">
        <v>367</v>
      </c>
      <c r="J4" s="167" t="s">
        <v>280</v>
      </c>
      <c r="K4" s="167" t="s">
        <v>170</v>
      </c>
      <c r="L4" s="167" t="s">
        <v>224</v>
      </c>
      <c r="M4" s="167" t="s">
        <v>376</v>
      </c>
      <c r="N4" s="167" t="s">
        <v>377</v>
      </c>
      <c r="O4" s="12" t="str">
        <f>_xlfn.DISPIMG("ID_C8327FEC732A4CC39200F90994F97069",1)</f>
        <v>=DISPIMG("ID_C8327FEC732A4CC39200F90994F97069",1)</v>
      </c>
      <c r="P4" s="11" t="s">
        <v>378</v>
      </c>
      <c r="Q4" s="11">
        <v>26</v>
      </c>
      <c r="R4" s="17" t="s">
        <v>4317</v>
      </c>
      <c r="S4" s="94" t="s">
        <v>36</v>
      </c>
      <c r="T4" s="11">
        <v>18</v>
      </c>
    </row>
    <row r="5" s="3" customFormat="1" customHeight="1" spans="1:20">
      <c r="A5" s="167" t="s">
        <v>418</v>
      </c>
      <c r="B5" s="167" t="s">
        <v>165</v>
      </c>
      <c r="C5" s="167" t="s">
        <v>419</v>
      </c>
      <c r="D5" s="11">
        <v>13870260927</v>
      </c>
      <c r="E5" s="167" t="s">
        <v>278</v>
      </c>
      <c r="F5" s="167" t="s">
        <v>28</v>
      </c>
      <c r="G5" s="11">
        <v>202103001</v>
      </c>
      <c r="H5" s="167" t="s">
        <v>279</v>
      </c>
      <c r="I5" s="167" t="s">
        <v>367</v>
      </c>
      <c r="J5" s="167" t="s">
        <v>280</v>
      </c>
      <c r="K5" s="167" t="s">
        <v>170</v>
      </c>
      <c r="L5" s="167" t="s">
        <v>224</v>
      </c>
      <c r="M5" s="167" t="s">
        <v>28</v>
      </c>
      <c r="N5" s="167" t="s">
        <v>421</v>
      </c>
      <c r="O5" s="12" t="str">
        <f>_xlfn.DISPIMG("ID_37FC201A56874EEA918314432BBE8D22",1)</f>
        <v>=DISPIMG("ID_37FC201A56874EEA918314432BBE8D22",1)</v>
      </c>
      <c r="P5" s="11" t="s">
        <v>422</v>
      </c>
      <c r="Q5" s="11">
        <v>31</v>
      </c>
      <c r="R5" s="17" t="s">
        <v>4318</v>
      </c>
      <c r="S5" s="94" t="s">
        <v>36</v>
      </c>
      <c r="T5" s="11">
        <v>19</v>
      </c>
    </row>
    <row r="6" s="3" customFormat="1" customHeight="1" spans="1:20">
      <c r="A6" s="167" t="s">
        <v>477</v>
      </c>
      <c r="B6" s="167" t="s">
        <v>165</v>
      </c>
      <c r="C6" s="167" t="s">
        <v>478</v>
      </c>
      <c r="D6" s="11">
        <v>18770282894</v>
      </c>
      <c r="E6" s="167" t="s">
        <v>278</v>
      </c>
      <c r="F6" s="167" t="s">
        <v>28</v>
      </c>
      <c r="G6" s="11">
        <v>202103001</v>
      </c>
      <c r="H6" s="167" t="s">
        <v>279</v>
      </c>
      <c r="I6" s="167" t="s">
        <v>367</v>
      </c>
      <c r="J6" s="167" t="s">
        <v>280</v>
      </c>
      <c r="K6" s="167" t="s">
        <v>170</v>
      </c>
      <c r="L6" s="167" t="s">
        <v>216</v>
      </c>
      <c r="M6" s="167" t="s">
        <v>340</v>
      </c>
      <c r="N6" s="167" t="s">
        <v>480</v>
      </c>
      <c r="O6" s="12" t="str">
        <f>_xlfn.DISPIMG("ID_CA960935E07F423087EFDE1A92D5AFE3",1)</f>
        <v>=DISPIMG("ID_CA960935E07F423087EFDE1A92D5AFE3",1)</v>
      </c>
      <c r="P6" s="11" t="s">
        <v>481</v>
      </c>
      <c r="Q6" s="11">
        <v>38</v>
      </c>
      <c r="R6" s="17" t="s">
        <v>4319</v>
      </c>
      <c r="S6" s="94" t="s">
        <v>36</v>
      </c>
      <c r="T6" s="11">
        <v>30</v>
      </c>
    </row>
    <row r="7" s="3" customFormat="1" customHeight="1" spans="1:20">
      <c r="A7" s="167" t="s">
        <v>512</v>
      </c>
      <c r="B7" s="167" t="s">
        <v>165</v>
      </c>
      <c r="C7" s="167" t="s">
        <v>513</v>
      </c>
      <c r="D7" s="11">
        <v>15007008219</v>
      </c>
      <c r="E7" s="167" t="s">
        <v>278</v>
      </c>
      <c r="F7" s="167" t="s">
        <v>28</v>
      </c>
      <c r="G7" s="11">
        <v>202103001</v>
      </c>
      <c r="H7" s="167" t="s">
        <v>279</v>
      </c>
      <c r="I7" s="167" t="s">
        <v>515</v>
      </c>
      <c r="J7" s="167" t="s">
        <v>280</v>
      </c>
      <c r="K7" s="167" t="s">
        <v>170</v>
      </c>
      <c r="L7" s="167" t="s">
        <v>516</v>
      </c>
      <c r="M7" s="167" t="s">
        <v>517</v>
      </c>
      <c r="N7" s="167" t="s">
        <v>518</v>
      </c>
      <c r="O7" s="12" t="str">
        <f>_xlfn.DISPIMG("ID_07A071EC50BE4110A9ABC6B339CCBE2D",1)</f>
        <v>=DISPIMG("ID_07A071EC50BE4110A9ABC6B339CCBE2D",1)</v>
      </c>
      <c r="P7" s="11" t="s">
        <v>519</v>
      </c>
      <c r="Q7" s="11">
        <v>43</v>
      </c>
      <c r="R7" s="17" t="s">
        <v>4320</v>
      </c>
      <c r="S7" s="94" t="s">
        <v>36</v>
      </c>
      <c r="T7" s="11">
        <v>5</v>
      </c>
    </row>
    <row r="8" s="3" customFormat="1" customHeight="1" spans="1:20">
      <c r="A8" s="167" t="s">
        <v>573</v>
      </c>
      <c r="B8" s="167" t="s">
        <v>165</v>
      </c>
      <c r="C8" s="167" t="s">
        <v>574</v>
      </c>
      <c r="D8" s="11">
        <v>13387029092</v>
      </c>
      <c r="E8" s="167" t="s">
        <v>278</v>
      </c>
      <c r="F8" s="167" t="s">
        <v>28</v>
      </c>
      <c r="G8" s="11">
        <v>202103001</v>
      </c>
      <c r="H8" s="167" t="s">
        <v>279</v>
      </c>
      <c r="I8" s="167" t="s">
        <v>576</v>
      </c>
      <c r="J8" s="167" t="s">
        <v>280</v>
      </c>
      <c r="K8" s="167" t="s">
        <v>170</v>
      </c>
      <c r="L8" s="167" t="s">
        <v>577</v>
      </c>
      <c r="M8" s="167" t="s">
        <v>280</v>
      </c>
      <c r="N8" s="167" t="s">
        <v>578</v>
      </c>
      <c r="O8" s="12" t="str">
        <f>_xlfn.DISPIMG("ID_82D3A4866E584D37A328F1F75C226980",1)</f>
        <v>=DISPIMG("ID_82D3A4866E584D37A328F1F75C226980",1)</v>
      </c>
      <c r="P8" s="11" t="s">
        <v>579</v>
      </c>
      <c r="Q8" s="11">
        <v>50</v>
      </c>
      <c r="R8" s="17" t="s">
        <v>4321</v>
      </c>
      <c r="S8" s="94" t="s">
        <v>36</v>
      </c>
      <c r="T8" s="11">
        <v>8</v>
      </c>
    </row>
    <row r="9" s="4" customFormat="1" customHeight="1" spans="1:20">
      <c r="A9" s="167" t="s">
        <v>582</v>
      </c>
      <c r="B9" s="167" t="s">
        <v>165</v>
      </c>
      <c r="C9" s="167" t="s">
        <v>583</v>
      </c>
      <c r="D9" s="11">
        <v>18879297924</v>
      </c>
      <c r="E9" s="167" t="s">
        <v>278</v>
      </c>
      <c r="F9" s="167" t="s">
        <v>28</v>
      </c>
      <c r="G9" s="11">
        <v>202103001</v>
      </c>
      <c r="H9" s="167" t="s">
        <v>585</v>
      </c>
      <c r="I9" s="167" t="s">
        <v>367</v>
      </c>
      <c r="J9" s="167" t="s">
        <v>586</v>
      </c>
      <c r="K9" s="167" t="s">
        <v>170</v>
      </c>
      <c r="L9" s="167" t="s">
        <v>587</v>
      </c>
      <c r="M9" s="167" t="s">
        <v>588</v>
      </c>
      <c r="N9" s="167" t="s">
        <v>589</v>
      </c>
      <c r="O9" s="12" t="str">
        <f>_xlfn.DISPIMG("ID_6DA92F60F38D4176A8885E139DCAD5AE",1)</f>
        <v>=DISPIMG("ID_6DA92F60F38D4176A8885E139DCAD5AE",1)</v>
      </c>
      <c r="P9" s="11" t="s">
        <v>590</v>
      </c>
      <c r="Q9" s="11">
        <v>51</v>
      </c>
      <c r="R9" s="17" t="s">
        <v>4322</v>
      </c>
      <c r="S9" s="94" t="s">
        <v>36</v>
      </c>
      <c r="T9" s="11">
        <v>17</v>
      </c>
    </row>
    <row r="10" s="3" customFormat="1" customHeight="1" spans="1:20">
      <c r="A10" s="167" t="s">
        <v>592</v>
      </c>
      <c r="B10" s="167" t="s">
        <v>165</v>
      </c>
      <c r="C10" s="167" t="s">
        <v>593</v>
      </c>
      <c r="D10" s="11">
        <v>13177706682</v>
      </c>
      <c r="E10" s="167" t="s">
        <v>278</v>
      </c>
      <c r="F10" s="167" t="s">
        <v>28</v>
      </c>
      <c r="G10" s="11">
        <v>202103001</v>
      </c>
      <c r="H10" s="167" t="s">
        <v>279</v>
      </c>
      <c r="I10" s="167" t="s">
        <v>595</v>
      </c>
      <c r="J10" s="167" t="s">
        <v>280</v>
      </c>
      <c r="K10" s="167" t="s">
        <v>170</v>
      </c>
      <c r="L10" s="167" t="s">
        <v>281</v>
      </c>
      <c r="M10" s="167" t="s">
        <v>28</v>
      </c>
      <c r="N10" s="167" t="s">
        <v>596</v>
      </c>
      <c r="O10" s="12" t="str">
        <f>_xlfn.DISPIMG("ID_4A2B45245E6541EDAAF502188C295214",1)</f>
        <v>=DISPIMG("ID_4A2B45245E6541EDAAF502188C295214",1)</v>
      </c>
      <c r="P10" s="11" t="s">
        <v>597</v>
      </c>
      <c r="Q10" s="11">
        <v>52</v>
      </c>
      <c r="R10" s="17" t="s">
        <v>4323</v>
      </c>
      <c r="S10" s="94" t="s">
        <v>36</v>
      </c>
      <c r="T10" s="11">
        <v>20</v>
      </c>
    </row>
    <row r="11" s="3" customFormat="1" customHeight="1" spans="1:20">
      <c r="A11" s="167" t="s">
        <v>614</v>
      </c>
      <c r="B11" s="167" t="s">
        <v>165</v>
      </c>
      <c r="C11" s="167" t="s">
        <v>615</v>
      </c>
      <c r="D11" s="11">
        <v>13755265925</v>
      </c>
      <c r="E11" s="167" t="s">
        <v>278</v>
      </c>
      <c r="F11" s="167" t="s">
        <v>28</v>
      </c>
      <c r="G11" s="11">
        <v>202103001</v>
      </c>
      <c r="H11" s="167" t="s">
        <v>585</v>
      </c>
      <c r="I11" s="167" t="s">
        <v>595</v>
      </c>
      <c r="J11" s="167" t="s">
        <v>280</v>
      </c>
      <c r="K11" s="167" t="s">
        <v>170</v>
      </c>
      <c r="L11" s="167" t="s">
        <v>281</v>
      </c>
      <c r="M11" s="167" t="s">
        <v>28</v>
      </c>
      <c r="N11" s="167" t="s">
        <v>617</v>
      </c>
      <c r="O11" s="12" t="str">
        <f>_xlfn.DISPIMG("ID_85355BEE288D4456A9F8FBBF22F43B44",1)</f>
        <v>=DISPIMG("ID_85355BEE288D4456A9F8FBBF22F43B44",1)</v>
      </c>
      <c r="P11" s="11" t="s">
        <v>618</v>
      </c>
      <c r="Q11" s="11">
        <v>55</v>
      </c>
      <c r="R11" s="17" t="s">
        <v>4324</v>
      </c>
      <c r="S11" s="94" t="s">
        <v>36</v>
      </c>
      <c r="T11" s="11">
        <v>29</v>
      </c>
    </row>
    <row r="12" s="3" customFormat="1" customHeight="1" spans="1:20">
      <c r="A12" s="167" t="s">
        <v>620</v>
      </c>
      <c r="B12" s="167" t="s">
        <v>165</v>
      </c>
      <c r="C12" s="167" t="s">
        <v>621</v>
      </c>
      <c r="D12" s="11">
        <v>18370123772</v>
      </c>
      <c r="E12" s="167" t="s">
        <v>278</v>
      </c>
      <c r="F12" s="167" t="s">
        <v>28</v>
      </c>
      <c r="G12" s="11">
        <v>202103001</v>
      </c>
      <c r="H12" s="167" t="s">
        <v>585</v>
      </c>
      <c r="I12" s="167" t="s">
        <v>595</v>
      </c>
      <c r="J12" s="167" t="s">
        <v>280</v>
      </c>
      <c r="K12" s="167" t="s">
        <v>170</v>
      </c>
      <c r="L12" s="167" t="s">
        <v>368</v>
      </c>
      <c r="M12" s="167" t="s">
        <v>28</v>
      </c>
      <c r="N12" s="167" t="s">
        <v>623</v>
      </c>
      <c r="O12" s="12" t="str">
        <f>_xlfn.DISPIMG("ID_109F9871D9934FD3B362EB8D2EAFD060",1)</f>
        <v>=DISPIMG("ID_109F9871D9934FD3B362EB8D2EAFD060",1)</v>
      </c>
      <c r="P12" s="11" t="s">
        <v>624</v>
      </c>
      <c r="Q12" s="11">
        <v>56</v>
      </c>
      <c r="R12" s="17" t="s">
        <v>4325</v>
      </c>
      <c r="S12" s="94" t="s">
        <v>36</v>
      </c>
      <c r="T12" s="11">
        <v>4</v>
      </c>
    </row>
    <row r="13" s="3" customFormat="1" customHeight="1" spans="1:20">
      <c r="A13" s="167" t="s">
        <v>659</v>
      </c>
      <c r="B13" s="167" t="s">
        <v>165</v>
      </c>
      <c r="C13" s="167" t="s">
        <v>660</v>
      </c>
      <c r="D13" s="11">
        <v>18370120304</v>
      </c>
      <c r="E13" s="167" t="s">
        <v>278</v>
      </c>
      <c r="F13" s="167" t="s">
        <v>28</v>
      </c>
      <c r="G13" s="11">
        <v>202103001</v>
      </c>
      <c r="H13" s="167" t="s">
        <v>279</v>
      </c>
      <c r="I13" s="167" t="s">
        <v>662</v>
      </c>
      <c r="J13" s="167" t="s">
        <v>280</v>
      </c>
      <c r="K13" s="167" t="s">
        <v>170</v>
      </c>
      <c r="L13" s="167" t="s">
        <v>368</v>
      </c>
      <c r="M13" s="167" t="s">
        <v>663</v>
      </c>
      <c r="N13" s="167" t="s">
        <v>664</v>
      </c>
      <c r="O13" s="12" t="str">
        <f>_xlfn.DISPIMG("ID_4AE3C77D21184B118F491A1655043931",1)</f>
        <v>=DISPIMG("ID_4AE3C77D21184B118F491A1655043931",1)</v>
      </c>
      <c r="P13" s="11" t="s">
        <v>665</v>
      </c>
      <c r="Q13" s="11">
        <v>61</v>
      </c>
      <c r="R13" s="17" t="s">
        <v>4326</v>
      </c>
      <c r="S13" s="94" t="s">
        <v>36</v>
      </c>
      <c r="T13" s="11">
        <v>9</v>
      </c>
    </row>
    <row r="14" s="3" customFormat="1" customHeight="1" spans="1:20">
      <c r="A14" s="167" t="s">
        <v>694</v>
      </c>
      <c r="B14" s="167" t="s">
        <v>165</v>
      </c>
      <c r="C14" s="167" t="s">
        <v>695</v>
      </c>
      <c r="D14" s="11">
        <v>15779270127</v>
      </c>
      <c r="E14" s="167" t="s">
        <v>278</v>
      </c>
      <c r="F14" s="167" t="s">
        <v>28</v>
      </c>
      <c r="G14" s="11">
        <v>202103001</v>
      </c>
      <c r="H14" s="167" t="s">
        <v>279</v>
      </c>
      <c r="I14" s="167" t="s">
        <v>697</v>
      </c>
      <c r="J14" s="167" t="s">
        <v>280</v>
      </c>
      <c r="K14" s="167" t="s">
        <v>160</v>
      </c>
      <c r="L14" s="167" t="s">
        <v>180</v>
      </c>
      <c r="M14" s="167" t="s">
        <v>28</v>
      </c>
      <c r="N14" s="167" t="s">
        <v>698</v>
      </c>
      <c r="O14" s="12" t="str">
        <f>_xlfn.DISPIMG("ID_E6AFBB076E18415F8E4E8CB1E3BFC1A0",1)</f>
        <v>=DISPIMG("ID_E6AFBB076E18415F8E4E8CB1E3BFC1A0",1)</v>
      </c>
      <c r="P14" s="11" t="s">
        <v>699</v>
      </c>
      <c r="Q14" s="11">
        <v>65</v>
      </c>
      <c r="R14" s="17" t="s">
        <v>4327</v>
      </c>
      <c r="S14" s="94" t="s">
        <v>36</v>
      </c>
      <c r="T14" s="11">
        <v>16</v>
      </c>
    </row>
    <row r="15" s="3" customFormat="1" customHeight="1" spans="1:20">
      <c r="A15" s="167" t="s">
        <v>712</v>
      </c>
      <c r="B15" s="167" t="s">
        <v>165</v>
      </c>
      <c r="C15" s="167" t="s">
        <v>713</v>
      </c>
      <c r="D15" s="11">
        <v>18379282600</v>
      </c>
      <c r="E15" s="167" t="s">
        <v>278</v>
      </c>
      <c r="F15" s="167" t="s">
        <v>28</v>
      </c>
      <c r="G15" s="11">
        <v>202103001</v>
      </c>
      <c r="H15" s="167" t="s">
        <v>279</v>
      </c>
      <c r="I15" s="167" t="s">
        <v>168</v>
      </c>
      <c r="J15" s="167" t="s">
        <v>280</v>
      </c>
      <c r="K15" s="167" t="s">
        <v>170</v>
      </c>
      <c r="L15" s="167" t="s">
        <v>199</v>
      </c>
      <c r="M15" s="167" t="s">
        <v>715</v>
      </c>
      <c r="N15" s="167" t="s">
        <v>716</v>
      </c>
      <c r="O15" s="12" t="str">
        <f>_xlfn.DISPIMG("ID_CF0B9D1514D24BCEBECEF1FC59445AFE",1)</f>
        <v>=DISPIMG("ID_CF0B9D1514D24BCEBECEF1FC59445AFE",1)</v>
      </c>
      <c r="P15" s="11" t="s">
        <v>717</v>
      </c>
      <c r="Q15" s="11">
        <v>67</v>
      </c>
      <c r="R15" s="17" t="s">
        <v>4328</v>
      </c>
      <c r="S15" s="94" t="s">
        <v>36</v>
      </c>
      <c r="T15" s="11">
        <v>21</v>
      </c>
    </row>
    <row r="16" s="3" customFormat="1" customHeight="1" spans="1:20">
      <c r="A16" s="167" t="s">
        <v>729</v>
      </c>
      <c r="B16" s="167" t="s">
        <v>165</v>
      </c>
      <c r="C16" s="167" t="s">
        <v>730</v>
      </c>
      <c r="D16" s="11">
        <v>18270279001</v>
      </c>
      <c r="E16" s="167" t="s">
        <v>278</v>
      </c>
      <c r="F16" s="167" t="s">
        <v>28</v>
      </c>
      <c r="G16" s="11">
        <v>202103001</v>
      </c>
      <c r="H16" s="167" t="s">
        <v>279</v>
      </c>
      <c r="I16" s="167" t="s">
        <v>732</v>
      </c>
      <c r="J16" s="167" t="s">
        <v>280</v>
      </c>
      <c r="K16" s="167" t="s">
        <v>170</v>
      </c>
      <c r="L16" s="167" t="s">
        <v>733</v>
      </c>
      <c r="M16" s="167" t="s">
        <v>517</v>
      </c>
      <c r="N16" s="167" t="s">
        <v>734</v>
      </c>
      <c r="O16" s="12" t="str">
        <f>_xlfn.DISPIMG("ID_9786F64DF5E04D0EBFF7257960884627",1)</f>
        <v>=DISPIMG("ID_9786F64DF5E04D0EBFF7257960884627",1)</v>
      </c>
      <c r="P16" s="11" t="s">
        <v>735</v>
      </c>
      <c r="Q16" s="11">
        <v>69</v>
      </c>
      <c r="R16" s="17" t="s">
        <v>4329</v>
      </c>
      <c r="S16" s="94" t="s">
        <v>36</v>
      </c>
      <c r="T16" s="11">
        <v>28</v>
      </c>
    </row>
    <row r="17" s="3" customFormat="1" customHeight="1" spans="1:20">
      <c r="A17" s="167" t="s">
        <v>754</v>
      </c>
      <c r="B17" s="167" t="s">
        <v>165</v>
      </c>
      <c r="C17" s="167" t="s">
        <v>755</v>
      </c>
      <c r="D17" s="11">
        <v>18679201139</v>
      </c>
      <c r="E17" s="167" t="s">
        <v>278</v>
      </c>
      <c r="F17" s="167" t="s">
        <v>28</v>
      </c>
      <c r="G17" s="11">
        <v>202103001</v>
      </c>
      <c r="H17" s="167" t="s">
        <v>585</v>
      </c>
      <c r="I17" s="167" t="s">
        <v>576</v>
      </c>
      <c r="J17" s="167" t="s">
        <v>757</v>
      </c>
      <c r="K17" s="167" t="s">
        <v>170</v>
      </c>
      <c r="L17" s="167" t="s">
        <v>224</v>
      </c>
      <c r="M17" s="167" t="s">
        <v>376</v>
      </c>
      <c r="N17" s="167" t="s">
        <v>758</v>
      </c>
      <c r="O17" s="12" t="str">
        <f>_xlfn.DISPIMG("ID_7BB67F893C7640E3B6FEA6424D027990",1)</f>
        <v>=DISPIMG("ID_7BB67F893C7640E3B6FEA6424D027990",1)</v>
      </c>
      <c r="P17" s="11" t="s">
        <v>759</v>
      </c>
      <c r="Q17" s="11">
        <v>72</v>
      </c>
      <c r="R17" s="17" t="s">
        <v>4330</v>
      </c>
      <c r="S17" s="94" t="s">
        <v>36</v>
      </c>
      <c r="T17" s="11">
        <v>3</v>
      </c>
    </row>
    <row r="18" s="3" customFormat="1" customHeight="1" spans="1:20">
      <c r="A18" s="167" t="s">
        <v>762</v>
      </c>
      <c r="B18" s="167" t="s">
        <v>165</v>
      </c>
      <c r="C18" s="167" t="s">
        <v>763</v>
      </c>
      <c r="D18" s="11">
        <v>13697921659</v>
      </c>
      <c r="E18" s="167" t="s">
        <v>278</v>
      </c>
      <c r="F18" s="167" t="s">
        <v>28</v>
      </c>
      <c r="G18" s="11">
        <v>202103001</v>
      </c>
      <c r="H18" s="167" t="s">
        <v>279</v>
      </c>
      <c r="I18" s="167" t="s">
        <v>765</v>
      </c>
      <c r="J18" s="167" t="s">
        <v>280</v>
      </c>
      <c r="K18" s="167" t="s">
        <v>170</v>
      </c>
      <c r="L18" s="167" t="s">
        <v>235</v>
      </c>
      <c r="M18" s="167" t="s">
        <v>340</v>
      </c>
      <c r="N18" s="167" t="s">
        <v>766</v>
      </c>
      <c r="O18" s="12" t="str">
        <f>_xlfn.DISPIMG("ID_4E1CCA66E504445CA5B7AB8D0FB70FB1",1)</f>
        <v>=DISPIMG("ID_4E1CCA66E504445CA5B7AB8D0FB70FB1",1)</v>
      </c>
      <c r="P18" s="11" t="s">
        <v>767</v>
      </c>
      <c r="Q18" s="11">
        <v>73</v>
      </c>
      <c r="R18" s="17" t="s">
        <v>4331</v>
      </c>
      <c r="S18" s="94" t="s">
        <v>36</v>
      </c>
      <c r="T18" s="11">
        <v>10</v>
      </c>
    </row>
    <row r="19" s="3" customFormat="1" customHeight="1" spans="1:20">
      <c r="A19" s="167" t="s">
        <v>794</v>
      </c>
      <c r="B19" s="167" t="s">
        <v>165</v>
      </c>
      <c r="C19" s="167" t="s">
        <v>795</v>
      </c>
      <c r="D19" s="11">
        <v>18707021672</v>
      </c>
      <c r="E19" s="167" t="s">
        <v>278</v>
      </c>
      <c r="F19" s="167" t="s">
        <v>28</v>
      </c>
      <c r="G19" s="11">
        <v>202103001</v>
      </c>
      <c r="H19" s="167" t="s">
        <v>279</v>
      </c>
      <c r="I19" s="167" t="s">
        <v>367</v>
      </c>
      <c r="J19" s="167" t="s">
        <v>280</v>
      </c>
      <c r="K19" s="167" t="s">
        <v>170</v>
      </c>
      <c r="L19" s="167" t="s">
        <v>306</v>
      </c>
      <c r="M19" s="167" t="s">
        <v>376</v>
      </c>
      <c r="N19" s="167" t="s">
        <v>797</v>
      </c>
      <c r="O19" s="12" t="str">
        <f>_xlfn.DISPIMG("ID_639B898E1B304FC0A6FA0E13C551BEC4",1)</f>
        <v>=DISPIMG("ID_639B898E1B304FC0A6FA0E13C551BEC4",1)</v>
      </c>
      <c r="P19" s="11" t="s">
        <v>798</v>
      </c>
      <c r="Q19" s="11">
        <v>77</v>
      </c>
      <c r="R19" s="17" t="s">
        <v>4332</v>
      </c>
      <c r="S19" s="94" t="s">
        <v>36</v>
      </c>
      <c r="T19" s="11">
        <v>15</v>
      </c>
    </row>
    <row r="20" s="3" customFormat="1" customHeight="1" spans="1:20">
      <c r="A20" s="167" t="s">
        <v>801</v>
      </c>
      <c r="B20" s="167" t="s">
        <v>165</v>
      </c>
      <c r="C20" s="167" t="s">
        <v>802</v>
      </c>
      <c r="D20" s="11">
        <v>13698021995</v>
      </c>
      <c r="E20" s="167" t="s">
        <v>278</v>
      </c>
      <c r="F20" s="167" t="s">
        <v>28</v>
      </c>
      <c r="G20" s="11">
        <v>202103001</v>
      </c>
      <c r="H20" s="167" t="s">
        <v>585</v>
      </c>
      <c r="I20" s="167" t="s">
        <v>804</v>
      </c>
      <c r="J20" s="167" t="s">
        <v>280</v>
      </c>
      <c r="K20" s="167" t="s">
        <v>170</v>
      </c>
      <c r="L20" s="167" t="s">
        <v>805</v>
      </c>
      <c r="M20" s="167" t="s">
        <v>376</v>
      </c>
      <c r="N20" s="167" t="s">
        <v>806</v>
      </c>
      <c r="O20" s="12" t="str">
        <f>_xlfn.DISPIMG("ID_AEB241E66C41495DBC633E36C32A72C8",1)</f>
        <v>=DISPIMG("ID_AEB241E66C41495DBC633E36C32A72C8",1)</v>
      </c>
      <c r="P20" s="11" t="s">
        <v>807</v>
      </c>
      <c r="Q20" s="11">
        <v>78</v>
      </c>
      <c r="R20" s="17" t="s">
        <v>4333</v>
      </c>
      <c r="S20" s="94" t="s">
        <v>36</v>
      </c>
      <c r="T20" s="11">
        <v>22</v>
      </c>
    </row>
    <row r="21" s="3" customFormat="1" customHeight="1" spans="1:20">
      <c r="A21" s="167" t="s">
        <v>840</v>
      </c>
      <c r="B21" s="167" t="s">
        <v>165</v>
      </c>
      <c r="C21" s="167" t="s">
        <v>841</v>
      </c>
      <c r="D21" s="11">
        <v>15059878679</v>
      </c>
      <c r="E21" s="167" t="s">
        <v>278</v>
      </c>
      <c r="F21" s="167" t="s">
        <v>28</v>
      </c>
      <c r="G21" s="11">
        <v>202103001</v>
      </c>
      <c r="H21" s="167" t="s">
        <v>279</v>
      </c>
      <c r="I21" s="167" t="s">
        <v>339</v>
      </c>
      <c r="J21" s="167" t="s">
        <v>280</v>
      </c>
      <c r="K21" s="167" t="s">
        <v>170</v>
      </c>
      <c r="L21" s="167" t="s">
        <v>843</v>
      </c>
      <c r="M21" s="167" t="s">
        <v>376</v>
      </c>
      <c r="N21" s="167" t="s">
        <v>844</v>
      </c>
      <c r="O21" s="12" t="str">
        <f>_xlfn.DISPIMG("ID_424B9BE152D1418A818313627A199A3A",1)</f>
        <v>=DISPIMG("ID_424B9BE152D1418A818313627A199A3A",1)</v>
      </c>
      <c r="P21" s="11" t="s">
        <v>845</v>
      </c>
      <c r="Q21" s="11">
        <v>83</v>
      </c>
      <c r="R21" s="17" t="s">
        <v>4334</v>
      </c>
      <c r="S21" s="94" t="s">
        <v>36</v>
      </c>
      <c r="T21" s="11">
        <v>27</v>
      </c>
    </row>
    <row r="22" s="3" customFormat="1" customHeight="1" spans="1:20">
      <c r="A22" s="167" t="s">
        <v>848</v>
      </c>
      <c r="B22" s="167" t="s">
        <v>165</v>
      </c>
      <c r="C22" s="167" t="s">
        <v>849</v>
      </c>
      <c r="D22" s="11">
        <v>18379626219</v>
      </c>
      <c r="E22" s="167" t="s">
        <v>278</v>
      </c>
      <c r="F22" s="167" t="s">
        <v>28</v>
      </c>
      <c r="G22" s="11">
        <v>202103001</v>
      </c>
      <c r="H22" s="167" t="s">
        <v>279</v>
      </c>
      <c r="I22" s="167" t="s">
        <v>851</v>
      </c>
      <c r="J22" s="167" t="s">
        <v>280</v>
      </c>
      <c r="K22" s="167" t="s">
        <v>170</v>
      </c>
      <c r="L22" s="167" t="s">
        <v>235</v>
      </c>
      <c r="M22" s="167" t="s">
        <v>340</v>
      </c>
      <c r="N22" s="167" t="s">
        <v>852</v>
      </c>
      <c r="O22" s="12" t="str">
        <f>_xlfn.DISPIMG("ID_42372BFB4B414C38BA1598FF5C930944",1)</f>
        <v>=DISPIMG("ID_42372BFB4B414C38BA1598FF5C930944",1)</v>
      </c>
      <c r="P22" s="11" t="s">
        <v>853</v>
      </c>
      <c r="Q22" s="11">
        <v>84</v>
      </c>
      <c r="R22" s="17" t="s">
        <v>4335</v>
      </c>
      <c r="S22" s="94" t="s">
        <v>36</v>
      </c>
      <c r="T22" s="11">
        <v>2</v>
      </c>
    </row>
    <row r="23" s="3" customFormat="1" customHeight="1" spans="1:20">
      <c r="A23" s="167" t="s">
        <v>873</v>
      </c>
      <c r="B23" s="167" t="s">
        <v>165</v>
      </c>
      <c r="C23" s="167" t="s">
        <v>874</v>
      </c>
      <c r="D23" s="11">
        <v>15070424036</v>
      </c>
      <c r="E23" s="167" t="s">
        <v>278</v>
      </c>
      <c r="F23" s="167" t="s">
        <v>28</v>
      </c>
      <c r="G23" s="11">
        <v>202103001</v>
      </c>
      <c r="H23" s="167" t="s">
        <v>279</v>
      </c>
      <c r="I23" s="167" t="s">
        <v>876</v>
      </c>
      <c r="J23" s="167" t="s">
        <v>280</v>
      </c>
      <c r="K23" s="167" t="s">
        <v>170</v>
      </c>
      <c r="L23" s="167" t="s">
        <v>180</v>
      </c>
      <c r="M23" s="167" t="s">
        <v>517</v>
      </c>
      <c r="N23" s="167" t="s">
        <v>877</v>
      </c>
      <c r="O23" s="12" t="str">
        <f>_xlfn.DISPIMG("ID_FA24C7A6F2FA44B892B9DF563FC4E960",1)</f>
        <v>=DISPIMG("ID_FA24C7A6F2FA44B892B9DF563FC4E960",1)</v>
      </c>
      <c r="P23" s="11" t="s">
        <v>878</v>
      </c>
      <c r="Q23" s="11">
        <v>87</v>
      </c>
      <c r="R23" s="17" t="s">
        <v>4336</v>
      </c>
      <c r="S23" s="94" t="s">
        <v>36</v>
      </c>
      <c r="T23" s="11">
        <v>11</v>
      </c>
    </row>
    <row r="24" s="5" customFormat="1" customHeight="1" spans="1:20">
      <c r="A24" s="167" t="s">
        <v>881</v>
      </c>
      <c r="B24" s="167" t="s">
        <v>165</v>
      </c>
      <c r="C24" s="167" t="s">
        <v>882</v>
      </c>
      <c r="D24" s="11">
        <v>15279260286</v>
      </c>
      <c r="E24" s="167" t="s">
        <v>278</v>
      </c>
      <c r="F24" s="167" t="s">
        <v>28</v>
      </c>
      <c r="G24" s="11">
        <v>202103001</v>
      </c>
      <c r="H24" s="167" t="s">
        <v>279</v>
      </c>
      <c r="I24" s="167" t="s">
        <v>884</v>
      </c>
      <c r="J24" s="167" t="s">
        <v>223</v>
      </c>
      <c r="K24" s="167" t="s">
        <v>170</v>
      </c>
      <c r="L24" s="167" t="s">
        <v>733</v>
      </c>
      <c r="M24" s="167" t="s">
        <v>885</v>
      </c>
      <c r="N24" s="167" t="s">
        <v>886</v>
      </c>
      <c r="O24" s="12" t="str">
        <f>_xlfn.DISPIMG("ID_79374B2C837849A79ABAFBB6FF76D11C",1)</f>
        <v>=DISPIMG("ID_79374B2C837849A79ABAFBB6FF76D11C",1)</v>
      </c>
      <c r="P24" s="11" t="s">
        <v>887</v>
      </c>
      <c r="Q24" s="11">
        <v>88</v>
      </c>
      <c r="R24" s="17" t="s">
        <v>4337</v>
      </c>
      <c r="S24" s="94" t="s">
        <v>36</v>
      </c>
      <c r="T24" s="11">
        <v>14</v>
      </c>
    </row>
    <row r="25" s="3" customFormat="1" customHeight="1" spans="1:20">
      <c r="A25" s="167" t="s">
        <v>890</v>
      </c>
      <c r="B25" s="167" t="s">
        <v>165</v>
      </c>
      <c r="C25" s="167" t="s">
        <v>891</v>
      </c>
      <c r="D25" s="11">
        <v>15270271332</v>
      </c>
      <c r="E25" s="167" t="s">
        <v>278</v>
      </c>
      <c r="F25" s="167" t="s">
        <v>28</v>
      </c>
      <c r="G25" s="11">
        <v>202103001</v>
      </c>
      <c r="H25" s="167" t="s">
        <v>279</v>
      </c>
      <c r="I25" s="167" t="s">
        <v>765</v>
      </c>
      <c r="J25" s="167" t="s">
        <v>893</v>
      </c>
      <c r="K25" s="167" t="s">
        <v>170</v>
      </c>
      <c r="L25" s="167" t="s">
        <v>161</v>
      </c>
      <c r="M25" s="167" t="s">
        <v>340</v>
      </c>
      <c r="N25" s="167" t="s">
        <v>894</v>
      </c>
      <c r="O25" s="12" t="str">
        <f>_xlfn.DISPIMG("ID_85B3DA5A290A4196889B653600FB42ED",1)</f>
        <v>=DISPIMG("ID_85B3DA5A290A4196889B653600FB42ED",1)</v>
      </c>
      <c r="P25" s="11" t="s">
        <v>895</v>
      </c>
      <c r="Q25" s="11">
        <v>89</v>
      </c>
      <c r="R25" s="17" t="s">
        <v>4338</v>
      </c>
      <c r="S25" s="94" t="s">
        <v>36</v>
      </c>
      <c r="T25" s="11">
        <v>23</v>
      </c>
    </row>
    <row r="26" s="3" customFormat="1" customHeight="1" spans="1:20">
      <c r="A26" s="167" t="s">
        <v>924</v>
      </c>
      <c r="B26" s="167" t="s">
        <v>165</v>
      </c>
      <c r="C26" s="167" t="s">
        <v>925</v>
      </c>
      <c r="D26" s="11">
        <v>13979203425</v>
      </c>
      <c r="E26" s="167" t="s">
        <v>278</v>
      </c>
      <c r="F26" s="167" t="s">
        <v>28</v>
      </c>
      <c r="G26" s="11">
        <v>202103001</v>
      </c>
      <c r="H26" s="167" t="s">
        <v>585</v>
      </c>
      <c r="I26" s="167" t="s">
        <v>927</v>
      </c>
      <c r="J26" s="167" t="s">
        <v>928</v>
      </c>
      <c r="K26" s="167" t="s">
        <v>170</v>
      </c>
      <c r="L26" s="167" t="s">
        <v>349</v>
      </c>
      <c r="M26" s="167" t="s">
        <v>376</v>
      </c>
      <c r="N26" s="167" t="s">
        <v>929</v>
      </c>
      <c r="O26" s="12" t="str">
        <f>_xlfn.DISPIMG("ID_8862CF8F67E94F49BA25AF43C58A74CB",1)</f>
        <v>=DISPIMG("ID_8862CF8F67E94F49BA25AF43C58A74CB",1)</v>
      </c>
      <c r="P26" s="11" t="s">
        <v>930</v>
      </c>
      <c r="Q26" s="11">
        <v>93</v>
      </c>
      <c r="R26" s="17" t="s">
        <v>4339</v>
      </c>
      <c r="S26" s="94" t="s">
        <v>36</v>
      </c>
      <c r="T26" s="11">
        <v>26</v>
      </c>
    </row>
    <row r="27" s="3" customFormat="1" customHeight="1" spans="1:20">
      <c r="A27" s="167" t="s">
        <v>957</v>
      </c>
      <c r="B27" s="167" t="s">
        <v>165</v>
      </c>
      <c r="C27" s="167" t="s">
        <v>958</v>
      </c>
      <c r="D27" s="11">
        <v>15579232085</v>
      </c>
      <c r="E27" s="167" t="s">
        <v>278</v>
      </c>
      <c r="F27" s="167" t="s">
        <v>28</v>
      </c>
      <c r="G27" s="11">
        <v>202103001</v>
      </c>
      <c r="H27" s="167" t="s">
        <v>279</v>
      </c>
      <c r="I27" s="167" t="s">
        <v>367</v>
      </c>
      <c r="J27" s="167" t="s">
        <v>960</v>
      </c>
      <c r="K27" s="167" t="s">
        <v>160</v>
      </c>
      <c r="L27" s="167" t="s">
        <v>261</v>
      </c>
      <c r="M27" s="167" t="s">
        <v>961</v>
      </c>
      <c r="N27" s="11">
        <v>0</v>
      </c>
      <c r="O27" s="12" t="str">
        <f>_xlfn.DISPIMG("ID_4CCFD0700027401988C293FD5FDA33FE",1)</f>
        <v>=DISPIMG("ID_4CCFD0700027401988C293FD5FDA33FE",1)</v>
      </c>
      <c r="P27" s="11" t="s">
        <v>962</v>
      </c>
      <c r="Q27" s="11">
        <v>97</v>
      </c>
      <c r="R27" s="17" t="s">
        <v>4340</v>
      </c>
      <c r="S27" s="94" t="s">
        <v>36</v>
      </c>
      <c r="T27" s="11">
        <v>1</v>
      </c>
    </row>
    <row r="28" s="3" customFormat="1" customHeight="1" spans="1:20">
      <c r="A28" s="167" t="s">
        <v>1010</v>
      </c>
      <c r="B28" s="167" t="s">
        <v>165</v>
      </c>
      <c r="C28" s="167" t="s">
        <v>1011</v>
      </c>
      <c r="D28" s="11">
        <v>13065115241</v>
      </c>
      <c r="E28" s="167" t="s">
        <v>278</v>
      </c>
      <c r="F28" s="167" t="s">
        <v>28</v>
      </c>
      <c r="G28" s="11">
        <v>202103001</v>
      </c>
      <c r="H28" s="167" t="s">
        <v>279</v>
      </c>
      <c r="I28" s="167" t="s">
        <v>662</v>
      </c>
      <c r="J28" s="167" t="s">
        <v>280</v>
      </c>
      <c r="K28" s="167" t="s">
        <v>170</v>
      </c>
      <c r="L28" s="167" t="s">
        <v>161</v>
      </c>
      <c r="M28" s="167" t="s">
        <v>1013</v>
      </c>
      <c r="N28" s="167" t="s">
        <v>1014</v>
      </c>
      <c r="O28" s="12" t="str">
        <f>_xlfn.DISPIMG("ID_723B44C496604BFA92AC4D10BD64E9FC",1)</f>
        <v>=DISPIMG("ID_723B44C496604BFA92AC4D10BD64E9FC",1)</v>
      </c>
      <c r="P28" s="11" t="s">
        <v>1015</v>
      </c>
      <c r="Q28" s="11">
        <v>103</v>
      </c>
      <c r="R28" s="17" t="s">
        <v>4341</v>
      </c>
      <c r="S28" s="94" t="s">
        <v>36</v>
      </c>
      <c r="T28" s="11">
        <v>12</v>
      </c>
    </row>
    <row r="29" s="3" customFormat="1" customHeight="1" spans="1:20">
      <c r="A29" s="167" t="s">
        <v>1027</v>
      </c>
      <c r="B29" s="167" t="s">
        <v>165</v>
      </c>
      <c r="C29" s="167" t="s">
        <v>1028</v>
      </c>
      <c r="D29" s="11">
        <v>15579180298</v>
      </c>
      <c r="E29" s="167" t="s">
        <v>278</v>
      </c>
      <c r="F29" s="167" t="s">
        <v>28</v>
      </c>
      <c r="G29" s="11">
        <v>202103001</v>
      </c>
      <c r="H29" s="167" t="s">
        <v>279</v>
      </c>
      <c r="I29" s="167" t="s">
        <v>662</v>
      </c>
      <c r="J29" s="167" t="s">
        <v>280</v>
      </c>
      <c r="K29" s="167" t="s">
        <v>170</v>
      </c>
      <c r="L29" s="167" t="s">
        <v>161</v>
      </c>
      <c r="M29" s="167" t="s">
        <v>376</v>
      </c>
      <c r="N29" s="167" t="s">
        <v>1030</v>
      </c>
      <c r="O29" s="12" t="str">
        <f>_xlfn.DISPIMG("ID_1619E0FF3AE04637958459633AD8C1B8",1)</f>
        <v>=DISPIMG("ID_1619E0FF3AE04637958459633AD8C1B8",1)</v>
      </c>
      <c r="P29" s="11" t="s">
        <v>1031</v>
      </c>
      <c r="Q29" s="11">
        <v>105</v>
      </c>
      <c r="R29" s="17" t="s">
        <v>4342</v>
      </c>
      <c r="S29" s="94" t="s">
        <v>36</v>
      </c>
      <c r="T29" s="11">
        <v>13</v>
      </c>
    </row>
    <row r="30" s="3" customFormat="1" customHeight="1" spans="1:20">
      <c r="A30" s="167" t="s">
        <v>1043</v>
      </c>
      <c r="B30" s="167" t="s">
        <v>165</v>
      </c>
      <c r="C30" s="167" t="s">
        <v>1044</v>
      </c>
      <c r="D30" s="11">
        <v>13257081497</v>
      </c>
      <c r="E30" s="167" t="s">
        <v>278</v>
      </c>
      <c r="F30" s="167" t="s">
        <v>28</v>
      </c>
      <c r="G30" s="11">
        <v>202103001</v>
      </c>
      <c r="H30" s="167" t="s">
        <v>279</v>
      </c>
      <c r="I30" s="167" t="s">
        <v>515</v>
      </c>
      <c r="J30" s="167" t="s">
        <v>280</v>
      </c>
      <c r="K30" s="167" t="s">
        <v>170</v>
      </c>
      <c r="L30" s="167" t="s">
        <v>216</v>
      </c>
      <c r="M30" s="167" t="s">
        <v>28</v>
      </c>
      <c r="N30" s="167" t="s">
        <v>1046</v>
      </c>
      <c r="O30" s="12" t="str">
        <f>_xlfn.DISPIMG("ID_95C77A057E51453F847E60BE7A6D3C93",1)</f>
        <v>=DISPIMG("ID_95C77A057E51453F847E60BE7A6D3C93",1)</v>
      </c>
      <c r="P30" s="11" t="s">
        <v>1047</v>
      </c>
      <c r="Q30" s="11">
        <v>107</v>
      </c>
      <c r="R30" s="17" t="s">
        <v>4343</v>
      </c>
      <c r="S30" s="94" t="s">
        <v>36</v>
      </c>
      <c r="T30" s="11">
        <v>24</v>
      </c>
    </row>
    <row r="31" s="3" customFormat="1" customHeight="1" spans="1:20">
      <c r="A31" s="167" t="s">
        <v>1094</v>
      </c>
      <c r="B31" s="167" t="s">
        <v>165</v>
      </c>
      <c r="C31" s="167" t="s">
        <v>1095</v>
      </c>
      <c r="D31" s="11">
        <v>18279284539</v>
      </c>
      <c r="E31" s="167" t="s">
        <v>278</v>
      </c>
      <c r="F31" s="167" t="s">
        <v>28</v>
      </c>
      <c r="G31" s="11">
        <v>202103001</v>
      </c>
      <c r="H31" s="167" t="s">
        <v>279</v>
      </c>
      <c r="I31" s="167" t="s">
        <v>1097</v>
      </c>
      <c r="J31" s="167" t="s">
        <v>280</v>
      </c>
      <c r="K31" s="167" t="s">
        <v>170</v>
      </c>
      <c r="L31" s="167" t="s">
        <v>455</v>
      </c>
      <c r="M31" s="167" t="s">
        <v>1098</v>
      </c>
      <c r="N31" s="11">
        <v>0</v>
      </c>
      <c r="O31" s="12" t="str">
        <f>_xlfn.DISPIMG("ID_FAFFBB147A2A46E5B294F9119A127E5F",1)</f>
        <v>=DISPIMG("ID_FAFFBB147A2A46E5B294F9119A127E5F",1)</v>
      </c>
      <c r="P31" s="11" t="s">
        <v>1099</v>
      </c>
      <c r="Q31" s="11">
        <v>114</v>
      </c>
      <c r="R31" s="17" t="s">
        <v>4344</v>
      </c>
      <c r="S31" s="94" t="s">
        <v>36</v>
      </c>
      <c r="T31" s="11">
        <v>25</v>
      </c>
    </row>
    <row r="32" s="3" customFormat="1" customHeight="1" spans="1:20">
      <c r="A32" s="167" t="s">
        <v>1218</v>
      </c>
      <c r="B32" s="167" t="s">
        <v>165</v>
      </c>
      <c r="C32" s="167" t="s">
        <v>1219</v>
      </c>
      <c r="D32" s="11">
        <v>17679241558</v>
      </c>
      <c r="E32" s="167" t="s">
        <v>278</v>
      </c>
      <c r="F32" s="167" t="s">
        <v>28</v>
      </c>
      <c r="G32" s="11">
        <v>202103001</v>
      </c>
      <c r="H32" s="167" t="s">
        <v>279</v>
      </c>
      <c r="I32" s="167" t="s">
        <v>1221</v>
      </c>
      <c r="J32" s="167" t="s">
        <v>280</v>
      </c>
      <c r="K32" s="167" t="s">
        <v>170</v>
      </c>
      <c r="L32" s="167" t="s">
        <v>161</v>
      </c>
      <c r="M32" s="167" t="s">
        <v>1222</v>
      </c>
      <c r="N32" s="167" t="s">
        <v>1223</v>
      </c>
      <c r="O32" s="12" t="str">
        <f>_xlfn.DISPIMG("ID_9D5D5082709049DE9F85EE45C9D21765",1)</f>
        <v>=DISPIMG("ID_9D5D5082709049DE9F85EE45C9D21765",1)</v>
      </c>
      <c r="P32" s="11" t="s">
        <v>1224</v>
      </c>
      <c r="Q32" s="11">
        <v>129</v>
      </c>
      <c r="R32" s="17" t="s">
        <v>4345</v>
      </c>
      <c r="S32" s="18" t="s">
        <v>38</v>
      </c>
      <c r="T32" s="11">
        <v>6</v>
      </c>
    </row>
    <row r="33" s="3" customFormat="1" customHeight="1" spans="1:20">
      <c r="A33" s="167" t="s">
        <v>1234</v>
      </c>
      <c r="B33" s="167" t="s">
        <v>165</v>
      </c>
      <c r="C33" s="167" t="s">
        <v>1235</v>
      </c>
      <c r="D33" s="11">
        <v>18870682713</v>
      </c>
      <c r="E33" s="167" t="s">
        <v>278</v>
      </c>
      <c r="F33" s="167" t="s">
        <v>28</v>
      </c>
      <c r="G33" s="11">
        <v>202103001</v>
      </c>
      <c r="H33" s="167" t="s">
        <v>279</v>
      </c>
      <c r="I33" s="167" t="s">
        <v>1237</v>
      </c>
      <c r="J33" s="167" t="s">
        <v>280</v>
      </c>
      <c r="K33" s="167" t="s">
        <v>170</v>
      </c>
      <c r="L33" s="167" t="s">
        <v>161</v>
      </c>
      <c r="M33" s="167" t="s">
        <v>340</v>
      </c>
      <c r="N33" s="167" t="s">
        <v>1238</v>
      </c>
      <c r="O33" s="12" t="str">
        <f>_xlfn.DISPIMG("ID_BE82B2F060544F05BBDE4FAB7F0C0521",1)</f>
        <v>=DISPIMG("ID_BE82B2F060544F05BBDE4FAB7F0C0521",1)</v>
      </c>
      <c r="P33" s="11" t="s">
        <v>1239</v>
      </c>
      <c r="Q33" s="11">
        <v>131</v>
      </c>
      <c r="R33" s="17" t="s">
        <v>4346</v>
      </c>
      <c r="S33" s="18" t="s">
        <v>38</v>
      </c>
      <c r="T33" s="11">
        <v>7</v>
      </c>
    </row>
    <row r="34" s="3" customFormat="1" customHeight="1" spans="1:20">
      <c r="A34" s="167" t="s">
        <v>1242</v>
      </c>
      <c r="B34" s="167" t="s">
        <v>165</v>
      </c>
      <c r="C34" s="167" t="s">
        <v>1243</v>
      </c>
      <c r="D34" s="11">
        <v>18870899233</v>
      </c>
      <c r="E34" s="167" t="s">
        <v>278</v>
      </c>
      <c r="F34" s="167" t="s">
        <v>28</v>
      </c>
      <c r="G34" s="11">
        <v>202103001</v>
      </c>
      <c r="H34" s="167" t="s">
        <v>279</v>
      </c>
      <c r="I34" s="167" t="s">
        <v>1237</v>
      </c>
      <c r="J34" s="167" t="s">
        <v>280</v>
      </c>
      <c r="K34" s="167" t="s">
        <v>170</v>
      </c>
      <c r="L34" s="167" t="s">
        <v>161</v>
      </c>
      <c r="M34" s="167" t="s">
        <v>340</v>
      </c>
      <c r="N34" s="167" t="s">
        <v>1245</v>
      </c>
      <c r="O34" s="12" t="str">
        <f>_xlfn.DISPIMG("ID_1047B30E34C949B594403C816BBC2C68",1)</f>
        <v>=DISPIMG("ID_1047B30E34C949B594403C816BBC2C68",1)</v>
      </c>
      <c r="P34" s="11" t="s">
        <v>1246</v>
      </c>
      <c r="Q34" s="11">
        <v>132</v>
      </c>
      <c r="R34" s="17" t="s">
        <v>4347</v>
      </c>
      <c r="S34" s="18" t="s">
        <v>38</v>
      </c>
      <c r="T34" s="11">
        <v>18</v>
      </c>
    </row>
    <row r="35" s="3" customFormat="1" customHeight="1" spans="1:20">
      <c r="A35" s="167" t="s">
        <v>1249</v>
      </c>
      <c r="B35" s="167" t="s">
        <v>153</v>
      </c>
      <c r="C35" s="167" t="s">
        <v>1250</v>
      </c>
      <c r="D35" s="11">
        <v>13687914090</v>
      </c>
      <c r="E35" s="167" t="s">
        <v>278</v>
      </c>
      <c r="F35" s="167" t="s">
        <v>28</v>
      </c>
      <c r="G35" s="11">
        <v>202103001</v>
      </c>
      <c r="H35" s="167" t="s">
        <v>279</v>
      </c>
      <c r="I35" s="167" t="s">
        <v>515</v>
      </c>
      <c r="J35" s="167" t="s">
        <v>280</v>
      </c>
      <c r="K35" s="167" t="s">
        <v>170</v>
      </c>
      <c r="L35" s="167" t="s">
        <v>541</v>
      </c>
      <c r="M35" s="167" t="s">
        <v>376</v>
      </c>
      <c r="N35" s="11">
        <v>0</v>
      </c>
      <c r="O35" s="12" t="str">
        <f>_xlfn.DISPIMG("ID_42B7E9B54AA84CB08052198053CBAE81",1)</f>
        <v>=DISPIMG("ID_42B7E9B54AA84CB08052198053CBAE81",1)</v>
      </c>
      <c r="P35" s="11" t="s">
        <v>1252</v>
      </c>
      <c r="Q35" s="11">
        <v>133</v>
      </c>
      <c r="R35" s="17" t="s">
        <v>4348</v>
      </c>
      <c r="S35" s="18" t="s">
        <v>38</v>
      </c>
      <c r="T35" s="11">
        <v>19</v>
      </c>
    </row>
    <row r="36" s="3" customFormat="1" customHeight="1" spans="1:20">
      <c r="A36" s="167" t="s">
        <v>1280</v>
      </c>
      <c r="B36" s="167" t="s">
        <v>165</v>
      </c>
      <c r="C36" s="167" t="s">
        <v>1281</v>
      </c>
      <c r="D36" s="11">
        <v>15779415003</v>
      </c>
      <c r="E36" s="167" t="s">
        <v>278</v>
      </c>
      <c r="F36" s="167" t="s">
        <v>28</v>
      </c>
      <c r="G36" s="11">
        <v>202103001</v>
      </c>
      <c r="H36" s="167" t="s">
        <v>279</v>
      </c>
      <c r="I36" s="167" t="s">
        <v>367</v>
      </c>
      <c r="J36" s="167" t="s">
        <v>280</v>
      </c>
      <c r="K36" s="167" t="s">
        <v>170</v>
      </c>
      <c r="L36" s="167" t="s">
        <v>368</v>
      </c>
      <c r="M36" s="167" t="s">
        <v>340</v>
      </c>
      <c r="N36" s="167" t="s">
        <v>1283</v>
      </c>
      <c r="O36" s="12" t="str">
        <f>_xlfn.DISPIMG("ID_7CFB1AF7BB454AE0866D54E1D87E03E1",1)</f>
        <v>=DISPIMG("ID_7CFB1AF7BB454AE0866D54E1D87E03E1",1)</v>
      </c>
      <c r="P36" s="11" t="s">
        <v>1284</v>
      </c>
      <c r="Q36" s="11">
        <v>138</v>
      </c>
      <c r="R36" s="17" t="s">
        <v>4349</v>
      </c>
      <c r="S36" s="18" t="s">
        <v>38</v>
      </c>
      <c r="T36" s="11">
        <v>30</v>
      </c>
    </row>
    <row r="37" s="4" customFormat="1" customHeight="1" spans="1:20">
      <c r="A37" s="167" t="s">
        <v>1286</v>
      </c>
      <c r="B37" s="167" t="s">
        <v>165</v>
      </c>
      <c r="C37" s="167" t="s">
        <v>1287</v>
      </c>
      <c r="D37" s="11">
        <v>18296159811</v>
      </c>
      <c r="E37" s="167" t="s">
        <v>278</v>
      </c>
      <c r="F37" s="167" t="s">
        <v>28</v>
      </c>
      <c r="G37" s="11">
        <v>202103001</v>
      </c>
      <c r="H37" s="167" t="s">
        <v>279</v>
      </c>
      <c r="I37" s="167" t="s">
        <v>1289</v>
      </c>
      <c r="J37" s="167" t="s">
        <v>280</v>
      </c>
      <c r="K37" s="167" t="s">
        <v>170</v>
      </c>
      <c r="L37" s="167" t="s">
        <v>216</v>
      </c>
      <c r="M37" s="167" t="s">
        <v>960</v>
      </c>
      <c r="N37" s="167" t="s">
        <v>1290</v>
      </c>
      <c r="O37" s="12" t="str">
        <f>_xlfn.DISPIMG("ID_FACC95E727304010BE372974F21E9256",1)</f>
        <v>=DISPIMG("ID_FACC95E727304010BE372974F21E9256",1)</v>
      </c>
      <c r="P37" s="11" t="s">
        <v>1291</v>
      </c>
      <c r="Q37" s="11">
        <v>139</v>
      </c>
      <c r="R37" s="17" t="s">
        <v>4350</v>
      </c>
      <c r="S37" s="18" t="s">
        <v>38</v>
      </c>
      <c r="T37" s="11">
        <v>5</v>
      </c>
    </row>
    <row r="38" s="5" customFormat="1" customHeight="1" spans="1:20">
      <c r="A38" s="167" t="s">
        <v>1344</v>
      </c>
      <c r="B38" s="167" t="s">
        <v>165</v>
      </c>
      <c r="C38" s="167" t="s">
        <v>1345</v>
      </c>
      <c r="D38" s="11">
        <v>15179298712</v>
      </c>
      <c r="E38" s="167" t="s">
        <v>278</v>
      </c>
      <c r="F38" s="167" t="s">
        <v>28</v>
      </c>
      <c r="G38" s="11">
        <v>202103001</v>
      </c>
      <c r="H38" s="167" t="s">
        <v>279</v>
      </c>
      <c r="I38" s="167" t="s">
        <v>158</v>
      </c>
      <c r="J38" s="167" t="s">
        <v>179</v>
      </c>
      <c r="K38" s="167" t="s">
        <v>170</v>
      </c>
      <c r="L38" s="167" t="s">
        <v>1346</v>
      </c>
      <c r="M38" s="167" t="s">
        <v>1013</v>
      </c>
      <c r="N38" s="11">
        <v>0</v>
      </c>
      <c r="O38" s="12" t="str">
        <f>_xlfn.DISPIMG("ID_249FF3C1A0EA4CE88757DD6F52651ECC",1)</f>
        <v>=DISPIMG("ID_249FF3C1A0EA4CE88757DD6F52651ECC",1)</v>
      </c>
      <c r="P38" s="11" t="s">
        <v>1347</v>
      </c>
      <c r="Q38" s="11">
        <v>146</v>
      </c>
      <c r="R38" s="17" t="s">
        <v>4351</v>
      </c>
      <c r="S38" s="18" t="s">
        <v>38</v>
      </c>
      <c r="T38" s="11">
        <v>8</v>
      </c>
    </row>
    <row r="39" s="3" customFormat="1" customHeight="1" spans="1:20">
      <c r="A39" s="167" t="s">
        <v>1327</v>
      </c>
      <c r="B39" s="167" t="s">
        <v>165</v>
      </c>
      <c r="C39" s="167" t="s">
        <v>1328</v>
      </c>
      <c r="D39" s="11">
        <v>15870865214</v>
      </c>
      <c r="E39" s="167" t="s">
        <v>278</v>
      </c>
      <c r="F39" s="167" t="s">
        <v>28</v>
      </c>
      <c r="G39" s="11">
        <v>202103001</v>
      </c>
      <c r="H39" s="167" t="s">
        <v>279</v>
      </c>
      <c r="I39" s="167" t="s">
        <v>1330</v>
      </c>
      <c r="J39" s="167" t="s">
        <v>1331</v>
      </c>
      <c r="K39" s="167" t="s">
        <v>160</v>
      </c>
      <c r="L39" s="167" t="s">
        <v>368</v>
      </c>
      <c r="M39" s="167" t="s">
        <v>1418</v>
      </c>
      <c r="N39" s="11">
        <v>0</v>
      </c>
      <c r="O39" s="12" t="str">
        <f>_xlfn.DISPIMG("ID_042121583D6C4BE29ACF5C4CE545F254",1)</f>
        <v>=DISPIMG("ID_042121583D6C4BE29ACF5C4CE545F254",1)</v>
      </c>
      <c r="P39" s="11" t="s">
        <v>1333</v>
      </c>
      <c r="Q39" s="11">
        <v>156</v>
      </c>
      <c r="R39" s="17" t="s">
        <v>4352</v>
      </c>
      <c r="S39" s="18" t="s">
        <v>38</v>
      </c>
      <c r="T39" s="11">
        <v>17</v>
      </c>
    </row>
    <row r="40" s="3" customFormat="1" customHeight="1" spans="1:20">
      <c r="A40" s="167" t="s">
        <v>1446</v>
      </c>
      <c r="B40" s="167" t="s">
        <v>165</v>
      </c>
      <c r="C40" s="167" t="s">
        <v>1447</v>
      </c>
      <c r="D40" s="11">
        <v>13970292674</v>
      </c>
      <c r="E40" s="167" t="s">
        <v>278</v>
      </c>
      <c r="F40" s="167" t="s">
        <v>28</v>
      </c>
      <c r="G40" s="11">
        <v>202103001</v>
      </c>
      <c r="H40" s="167" t="s">
        <v>585</v>
      </c>
      <c r="I40" s="167" t="s">
        <v>367</v>
      </c>
      <c r="J40" s="167" t="s">
        <v>280</v>
      </c>
      <c r="K40" s="167" t="s">
        <v>170</v>
      </c>
      <c r="L40" s="167" t="s">
        <v>306</v>
      </c>
      <c r="M40" s="167" t="s">
        <v>1449</v>
      </c>
      <c r="N40" s="167" t="s">
        <v>1450</v>
      </c>
      <c r="O40" s="12" t="str">
        <f>_xlfn.DISPIMG("ID_C58710654847468A83F51047999B3A07",1)</f>
        <v>=DISPIMG("ID_C58710654847468A83F51047999B3A07",1)</v>
      </c>
      <c r="P40" s="11" t="s">
        <v>1451</v>
      </c>
      <c r="Q40" s="11">
        <v>160</v>
      </c>
      <c r="R40" s="17" t="s">
        <v>4353</v>
      </c>
      <c r="S40" s="18" t="s">
        <v>38</v>
      </c>
      <c r="T40" s="11">
        <v>20</v>
      </c>
    </row>
    <row r="41" s="3" customFormat="1" customHeight="1" spans="1:20">
      <c r="A41" s="167" t="s">
        <v>1454</v>
      </c>
      <c r="B41" s="167" t="s">
        <v>165</v>
      </c>
      <c r="C41" s="167" t="s">
        <v>1455</v>
      </c>
      <c r="D41" s="11">
        <v>15679261175</v>
      </c>
      <c r="E41" s="167" t="s">
        <v>278</v>
      </c>
      <c r="F41" s="167" t="s">
        <v>28</v>
      </c>
      <c r="G41" s="11">
        <v>202103001</v>
      </c>
      <c r="H41" s="167" t="s">
        <v>157</v>
      </c>
      <c r="I41" s="167" t="s">
        <v>1457</v>
      </c>
      <c r="J41" s="167" t="s">
        <v>280</v>
      </c>
      <c r="K41" s="167" t="s">
        <v>160</v>
      </c>
      <c r="L41" s="167" t="s">
        <v>368</v>
      </c>
      <c r="M41" s="167" t="s">
        <v>1458</v>
      </c>
      <c r="N41" s="167" t="s">
        <v>1459</v>
      </c>
      <c r="O41" s="12" t="str">
        <f>_xlfn.DISPIMG("ID_B3F35F8B340047F693855C9AE3461262",1)</f>
        <v>=DISPIMG("ID_B3F35F8B340047F693855C9AE3461262",1)</v>
      </c>
      <c r="P41" s="11" t="s">
        <v>1460</v>
      </c>
      <c r="Q41" s="11">
        <v>161</v>
      </c>
      <c r="R41" s="17" t="s">
        <v>4354</v>
      </c>
      <c r="S41" s="18" t="s">
        <v>38</v>
      </c>
      <c r="T41" s="11">
        <v>29</v>
      </c>
    </row>
    <row r="42" s="3" customFormat="1" customHeight="1" spans="1:20">
      <c r="A42" s="167" t="s">
        <v>1520</v>
      </c>
      <c r="B42" s="167" t="s">
        <v>165</v>
      </c>
      <c r="C42" s="167" t="s">
        <v>1521</v>
      </c>
      <c r="D42" s="11">
        <v>18370105501</v>
      </c>
      <c r="E42" s="167" t="s">
        <v>278</v>
      </c>
      <c r="F42" s="167" t="s">
        <v>28</v>
      </c>
      <c r="G42" s="11">
        <v>202103001</v>
      </c>
      <c r="H42" s="167" t="s">
        <v>279</v>
      </c>
      <c r="I42" s="167" t="s">
        <v>1523</v>
      </c>
      <c r="J42" s="167" t="s">
        <v>280</v>
      </c>
      <c r="K42" s="167" t="s">
        <v>170</v>
      </c>
      <c r="L42" s="167" t="s">
        <v>235</v>
      </c>
      <c r="M42" s="167" t="s">
        <v>28</v>
      </c>
      <c r="N42" s="167" t="s">
        <v>1524</v>
      </c>
      <c r="O42" s="12" t="str">
        <f>_xlfn.DISPIMG("ID_289CC567200648A4AB5780D725CC9684",1)</f>
        <v>=DISPIMG("ID_289CC567200648A4AB5780D725CC9684",1)</v>
      </c>
      <c r="P42" s="11" t="s">
        <v>1525</v>
      </c>
      <c r="Q42" s="11">
        <v>169</v>
      </c>
      <c r="R42" s="17" t="s">
        <v>4355</v>
      </c>
      <c r="S42" s="18" t="s">
        <v>38</v>
      </c>
      <c r="T42" s="11">
        <v>4</v>
      </c>
    </row>
    <row r="43" s="3" customFormat="1" customHeight="1" spans="1:20">
      <c r="A43" s="167" t="s">
        <v>1535</v>
      </c>
      <c r="B43" s="167" t="s">
        <v>165</v>
      </c>
      <c r="C43" s="167" t="s">
        <v>1536</v>
      </c>
      <c r="D43" s="11">
        <v>17779207332</v>
      </c>
      <c r="E43" s="167" t="s">
        <v>278</v>
      </c>
      <c r="F43" s="167" t="s">
        <v>28</v>
      </c>
      <c r="G43" s="11">
        <v>202103001</v>
      </c>
      <c r="H43" s="167" t="s">
        <v>279</v>
      </c>
      <c r="I43" s="167" t="s">
        <v>765</v>
      </c>
      <c r="J43" s="167" t="s">
        <v>280</v>
      </c>
      <c r="K43" s="167" t="s">
        <v>170</v>
      </c>
      <c r="L43" s="167" t="s">
        <v>235</v>
      </c>
      <c r="M43" s="167" t="s">
        <v>517</v>
      </c>
      <c r="N43" s="167" t="s">
        <v>1538</v>
      </c>
      <c r="O43" s="12" t="str">
        <f>_xlfn.DISPIMG("ID_E53DAA599F9A40239F1135427FCA9C4F",1)</f>
        <v>=DISPIMG("ID_E53DAA599F9A40239F1135427FCA9C4F",1)</v>
      </c>
      <c r="P43" s="11" t="s">
        <v>1539</v>
      </c>
      <c r="Q43" s="11">
        <v>171</v>
      </c>
      <c r="R43" s="17" t="s">
        <v>4356</v>
      </c>
      <c r="S43" s="18" t="s">
        <v>38</v>
      </c>
      <c r="T43" s="11">
        <v>9</v>
      </c>
    </row>
    <row r="44" s="3" customFormat="1" customHeight="1" spans="1:20">
      <c r="A44" s="167" t="s">
        <v>1559</v>
      </c>
      <c r="B44" s="167" t="s">
        <v>165</v>
      </c>
      <c r="C44" s="167" t="s">
        <v>1560</v>
      </c>
      <c r="D44" s="11">
        <v>18720242536</v>
      </c>
      <c r="E44" s="167" t="s">
        <v>278</v>
      </c>
      <c r="F44" s="167" t="s">
        <v>28</v>
      </c>
      <c r="G44" s="11">
        <v>202103001</v>
      </c>
      <c r="H44" s="167" t="s">
        <v>279</v>
      </c>
      <c r="I44" s="167" t="s">
        <v>876</v>
      </c>
      <c r="J44" s="167" t="s">
        <v>960</v>
      </c>
      <c r="K44" s="167" t="s">
        <v>170</v>
      </c>
      <c r="L44" s="167" t="s">
        <v>171</v>
      </c>
      <c r="M44" s="167" t="s">
        <v>340</v>
      </c>
      <c r="N44" s="167" t="s">
        <v>1562</v>
      </c>
      <c r="O44" s="12" t="str">
        <f>_xlfn.DISPIMG("ID_9804FB5AA98E4D44BBA382539FDAF7F0",1)</f>
        <v>=DISPIMG("ID_9804FB5AA98E4D44BBA382539FDAF7F0",1)</v>
      </c>
      <c r="P44" s="11" t="s">
        <v>1563</v>
      </c>
      <c r="Q44" s="11">
        <v>174</v>
      </c>
      <c r="R44" s="17" t="s">
        <v>4357</v>
      </c>
      <c r="S44" s="18" t="s">
        <v>38</v>
      </c>
      <c r="T44" s="11">
        <v>16</v>
      </c>
    </row>
    <row r="45" s="3" customFormat="1" customHeight="1" spans="1:20">
      <c r="A45" s="167" t="s">
        <v>1665</v>
      </c>
      <c r="B45" s="167" t="s">
        <v>165</v>
      </c>
      <c r="C45" s="167" t="s">
        <v>1666</v>
      </c>
      <c r="D45" s="11">
        <v>19126781619</v>
      </c>
      <c r="E45" s="167" t="s">
        <v>278</v>
      </c>
      <c r="F45" s="167" t="s">
        <v>28</v>
      </c>
      <c r="G45" s="11">
        <v>202103001</v>
      </c>
      <c r="H45" s="167" t="s">
        <v>585</v>
      </c>
      <c r="I45" s="167" t="s">
        <v>168</v>
      </c>
      <c r="J45" s="167" t="s">
        <v>280</v>
      </c>
      <c r="K45" s="167" t="s">
        <v>170</v>
      </c>
      <c r="L45" s="167" t="s">
        <v>548</v>
      </c>
      <c r="M45" s="167" t="s">
        <v>376</v>
      </c>
      <c r="N45" s="167" t="s">
        <v>1668</v>
      </c>
      <c r="O45" s="12" t="str">
        <f>_xlfn.DISPIMG("ID_B5AB63FC8A81490B8ED2FED7AE302A44",1)</f>
        <v>=DISPIMG("ID_B5AB63FC8A81490B8ED2FED7AE302A44",1)</v>
      </c>
      <c r="P45" s="11" t="s">
        <v>1669</v>
      </c>
      <c r="Q45" s="11">
        <v>188</v>
      </c>
      <c r="R45" s="17" t="s">
        <v>4358</v>
      </c>
      <c r="S45" s="18" t="s">
        <v>38</v>
      </c>
      <c r="T45" s="11">
        <v>21</v>
      </c>
    </row>
    <row r="46" s="3" customFormat="1" customHeight="1" spans="1:20">
      <c r="A46" s="167" t="s">
        <v>1681</v>
      </c>
      <c r="B46" s="167" t="s">
        <v>165</v>
      </c>
      <c r="C46" s="167" t="s">
        <v>1682</v>
      </c>
      <c r="D46" s="11">
        <v>15707021172</v>
      </c>
      <c r="E46" s="167" t="s">
        <v>278</v>
      </c>
      <c r="F46" s="167" t="s">
        <v>28</v>
      </c>
      <c r="G46" s="11">
        <v>202103001</v>
      </c>
      <c r="H46" s="167" t="s">
        <v>279</v>
      </c>
      <c r="I46" s="167" t="s">
        <v>367</v>
      </c>
      <c r="J46" s="167" t="s">
        <v>1684</v>
      </c>
      <c r="K46" s="167" t="s">
        <v>170</v>
      </c>
      <c r="L46" s="167" t="s">
        <v>368</v>
      </c>
      <c r="M46" s="167" t="s">
        <v>376</v>
      </c>
      <c r="N46" s="167" t="s">
        <v>1685</v>
      </c>
      <c r="O46" s="12" t="str">
        <f>_xlfn.DISPIMG("ID_F515C4DE5D464F10B51159D5558C7D1A",1)</f>
        <v>=DISPIMG("ID_F515C4DE5D464F10B51159D5558C7D1A",1)</v>
      </c>
      <c r="P46" s="11" t="s">
        <v>1686</v>
      </c>
      <c r="Q46" s="11">
        <v>190</v>
      </c>
      <c r="R46" s="17" t="s">
        <v>4359</v>
      </c>
      <c r="S46" s="18" t="s">
        <v>38</v>
      </c>
      <c r="T46" s="11">
        <v>28</v>
      </c>
    </row>
    <row r="47" s="3" customFormat="1" customHeight="1" spans="1:20">
      <c r="A47" s="167" t="s">
        <v>1751</v>
      </c>
      <c r="B47" s="167" t="s">
        <v>165</v>
      </c>
      <c r="C47" s="167" t="s">
        <v>1752</v>
      </c>
      <c r="D47" s="11">
        <v>18770825920</v>
      </c>
      <c r="E47" s="167" t="s">
        <v>278</v>
      </c>
      <c r="F47" s="167" t="s">
        <v>28</v>
      </c>
      <c r="G47" s="11">
        <v>202103001</v>
      </c>
      <c r="H47" s="167" t="s">
        <v>585</v>
      </c>
      <c r="I47" s="167" t="s">
        <v>367</v>
      </c>
      <c r="J47" s="167" t="s">
        <v>280</v>
      </c>
      <c r="K47" s="167" t="s">
        <v>160</v>
      </c>
      <c r="L47" s="167" t="s">
        <v>396</v>
      </c>
      <c r="M47" s="167" t="s">
        <v>1754</v>
      </c>
      <c r="N47" s="167" t="s">
        <v>1755</v>
      </c>
      <c r="O47" s="12" t="str">
        <f>_xlfn.DISPIMG("ID_11BD6E6070704D3C9E8B19CABEC53565",1)</f>
        <v>=DISPIMG("ID_11BD6E6070704D3C9E8B19CABEC53565",1)</v>
      </c>
      <c r="P47" s="11" t="s">
        <v>1756</v>
      </c>
      <c r="Q47" s="11">
        <v>199</v>
      </c>
      <c r="R47" s="17" t="s">
        <v>4360</v>
      </c>
      <c r="S47" s="18" t="s">
        <v>38</v>
      </c>
      <c r="T47" s="11">
        <v>3</v>
      </c>
    </row>
    <row r="48" s="3" customFormat="1" customHeight="1" spans="1:20">
      <c r="A48" s="167" t="s">
        <v>1773</v>
      </c>
      <c r="B48" s="167" t="s">
        <v>165</v>
      </c>
      <c r="C48" s="167" t="s">
        <v>1774</v>
      </c>
      <c r="D48" s="11">
        <v>15070865413</v>
      </c>
      <c r="E48" s="167" t="s">
        <v>278</v>
      </c>
      <c r="F48" s="167" t="s">
        <v>28</v>
      </c>
      <c r="G48" s="11">
        <v>202103001</v>
      </c>
      <c r="H48" s="167" t="s">
        <v>279</v>
      </c>
      <c r="I48" s="167" t="s">
        <v>662</v>
      </c>
      <c r="J48" s="167" t="s">
        <v>280</v>
      </c>
      <c r="K48" s="167" t="s">
        <v>170</v>
      </c>
      <c r="L48" s="167" t="s">
        <v>161</v>
      </c>
      <c r="M48" s="167" t="s">
        <v>1776</v>
      </c>
      <c r="N48" s="167" t="s">
        <v>1777</v>
      </c>
      <c r="O48" s="12" t="str">
        <f>_xlfn.DISPIMG("ID_870E78DB9450493E87561F4FC105D429",1)</f>
        <v>=DISPIMG("ID_870E78DB9450493E87561F4FC105D429",1)</v>
      </c>
      <c r="P48" s="11" t="s">
        <v>1778</v>
      </c>
      <c r="Q48" s="11">
        <v>202</v>
      </c>
      <c r="R48" s="17" t="s">
        <v>4361</v>
      </c>
      <c r="S48" s="18" t="s">
        <v>38</v>
      </c>
      <c r="T48" s="11">
        <v>10</v>
      </c>
    </row>
    <row r="49" s="3" customFormat="1" customHeight="1" spans="1:20">
      <c r="A49" s="167" t="s">
        <v>1814</v>
      </c>
      <c r="B49" s="167" t="s">
        <v>165</v>
      </c>
      <c r="C49" s="167" t="s">
        <v>1815</v>
      </c>
      <c r="D49" s="11">
        <v>15879170317</v>
      </c>
      <c r="E49" s="167" t="s">
        <v>278</v>
      </c>
      <c r="F49" s="167" t="s">
        <v>28</v>
      </c>
      <c r="G49" s="11">
        <v>202103001</v>
      </c>
      <c r="H49" s="167" t="s">
        <v>279</v>
      </c>
      <c r="I49" s="167" t="s">
        <v>732</v>
      </c>
      <c r="J49" s="167" t="s">
        <v>280</v>
      </c>
      <c r="K49" s="167" t="s">
        <v>170</v>
      </c>
      <c r="L49" s="167" t="s">
        <v>306</v>
      </c>
      <c r="M49" s="167" t="s">
        <v>1013</v>
      </c>
      <c r="N49" s="167" t="s">
        <v>1817</v>
      </c>
      <c r="O49" s="12" t="str">
        <f>_xlfn.DISPIMG("ID_6DE4E02A017F4BA2AD59ACE3034B4E4E",1)</f>
        <v>=DISPIMG("ID_6DE4E02A017F4BA2AD59ACE3034B4E4E",1)</v>
      </c>
      <c r="P49" s="11" t="s">
        <v>1818</v>
      </c>
      <c r="Q49" s="11">
        <v>207</v>
      </c>
      <c r="R49" s="17" t="s">
        <v>4362</v>
      </c>
      <c r="S49" s="18" t="s">
        <v>38</v>
      </c>
      <c r="T49" s="11">
        <v>15</v>
      </c>
    </row>
    <row r="50" s="5" customFormat="1" customHeight="1" spans="1:20">
      <c r="A50" s="167" t="s">
        <v>1855</v>
      </c>
      <c r="B50" s="167" t="s">
        <v>165</v>
      </c>
      <c r="C50" s="167" t="s">
        <v>1856</v>
      </c>
      <c r="D50" s="11">
        <v>18070128291</v>
      </c>
      <c r="E50" s="167" t="s">
        <v>278</v>
      </c>
      <c r="F50" s="167" t="s">
        <v>28</v>
      </c>
      <c r="G50" s="11">
        <v>202103001</v>
      </c>
      <c r="H50" s="167" t="s">
        <v>279</v>
      </c>
      <c r="I50" s="167" t="s">
        <v>732</v>
      </c>
      <c r="J50" s="167" t="s">
        <v>1489</v>
      </c>
      <c r="K50" s="167" t="s">
        <v>170</v>
      </c>
      <c r="L50" s="167" t="s">
        <v>733</v>
      </c>
      <c r="M50" s="167" t="s">
        <v>517</v>
      </c>
      <c r="N50" s="167" t="s">
        <v>1858</v>
      </c>
      <c r="O50" s="12" t="str">
        <f>_xlfn.DISPIMG("ID_2E8A5FF2C7EA4CF3BCF137C2FDB07272",1)</f>
        <v>=DISPIMG("ID_2E8A5FF2C7EA4CF3BCF137C2FDB07272",1)</v>
      </c>
      <c r="P50" s="11" t="s">
        <v>1859</v>
      </c>
      <c r="Q50" s="11">
        <v>212</v>
      </c>
      <c r="R50" s="17" t="s">
        <v>4363</v>
      </c>
      <c r="S50" s="18" t="s">
        <v>38</v>
      </c>
      <c r="T50" s="11">
        <v>22</v>
      </c>
    </row>
    <row r="51" s="3" customFormat="1" customHeight="1" spans="1:20">
      <c r="A51" s="167" t="s">
        <v>1919</v>
      </c>
      <c r="B51" s="167" t="s">
        <v>153</v>
      </c>
      <c r="C51" s="167" t="s">
        <v>1920</v>
      </c>
      <c r="D51" s="11">
        <v>18046826639</v>
      </c>
      <c r="E51" s="167" t="s">
        <v>278</v>
      </c>
      <c r="F51" s="167" t="s">
        <v>28</v>
      </c>
      <c r="G51" s="11">
        <v>202103001</v>
      </c>
      <c r="H51" s="167" t="s">
        <v>279</v>
      </c>
      <c r="I51" s="167" t="s">
        <v>765</v>
      </c>
      <c r="J51" s="167" t="s">
        <v>280</v>
      </c>
      <c r="K51" s="167" t="s">
        <v>170</v>
      </c>
      <c r="L51" s="167" t="s">
        <v>455</v>
      </c>
      <c r="M51" s="167" t="s">
        <v>376</v>
      </c>
      <c r="N51" s="11">
        <v>0</v>
      </c>
      <c r="O51" s="12" t="str">
        <f>_xlfn.DISPIMG("ID_A79FF9B64919489DB578A9ECC96B1C96",1)</f>
        <v>=DISPIMG("ID_A79FF9B64919489DB578A9ECC96B1C96",1)</v>
      </c>
      <c r="P51" s="11" t="s">
        <v>1922</v>
      </c>
      <c r="Q51" s="11">
        <v>221</v>
      </c>
      <c r="R51" s="17" t="s">
        <v>4364</v>
      </c>
      <c r="S51" s="18" t="s">
        <v>38</v>
      </c>
      <c r="T51" s="11">
        <v>27</v>
      </c>
    </row>
    <row r="52" s="3" customFormat="1" customHeight="1" spans="1:20">
      <c r="A52" s="167" t="s">
        <v>1969</v>
      </c>
      <c r="B52" s="167" t="s">
        <v>165</v>
      </c>
      <c r="C52" s="167" t="s">
        <v>1970</v>
      </c>
      <c r="D52" s="11">
        <v>13767214799</v>
      </c>
      <c r="E52" s="167" t="s">
        <v>278</v>
      </c>
      <c r="F52" s="167" t="s">
        <v>28</v>
      </c>
      <c r="G52" s="11">
        <v>202103001</v>
      </c>
      <c r="H52" s="167" t="s">
        <v>279</v>
      </c>
      <c r="I52" s="167" t="s">
        <v>1972</v>
      </c>
      <c r="J52" s="167" t="s">
        <v>280</v>
      </c>
      <c r="K52" s="167" t="s">
        <v>170</v>
      </c>
      <c r="L52" s="167" t="s">
        <v>368</v>
      </c>
      <c r="M52" s="167" t="s">
        <v>121</v>
      </c>
      <c r="N52" s="167" t="s">
        <v>1973</v>
      </c>
      <c r="O52" s="12" t="str">
        <f>_xlfn.DISPIMG("ID_AAF95BF9A1304A0693E0346D90E4CF2C",1)</f>
        <v>=DISPIMG("ID_AAF95BF9A1304A0693E0346D90E4CF2C",1)</v>
      </c>
      <c r="P52" s="11" t="s">
        <v>1974</v>
      </c>
      <c r="Q52" s="11">
        <v>228</v>
      </c>
      <c r="R52" s="17" t="s">
        <v>4365</v>
      </c>
      <c r="S52" s="18" t="s">
        <v>38</v>
      </c>
      <c r="T52" s="11">
        <v>2</v>
      </c>
    </row>
    <row r="53" s="3" customFormat="1" customHeight="1" spans="1:20">
      <c r="A53" s="167" t="s">
        <v>2060</v>
      </c>
      <c r="B53" s="167" t="s">
        <v>165</v>
      </c>
      <c r="C53" s="167" t="s">
        <v>2061</v>
      </c>
      <c r="D53" s="11">
        <v>15112002923</v>
      </c>
      <c r="E53" s="167" t="s">
        <v>278</v>
      </c>
      <c r="F53" s="167" t="s">
        <v>28</v>
      </c>
      <c r="G53" s="11">
        <v>202103001</v>
      </c>
      <c r="H53" s="167" t="s">
        <v>157</v>
      </c>
      <c r="I53" s="167" t="s">
        <v>2063</v>
      </c>
      <c r="J53" s="167" t="s">
        <v>280</v>
      </c>
      <c r="K53" s="167" t="s">
        <v>170</v>
      </c>
      <c r="L53" s="167" t="s">
        <v>2064</v>
      </c>
      <c r="M53" s="167" t="s">
        <v>517</v>
      </c>
      <c r="N53" s="167" t="s">
        <v>2065</v>
      </c>
      <c r="O53" s="12" t="str">
        <f>_xlfn.DISPIMG("ID_BF9AE392AFDD4458A2909A9A2C941241",1)</f>
        <v>=DISPIMG("ID_BF9AE392AFDD4458A2909A9A2C941241",1)</v>
      </c>
      <c r="P53" s="11" t="s">
        <v>2066</v>
      </c>
      <c r="Q53" s="11">
        <v>240</v>
      </c>
      <c r="R53" s="17" t="s">
        <v>4366</v>
      </c>
      <c r="S53" s="18" t="s">
        <v>38</v>
      </c>
      <c r="T53" s="11">
        <v>11</v>
      </c>
    </row>
    <row r="54" s="3" customFormat="1" customHeight="1" spans="1:20">
      <c r="A54" s="167" t="s">
        <v>2083</v>
      </c>
      <c r="B54" s="167" t="s">
        <v>165</v>
      </c>
      <c r="C54" s="167" t="s">
        <v>2084</v>
      </c>
      <c r="D54" s="11">
        <v>18816407325</v>
      </c>
      <c r="E54" s="167" t="s">
        <v>278</v>
      </c>
      <c r="F54" s="167" t="s">
        <v>28</v>
      </c>
      <c r="G54" s="11">
        <v>202103001</v>
      </c>
      <c r="H54" s="167" t="s">
        <v>157</v>
      </c>
      <c r="I54" s="167" t="s">
        <v>1258</v>
      </c>
      <c r="J54" s="167" t="s">
        <v>280</v>
      </c>
      <c r="K54" s="167" t="s">
        <v>170</v>
      </c>
      <c r="L54" s="167" t="s">
        <v>180</v>
      </c>
      <c r="M54" s="167" t="s">
        <v>340</v>
      </c>
      <c r="N54" s="167" t="s">
        <v>2086</v>
      </c>
      <c r="O54" s="12" t="str">
        <f>_xlfn.DISPIMG("ID_B2FD46FB94FD4BE298F143BADCF00B8C",1)</f>
        <v>=DISPIMG("ID_B2FD46FB94FD4BE298F143BADCF00B8C",1)</v>
      </c>
      <c r="P54" s="11" t="s">
        <v>2087</v>
      </c>
      <c r="Q54" s="11">
        <v>243</v>
      </c>
      <c r="R54" s="17" t="s">
        <v>4367</v>
      </c>
      <c r="S54" s="18" t="s">
        <v>38</v>
      </c>
      <c r="T54" s="11">
        <v>14</v>
      </c>
    </row>
    <row r="55" s="3" customFormat="1" customHeight="1" spans="1:20">
      <c r="A55" s="167" t="s">
        <v>2098</v>
      </c>
      <c r="B55" s="167" t="s">
        <v>165</v>
      </c>
      <c r="C55" s="167" t="s">
        <v>2099</v>
      </c>
      <c r="D55" s="11">
        <v>18070222825</v>
      </c>
      <c r="E55" s="167" t="s">
        <v>278</v>
      </c>
      <c r="F55" s="167" t="s">
        <v>28</v>
      </c>
      <c r="G55" s="11">
        <v>202103001</v>
      </c>
      <c r="H55" s="167" t="s">
        <v>279</v>
      </c>
      <c r="I55" s="167" t="s">
        <v>732</v>
      </c>
      <c r="J55" s="167" t="s">
        <v>169</v>
      </c>
      <c r="K55" s="167" t="s">
        <v>170</v>
      </c>
      <c r="L55" s="167" t="s">
        <v>733</v>
      </c>
      <c r="M55" s="167" t="s">
        <v>517</v>
      </c>
      <c r="N55" s="167" t="s">
        <v>2101</v>
      </c>
      <c r="O55" s="12" t="str">
        <f>_xlfn.DISPIMG("ID_005BE0017F024C98A2D8AF15B9E0DE6A",1)</f>
        <v>=DISPIMG("ID_005BE0017F024C98A2D8AF15B9E0DE6A",1)</v>
      </c>
      <c r="P55" s="11" t="s">
        <v>2102</v>
      </c>
      <c r="Q55" s="11">
        <v>245</v>
      </c>
      <c r="R55" s="17" t="s">
        <v>4368</v>
      </c>
      <c r="S55" s="18" t="s">
        <v>38</v>
      </c>
      <c r="T55" s="11">
        <v>23</v>
      </c>
    </row>
    <row r="56" s="3" customFormat="1" customHeight="1" spans="1:20">
      <c r="A56" s="167" t="s">
        <v>2226</v>
      </c>
      <c r="B56" s="167" t="s">
        <v>165</v>
      </c>
      <c r="C56" s="167" t="s">
        <v>2227</v>
      </c>
      <c r="D56" s="11">
        <v>15720952167</v>
      </c>
      <c r="E56" s="167" t="s">
        <v>278</v>
      </c>
      <c r="F56" s="167" t="s">
        <v>28</v>
      </c>
      <c r="G56" s="11">
        <v>202103001</v>
      </c>
      <c r="H56" s="167" t="s">
        <v>279</v>
      </c>
      <c r="I56" s="167" t="s">
        <v>2229</v>
      </c>
      <c r="J56" s="167" t="s">
        <v>280</v>
      </c>
      <c r="K56" s="167" t="s">
        <v>170</v>
      </c>
      <c r="L56" s="167" t="s">
        <v>161</v>
      </c>
      <c r="M56" s="167" t="s">
        <v>517</v>
      </c>
      <c r="N56" s="11">
        <v>0</v>
      </c>
      <c r="O56" s="12" t="str">
        <f>_xlfn.DISPIMG("ID_D66F2E0905214E97988618639B1556CA",1)</f>
        <v>=DISPIMG("ID_D66F2E0905214E97988618639B1556CA",1)</v>
      </c>
      <c r="P56" s="11" t="s">
        <v>2230</v>
      </c>
      <c r="Q56" s="11">
        <v>262</v>
      </c>
      <c r="R56" s="17" t="s">
        <v>4369</v>
      </c>
      <c r="S56" s="18" t="s">
        <v>38</v>
      </c>
      <c r="T56" s="11">
        <v>26</v>
      </c>
    </row>
    <row r="57" s="3" customFormat="1" customHeight="1" spans="1:20">
      <c r="A57" s="167" t="s">
        <v>2249</v>
      </c>
      <c r="B57" s="167" t="s">
        <v>165</v>
      </c>
      <c r="C57" s="167" t="s">
        <v>2250</v>
      </c>
      <c r="D57" s="11">
        <v>15270289287</v>
      </c>
      <c r="E57" s="167" t="s">
        <v>278</v>
      </c>
      <c r="F57" s="167" t="s">
        <v>28</v>
      </c>
      <c r="G57" s="11">
        <v>202103001</v>
      </c>
      <c r="H57" s="167" t="s">
        <v>279</v>
      </c>
      <c r="I57" s="167" t="s">
        <v>1258</v>
      </c>
      <c r="J57" s="167" t="s">
        <v>280</v>
      </c>
      <c r="K57" s="167" t="s">
        <v>170</v>
      </c>
      <c r="L57" s="167" t="s">
        <v>180</v>
      </c>
      <c r="M57" s="167" t="s">
        <v>340</v>
      </c>
      <c r="N57" s="167" t="s">
        <v>2252</v>
      </c>
      <c r="O57" s="12" t="str">
        <f>_xlfn.DISPIMG("ID_7985CE250554486189D8524B45608623",1)</f>
        <v>=DISPIMG("ID_7985CE250554486189D8524B45608623",1)</v>
      </c>
      <c r="P57" s="11" t="s">
        <v>2253</v>
      </c>
      <c r="Q57" s="11">
        <v>265</v>
      </c>
      <c r="R57" s="17" t="s">
        <v>4370</v>
      </c>
      <c r="S57" s="18" t="s">
        <v>38</v>
      </c>
      <c r="T57" s="11">
        <v>1</v>
      </c>
    </row>
    <row r="58" s="3" customFormat="1" customHeight="1" spans="1:20">
      <c r="A58" s="167" t="s">
        <v>2273</v>
      </c>
      <c r="B58" s="167" t="s">
        <v>165</v>
      </c>
      <c r="C58" s="167" t="s">
        <v>2274</v>
      </c>
      <c r="D58" s="11">
        <v>18897920642</v>
      </c>
      <c r="E58" s="167" t="s">
        <v>278</v>
      </c>
      <c r="F58" s="167" t="s">
        <v>28</v>
      </c>
      <c r="G58" s="11">
        <v>202103001</v>
      </c>
      <c r="H58" s="167" t="s">
        <v>279</v>
      </c>
      <c r="I58" s="167" t="s">
        <v>367</v>
      </c>
      <c r="J58" s="167" t="s">
        <v>960</v>
      </c>
      <c r="K58" s="167" t="s">
        <v>170</v>
      </c>
      <c r="L58" s="167" t="s">
        <v>171</v>
      </c>
      <c r="M58" s="167" t="s">
        <v>340</v>
      </c>
      <c r="N58" s="167" t="s">
        <v>2276</v>
      </c>
      <c r="O58" s="12" t="str">
        <f>_xlfn.DISPIMG("ID_61B07218C9EC426CBE977F3567B765DD",1)</f>
        <v>=DISPIMG("ID_61B07218C9EC426CBE977F3567B765DD",1)</v>
      </c>
      <c r="P58" s="11" t="s">
        <v>2277</v>
      </c>
      <c r="Q58" s="11">
        <v>268</v>
      </c>
      <c r="R58" s="17" t="s">
        <v>4371</v>
      </c>
      <c r="S58" s="18" t="s">
        <v>38</v>
      </c>
      <c r="T58" s="11">
        <v>12</v>
      </c>
    </row>
    <row r="59" s="3" customFormat="1" customHeight="1" spans="1:20">
      <c r="A59" s="167" t="s">
        <v>2323</v>
      </c>
      <c r="B59" s="167" t="s">
        <v>165</v>
      </c>
      <c r="C59" s="167" t="s">
        <v>2324</v>
      </c>
      <c r="D59" s="11">
        <v>15979178539</v>
      </c>
      <c r="E59" s="167" t="s">
        <v>278</v>
      </c>
      <c r="F59" s="167" t="s">
        <v>28</v>
      </c>
      <c r="G59" s="11">
        <v>202103001</v>
      </c>
      <c r="H59" s="167" t="s">
        <v>157</v>
      </c>
      <c r="I59" s="167" t="s">
        <v>1071</v>
      </c>
      <c r="J59" s="167" t="s">
        <v>2326</v>
      </c>
      <c r="K59" s="167" t="s">
        <v>160</v>
      </c>
      <c r="L59" s="167" t="s">
        <v>1942</v>
      </c>
      <c r="M59" s="167" t="s">
        <v>340</v>
      </c>
      <c r="N59" s="167" t="s">
        <v>2327</v>
      </c>
      <c r="O59" s="12" t="str">
        <f>_xlfn.DISPIMG("ID_A33976891DCF46C9B1DFAD5ADCC8729D",1)</f>
        <v>=DISPIMG("ID_A33976891DCF46C9B1DFAD5ADCC8729D",1)</v>
      </c>
      <c r="P59" s="11" t="s">
        <v>2328</v>
      </c>
      <c r="Q59" s="11">
        <v>275</v>
      </c>
      <c r="R59" s="17" t="s">
        <v>4372</v>
      </c>
      <c r="S59" s="18" t="s">
        <v>38</v>
      </c>
      <c r="T59" s="11">
        <v>13</v>
      </c>
    </row>
    <row r="60" s="3" customFormat="1" customHeight="1" spans="1:20">
      <c r="A60" s="167" t="s">
        <v>2354</v>
      </c>
      <c r="B60" s="167" t="s">
        <v>165</v>
      </c>
      <c r="C60" s="167" t="s">
        <v>2355</v>
      </c>
      <c r="D60" s="11">
        <v>18870202615</v>
      </c>
      <c r="E60" s="167" t="s">
        <v>278</v>
      </c>
      <c r="F60" s="167" t="s">
        <v>28</v>
      </c>
      <c r="G60" s="11">
        <v>202103001</v>
      </c>
      <c r="H60" s="167" t="s">
        <v>279</v>
      </c>
      <c r="I60" s="167" t="s">
        <v>765</v>
      </c>
      <c r="J60" s="167" t="s">
        <v>280</v>
      </c>
      <c r="K60" s="167" t="s">
        <v>170</v>
      </c>
      <c r="L60" s="167" t="s">
        <v>252</v>
      </c>
      <c r="M60" s="167" t="s">
        <v>340</v>
      </c>
      <c r="N60" s="167" t="s">
        <v>2357</v>
      </c>
      <c r="O60" s="12" t="str">
        <f>_xlfn.DISPIMG("ID_1E1BF7CF64ED4C9392E00D748E2CFF78",1)</f>
        <v>=DISPIMG("ID_1E1BF7CF64ED4C9392E00D748E2CFF78",1)</v>
      </c>
      <c r="P60" s="11" t="s">
        <v>2358</v>
      </c>
      <c r="Q60" s="11">
        <v>279</v>
      </c>
      <c r="R60" s="17" t="s">
        <v>4373</v>
      </c>
      <c r="S60" s="18" t="s">
        <v>38</v>
      </c>
      <c r="T60" s="11">
        <v>24</v>
      </c>
    </row>
    <row r="61" s="3" customFormat="1" customHeight="1" spans="1:20">
      <c r="A61" s="167" t="s">
        <v>2368</v>
      </c>
      <c r="B61" s="167" t="s">
        <v>165</v>
      </c>
      <c r="C61" s="167" t="s">
        <v>2369</v>
      </c>
      <c r="D61" s="11">
        <v>13870275403</v>
      </c>
      <c r="E61" s="167" t="s">
        <v>278</v>
      </c>
      <c r="F61" s="167" t="s">
        <v>28</v>
      </c>
      <c r="G61" s="11">
        <v>202103001</v>
      </c>
      <c r="H61" s="167" t="s">
        <v>279</v>
      </c>
      <c r="I61" s="167" t="s">
        <v>367</v>
      </c>
      <c r="J61" s="167" t="s">
        <v>960</v>
      </c>
      <c r="K61" s="167" t="s">
        <v>170</v>
      </c>
      <c r="L61" s="167" t="s">
        <v>161</v>
      </c>
      <c r="M61" s="167" t="s">
        <v>2371</v>
      </c>
      <c r="N61" s="167" t="s">
        <v>2372</v>
      </c>
      <c r="O61" s="12" t="str">
        <f>_xlfn.DISPIMG("ID_8367FF7FCE354E85A6B58C07A55F59C4",1)</f>
        <v>=DISPIMG("ID_8367FF7FCE354E85A6B58C07A55F59C4",1)</v>
      </c>
      <c r="P61" s="11" t="s">
        <v>2373</v>
      </c>
      <c r="Q61" s="11">
        <v>281</v>
      </c>
      <c r="R61" s="17" t="s">
        <v>4374</v>
      </c>
      <c r="S61" s="18" t="s">
        <v>38</v>
      </c>
      <c r="T61" s="11">
        <v>25</v>
      </c>
    </row>
    <row r="62" s="3" customFormat="1" customHeight="1" spans="1:20">
      <c r="A62" s="167" t="s">
        <v>2384</v>
      </c>
      <c r="B62" s="167" t="s">
        <v>165</v>
      </c>
      <c r="C62" s="167" t="s">
        <v>2385</v>
      </c>
      <c r="D62" s="11">
        <v>18779249182</v>
      </c>
      <c r="E62" s="167" t="s">
        <v>278</v>
      </c>
      <c r="F62" s="167" t="s">
        <v>28</v>
      </c>
      <c r="G62" s="11">
        <v>202103001</v>
      </c>
      <c r="H62" s="167" t="s">
        <v>279</v>
      </c>
      <c r="I62" s="167" t="s">
        <v>178</v>
      </c>
      <c r="J62" s="167" t="s">
        <v>280</v>
      </c>
      <c r="K62" s="167" t="s">
        <v>170</v>
      </c>
      <c r="L62" s="167" t="s">
        <v>548</v>
      </c>
      <c r="M62" s="167" t="s">
        <v>517</v>
      </c>
      <c r="N62" s="167" t="s">
        <v>2387</v>
      </c>
      <c r="O62" s="12" t="str">
        <f>_xlfn.DISPIMG("ID_8CF817D3A8834773857DA1D47188BF1C",1)</f>
        <v>=DISPIMG("ID_8CF817D3A8834773857DA1D47188BF1C",1)</v>
      </c>
      <c r="P62" s="11" t="s">
        <v>2388</v>
      </c>
      <c r="Q62" s="11">
        <v>283</v>
      </c>
      <c r="R62" s="17" t="s">
        <v>4375</v>
      </c>
      <c r="S62" s="18" t="s">
        <v>39</v>
      </c>
      <c r="T62" s="11">
        <v>6</v>
      </c>
    </row>
    <row r="63" s="3" customFormat="1" customHeight="1" spans="1:20">
      <c r="A63" s="167" t="s">
        <v>2445</v>
      </c>
      <c r="B63" s="167" t="s">
        <v>165</v>
      </c>
      <c r="C63" s="167" t="s">
        <v>2446</v>
      </c>
      <c r="D63" s="11">
        <v>15270593089</v>
      </c>
      <c r="E63" s="167" t="s">
        <v>278</v>
      </c>
      <c r="F63" s="167" t="s">
        <v>28</v>
      </c>
      <c r="G63" s="11">
        <v>202103001</v>
      </c>
      <c r="H63" s="167" t="s">
        <v>279</v>
      </c>
      <c r="I63" s="167" t="s">
        <v>367</v>
      </c>
      <c r="J63" s="167" t="s">
        <v>280</v>
      </c>
      <c r="K63" s="167" t="s">
        <v>170</v>
      </c>
      <c r="L63" s="167" t="s">
        <v>161</v>
      </c>
      <c r="M63" s="167" t="s">
        <v>517</v>
      </c>
      <c r="N63" s="167" t="s">
        <v>2448</v>
      </c>
      <c r="O63" s="12" t="str">
        <f>_xlfn.DISPIMG("ID_5A60F5CEF6FD4D2AB2A12133308D2C7D",1)</f>
        <v>=DISPIMG("ID_5A60F5CEF6FD4D2AB2A12133308D2C7D",1)</v>
      </c>
      <c r="P63" s="11" t="s">
        <v>2449</v>
      </c>
      <c r="Q63" s="11">
        <v>291</v>
      </c>
      <c r="R63" s="17" t="s">
        <v>4376</v>
      </c>
      <c r="S63" s="18" t="s">
        <v>39</v>
      </c>
      <c r="T63" s="11">
        <v>7</v>
      </c>
    </row>
    <row r="64" s="3" customFormat="1" customHeight="1" spans="1:20">
      <c r="A64" s="167" t="s">
        <v>2487</v>
      </c>
      <c r="B64" s="167" t="s">
        <v>165</v>
      </c>
      <c r="C64" s="167" t="s">
        <v>2488</v>
      </c>
      <c r="D64" s="11">
        <v>18979216011</v>
      </c>
      <c r="E64" s="167" t="s">
        <v>278</v>
      </c>
      <c r="F64" s="167" t="s">
        <v>28</v>
      </c>
      <c r="G64" s="11">
        <v>202103001</v>
      </c>
      <c r="H64" s="167" t="s">
        <v>157</v>
      </c>
      <c r="I64" s="167" t="s">
        <v>178</v>
      </c>
      <c r="J64" s="167" t="s">
        <v>280</v>
      </c>
      <c r="K64" s="167" t="s">
        <v>170</v>
      </c>
      <c r="L64" s="167" t="s">
        <v>2490</v>
      </c>
      <c r="M64" s="167" t="s">
        <v>28</v>
      </c>
      <c r="N64" s="167" t="s">
        <v>2491</v>
      </c>
      <c r="O64" s="12" t="str">
        <f>_xlfn.DISPIMG("ID_53B9839AEAC4407495ABBD356F420DDD",1)</f>
        <v>=DISPIMG("ID_53B9839AEAC4407495ABBD356F420DDD",1)</v>
      </c>
      <c r="P64" s="11" t="s">
        <v>2492</v>
      </c>
      <c r="Q64" s="11">
        <v>297</v>
      </c>
      <c r="R64" s="17" t="s">
        <v>4377</v>
      </c>
      <c r="S64" s="18" t="s">
        <v>39</v>
      </c>
      <c r="T64" s="11">
        <v>18</v>
      </c>
    </row>
    <row r="65" s="3" customFormat="1" customHeight="1" spans="1:20">
      <c r="A65" s="167" t="s">
        <v>2501</v>
      </c>
      <c r="B65" s="167" t="s">
        <v>165</v>
      </c>
      <c r="C65" s="167" t="s">
        <v>2502</v>
      </c>
      <c r="D65" s="11">
        <v>18779413916</v>
      </c>
      <c r="E65" s="167" t="s">
        <v>278</v>
      </c>
      <c r="F65" s="167" t="s">
        <v>28</v>
      </c>
      <c r="G65" s="11">
        <v>202103001</v>
      </c>
      <c r="H65" s="167" t="s">
        <v>279</v>
      </c>
      <c r="I65" s="167" t="s">
        <v>876</v>
      </c>
      <c r="J65" s="167" t="s">
        <v>1684</v>
      </c>
      <c r="K65" s="167" t="s">
        <v>170</v>
      </c>
      <c r="L65" s="167" t="s">
        <v>171</v>
      </c>
      <c r="M65" s="167" t="s">
        <v>2504</v>
      </c>
      <c r="N65" s="167" t="s">
        <v>2505</v>
      </c>
      <c r="O65" s="12" t="str">
        <f>_xlfn.DISPIMG("ID_515277FD8D2D40318D429A7BA8ADC69C",1)</f>
        <v>=DISPIMG("ID_515277FD8D2D40318D429A7BA8ADC69C",1)</v>
      </c>
      <c r="P65" s="11" t="s">
        <v>2506</v>
      </c>
      <c r="Q65" s="11">
        <v>299</v>
      </c>
      <c r="R65" s="17" t="s">
        <v>4378</v>
      </c>
      <c r="S65" s="18" t="s">
        <v>39</v>
      </c>
      <c r="T65" s="11">
        <v>19</v>
      </c>
    </row>
    <row r="66" s="3" customFormat="1" customHeight="1" spans="1:20">
      <c r="A66" s="167" t="s">
        <v>2509</v>
      </c>
      <c r="B66" s="167" t="s">
        <v>165</v>
      </c>
      <c r="C66" s="167" t="s">
        <v>2510</v>
      </c>
      <c r="D66" s="11">
        <v>15170261589</v>
      </c>
      <c r="E66" s="167" t="s">
        <v>278</v>
      </c>
      <c r="F66" s="167" t="s">
        <v>28</v>
      </c>
      <c r="G66" s="11">
        <v>202103001</v>
      </c>
      <c r="H66" s="167" t="s">
        <v>279</v>
      </c>
      <c r="I66" s="167" t="s">
        <v>168</v>
      </c>
      <c r="J66" s="167" t="s">
        <v>280</v>
      </c>
      <c r="K66" s="167" t="s">
        <v>170</v>
      </c>
      <c r="L66" s="167" t="s">
        <v>171</v>
      </c>
      <c r="M66" s="167" t="s">
        <v>28</v>
      </c>
      <c r="N66" s="167" t="s">
        <v>2512</v>
      </c>
      <c r="O66" s="12" t="str">
        <f>_xlfn.DISPIMG("ID_7074182E322C4D868E189D169988DEEF",1)</f>
        <v>=DISPIMG("ID_7074182E322C4D868E189D169988DEEF",1)</v>
      </c>
      <c r="P66" s="11" t="s">
        <v>2513</v>
      </c>
      <c r="Q66" s="11">
        <v>300</v>
      </c>
      <c r="R66" s="17" t="s">
        <v>4379</v>
      </c>
      <c r="S66" s="18" t="s">
        <v>39</v>
      </c>
      <c r="T66" s="11">
        <v>30</v>
      </c>
    </row>
    <row r="67" s="3" customFormat="1" customHeight="1" spans="1:20">
      <c r="A67" s="167" t="s">
        <v>2615</v>
      </c>
      <c r="B67" s="167" t="s">
        <v>165</v>
      </c>
      <c r="C67" s="167" t="s">
        <v>2616</v>
      </c>
      <c r="D67" s="11">
        <v>18779299651</v>
      </c>
      <c r="E67" s="167" t="s">
        <v>278</v>
      </c>
      <c r="F67" s="167" t="s">
        <v>28</v>
      </c>
      <c r="G67" s="11">
        <v>202103001</v>
      </c>
      <c r="H67" s="167" t="s">
        <v>585</v>
      </c>
      <c r="I67" s="167" t="s">
        <v>367</v>
      </c>
      <c r="J67" s="167" t="s">
        <v>280</v>
      </c>
      <c r="K67" s="167" t="s">
        <v>170</v>
      </c>
      <c r="L67" s="167" t="s">
        <v>306</v>
      </c>
      <c r="M67" s="167" t="s">
        <v>585</v>
      </c>
      <c r="N67" s="167" t="s">
        <v>2617</v>
      </c>
      <c r="O67" s="12" t="str">
        <f>_xlfn.DISPIMG("ID_D88361D0AC4F40C29B491840D8C35568",1)</f>
        <v>=DISPIMG("ID_D88361D0AC4F40C29B491840D8C35568",1)</v>
      </c>
      <c r="P67" s="11" t="s">
        <v>2618</v>
      </c>
      <c r="Q67" s="11">
        <v>314</v>
      </c>
      <c r="R67" s="17" t="s">
        <v>4380</v>
      </c>
      <c r="S67" s="18" t="s">
        <v>39</v>
      </c>
      <c r="T67" s="11">
        <v>5</v>
      </c>
    </row>
    <row r="68" s="3" customFormat="1" customHeight="1" spans="1:20">
      <c r="A68" s="167" t="s">
        <v>2651</v>
      </c>
      <c r="B68" s="167" t="s">
        <v>165</v>
      </c>
      <c r="C68" s="167" t="s">
        <v>2652</v>
      </c>
      <c r="D68" s="11">
        <v>18779275146</v>
      </c>
      <c r="E68" s="167" t="s">
        <v>278</v>
      </c>
      <c r="F68" s="167" t="s">
        <v>28</v>
      </c>
      <c r="G68" s="11">
        <v>202103001</v>
      </c>
      <c r="H68" s="167" t="s">
        <v>279</v>
      </c>
      <c r="I68" s="167" t="s">
        <v>367</v>
      </c>
      <c r="J68" s="167" t="s">
        <v>960</v>
      </c>
      <c r="K68" s="167" t="s">
        <v>170</v>
      </c>
      <c r="L68" s="167" t="s">
        <v>261</v>
      </c>
      <c r="M68" s="167" t="s">
        <v>2654</v>
      </c>
      <c r="N68" s="167" t="s">
        <v>2655</v>
      </c>
      <c r="O68" s="12" t="str">
        <f>_xlfn.DISPIMG("ID_1078F268CB1D42879EB5D176263AD754",1)</f>
        <v>=DISPIMG("ID_1078F268CB1D42879EB5D176263AD754",1)</v>
      </c>
      <c r="P68" s="11" t="s">
        <v>2656</v>
      </c>
      <c r="Q68" s="11">
        <v>319</v>
      </c>
      <c r="R68" s="17" t="s">
        <v>4381</v>
      </c>
      <c r="S68" s="18" t="s">
        <v>39</v>
      </c>
      <c r="T68" s="11">
        <v>8</v>
      </c>
    </row>
    <row r="69" s="3" customFormat="1" customHeight="1" spans="1:20">
      <c r="A69" s="167" t="s">
        <v>2666</v>
      </c>
      <c r="B69" s="167" t="s">
        <v>165</v>
      </c>
      <c r="C69" s="167" t="s">
        <v>2667</v>
      </c>
      <c r="D69" s="11">
        <v>13367011157</v>
      </c>
      <c r="E69" s="167" t="s">
        <v>278</v>
      </c>
      <c r="F69" s="167" t="s">
        <v>28</v>
      </c>
      <c r="G69" s="11">
        <v>202103001</v>
      </c>
      <c r="H69" s="167" t="s">
        <v>279</v>
      </c>
      <c r="I69" s="167" t="s">
        <v>2669</v>
      </c>
      <c r="J69" s="167" t="s">
        <v>280</v>
      </c>
      <c r="K69" s="167" t="s">
        <v>170</v>
      </c>
      <c r="L69" s="167" t="s">
        <v>368</v>
      </c>
      <c r="M69" s="167" t="s">
        <v>340</v>
      </c>
      <c r="N69" s="167" t="s">
        <v>2670</v>
      </c>
      <c r="O69" s="12" t="str">
        <f>_xlfn.DISPIMG("ID_F3E1E6ADC00F4323859304E86EC6B8D9",1)</f>
        <v>=DISPIMG("ID_F3E1E6ADC00F4323859304E86EC6B8D9",1)</v>
      </c>
      <c r="P69" s="11" t="s">
        <v>2671</v>
      </c>
      <c r="Q69" s="11">
        <v>321</v>
      </c>
      <c r="R69" s="17" t="s">
        <v>4382</v>
      </c>
      <c r="S69" s="18" t="s">
        <v>39</v>
      </c>
      <c r="T69" s="11">
        <v>17</v>
      </c>
    </row>
    <row r="70" s="3" customFormat="1" customHeight="1" spans="1:20">
      <c r="A70" s="167" t="s">
        <v>2691</v>
      </c>
      <c r="B70" s="167" t="s">
        <v>165</v>
      </c>
      <c r="C70" s="167" t="s">
        <v>2692</v>
      </c>
      <c r="D70" s="11">
        <v>13361724916</v>
      </c>
      <c r="E70" s="167" t="s">
        <v>278</v>
      </c>
      <c r="F70" s="167" t="s">
        <v>28</v>
      </c>
      <c r="G70" s="11">
        <v>202103001</v>
      </c>
      <c r="H70" s="167" t="s">
        <v>585</v>
      </c>
      <c r="I70" s="167" t="s">
        <v>367</v>
      </c>
      <c r="J70" s="167" t="s">
        <v>586</v>
      </c>
      <c r="K70" s="167" t="s">
        <v>170</v>
      </c>
      <c r="L70" s="167" t="s">
        <v>2685</v>
      </c>
      <c r="M70" s="167" t="s">
        <v>2686</v>
      </c>
      <c r="N70" s="167" t="s">
        <v>2694</v>
      </c>
      <c r="O70" s="12" t="str">
        <f>_xlfn.DISPIMG("ID_80BD79931C0D4F069B4BB278F0D6EACF",1)</f>
        <v>=DISPIMG("ID_80BD79931C0D4F069B4BB278F0D6EACF",1)</v>
      </c>
      <c r="P70" s="11" t="s">
        <v>2695</v>
      </c>
      <c r="Q70" s="11">
        <v>324</v>
      </c>
      <c r="R70" s="17" t="s">
        <v>4383</v>
      </c>
      <c r="S70" s="18" t="s">
        <v>39</v>
      </c>
      <c r="T70" s="11">
        <v>20</v>
      </c>
    </row>
    <row r="71" s="3" customFormat="1" customHeight="1" spans="1:20">
      <c r="A71" s="167" t="s">
        <v>2739</v>
      </c>
      <c r="B71" s="167" t="s">
        <v>165</v>
      </c>
      <c r="C71" s="167" t="s">
        <v>2740</v>
      </c>
      <c r="D71" s="11">
        <v>15180645133</v>
      </c>
      <c r="E71" s="167" t="s">
        <v>278</v>
      </c>
      <c r="F71" s="167" t="s">
        <v>28</v>
      </c>
      <c r="G71" s="11">
        <v>202103001</v>
      </c>
      <c r="H71" s="167" t="s">
        <v>279</v>
      </c>
      <c r="I71" s="167" t="s">
        <v>2741</v>
      </c>
      <c r="J71" s="167" t="s">
        <v>2742</v>
      </c>
      <c r="K71" s="167" t="s">
        <v>160</v>
      </c>
      <c r="L71" s="167" t="s">
        <v>577</v>
      </c>
      <c r="M71" s="167" t="s">
        <v>28</v>
      </c>
      <c r="N71" s="11">
        <v>0</v>
      </c>
      <c r="O71" s="12" t="str">
        <f>_xlfn.DISPIMG("ID_DBC66D2ED4394B2EABDB1526C646D9F0",1)</f>
        <v>=DISPIMG("ID_DBC66D2ED4394B2EABDB1526C646D9F0",1)</v>
      </c>
      <c r="P71" s="11" t="s">
        <v>2743</v>
      </c>
      <c r="Q71" s="11">
        <v>331</v>
      </c>
      <c r="R71" s="17" t="s">
        <v>4384</v>
      </c>
      <c r="S71" s="18" t="s">
        <v>39</v>
      </c>
      <c r="T71" s="11">
        <v>29</v>
      </c>
    </row>
    <row r="72" s="3" customFormat="1" customHeight="1" spans="1:20">
      <c r="A72" s="167" t="s">
        <v>2746</v>
      </c>
      <c r="B72" s="167" t="s">
        <v>165</v>
      </c>
      <c r="C72" s="167" t="s">
        <v>2747</v>
      </c>
      <c r="D72" s="11">
        <v>13479871563</v>
      </c>
      <c r="E72" s="167" t="s">
        <v>278</v>
      </c>
      <c r="F72" s="167" t="s">
        <v>28</v>
      </c>
      <c r="G72" s="11">
        <v>202103001</v>
      </c>
      <c r="H72" s="167" t="s">
        <v>279</v>
      </c>
      <c r="I72" s="167" t="s">
        <v>1432</v>
      </c>
      <c r="J72" s="167" t="s">
        <v>280</v>
      </c>
      <c r="K72" s="167" t="s">
        <v>170</v>
      </c>
      <c r="L72" s="167" t="s">
        <v>2221</v>
      </c>
      <c r="M72" s="167" t="s">
        <v>340</v>
      </c>
      <c r="N72" s="167" t="s">
        <v>2749</v>
      </c>
      <c r="O72" s="12" t="str">
        <f>_xlfn.DISPIMG("ID_88F87A068C9F46F1A08F32919B53F4F3",1)</f>
        <v>=DISPIMG("ID_88F87A068C9F46F1A08F32919B53F4F3",1)</v>
      </c>
      <c r="P72" s="11" t="s">
        <v>2750</v>
      </c>
      <c r="Q72" s="11">
        <v>332</v>
      </c>
      <c r="R72" s="17" t="s">
        <v>4385</v>
      </c>
      <c r="S72" s="18" t="s">
        <v>39</v>
      </c>
      <c r="T72" s="11">
        <v>4</v>
      </c>
    </row>
    <row r="73" s="3" customFormat="1" customHeight="1" spans="1:20">
      <c r="A73" s="167" t="s">
        <v>2796</v>
      </c>
      <c r="B73" s="167" t="s">
        <v>165</v>
      </c>
      <c r="C73" s="167" t="s">
        <v>2797</v>
      </c>
      <c r="D73" s="11">
        <v>15079245341</v>
      </c>
      <c r="E73" s="167" t="s">
        <v>278</v>
      </c>
      <c r="F73" s="167" t="s">
        <v>28</v>
      </c>
      <c r="G73" s="11">
        <v>202103001</v>
      </c>
      <c r="H73" s="167" t="s">
        <v>279</v>
      </c>
      <c r="I73" s="167" t="s">
        <v>2799</v>
      </c>
      <c r="J73" s="167" t="s">
        <v>1489</v>
      </c>
      <c r="K73" s="167" t="s">
        <v>170</v>
      </c>
      <c r="L73" s="167" t="s">
        <v>2800</v>
      </c>
      <c r="M73" s="167" t="s">
        <v>28</v>
      </c>
      <c r="N73" s="167" t="s">
        <v>2801</v>
      </c>
      <c r="O73" s="12" t="str">
        <f>_xlfn.DISPIMG("ID_CE28F2C62DED40E5A2B6EB31752867C6",1)</f>
        <v>=DISPIMG("ID_CE28F2C62DED40E5A2B6EB31752867C6",1)</v>
      </c>
      <c r="P73" s="11" t="s">
        <v>2802</v>
      </c>
      <c r="Q73" s="11">
        <v>339</v>
      </c>
      <c r="R73" s="17" t="s">
        <v>4386</v>
      </c>
      <c r="S73" s="18" t="s">
        <v>39</v>
      </c>
      <c r="T73" s="11">
        <v>9</v>
      </c>
    </row>
    <row r="74" s="3" customFormat="1" customHeight="1" spans="1:20">
      <c r="A74" s="167" t="s">
        <v>2825</v>
      </c>
      <c r="B74" s="167" t="s">
        <v>165</v>
      </c>
      <c r="C74" s="167" t="s">
        <v>2826</v>
      </c>
      <c r="D74" s="11">
        <v>13177721280</v>
      </c>
      <c r="E74" s="167" t="s">
        <v>278</v>
      </c>
      <c r="F74" s="167" t="s">
        <v>28</v>
      </c>
      <c r="G74" s="11">
        <v>202103001</v>
      </c>
      <c r="H74" s="167" t="s">
        <v>279</v>
      </c>
      <c r="I74" s="167" t="s">
        <v>1237</v>
      </c>
      <c r="J74" s="167" t="s">
        <v>280</v>
      </c>
      <c r="K74" s="167" t="s">
        <v>170</v>
      </c>
      <c r="L74" s="167" t="s">
        <v>261</v>
      </c>
      <c r="M74" s="167" t="s">
        <v>340</v>
      </c>
      <c r="N74" s="11">
        <v>0</v>
      </c>
      <c r="O74" s="12" t="str">
        <f>_xlfn.DISPIMG("ID_F08BB5C3B75D4962A37212B4DDDA960C",1)</f>
        <v>=DISPIMG("ID_F08BB5C3B75D4962A37212B4DDDA960C",1)</v>
      </c>
      <c r="P74" s="11" t="s">
        <v>2828</v>
      </c>
      <c r="Q74" s="11">
        <v>343</v>
      </c>
      <c r="R74" s="17" t="s">
        <v>4387</v>
      </c>
      <c r="S74" s="18" t="s">
        <v>39</v>
      </c>
      <c r="T74" s="11">
        <v>16</v>
      </c>
    </row>
    <row r="75" s="3" customFormat="1" customHeight="1" spans="1:20">
      <c r="A75" s="167" t="s">
        <v>2854</v>
      </c>
      <c r="B75" s="167" t="s">
        <v>165</v>
      </c>
      <c r="C75" s="167" t="s">
        <v>2855</v>
      </c>
      <c r="D75" s="11">
        <v>18720256092</v>
      </c>
      <c r="E75" s="167" t="s">
        <v>278</v>
      </c>
      <c r="F75" s="167" t="s">
        <v>28</v>
      </c>
      <c r="G75" s="11">
        <v>202103001</v>
      </c>
      <c r="H75" s="167" t="s">
        <v>279</v>
      </c>
      <c r="I75" s="167" t="s">
        <v>2857</v>
      </c>
      <c r="J75" s="167" t="s">
        <v>586</v>
      </c>
      <c r="K75" s="167" t="s">
        <v>170</v>
      </c>
      <c r="L75" s="167" t="s">
        <v>235</v>
      </c>
      <c r="M75" s="167" t="s">
        <v>586</v>
      </c>
      <c r="N75" s="167" t="s">
        <v>2858</v>
      </c>
      <c r="O75" s="12" t="str">
        <f>_xlfn.DISPIMG("ID_11ED1DBBC626428D97C7101FAED1566F",1)</f>
        <v>=DISPIMG("ID_11ED1DBBC626428D97C7101FAED1566F",1)</v>
      </c>
      <c r="P75" s="11" t="s">
        <v>2859</v>
      </c>
      <c r="Q75" s="11">
        <v>347</v>
      </c>
      <c r="R75" s="17" t="s">
        <v>4388</v>
      </c>
      <c r="S75" s="18" t="s">
        <v>39</v>
      </c>
      <c r="T75" s="11">
        <v>21</v>
      </c>
    </row>
    <row r="76" s="3" customFormat="1" customHeight="1" spans="1:20">
      <c r="A76" s="167" t="s">
        <v>2862</v>
      </c>
      <c r="B76" s="167" t="s">
        <v>165</v>
      </c>
      <c r="C76" s="167" t="s">
        <v>2863</v>
      </c>
      <c r="D76" s="11">
        <v>16623154389</v>
      </c>
      <c r="E76" s="167" t="s">
        <v>278</v>
      </c>
      <c r="F76" s="167" t="s">
        <v>28</v>
      </c>
      <c r="G76" s="11">
        <v>202103001</v>
      </c>
      <c r="H76" s="167" t="s">
        <v>585</v>
      </c>
      <c r="I76" s="167" t="s">
        <v>2865</v>
      </c>
      <c r="J76" s="167" t="s">
        <v>280</v>
      </c>
      <c r="K76" s="167" t="s">
        <v>170</v>
      </c>
      <c r="L76" s="167" t="s">
        <v>577</v>
      </c>
      <c r="M76" s="167" t="s">
        <v>2866</v>
      </c>
      <c r="N76" s="167" t="s">
        <v>2867</v>
      </c>
      <c r="O76" s="12" t="str">
        <f>_xlfn.DISPIMG("ID_2A4EA762BC734560A58995F31757BD03",1)</f>
        <v>=DISPIMG("ID_2A4EA762BC734560A58995F31757BD03",1)</v>
      </c>
      <c r="P76" s="11" t="s">
        <v>2868</v>
      </c>
      <c r="Q76" s="11">
        <v>348</v>
      </c>
      <c r="R76" s="17" t="s">
        <v>4389</v>
      </c>
      <c r="S76" s="18" t="s">
        <v>39</v>
      </c>
      <c r="T76" s="11">
        <v>28</v>
      </c>
    </row>
    <row r="77" s="3" customFormat="1" customHeight="1" spans="1:20">
      <c r="A77" s="167" t="s">
        <v>2887</v>
      </c>
      <c r="B77" s="167" t="s">
        <v>165</v>
      </c>
      <c r="C77" s="167" t="s">
        <v>2888</v>
      </c>
      <c r="D77" s="11">
        <v>15879243291</v>
      </c>
      <c r="E77" s="167" t="s">
        <v>278</v>
      </c>
      <c r="F77" s="167" t="s">
        <v>28</v>
      </c>
      <c r="G77" s="11">
        <v>202103001</v>
      </c>
      <c r="H77" s="167" t="s">
        <v>279</v>
      </c>
      <c r="I77" s="167" t="s">
        <v>2890</v>
      </c>
      <c r="J77" s="167" t="s">
        <v>280</v>
      </c>
      <c r="K77" s="167" t="s">
        <v>170</v>
      </c>
      <c r="L77" s="167" t="s">
        <v>261</v>
      </c>
      <c r="M77" s="167" t="s">
        <v>2462</v>
      </c>
      <c r="N77" s="167" t="s">
        <v>2891</v>
      </c>
      <c r="O77" s="12" t="str">
        <f>_xlfn.DISPIMG("ID_0C2059A8D9A84C38B1CE4EFB24FA358E",1)</f>
        <v>=DISPIMG("ID_0C2059A8D9A84C38B1CE4EFB24FA358E",1)</v>
      </c>
      <c r="P77" s="11" t="s">
        <v>2892</v>
      </c>
      <c r="Q77" s="11">
        <v>351</v>
      </c>
      <c r="R77" s="17" t="s">
        <v>4390</v>
      </c>
      <c r="S77" s="18" t="s">
        <v>39</v>
      </c>
      <c r="T77" s="11">
        <v>3</v>
      </c>
    </row>
    <row r="78" s="3" customFormat="1" customHeight="1" spans="1:20">
      <c r="A78" s="167" t="s">
        <v>2908</v>
      </c>
      <c r="B78" s="167" t="s">
        <v>165</v>
      </c>
      <c r="C78" s="167" t="s">
        <v>2909</v>
      </c>
      <c r="D78" s="11">
        <v>15180608812</v>
      </c>
      <c r="E78" s="167" t="s">
        <v>278</v>
      </c>
      <c r="F78" s="167" t="s">
        <v>28</v>
      </c>
      <c r="G78" s="11">
        <v>202103001</v>
      </c>
      <c r="H78" s="167" t="s">
        <v>279</v>
      </c>
      <c r="I78" s="167" t="s">
        <v>732</v>
      </c>
      <c r="J78" s="167" t="s">
        <v>280</v>
      </c>
      <c r="K78" s="167" t="s">
        <v>170</v>
      </c>
      <c r="L78" s="167" t="s">
        <v>216</v>
      </c>
      <c r="M78" s="167" t="s">
        <v>340</v>
      </c>
      <c r="N78" s="167" t="s">
        <v>2911</v>
      </c>
      <c r="O78" s="12" t="str">
        <f>_xlfn.DISPIMG("ID_2372D216C4084B2F90A1624776C89F44",1)</f>
        <v>=DISPIMG("ID_2372D216C4084B2F90A1624776C89F44",1)</v>
      </c>
      <c r="P78" s="11" t="s">
        <v>2912</v>
      </c>
      <c r="Q78" s="11">
        <v>354</v>
      </c>
      <c r="R78" s="17" t="s">
        <v>4391</v>
      </c>
      <c r="S78" s="18" t="s">
        <v>39</v>
      </c>
      <c r="T78" s="11">
        <v>10</v>
      </c>
    </row>
    <row r="79" s="3" customFormat="1" customHeight="1" spans="1:20">
      <c r="A79" s="167" t="s">
        <v>3015</v>
      </c>
      <c r="B79" s="167" t="s">
        <v>165</v>
      </c>
      <c r="C79" s="167" t="s">
        <v>3016</v>
      </c>
      <c r="D79" s="11">
        <v>15779237225</v>
      </c>
      <c r="E79" s="167" t="s">
        <v>278</v>
      </c>
      <c r="F79" s="167" t="s">
        <v>28</v>
      </c>
      <c r="G79" s="11">
        <v>202103001</v>
      </c>
      <c r="H79" s="167" t="s">
        <v>585</v>
      </c>
      <c r="I79" s="167" t="s">
        <v>3018</v>
      </c>
      <c r="J79" s="167" t="s">
        <v>586</v>
      </c>
      <c r="K79" s="167" t="s">
        <v>170</v>
      </c>
      <c r="L79" s="167" t="s">
        <v>1346</v>
      </c>
      <c r="M79" s="167" t="s">
        <v>340</v>
      </c>
      <c r="N79" s="167" t="s">
        <v>3019</v>
      </c>
      <c r="O79" s="12" t="str">
        <f>_xlfn.DISPIMG("ID_5D71807FA9B14D55B579AC354805CDFB",1)</f>
        <v>=DISPIMG("ID_5D71807FA9B14D55B579AC354805CDFB",1)</v>
      </c>
      <c r="P79" s="11" t="s">
        <v>3020</v>
      </c>
      <c r="Q79" s="11">
        <v>372</v>
      </c>
      <c r="R79" s="17" t="s">
        <v>4392</v>
      </c>
      <c r="S79" s="18" t="s">
        <v>39</v>
      </c>
      <c r="T79" s="11">
        <v>15</v>
      </c>
    </row>
    <row r="80" s="4" customFormat="1" customHeight="1" spans="1:20">
      <c r="A80" s="167" t="s">
        <v>3136</v>
      </c>
      <c r="B80" s="167" t="s">
        <v>165</v>
      </c>
      <c r="C80" s="167" t="s">
        <v>3137</v>
      </c>
      <c r="D80" s="11">
        <v>13207912916</v>
      </c>
      <c r="E80" s="167" t="s">
        <v>278</v>
      </c>
      <c r="F80" s="167" t="s">
        <v>28</v>
      </c>
      <c r="G80" s="11">
        <v>202103001</v>
      </c>
      <c r="H80" s="167" t="s">
        <v>157</v>
      </c>
      <c r="I80" s="167" t="s">
        <v>233</v>
      </c>
      <c r="J80" s="167" t="s">
        <v>280</v>
      </c>
      <c r="K80" s="167" t="s">
        <v>170</v>
      </c>
      <c r="L80" s="167" t="s">
        <v>199</v>
      </c>
      <c r="M80" s="167" t="s">
        <v>517</v>
      </c>
      <c r="N80" s="167" t="s">
        <v>3139</v>
      </c>
      <c r="O80" s="12" t="str">
        <f>_xlfn.DISPIMG("ID_5DD0D632EE9F43A696BEAC7A2AD60F9E",1)</f>
        <v>=DISPIMG("ID_5DD0D632EE9F43A696BEAC7A2AD60F9E",1)</v>
      </c>
      <c r="P80" s="11" t="s">
        <v>3140</v>
      </c>
      <c r="Q80" s="11">
        <v>388</v>
      </c>
      <c r="R80" s="17" t="s">
        <v>4393</v>
      </c>
      <c r="S80" s="18" t="s">
        <v>39</v>
      </c>
      <c r="T80" s="11">
        <v>22</v>
      </c>
    </row>
    <row r="81" s="3" customFormat="1" customHeight="1" spans="1:20">
      <c r="A81" s="167" t="s">
        <v>3143</v>
      </c>
      <c r="B81" s="167" t="s">
        <v>165</v>
      </c>
      <c r="C81" s="167" t="s">
        <v>3144</v>
      </c>
      <c r="D81" s="11">
        <v>18046721566</v>
      </c>
      <c r="E81" s="167" t="s">
        <v>278</v>
      </c>
      <c r="F81" s="167" t="s">
        <v>28</v>
      </c>
      <c r="G81" s="11">
        <v>202103001</v>
      </c>
      <c r="H81" s="167" t="s">
        <v>279</v>
      </c>
      <c r="I81" s="167" t="s">
        <v>367</v>
      </c>
      <c r="J81" s="167" t="s">
        <v>169</v>
      </c>
      <c r="K81" s="167" t="s">
        <v>170</v>
      </c>
      <c r="L81" s="167" t="s">
        <v>2685</v>
      </c>
      <c r="M81" s="167" t="s">
        <v>3146</v>
      </c>
      <c r="N81" s="167" t="s">
        <v>3147</v>
      </c>
      <c r="O81" s="12" t="str">
        <f>_xlfn.DISPIMG("ID_A94A4E6038894CA88A82184D1877D675",1)</f>
        <v>=DISPIMG("ID_A94A4E6038894CA88A82184D1877D675",1)</v>
      </c>
      <c r="P81" s="11" t="s">
        <v>3148</v>
      </c>
      <c r="Q81" s="11">
        <v>389</v>
      </c>
      <c r="R81" s="17" t="s">
        <v>4394</v>
      </c>
      <c r="S81" s="18" t="s">
        <v>39</v>
      </c>
      <c r="T81" s="11">
        <v>27</v>
      </c>
    </row>
    <row r="82" s="3" customFormat="1" customHeight="1" spans="1:20">
      <c r="A82" s="167" t="s">
        <v>1429</v>
      </c>
      <c r="B82" s="167" t="s">
        <v>165</v>
      </c>
      <c r="C82" s="167" t="s">
        <v>1430</v>
      </c>
      <c r="D82" s="11">
        <v>15779219115</v>
      </c>
      <c r="E82" s="167" t="s">
        <v>278</v>
      </c>
      <c r="F82" s="167" t="s">
        <v>28</v>
      </c>
      <c r="G82" s="11">
        <v>202103001</v>
      </c>
      <c r="H82" s="167" t="s">
        <v>279</v>
      </c>
      <c r="I82" s="167" t="s">
        <v>1432</v>
      </c>
      <c r="J82" s="167" t="s">
        <v>1433</v>
      </c>
      <c r="K82" s="167" t="s">
        <v>170</v>
      </c>
      <c r="L82" s="167" t="s">
        <v>261</v>
      </c>
      <c r="M82" s="167" t="s">
        <v>1013</v>
      </c>
      <c r="N82" s="167" t="s">
        <v>1435</v>
      </c>
      <c r="O82" s="12" t="str">
        <f>_xlfn.DISPIMG("ID_2AA0C0867EDA4E25AC1B455524935955",1)</f>
        <v>=DISPIMG("ID_2AA0C0867EDA4E25AC1B455524935955",1)</v>
      </c>
      <c r="P82" s="11" t="s">
        <v>1436</v>
      </c>
      <c r="Q82" s="11">
        <v>391</v>
      </c>
      <c r="R82" s="17" t="s">
        <v>4395</v>
      </c>
      <c r="S82" s="18" t="s">
        <v>39</v>
      </c>
      <c r="T82" s="11">
        <v>2</v>
      </c>
    </row>
    <row r="83" s="3" customFormat="1" customHeight="1" spans="1:20">
      <c r="A83" s="167" t="s">
        <v>3172</v>
      </c>
      <c r="B83" s="167" t="s">
        <v>165</v>
      </c>
      <c r="C83" s="167" t="s">
        <v>3173</v>
      </c>
      <c r="D83" s="11">
        <v>18970280941</v>
      </c>
      <c r="E83" s="167" t="s">
        <v>278</v>
      </c>
      <c r="F83" s="167" t="s">
        <v>28</v>
      </c>
      <c r="G83" s="11">
        <v>202103001</v>
      </c>
      <c r="H83" s="167" t="s">
        <v>585</v>
      </c>
      <c r="I83" s="167" t="s">
        <v>3174</v>
      </c>
      <c r="J83" s="167" t="s">
        <v>586</v>
      </c>
      <c r="K83" s="167" t="s">
        <v>170</v>
      </c>
      <c r="L83" s="167" t="s">
        <v>3039</v>
      </c>
      <c r="M83" s="167" t="s">
        <v>340</v>
      </c>
      <c r="N83" s="167" t="s">
        <v>3175</v>
      </c>
      <c r="O83" s="12" t="str">
        <f>_xlfn.DISPIMG("ID_0094E289D6FF483F911D447623CD2A7B",1)</f>
        <v>=DISPIMG("ID_0094E289D6FF483F911D447623CD2A7B",1)</v>
      </c>
      <c r="P83" s="11" t="s">
        <v>3176</v>
      </c>
      <c r="Q83" s="11">
        <v>394</v>
      </c>
      <c r="R83" s="17" t="s">
        <v>4396</v>
      </c>
      <c r="S83" s="18" t="s">
        <v>39</v>
      </c>
      <c r="T83" s="11">
        <v>11</v>
      </c>
    </row>
    <row r="84" s="3" customFormat="1" customHeight="1" spans="1:20">
      <c r="A84" s="167" t="s">
        <v>3234</v>
      </c>
      <c r="B84" s="167" t="s">
        <v>165</v>
      </c>
      <c r="C84" s="167" t="s">
        <v>3235</v>
      </c>
      <c r="D84" s="11">
        <v>15083801983</v>
      </c>
      <c r="E84" s="167" t="s">
        <v>278</v>
      </c>
      <c r="F84" s="167" t="s">
        <v>28</v>
      </c>
      <c r="G84" s="11">
        <v>202103001</v>
      </c>
      <c r="H84" s="167" t="s">
        <v>279</v>
      </c>
      <c r="I84" s="167" t="s">
        <v>339</v>
      </c>
      <c r="J84" s="167" t="s">
        <v>960</v>
      </c>
      <c r="K84" s="167" t="s">
        <v>170</v>
      </c>
      <c r="L84" s="167" t="s">
        <v>2935</v>
      </c>
      <c r="M84" s="167" t="s">
        <v>376</v>
      </c>
      <c r="N84" s="167" t="s">
        <v>3237</v>
      </c>
      <c r="O84" s="12" t="str">
        <f>_xlfn.DISPIMG("ID_6E77F2441F654B1DACC44E4FDEC025B1",1)</f>
        <v>=DISPIMG("ID_6E77F2441F654B1DACC44E4FDEC025B1",1)</v>
      </c>
      <c r="P84" s="11" t="s">
        <v>3238</v>
      </c>
      <c r="Q84" s="11">
        <v>403</v>
      </c>
      <c r="R84" s="17" t="s">
        <v>4397</v>
      </c>
      <c r="S84" s="18" t="s">
        <v>39</v>
      </c>
      <c r="T84" s="11">
        <v>14</v>
      </c>
    </row>
    <row r="85" s="3" customFormat="1" customHeight="1" spans="1:20">
      <c r="A85" s="167" t="s">
        <v>3293</v>
      </c>
      <c r="B85" s="167" t="s">
        <v>165</v>
      </c>
      <c r="C85" s="167" t="s">
        <v>3294</v>
      </c>
      <c r="D85" s="11">
        <v>18170265828</v>
      </c>
      <c r="E85" s="167" t="s">
        <v>278</v>
      </c>
      <c r="F85" s="167" t="s">
        <v>28</v>
      </c>
      <c r="G85" s="11">
        <v>202103001</v>
      </c>
      <c r="H85" s="167" t="s">
        <v>157</v>
      </c>
      <c r="I85" s="167" t="s">
        <v>233</v>
      </c>
      <c r="J85" s="167" t="s">
        <v>280</v>
      </c>
      <c r="K85" s="167" t="s">
        <v>170</v>
      </c>
      <c r="L85" s="167" t="s">
        <v>3061</v>
      </c>
      <c r="M85" s="167" t="s">
        <v>3296</v>
      </c>
      <c r="N85" s="167" t="s">
        <v>3297</v>
      </c>
      <c r="O85" s="12" t="str">
        <f>_xlfn.DISPIMG("ID_1A8F20F988244300AFCAF70BDC1F337C",1)</f>
        <v>=DISPIMG("ID_1A8F20F988244300AFCAF70BDC1F337C",1)</v>
      </c>
      <c r="P85" s="11" t="s">
        <v>3298</v>
      </c>
      <c r="Q85" s="11">
        <v>413</v>
      </c>
      <c r="R85" s="17" t="s">
        <v>4398</v>
      </c>
      <c r="S85" s="18" t="s">
        <v>39</v>
      </c>
      <c r="T85" s="11">
        <v>23</v>
      </c>
    </row>
    <row r="86" s="3" customFormat="1" customHeight="1" spans="1:20">
      <c r="A86" s="167" t="s">
        <v>3307</v>
      </c>
      <c r="B86" s="167" t="s">
        <v>165</v>
      </c>
      <c r="C86" s="167" t="s">
        <v>3308</v>
      </c>
      <c r="D86" s="11">
        <v>15570243314</v>
      </c>
      <c r="E86" s="167" t="s">
        <v>278</v>
      </c>
      <c r="F86" s="167" t="s">
        <v>28</v>
      </c>
      <c r="G86" s="11">
        <v>202103001</v>
      </c>
      <c r="H86" s="167" t="s">
        <v>279</v>
      </c>
      <c r="I86" s="167" t="s">
        <v>3309</v>
      </c>
      <c r="J86" s="167" t="s">
        <v>2326</v>
      </c>
      <c r="K86" s="167" t="s">
        <v>170</v>
      </c>
      <c r="L86" s="167" t="s">
        <v>396</v>
      </c>
      <c r="M86" s="167" t="s">
        <v>517</v>
      </c>
      <c r="N86" s="167" t="s">
        <v>3310</v>
      </c>
      <c r="O86" s="12" t="str">
        <f>_xlfn.DISPIMG("ID_354EF343CD5243F482E0D228CE19598F",1)</f>
        <v>=DISPIMG("ID_354EF343CD5243F482E0D228CE19598F",1)</v>
      </c>
      <c r="P86" s="11" t="s">
        <v>3311</v>
      </c>
      <c r="Q86" s="11">
        <v>415</v>
      </c>
      <c r="R86" s="17" t="s">
        <v>4399</v>
      </c>
      <c r="S86" s="18" t="s">
        <v>39</v>
      </c>
      <c r="T86" s="11">
        <v>26</v>
      </c>
    </row>
    <row r="87" s="3" customFormat="1" customHeight="1" spans="1:20">
      <c r="A87" s="167" t="s">
        <v>3320</v>
      </c>
      <c r="B87" s="167" t="s">
        <v>165</v>
      </c>
      <c r="C87" s="167" t="s">
        <v>3321</v>
      </c>
      <c r="D87" s="11">
        <v>13979205561</v>
      </c>
      <c r="E87" s="167" t="s">
        <v>278</v>
      </c>
      <c r="F87" s="167" t="s">
        <v>28</v>
      </c>
      <c r="G87" s="11">
        <v>202103001</v>
      </c>
      <c r="H87" s="167" t="s">
        <v>585</v>
      </c>
      <c r="I87" s="167" t="s">
        <v>168</v>
      </c>
      <c r="J87" s="167" t="s">
        <v>280</v>
      </c>
      <c r="K87" s="167" t="s">
        <v>170</v>
      </c>
      <c r="L87" s="167" t="s">
        <v>2047</v>
      </c>
      <c r="M87" s="167" t="s">
        <v>340</v>
      </c>
      <c r="N87" s="167" t="s">
        <v>3322</v>
      </c>
      <c r="O87" s="12" t="str">
        <f>_xlfn.DISPIMG("ID_98A98A82D5AD4E03ADF0E8FE54980276",1)</f>
        <v>=DISPIMG("ID_98A98A82D5AD4E03ADF0E8FE54980276",1)</v>
      </c>
      <c r="P87" s="11" t="s">
        <v>3323</v>
      </c>
      <c r="Q87" s="11">
        <v>417</v>
      </c>
      <c r="R87" s="17" t="s">
        <v>4400</v>
      </c>
      <c r="S87" s="18" t="s">
        <v>39</v>
      </c>
      <c r="T87" s="11">
        <v>1</v>
      </c>
    </row>
    <row r="88" s="4" customFormat="1" customHeight="1" spans="1:20">
      <c r="A88" s="167" t="s">
        <v>3326</v>
      </c>
      <c r="B88" s="167" t="s">
        <v>165</v>
      </c>
      <c r="C88" s="167" t="s">
        <v>3327</v>
      </c>
      <c r="D88" s="11">
        <v>15979970756</v>
      </c>
      <c r="E88" s="167" t="s">
        <v>278</v>
      </c>
      <c r="F88" s="167" t="s">
        <v>28</v>
      </c>
      <c r="G88" s="11">
        <v>202103001</v>
      </c>
      <c r="H88" s="167" t="s">
        <v>279</v>
      </c>
      <c r="I88" s="167" t="s">
        <v>3329</v>
      </c>
      <c r="J88" s="167" t="s">
        <v>280</v>
      </c>
      <c r="K88" s="167" t="s">
        <v>170</v>
      </c>
      <c r="L88" s="167" t="s">
        <v>368</v>
      </c>
      <c r="M88" s="167" t="s">
        <v>376</v>
      </c>
      <c r="N88" s="167" t="s">
        <v>3330</v>
      </c>
      <c r="O88" s="12" t="str">
        <f>_xlfn.DISPIMG("ID_35E61F5727C7442282FC0637F60D57FC",1)</f>
        <v>=DISPIMG("ID_35E61F5727C7442282FC0637F60D57FC",1)</v>
      </c>
      <c r="P88" s="11" t="s">
        <v>3331</v>
      </c>
      <c r="Q88" s="11">
        <v>418</v>
      </c>
      <c r="R88" s="17" t="s">
        <v>4401</v>
      </c>
      <c r="S88" s="18" t="s">
        <v>39</v>
      </c>
      <c r="T88" s="11">
        <v>12</v>
      </c>
    </row>
    <row r="89" s="3" customFormat="1" customHeight="1" spans="1:20">
      <c r="A89" s="167" t="s">
        <v>2682</v>
      </c>
      <c r="B89" s="167" t="s">
        <v>165</v>
      </c>
      <c r="C89" s="167" t="s">
        <v>2683</v>
      </c>
      <c r="D89" s="11">
        <v>18079206353</v>
      </c>
      <c r="E89" s="167" t="s">
        <v>278</v>
      </c>
      <c r="F89" s="167" t="s">
        <v>28</v>
      </c>
      <c r="G89" s="11">
        <v>202103001</v>
      </c>
      <c r="H89" s="167" t="s">
        <v>585</v>
      </c>
      <c r="I89" s="167" t="s">
        <v>367</v>
      </c>
      <c r="J89" s="167" t="s">
        <v>586</v>
      </c>
      <c r="K89" s="167" t="s">
        <v>170</v>
      </c>
      <c r="L89" s="167" t="s">
        <v>2685</v>
      </c>
      <c r="M89" s="167" t="s">
        <v>2686</v>
      </c>
      <c r="N89" s="167" t="s">
        <v>2687</v>
      </c>
      <c r="O89" s="12" t="str">
        <f>_xlfn.DISPIMG("ID_5B48971EF1B54F2AA5263A5C67E87781",1)</f>
        <v>=DISPIMG("ID_5B48971EF1B54F2AA5263A5C67E87781",1)</v>
      </c>
      <c r="P89" s="11" t="s">
        <v>2688</v>
      </c>
      <c r="Q89" s="11">
        <v>419</v>
      </c>
      <c r="R89" s="17" t="s">
        <v>4402</v>
      </c>
      <c r="S89" s="18" t="s">
        <v>39</v>
      </c>
      <c r="T89" s="11">
        <v>13</v>
      </c>
    </row>
    <row r="90" s="3" customFormat="1" customHeight="1" spans="1:20">
      <c r="A90" s="167" t="s">
        <v>3342</v>
      </c>
      <c r="B90" s="167" t="s">
        <v>165</v>
      </c>
      <c r="C90" s="167" t="s">
        <v>3343</v>
      </c>
      <c r="D90" s="11">
        <v>18320666217</v>
      </c>
      <c r="E90" s="167" t="s">
        <v>278</v>
      </c>
      <c r="F90" s="167" t="s">
        <v>28</v>
      </c>
      <c r="G90" s="11">
        <v>202103001</v>
      </c>
      <c r="H90" s="167" t="s">
        <v>157</v>
      </c>
      <c r="I90" s="167" t="s">
        <v>3345</v>
      </c>
      <c r="J90" s="167" t="s">
        <v>280</v>
      </c>
      <c r="K90" s="167" t="s">
        <v>170</v>
      </c>
      <c r="L90" s="167" t="s">
        <v>235</v>
      </c>
      <c r="M90" s="167" t="s">
        <v>3346</v>
      </c>
      <c r="N90" s="167" t="s">
        <v>3347</v>
      </c>
      <c r="O90" s="12" t="str">
        <f>_xlfn.DISPIMG("ID_E18EEBC59F6A4BD3BA9929CD3773910D",1)</f>
        <v>=DISPIMG("ID_E18EEBC59F6A4BD3BA9929CD3773910D",1)</v>
      </c>
      <c r="P90" s="11" t="s">
        <v>3348</v>
      </c>
      <c r="Q90" s="11">
        <v>421</v>
      </c>
      <c r="R90" s="17" t="s">
        <v>4403</v>
      </c>
      <c r="S90" s="18" t="s">
        <v>39</v>
      </c>
      <c r="T90" s="11">
        <v>24</v>
      </c>
    </row>
    <row r="91" s="4" customFormat="1" customHeight="1" spans="1:20">
      <c r="A91" s="167" t="s">
        <v>3403</v>
      </c>
      <c r="B91" s="167" t="s">
        <v>165</v>
      </c>
      <c r="C91" s="167" t="s">
        <v>3404</v>
      </c>
      <c r="D91" s="11">
        <v>18000721221</v>
      </c>
      <c r="E91" s="167" t="s">
        <v>278</v>
      </c>
      <c r="F91" s="167" t="s">
        <v>28</v>
      </c>
      <c r="G91" s="11">
        <v>202103001</v>
      </c>
      <c r="H91" s="167" t="s">
        <v>279</v>
      </c>
      <c r="I91" s="167" t="s">
        <v>168</v>
      </c>
      <c r="J91" s="167" t="s">
        <v>280</v>
      </c>
      <c r="K91" s="167" t="s">
        <v>170</v>
      </c>
      <c r="L91" s="167" t="s">
        <v>516</v>
      </c>
      <c r="M91" s="167" t="s">
        <v>280</v>
      </c>
      <c r="N91" s="167" t="s">
        <v>3405</v>
      </c>
      <c r="O91" s="12" t="str">
        <f>_xlfn.DISPIMG("ID_7EFAC0679406489199323C08AE652767",1)</f>
        <v>=DISPIMG("ID_7EFAC0679406489199323C08AE652767",1)</v>
      </c>
      <c r="P91" s="11" t="s">
        <v>3406</v>
      </c>
      <c r="Q91" s="20">
        <v>429</v>
      </c>
      <c r="R91" s="17" t="s">
        <v>4404</v>
      </c>
      <c r="S91" s="18" t="s">
        <v>39</v>
      </c>
      <c r="T91" s="11">
        <v>25</v>
      </c>
    </row>
    <row r="92" s="3" customFormat="1" customHeight="1" spans="1:20">
      <c r="A92" s="167" t="s">
        <v>3429</v>
      </c>
      <c r="B92" s="167" t="s">
        <v>165</v>
      </c>
      <c r="C92" s="167" t="s">
        <v>3430</v>
      </c>
      <c r="D92" s="11">
        <v>18279285118</v>
      </c>
      <c r="E92" s="167" t="s">
        <v>278</v>
      </c>
      <c r="F92" s="167" t="s">
        <v>28</v>
      </c>
      <c r="G92" s="11">
        <v>202103001</v>
      </c>
      <c r="H92" s="167" t="s">
        <v>585</v>
      </c>
      <c r="I92" s="167" t="s">
        <v>3018</v>
      </c>
      <c r="J92" s="167" t="s">
        <v>586</v>
      </c>
      <c r="K92" s="167" t="s">
        <v>170</v>
      </c>
      <c r="L92" s="167" t="s">
        <v>3431</v>
      </c>
      <c r="M92" s="167" t="s">
        <v>586</v>
      </c>
      <c r="N92" s="167" t="s">
        <v>3432</v>
      </c>
      <c r="O92" s="12" t="str">
        <f>_xlfn.DISPIMG("ID_E1216B8DC47A44DFAB6AC1BAFDBCD62B",1)</f>
        <v>=DISPIMG("ID_E1216B8DC47A44DFAB6AC1BAFDBCD62B",1)</v>
      </c>
      <c r="P92" s="11" t="s">
        <v>3433</v>
      </c>
      <c r="Q92" s="20">
        <v>433</v>
      </c>
      <c r="R92" s="17" t="s">
        <v>4405</v>
      </c>
      <c r="S92" s="18" t="s">
        <v>40</v>
      </c>
      <c r="T92" s="11">
        <v>6</v>
      </c>
    </row>
    <row r="93" s="3" customFormat="1" customHeight="1" spans="1:20">
      <c r="A93" s="167" t="s">
        <v>3443</v>
      </c>
      <c r="B93" s="167" t="s">
        <v>165</v>
      </c>
      <c r="C93" s="167" t="s">
        <v>3444</v>
      </c>
      <c r="D93" s="11">
        <v>18607912074</v>
      </c>
      <c r="E93" s="167" t="s">
        <v>278</v>
      </c>
      <c r="F93" s="167" t="s">
        <v>28</v>
      </c>
      <c r="G93" s="11">
        <v>202103001</v>
      </c>
      <c r="H93" s="167" t="s">
        <v>279</v>
      </c>
      <c r="I93" s="167" t="s">
        <v>515</v>
      </c>
      <c r="J93" s="167" t="s">
        <v>280</v>
      </c>
      <c r="K93" s="167" t="s">
        <v>170</v>
      </c>
      <c r="L93" s="167" t="s">
        <v>224</v>
      </c>
      <c r="M93" s="167" t="s">
        <v>517</v>
      </c>
      <c r="N93" s="167" t="s">
        <v>3446</v>
      </c>
      <c r="O93" s="12" t="str">
        <f>_xlfn.DISPIMG("ID_BD52B8A2C60C41F6B5F6C165401F5CB1",1)</f>
        <v>=DISPIMG("ID_BD52B8A2C60C41F6B5F6C165401F5CB1",1)</v>
      </c>
      <c r="P93" s="11" t="s">
        <v>3447</v>
      </c>
      <c r="Q93" s="20">
        <v>435</v>
      </c>
      <c r="R93" s="17" t="s">
        <v>4406</v>
      </c>
      <c r="S93" s="18" t="s">
        <v>40</v>
      </c>
      <c r="T93" s="11">
        <v>7</v>
      </c>
    </row>
    <row r="94" s="3" customFormat="1" customHeight="1" spans="1:20">
      <c r="A94" s="167" t="s">
        <v>3488</v>
      </c>
      <c r="B94" s="167" t="s">
        <v>165</v>
      </c>
      <c r="C94" s="167" t="s">
        <v>3489</v>
      </c>
      <c r="D94" s="11">
        <v>13755200519</v>
      </c>
      <c r="E94" s="167" t="s">
        <v>278</v>
      </c>
      <c r="F94" s="167" t="s">
        <v>28</v>
      </c>
      <c r="G94" s="11">
        <v>202103001</v>
      </c>
      <c r="H94" s="167" t="s">
        <v>279</v>
      </c>
      <c r="I94" s="167" t="s">
        <v>3490</v>
      </c>
      <c r="J94" s="167" t="s">
        <v>404</v>
      </c>
      <c r="K94" s="167" t="s">
        <v>160</v>
      </c>
      <c r="L94" s="167" t="s">
        <v>1346</v>
      </c>
      <c r="M94" s="167" t="s">
        <v>517</v>
      </c>
      <c r="N94" s="167" t="s">
        <v>3491</v>
      </c>
      <c r="O94" s="12" t="str">
        <f>_xlfn.DISPIMG("ID_6A8C51914B494C9CBD5F245F39A2E519",1)</f>
        <v>=DISPIMG("ID_6A8C51914B494C9CBD5F245F39A2E519",1)</v>
      </c>
      <c r="P94" s="11" t="s">
        <v>3492</v>
      </c>
      <c r="Q94" s="11">
        <v>441</v>
      </c>
      <c r="R94" s="17" t="s">
        <v>4411</v>
      </c>
      <c r="S94" s="18" t="s">
        <v>40</v>
      </c>
      <c r="T94" s="11">
        <v>5</v>
      </c>
    </row>
    <row r="95" s="3" customFormat="1" customHeight="1" spans="1:20">
      <c r="A95" s="167" t="s">
        <v>3608</v>
      </c>
      <c r="B95" s="167" t="s">
        <v>165</v>
      </c>
      <c r="C95" s="167" t="s">
        <v>3609</v>
      </c>
      <c r="D95" s="11">
        <v>18279283769</v>
      </c>
      <c r="E95" s="167" t="s">
        <v>278</v>
      </c>
      <c r="F95" s="167" t="s">
        <v>28</v>
      </c>
      <c r="G95" s="11">
        <v>202103001</v>
      </c>
      <c r="H95" s="167" t="s">
        <v>585</v>
      </c>
      <c r="I95" s="167" t="s">
        <v>3174</v>
      </c>
      <c r="J95" s="167" t="s">
        <v>280</v>
      </c>
      <c r="K95" s="167" t="s">
        <v>170</v>
      </c>
      <c r="L95" s="167" t="s">
        <v>3039</v>
      </c>
      <c r="M95" s="167" t="s">
        <v>2686</v>
      </c>
      <c r="N95" s="167" t="s">
        <v>3611</v>
      </c>
      <c r="O95" s="12" t="str">
        <f>_xlfn.DISPIMG("ID_39BF594A37E3442B8E4FFF60E8863D45",1)</f>
        <v>=DISPIMG("ID_39BF594A37E3442B8E4FFF60E8863D45",1)</v>
      </c>
      <c r="P95" s="11" t="s">
        <v>3612</v>
      </c>
      <c r="Q95" s="11">
        <v>459</v>
      </c>
      <c r="R95" s="17" t="s">
        <v>4412</v>
      </c>
      <c r="S95" s="18" t="s">
        <v>40</v>
      </c>
      <c r="T95" s="11">
        <v>8</v>
      </c>
    </row>
    <row r="96" s="3" customFormat="1" customHeight="1" spans="1:20">
      <c r="A96" s="167" t="s">
        <v>3676</v>
      </c>
      <c r="B96" s="167" t="s">
        <v>165</v>
      </c>
      <c r="C96" s="167" t="s">
        <v>3677</v>
      </c>
      <c r="D96" s="11">
        <v>18296221374</v>
      </c>
      <c r="E96" s="167" t="s">
        <v>278</v>
      </c>
      <c r="F96" s="167" t="s">
        <v>28</v>
      </c>
      <c r="G96" s="11">
        <v>202103001</v>
      </c>
      <c r="H96" s="167" t="s">
        <v>585</v>
      </c>
      <c r="I96" s="167" t="s">
        <v>3679</v>
      </c>
      <c r="J96" s="167" t="s">
        <v>586</v>
      </c>
      <c r="K96" s="167" t="s">
        <v>170</v>
      </c>
      <c r="L96" s="167" t="s">
        <v>1089</v>
      </c>
      <c r="M96" s="167" t="s">
        <v>3680</v>
      </c>
      <c r="N96" s="167" t="s">
        <v>3681</v>
      </c>
      <c r="O96" s="12" t="str">
        <f>_xlfn.DISPIMG("ID_B6A72806890947DEB45EA914FD393A84",1)</f>
        <v>=DISPIMG("ID_B6A72806890947DEB45EA914FD393A84",1)</v>
      </c>
      <c r="P96" s="11" t="s">
        <v>3682</v>
      </c>
      <c r="Q96" s="11">
        <v>468</v>
      </c>
      <c r="R96" s="17" t="s">
        <v>4415</v>
      </c>
      <c r="S96" s="18" t="s">
        <v>40</v>
      </c>
      <c r="T96" s="11">
        <v>4</v>
      </c>
    </row>
    <row r="97" s="3" customFormat="1" customHeight="1" spans="1:20">
      <c r="A97" s="167" t="s">
        <v>3712</v>
      </c>
      <c r="B97" s="167" t="s">
        <v>165</v>
      </c>
      <c r="C97" s="167" t="s">
        <v>3713</v>
      </c>
      <c r="D97" s="11">
        <v>18720196269</v>
      </c>
      <c r="E97" s="167" t="s">
        <v>278</v>
      </c>
      <c r="F97" s="167" t="s">
        <v>28</v>
      </c>
      <c r="G97" s="11">
        <v>202103001</v>
      </c>
      <c r="H97" s="167" t="s">
        <v>585</v>
      </c>
      <c r="I97" s="167" t="s">
        <v>367</v>
      </c>
      <c r="J97" s="167" t="s">
        <v>2686</v>
      </c>
      <c r="K97" s="167" t="s">
        <v>160</v>
      </c>
      <c r="L97" s="167" t="s">
        <v>3039</v>
      </c>
      <c r="M97" s="167" t="s">
        <v>3715</v>
      </c>
      <c r="N97" s="167" t="s">
        <v>3716</v>
      </c>
      <c r="O97" s="12" t="str">
        <f>_xlfn.DISPIMG("ID_059DAEED1F3E457C93C0A1610046F2A5",1)</f>
        <v>=DISPIMG("ID_059DAEED1F3E457C93C0A1610046F2A5",1)</v>
      </c>
      <c r="P97" s="11" t="s">
        <v>3717</v>
      </c>
      <c r="Q97" s="11">
        <v>473</v>
      </c>
      <c r="R97" s="17" t="s">
        <v>4416</v>
      </c>
      <c r="S97" s="18" t="s">
        <v>40</v>
      </c>
      <c r="T97" s="11">
        <v>9</v>
      </c>
    </row>
    <row r="98" s="3" customFormat="1" customHeight="1" spans="1:20">
      <c r="A98" s="167" t="s">
        <v>3720</v>
      </c>
      <c r="B98" s="167" t="s">
        <v>165</v>
      </c>
      <c r="C98" s="167" t="s">
        <v>3721</v>
      </c>
      <c r="D98" s="11">
        <v>15970603423</v>
      </c>
      <c r="E98" s="167" t="s">
        <v>278</v>
      </c>
      <c r="F98" s="167" t="s">
        <v>28</v>
      </c>
      <c r="G98" s="11">
        <v>202103001</v>
      </c>
      <c r="H98" s="167" t="s">
        <v>157</v>
      </c>
      <c r="I98" s="167" t="s">
        <v>178</v>
      </c>
      <c r="J98" s="167" t="s">
        <v>960</v>
      </c>
      <c r="K98" s="167" t="s">
        <v>170</v>
      </c>
      <c r="L98" s="167" t="s">
        <v>180</v>
      </c>
      <c r="M98" s="167" t="s">
        <v>340</v>
      </c>
      <c r="N98" s="167" t="s">
        <v>3723</v>
      </c>
      <c r="O98" s="12" t="str">
        <f>_xlfn.DISPIMG("ID_38A4C94876C044A5A6F3E884E1CD36B4",1)</f>
        <v>=DISPIMG("ID_38A4C94876C044A5A6F3E884E1CD36B4",1)</v>
      </c>
      <c r="P98" s="11" t="s">
        <v>3724</v>
      </c>
      <c r="Q98" s="11">
        <v>474</v>
      </c>
      <c r="R98" s="17" t="s">
        <v>4418</v>
      </c>
      <c r="S98" s="18" t="s">
        <v>40</v>
      </c>
      <c r="T98" s="11">
        <v>3</v>
      </c>
    </row>
    <row r="99" s="3" customFormat="1" customHeight="1" spans="1:20">
      <c r="A99" s="167" t="s">
        <v>4237</v>
      </c>
      <c r="B99" s="167" t="s">
        <v>165</v>
      </c>
      <c r="C99" s="167" t="s">
        <v>4238</v>
      </c>
      <c r="D99" s="11">
        <v>15170274665</v>
      </c>
      <c r="E99" s="167" t="s">
        <v>278</v>
      </c>
      <c r="F99" s="167" t="s">
        <v>28</v>
      </c>
      <c r="G99" s="11">
        <v>202103001</v>
      </c>
      <c r="H99" s="167" t="s">
        <v>585</v>
      </c>
      <c r="I99" s="167" t="s">
        <v>367</v>
      </c>
      <c r="J99" s="167" t="s">
        <v>280</v>
      </c>
      <c r="K99" s="167" t="s">
        <v>170</v>
      </c>
      <c r="L99" s="167" t="s">
        <v>368</v>
      </c>
      <c r="M99" s="167" t="s">
        <v>376</v>
      </c>
      <c r="N99" s="167" t="s">
        <v>4240</v>
      </c>
      <c r="O99" s="12" t="str">
        <f>_xlfn.DISPIMG("ID_7116E6EB313E4CDBB6AEC2C13A4D6810",1)</f>
        <v>=DISPIMG("ID_7116E6EB313E4CDBB6AEC2C13A4D6810",1)</v>
      </c>
      <c r="P99" s="11" t="s">
        <v>4241</v>
      </c>
      <c r="Q99" s="11">
        <v>542</v>
      </c>
      <c r="R99" s="17" t="s">
        <v>4419</v>
      </c>
      <c r="S99" s="18" t="s">
        <v>40</v>
      </c>
      <c r="T99" s="11">
        <v>2</v>
      </c>
    </row>
    <row r="100" s="3" customFormat="1" customHeight="1" spans="1:20">
      <c r="A100" s="167" t="s">
        <v>4259</v>
      </c>
      <c r="B100" s="167" t="s">
        <v>165</v>
      </c>
      <c r="C100" s="167" t="s">
        <v>4260</v>
      </c>
      <c r="D100" s="11">
        <v>15270817874</v>
      </c>
      <c r="E100" s="167" t="s">
        <v>278</v>
      </c>
      <c r="F100" s="167" t="s">
        <v>28</v>
      </c>
      <c r="G100" s="11">
        <v>202103001</v>
      </c>
      <c r="H100" s="167" t="s">
        <v>279</v>
      </c>
      <c r="I100" s="167" t="s">
        <v>339</v>
      </c>
      <c r="J100" s="167" t="s">
        <v>280</v>
      </c>
      <c r="K100" s="167" t="s">
        <v>170</v>
      </c>
      <c r="L100" s="167" t="s">
        <v>368</v>
      </c>
      <c r="M100" s="167" t="s">
        <v>4262</v>
      </c>
      <c r="N100" s="167" t="s">
        <v>4263</v>
      </c>
      <c r="O100" s="12" t="str">
        <f>_xlfn.DISPIMG("ID_7ED866D6DEDB4511B970FE38712BEDF5",1)</f>
        <v>=DISPIMG("ID_7ED866D6DEDB4511B970FE38712BEDF5",1)</v>
      </c>
      <c r="P100" s="11" t="s">
        <v>4264</v>
      </c>
      <c r="Q100" s="20">
        <v>545</v>
      </c>
      <c r="R100" s="17" t="s">
        <v>4421</v>
      </c>
      <c r="S100" s="18" t="s">
        <v>40</v>
      </c>
      <c r="T100" s="11">
        <v>1</v>
      </c>
    </row>
    <row r="101" s="3" customFormat="1" customHeight="1" spans="1:20">
      <c r="A101" s="167" t="s">
        <v>175</v>
      </c>
      <c r="B101" s="167" t="s">
        <v>165</v>
      </c>
      <c r="C101" s="167" t="s">
        <v>176</v>
      </c>
      <c r="D101" s="11">
        <v>18046603817</v>
      </c>
      <c r="E101" s="167" t="s">
        <v>156</v>
      </c>
      <c r="F101" s="167" t="s">
        <v>14</v>
      </c>
      <c r="G101" s="11">
        <v>202102001</v>
      </c>
      <c r="H101" s="167" t="s">
        <v>157</v>
      </c>
      <c r="I101" s="167" t="s">
        <v>178</v>
      </c>
      <c r="J101" s="167" t="s">
        <v>179</v>
      </c>
      <c r="K101" s="167" t="s">
        <v>170</v>
      </c>
      <c r="L101" s="167" t="s">
        <v>180</v>
      </c>
      <c r="M101" s="167" t="s">
        <v>14</v>
      </c>
      <c r="N101" s="11">
        <v>0</v>
      </c>
      <c r="O101" s="12" t="str">
        <f>_xlfn.DISPIMG("ID_BD43028E6BB24443B06241FE37DC179A",1)</f>
        <v>=DISPIMG("ID_BD43028E6BB24443B06241FE37DC179A",1)</v>
      </c>
      <c r="P101" s="11" t="s">
        <v>181</v>
      </c>
      <c r="Q101" s="11">
        <v>4</v>
      </c>
      <c r="R101" s="17" t="s">
        <v>4422</v>
      </c>
      <c r="S101" s="18" t="s">
        <v>40</v>
      </c>
      <c r="T101" s="11">
        <v>10</v>
      </c>
    </row>
    <row r="102" s="3" customFormat="1" customHeight="1" spans="1:20">
      <c r="A102" s="167" t="s">
        <v>345</v>
      </c>
      <c r="B102" s="167" t="s">
        <v>165</v>
      </c>
      <c r="C102" s="167" t="s">
        <v>346</v>
      </c>
      <c r="D102" s="11">
        <v>15179246525</v>
      </c>
      <c r="E102" s="167" t="s">
        <v>156</v>
      </c>
      <c r="F102" s="167" t="s">
        <v>14</v>
      </c>
      <c r="G102" s="11">
        <v>202102001</v>
      </c>
      <c r="H102" s="167" t="s">
        <v>279</v>
      </c>
      <c r="I102" s="167" t="s">
        <v>158</v>
      </c>
      <c r="J102" s="167" t="s">
        <v>348</v>
      </c>
      <c r="K102" s="167" t="s">
        <v>170</v>
      </c>
      <c r="L102" s="167" t="s">
        <v>349</v>
      </c>
      <c r="M102" s="167" t="s">
        <v>350</v>
      </c>
      <c r="N102" s="167" t="s">
        <v>351</v>
      </c>
      <c r="O102" s="12" t="str">
        <f>_xlfn.DISPIMG("ID_0FE66397D3464536A23D26C93FD62495",1)</f>
        <v>=DISPIMG("ID_0FE66397D3464536A23D26C93FD62495",1)</v>
      </c>
      <c r="P102" s="11" t="s">
        <v>352</v>
      </c>
      <c r="Q102" s="20">
        <v>23</v>
      </c>
      <c r="R102" s="17" t="s">
        <v>4424</v>
      </c>
      <c r="S102" s="18" t="s">
        <v>40</v>
      </c>
      <c r="T102" s="11">
        <v>11</v>
      </c>
    </row>
    <row r="103" s="3" customFormat="1" customHeight="1" spans="1:20">
      <c r="A103" s="167" t="s">
        <v>364</v>
      </c>
      <c r="B103" s="167" t="s">
        <v>153</v>
      </c>
      <c r="C103" s="167" t="s">
        <v>365</v>
      </c>
      <c r="D103" s="11">
        <v>15879225309</v>
      </c>
      <c r="E103" s="167" t="s">
        <v>156</v>
      </c>
      <c r="F103" s="167" t="s">
        <v>14</v>
      </c>
      <c r="G103" s="11">
        <v>202102001</v>
      </c>
      <c r="H103" s="167" t="s">
        <v>157</v>
      </c>
      <c r="I103" s="167" t="s">
        <v>367</v>
      </c>
      <c r="J103" s="167" t="s">
        <v>348</v>
      </c>
      <c r="K103" s="167" t="s">
        <v>170</v>
      </c>
      <c r="L103" s="167" t="s">
        <v>368</v>
      </c>
      <c r="M103" s="167" t="s">
        <v>14</v>
      </c>
      <c r="N103" s="167" t="s">
        <v>369</v>
      </c>
      <c r="O103" s="12" t="str">
        <f>_xlfn.DISPIMG("ID_08B1C5991BF641D590EC606BAB378CA1",1)</f>
        <v>=DISPIMG("ID_08B1C5991BF641D590EC606BAB378CA1",1)</v>
      </c>
      <c r="P103" s="11" t="s">
        <v>370</v>
      </c>
      <c r="Q103" s="11">
        <v>25</v>
      </c>
      <c r="R103" s="17" t="s">
        <v>4425</v>
      </c>
      <c r="S103" s="18" t="s">
        <v>40</v>
      </c>
      <c r="T103" s="11">
        <v>14</v>
      </c>
    </row>
    <row r="104" s="3" customFormat="1" customHeight="1" spans="1:20">
      <c r="A104" s="167" t="s">
        <v>451</v>
      </c>
      <c r="B104" s="167" t="s">
        <v>165</v>
      </c>
      <c r="C104" s="167" t="s">
        <v>452</v>
      </c>
      <c r="D104" s="11">
        <v>15870856801</v>
      </c>
      <c r="E104" s="167" t="s">
        <v>156</v>
      </c>
      <c r="F104" s="167" t="s">
        <v>14</v>
      </c>
      <c r="G104" s="11">
        <v>202102001</v>
      </c>
      <c r="H104" s="167" t="s">
        <v>157</v>
      </c>
      <c r="I104" s="167" t="s">
        <v>158</v>
      </c>
      <c r="J104" s="167" t="s">
        <v>454</v>
      </c>
      <c r="K104" s="167" t="s">
        <v>170</v>
      </c>
      <c r="L104" s="167" t="s">
        <v>455</v>
      </c>
      <c r="M104" s="167" t="s">
        <v>14</v>
      </c>
      <c r="N104" s="11">
        <v>0</v>
      </c>
      <c r="O104" s="12" t="str">
        <f>_xlfn.DISPIMG("ID_B55181394FEF4B858E10F092AB43BFBB",1)</f>
        <v>=DISPIMG("ID_B55181394FEF4B858E10F092AB43BFBB",1)</v>
      </c>
      <c r="P104" s="11" t="s">
        <v>456</v>
      </c>
      <c r="Q104" s="11">
        <v>35</v>
      </c>
      <c r="R104" s="17" t="s">
        <v>4407</v>
      </c>
      <c r="S104" s="18" t="s">
        <v>40</v>
      </c>
      <c r="T104" s="11">
        <v>12</v>
      </c>
    </row>
    <row r="105" s="3" customFormat="1" customHeight="1" spans="1:20">
      <c r="A105" s="167" t="s">
        <v>529</v>
      </c>
      <c r="B105" s="167" t="s">
        <v>165</v>
      </c>
      <c r="C105" s="167" t="s">
        <v>530</v>
      </c>
      <c r="D105" s="11">
        <v>13870852168</v>
      </c>
      <c r="E105" s="167" t="s">
        <v>156</v>
      </c>
      <c r="F105" s="167" t="s">
        <v>14</v>
      </c>
      <c r="G105" s="11">
        <v>202102001</v>
      </c>
      <c r="H105" s="167" t="s">
        <v>157</v>
      </c>
      <c r="I105" s="167" t="s">
        <v>532</v>
      </c>
      <c r="J105" s="167" t="s">
        <v>533</v>
      </c>
      <c r="K105" s="167" t="s">
        <v>160</v>
      </c>
      <c r="L105" s="167" t="s">
        <v>516</v>
      </c>
      <c r="M105" s="167" t="s">
        <v>14</v>
      </c>
      <c r="N105" s="11">
        <v>0</v>
      </c>
      <c r="O105" s="12" t="str">
        <f>_xlfn.DISPIMG("ID_DE54808A64424090BF3B2071C574D915",1)</f>
        <v>=DISPIMG("ID_DE54808A64424090BF3B2071C574D915",1)</v>
      </c>
      <c r="P105" s="11" t="s">
        <v>534</v>
      </c>
      <c r="Q105" s="11">
        <v>45</v>
      </c>
      <c r="R105" s="17" t="s">
        <v>4408</v>
      </c>
      <c r="S105" s="18" t="s">
        <v>40</v>
      </c>
      <c r="T105" s="11">
        <v>13</v>
      </c>
    </row>
    <row r="106" s="3" customFormat="1" customHeight="1" spans="1:20">
      <c r="A106" s="167" t="s">
        <v>635</v>
      </c>
      <c r="B106" s="167" t="s">
        <v>165</v>
      </c>
      <c r="C106" s="167" t="s">
        <v>636</v>
      </c>
      <c r="D106" s="11">
        <v>15070232391</v>
      </c>
      <c r="E106" s="167" t="s">
        <v>156</v>
      </c>
      <c r="F106" s="167" t="s">
        <v>14</v>
      </c>
      <c r="G106" s="11">
        <v>202102001</v>
      </c>
      <c r="H106" s="167" t="s">
        <v>279</v>
      </c>
      <c r="I106" s="167" t="s">
        <v>158</v>
      </c>
      <c r="J106" s="167" t="s">
        <v>348</v>
      </c>
      <c r="K106" s="167" t="s">
        <v>170</v>
      </c>
      <c r="L106" s="167" t="s">
        <v>548</v>
      </c>
      <c r="M106" s="167" t="s">
        <v>638</v>
      </c>
      <c r="N106" s="167" t="s">
        <v>639</v>
      </c>
      <c r="O106" s="12" t="str">
        <f>_xlfn.DISPIMG("ID_89E406E2AE894B018BFF7E7198130BCA",1)</f>
        <v>=DISPIMG("ID_89E406E2AE894B018BFF7E7198130BCA",1)</v>
      </c>
      <c r="P106" s="11" t="s">
        <v>640</v>
      </c>
      <c r="Q106" s="11">
        <v>58</v>
      </c>
      <c r="R106" s="17" t="s">
        <v>4413</v>
      </c>
      <c r="S106" s="18" t="s">
        <v>43</v>
      </c>
      <c r="T106" s="11">
        <v>6</v>
      </c>
    </row>
    <row r="107" s="3" customFormat="1" customHeight="1" spans="1:20">
      <c r="A107" s="167" t="s">
        <v>643</v>
      </c>
      <c r="B107" s="167" t="s">
        <v>165</v>
      </c>
      <c r="C107" s="167" t="s">
        <v>644</v>
      </c>
      <c r="D107" s="11">
        <v>17808826021</v>
      </c>
      <c r="E107" s="167" t="s">
        <v>156</v>
      </c>
      <c r="F107" s="167" t="s">
        <v>14</v>
      </c>
      <c r="G107" s="11">
        <v>202102001</v>
      </c>
      <c r="H107" s="167" t="s">
        <v>157</v>
      </c>
      <c r="I107" s="167" t="s">
        <v>646</v>
      </c>
      <c r="J107" s="167" t="s">
        <v>454</v>
      </c>
      <c r="K107" s="167" t="s">
        <v>160</v>
      </c>
      <c r="L107" s="167" t="s">
        <v>224</v>
      </c>
      <c r="M107" s="167" t="s">
        <v>14</v>
      </c>
      <c r="N107" s="167" t="s">
        <v>647</v>
      </c>
      <c r="O107" s="12" t="str">
        <f>_xlfn.DISPIMG("ID_905C387E694F4B30B6CB8B8291B01F38",1)</f>
        <v>=DISPIMG("ID_905C387E694F4B30B6CB8B8291B01F38",1)</v>
      </c>
      <c r="P107" s="11" t="s">
        <v>648</v>
      </c>
      <c r="Q107" s="11">
        <v>59</v>
      </c>
      <c r="R107" s="17" t="s">
        <v>4414</v>
      </c>
      <c r="S107" s="18" t="s">
        <v>43</v>
      </c>
      <c r="T107" s="11">
        <v>7</v>
      </c>
    </row>
    <row r="108" s="3" customFormat="1" customHeight="1" spans="1:20">
      <c r="A108" s="167" t="s">
        <v>651</v>
      </c>
      <c r="B108" s="167" t="s">
        <v>165</v>
      </c>
      <c r="C108" s="167" t="s">
        <v>652</v>
      </c>
      <c r="D108" s="11">
        <v>13677913381</v>
      </c>
      <c r="E108" s="167" t="s">
        <v>156</v>
      </c>
      <c r="F108" s="167" t="s">
        <v>14</v>
      </c>
      <c r="G108" s="11">
        <v>202102001</v>
      </c>
      <c r="H108" s="167" t="s">
        <v>279</v>
      </c>
      <c r="I108" s="167" t="s">
        <v>339</v>
      </c>
      <c r="J108" s="167" t="s">
        <v>348</v>
      </c>
      <c r="K108" s="167" t="s">
        <v>170</v>
      </c>
      <c r="L108" s="167" t="s">
        <v>171</v>
      </c>
      <c r="M108" s="167" t="s">
        <v>654</v>
      </c>
      <c r="N108" s="167" t="s">
        <v>655</v>
      </c>
      <c r="O108" s="12" t="str">
        <f>_xlfn.DISPIMG("ID_F245B8B6D20E4BBA8409FA8C63902E06",1)</f>
        <v>=DISPIMG("ID_F245B8B6D20E4BBA8409FA8C63902E06",1)</v>
      </c>
      <c r="P108" s="11" t="s">
        <v>656</v>
      </c>
      <c r="Q108" s="11">
        <v>60</v>
      </c>
      <c r="R108" s="17" t="s">
        <v>4417</v>
      </c>
      <c r="S108" s="18" t="s">
        <v>43</v>
      </c>
      <c r="T108" s="11">
        <v>18</v>
      </c>
    </row>
    <row r="109" s="3" customFormat="1" customHeight="1" spans="1:20">
      <c r="A109" s="167" t="s">
        <v>687</v>
      </c>
      <c r="B109" s="167" t="s">
        <v>153</v>
      </c>
      <c r="C109" s="167" t="s">
        <v>688</v>
      </c>
      <c r="D109" s="11">
        <v>18370106328</v>
      </c>
      <c r="E109" s="167" t="s">
        <v>156</v>
      </c>
      <c r="F109" s="167" t="s">
        <v>14</v>
      </c>
      <c r="G109" s="11">
        <v>202102001</v>
      </c>
      <c r="H109" s="167" t="s">
        <v>279</v>
      </c>
      <c r="I109" s="167" t="s">
        <v>158</v>
      </c>
      <c r="J109" s="167" t="s">
        <v>348</v>
      </c>
      <c r="K109" s="167" t="s">
        <v>170</v>
      </c>
      <c r="L109" s="167" t="s">
        <v>281</v>
      </c>
      <c r="M109" s="167" t="s">
        <v>689</v>
      </c>
      <c r="N109" s="167" t="s">
        <v>690</v>
      </c>
      <c r="O109" s="12" t="str">
        <f>_xlfn.DISPIMG("ID_54204C01855F423A99B7E1E3FD940E61",1)</f>
        <v>=DISPIMG("ID_54204C01855F423A99B7E1E3FD940E61",1)</v>
      </c>
      <c r="P109" s="11" t="s">
        <v>691</v>
      </c>
      <c r="Q109" s="11">
        <v>64</v>
      </c>
      <c r="R109" s="17" t="s">
        <v>4420</v>
      </c>
      <c r="S109" s="18" t="s">
        <v>43</v>
      </c>
      <c r="T109" s="11">
        <v>19</v>
      </c>
    </row>
    <row r="110" s="5" customFormat="1" customHeight="1" spans="1:20">
      <c r="A110" s="167" t="s">
        <v>738</v>
      </c>
      <c r="B110" s="167" t="s">
        <v>165</v>
      </c>
      <c r="C110" s="167" t="s">
        <v>739</v>
      </c>
      <c r="D110" s="11">
        <v>15279225160</v>
      </c>
      <c r="E110" s="167" t="s">
        <v>156</v>
      </c>
      <c r="F110" s="167" t="s">
        <v>14</v>
      </c>
      <c r="G110" s="11">
        <v>202102001</v>
      </c>
      <c r="H110" s="167" t="s">
        <v>279</v>
      </c>
      <c r="I110" s="167" t="s">
        <v>576</v>
      </c>
      <c r="J110" s="167" t="s">
        <v>348</v>
      </c>
      <c r="K110" s="167" t="s">
        <v>170</v>
      </c>
      <c r="L110" s="167" t="s">
        <v>224</v>
      </c>
      <c r="M110" s="167" t="s">
        <v>741</v>
      </c>
      <c r="N110" s="167" t="s">
        <v>742</v>
      </c>
      <c r="O110" s="12" t="str">
        <f>_xlfn.DISPIMG("ID_05F523224C924653A8F56CD5737A4E8C",1)</f>
        <v>=DISPIMG("ID_05F523224C924653A8F56CD5737A4E8C",1)</v>
      </c>
      <c r="P110" s="11" t="s">
        <v>743</v>
      </c>
      <c r="Q110" s="11">
        <v>70</v>
      </c>
      <c r="R110" s="17" t="s">
        <v>4423</v>
      </c>
      <c r="S110" s="18" t="s">
        <v>43</v>
      </c>
      <c r="T110" s="11">
        <v>30</v>
      </c>
    </row>
    <row r="111" s="3" customFormat="1" customHeight="1" spans="1:20">
      <c r="A111" s="167" t="s">
        <v>916</v>
      </c>
      <c r="B111" s="167" t="s">
        <v>165</v>
      </c>
      <c r="C111" s="167" t="s">
        <v>917</v>
      </c>
      <c r="D111" s="11">
        <v>15070951954</v>
      </c>
      <c r="E111" s="167" t="s">
        <v>156</v>
      </c>
      <c r="F111" s="167" t="s">
        <v>14</v>
      </c>
      <c r="G111" s="11">
        <v>202102001</v>
      </c>
      <c r="H111" s="167" t="s">
        <v>157</v>
      </c>
      <c r="I111" s="167" t="s">
        <v>233</v>
      </c>
      <c r="J111" s="167" t="s">
        <v>454</v>
      </c>
      <c r="K111" s="167" t="s">
        <v>160</v>
      </c>
      <c r="L111" s="167" t="s">
        <v>919</v>
      </c>
      <c r="M111" s="167" t="s">
        <v>14</v>
      </c>
      <c r="N111" s="167" t="s">
        <v>920</v>
      </c>
      <c r="O111" s="12" t="str">
        <f>_xlfn.DISPIMG("ID_ADE94A403A29454787C6186CC5AA20B8",1)</f>
        <v>=DISPIMG("ID_ADE94A403A29454787C6186CC5AA20B8",1)</v>
      </c>
      <c r="P111" s="11" t="s">
        <v>921</v>
      </c>
      <c r="Q111" s="11">
        <v>92</v>
      </c>
      <c r="R111" s="17" t="s">
        <v>4426</v>
      </c>
      <c r="S111" s="18" t="s">
        <v>43</v>
      </c>
      <c r="T111" s="11">
        <v>5</v>
      </c>
    </row>
    <row r="112" s="3" customFormat="1" customHeight="1" spans="1:20">
      <c r="A112" s="167" t="s">
        <v>1102</v>
      </c>
      <c r="B112" s="167" t="s">
        <v>165</v>
      </c>
      <c r="C112" s="167" t="s">
        <v>1103</v>
      </c>
      <c r="D112" s="11">
        <v>18890061239</v>
      </c>
      <c r="E112" s="167" t="s">
        <v>156</v>
      </c>
      <c r="F112" s="167" t="s">
        <v>14</v>
      </c>
      <c r="G112" s="11">
        <v>202102001</v>
      </c>
      <c r="H112" s="167" t="s">
        <v>157</v>
      </c>
      <c r="I112" s="167" t="s">
        <v>1105</v>
      </c>
      <c r="J112" s="167" t="s">
        <v>454</v>
      </c>
      <c r="K112" s="167" t="s">
        <v>160</v>
      </c>
      <c r="L112" s="167" t="s">
        <v>161</v>
      </c>
      <c r="M112" s="167" t="s">
        <v>14</v>
      </c>
      <c r="N112" s="11">
        <v>0</v>
      </c>
      <c r="O112" s="12" t="str">
        <f>_xlfn.DISPIMG("ID_85B66E0F069149898E44BCE57E5EBF40",1)</f>
        <v>=DISPIMG("ID_85B66E0F069149898E44BCE57E5EBF40",1)</v>
      </c>
      <c r="P112" s="11" t="s">
        <v>1106</v>
      </c>
      <c r="Q112" s="11">
        <v>115</v>
      </c>
      <c r="R112" s="17" t="s">
        <v>4427</v>
      </c>
      <c r="S112" s="18" t="s">
        <v>43</v>
      </c>
      <c r="T112" s="11">
        <v>8</v>
      </c>
    </row>
    <row r="113" s="3" customFormat="1" customHeight="1" spans="1:20">
      <c r="A113" s="167" t="s">
        <v>1255</v>
      </c>
      <c r="B113" s="167" t="s">
        <v>165</v>
      </c>
      <c r="C113" s="167" t="s">
        <v>1256</v>
      </c>
      <c r="D113" s="11">
        <v>18370224457</v>
      </c>
      <c r="E113" s="167" t="s">
        <v>506</v>
      </c>
      <c r="F113" s="167" t="s">
        <v>14</v>
      </c>
      <c r="G113" s="11">
        <v>202102014</v>
      </c>
      <c r="H113" s="167" t="s">
        <v>279</v>
      </c>
      <c r="I113" s="167" t="s">
        <v>1258</v>
      </c>
      <c r="J113" s="167" t="s">
        <v>348</v>
      </c>
      <c r="K113" s="167" t="s">
        <v>170</v>
      </c>
      <c r="L113" s="167" t="s">
        <v>161</v>
      </c>
      <c r="M113" s="167" t="s">
        <v>121</v>
      </c>
      <c r="N113" s="167" t="s">
        <v>1259</v>
      </c>
      <c r="O113" s="12" t="str">
        <f>_xlfn.DISPIMG("ID_AF9D4A23BC36463DA48841C24B1BEB6F",1)</f>
        <v>=DISPIMG("ID_AF9D4A23BC36463DA48841C24B1BEB6F",1)</v>
      </c>
      <c r="P113" s="11" t="s">
        <v>1260</v>
      </c>
      <c r="Q113" s="11">
        <v>134</v>
      </c>
      <c r="R113" s="17" t="s">
        <v>4428</v>
      </c>
      <c r="S113" s="18" t="s">
        <v>43</v>
      </c>
      <c r="T113" s="11">
        <v>17</v>
      </c>
    </row>
    <row r="114" s="3" customFormat="1" customHeight="1" spans="1:20">
      <c r="A114" s="167" t="s">
        <v>1350</v>
      </c>
      <c r="B114" s="167" t="s">
        <v>165</v>
      </c>
      <c r="C114" s="167" t="s">
        <v>1351</v>
      </c>
      <c r="D114" s="11">
        <v>13767415091</v>
      </c>
      <c r="E114" s="167" t="s">
        <v>156</v>
      </c>
      <c r="F114" s="167" t="s">
        <v>14</v>
      </c>
      <c r="G114" s="11">
        <v>202102001</v>
      </c>
      <c r="H114" s="167" t="s">
        <v>157</v>
      </c>
      <c r="I114" s="167" t="s">
        <v>827</v>
      </c>
      <c r="J114" s="167" t="s">
        <v>223</v>
      </c>
      <c r="K114" s="167" t="s">
        <v>170</v>
      </c>
      <c r="L114" s="167" t="s">
        <v>306</v>
      </c>
      <c r="M114" s="167" t="s">
        <v>1353</v>
      </c>
      <c r="N114" s="11">
        <v>0</v>
      </c>
      <c r="O114" s="12" t="str">
        <f>_xlfn.DISPIMG("ID_7AB2E23FEFF940D9992E8955A95BEDD5",1)</f>
        <v>=DISPIMG("ID_7AB2E23FEFF940D9992E8955A95BEDD5",1)</v>
      </c>
      <c r="P114" s="11" t="s">
        <v>1354</v>
      </c>
      <c r="Q114" s="11">
        <v>147</v>
      </c>
      <c r="R114" s="17" t="s">
        <v>4429</v>
      </c>
      <c r="S114" s="18" t="s">
        <v>43</v>
      </c>
      <c r="T114" s="11">
        <v>20</v>
      </c>
    </row>
    <row r="115" s="3" customFormat="1" customHeight="1" spans="1:20">
      <c r="A115" s="167" t="s">
        <v>1380</v>
      </c>
      <c r="B115" s="167" t="s">
        <v>165</v>
      </c>
      <c r="C115" s="167" t="s">
        <v>1381</v>
      </c>
      <c r="D115" s="11">
        <v>15279288135</v>
      </c>
      <c r="E115" s="167" t="s">
        <v>156</v>
      </c>
      <c r="F115" s="167" t="s">
        <v>14</v>
      </c>
      <c r="G115" s="11">
        <v>202102001</v>
      </c>
      <c r="H115" s="167" t="s">
        <v>279</v>
      </c>
      <c r="I115" s="167" t="s">
        <v>339</v>
      </c>
      <c r="J115" s="167" t="s">
        <v>348</v>
      </c>
      <c r="K115" s="167" t="s">
        <v>170</v>
      </c>
      <c r="L115" s="167" t="s">
        <v>368</v>
      </c>
      <c r="M115" s="167" t="s">
        <v>350</v>
      </c>
      <c r="N115" s="167" t="s">
        <v>1383</v>
      </c>
      <c r="O115" s="12" t="str">
        <f>_xlfn.DISPIMG("ID_05A4371881E64A5ABCF18AC5C0DCA23F",1)</f>
        <v>=DISPIMG("ID_05A4371881E64A5ABCF18AC5C0DCA23F",1)</v>
      </c>
      <c r="P115" s="11" t="s">
        <v>1384</v>
      </c>
      <c r="Q115" s="11">
        <v>151</v>
      </c>
      <c r="R115" s="17" t="s">
        <v>4430</v>
      </c>
      <c r="S115" s="18" t="s">
        <v>43</v>
      </c>
      <c r="T115" s="11">
        <v>29</v>
      </c>
    </row>
    <row r="116" s="3" customFormat="1" customHeight="1" spans="1:20">
      <c r="A116" s="167" t="s">
        <v>1496</v>
      </c>
      <c r="B116" s="167" t="s">
        <v>165</v>
      </c>
      <c r="C116" s="167" t="s">
        <v>1497</v>
      </c>
      <c r="D116" s="11">
        <v>18770916920</v>
      </c>
      <c r="E116" s="167" t="s">
        <v>156</v>
      </c>
      <c r="F116" s="167" t="s">
        <v>14</v>
      </c>
      <c r="G116" s="11">
        <v>202102001</v>
      </c>
      <c r="H116" s="167" t="s">
        <v>157</v>
      </c>
      <c r="I116" s="167" t="s">
        <v>876</v>
      </c>
      <c r="J116" s="167" t="s">
        <v>1499</v>
      </c>
      <c r="K116" s="167" t="s">
        <v>160</v>
      </c>
      <c r="L116" s="167" t="s">
        <v>396</v>
      </c>
      <c r="M116" s="167" t="s">
        <v>14</v>
      </c>
      <c r="N116" s="11">
        <v>0</v>
      </c>
      <c r="O116" s="12" t="str">
        <f>_xlfn.DISPIMG("ID_F699C2D8D57643CC8A99CF3C2C6B152A",1)</f>
        <v>=DISPIMG("ID_F699C2D8D57643CC8A99CF3C2C6B152A",1)</v>
      </c>
      <c r="P116" s="11" t="s">
        <v>1500</v>
      </c>
      <c r="Q116" s="11">
        <v>166</v>
      </c>
      <c r="R116" s="17" t="s">
        <v>4431</v>
      </c>
      <c r="S116" s="18" t="s">
        <v>43</v>
      </c>
      <c r="T116" s="11">
        <v>4</v>
      </c>
    </row>
    <row r="117" s="3" customFormat="1" customHeight="1" spans="1:20">
      <c r="A117" s="167" t="s">
        <v>1542</v>
      </c>
      <c r="B117" s="167" t="s">
        <v>153</v>
      </c>
      <c r="C117" s="167" t="s">
        <v>1543</v>
      </c>
      <c r="D117" s="11">
        <v>15270866526</v>
      </c>
      <c r="E117" s="167" t="s">
        <v>156</v>
      </c>
      <c r="F117" s="167" t="s">
        <v>14</v>
      </c>
      <c r="G117" s="11">
        <v>202102001</v>
      </c>
      <c r="H117" s="167" t="s">
        <v>157</v>
      </c>
      <c r="I117" s="167" t="s">
        <v>1545</v>
      </c>
      <c r="J117" s="167" t="s">
        <v>1546</v>
      </c>
      <c r="K117" s="167" t="s">
        <v>170</v>
      </c>
      <c r="L117" s="167" t="s">
        <v>235</v>
      </c>
      <c r="M117" s="167" t="s">
        <v>1547</v>
      </c>
      <c r="N117" s="167" t="s">
        <v>1548</v>
      </c>
      <c r="O117" s="12" t="str">
        <f>_xlfn.DISPIMG("ID_08EA3F14C88D463E8A5342E5A111BC99",1)</f>
        <v>=DISPIMG("ID_08EA3F14C88D463E8A5342E5A111BC99",1)</v>
      </c>
      <c r="P117" s="11" t="s">
        <v>1549</v>
      </c>
      <c r="Q117" s="11">
        <v>172</v>
      </c>
      <c r="R117" s="17" t="s">
        <v>4432</v>
      </c>
      <c r="S117" s="18" t="s">
        <v>43</v>
      </c>
      <c r="T117" s="11">
        <v>9</v>
      </c>
    </row>
    <row r="118" s="3" customFormat="1" customHeight="1" spans="1:20">
      <c r="A118" s="167" t="s">
        <v>1697</v>
      </c>
      <c r="B118" s="167" t="s">
        <v>165</v>
      </c>
      <c r="C118" s="167" t="s">
        <v>1698</v>
      </c>
      <c r="D118" s="11">
        <v>13732925421</v>
      </c>
      <c r="E118" s="167" t="s">
        <v>156</v>
      </c>
      <c r="F118" s="167" t="s">
        <v>14</v>
      </c>
      <c r="G118" s="11">
        <v>202102001</v>
      </c>
      <c r="H118" s="167" t="s">
        <v>157</v>
      </c>
      <c r="I118" s="167" t="s">
        <v>1654</v>
      </c>
      <c r="J118" s="167" t="s">
        <v>1700</v>
      </c>
      <c r="K118" s="167" t="s">
        <v>160</v>
      </c>
      <c r="L118" s="167" t="s">
        <v>235</v>
      </c>
      <c r="M118" s="167" t="s">
        <v>1701</v>
      </c>
      <c r="N118" s="167" t="s">
        <v>1702</v>
      </c>
      <c r="O118" s="12" t="str">
        <f>_xlfn.DISPIMG("ID_9C3AAF7BA09C4626832FC4C49E6F802D",1)</f>
        <v>=DISPIMG("ID_9C3AAF7BA09C4626832FC4C49E6F802D",1)</v>
      </c>
      <c r="P118" s="11" t="s">
        <v>1703</v>
      </c>
      <c r="Q118" s="11">
        <v>192</v>
      </c>
      <c r="R118" s="17" t="s">
        <v>4433</v>
      </c>
      <c r="S118" s="18" t="s">
        <v>43</v>
      </c>
      <c r="T118" s="11">
        <v>16</v>
      </c>
    </row>
    <row r="119" s="3" customFormat="1" customHeight="1" spans="1:20">
      <c r="A119" s="167" t="s">
        <v>1723</v>
      </c>
      <c r="B119" s="167" t="s">
        <v>165</v>
      </c>
      <c r="C119" s="167" t="s">
        <v>1724</v>
      </c>
      <c r="D119" s="11">
        <v>13697028942</v>
      </c>
      <c r="E119" s="167" t="s">
        <v>156</v>
      </c>
      <c r="F119" s="167" t="s">
        <v>14</v>
      </c>
      <c r="G119" s="11">
        <v>202102001</v>
      </c>
      <c r="H119" s="167" t="s">
        <v>157</v>
      </c>
      <c r="I119" s="167" t="s">
        <v>827</v>
      </c>
      <c r="J119" s="167" t="s">
        <v>454</v>
      </c>
      <c r="K119" s="167" t="s">
        <v>170</v>
      </c>
      <c r="L119" s="167" t="s">
        <v>261</v>
      </c>
      <c r="M119" s="167" t="s">
        <v>26</v>
      </c>
      <c r="N119" s="11">
        <v>0</v>
      </c>
      <c r="O119" s="12" t="str">
        <f>_xlfn.DISPIMG("ID_9F3C5B09040D438283C530134A5BD84D",1)</f>
        <v>=DISPIMG("ID_9F3C5B09040D438283C530134A5BD84D",1)</v>
      </c>
      <c r="P119" s="11" t="s">
        <v>1726</v>
      </c>
      <c r="Q119" s="11">
        <v>195</v>
      </c>
      <c r="R119" s="17" t="s">
        <v>4434</v>
      </c>
      <c r="S119" s="18" t="s">
        <v>43</v>
      </c>
      <c r="T119" s="11">
        <v>21</v>
      </c>
    </row>
    <row r="120" s="3" customFormat="1" customHeight="1" spans="1:20">
      <c r="A120" s="167" t="s">
        <v>1828</v>
      </c>
      <c r="B120" s="167" t="s">
        <v>165</v>
      </c>
      <c r="C120" s="167" t="s">
        <v>1829</v>
      </c>
      <c r="D120" s="11">
        <v>18797851564</v>
      </c>
      <c r="E120" s="167" t="s">
        <v>156</v>
      </c>
      <c r="F120" s="167" t="s">
        <v>14</v>
      </c>
      <c r="G120" s="11">
        <v>202102001</v>
      </c>
      <c r="H120" s="167" t="s">
        <v>157</v>
      </c>
      <c r="I120" s="167" t="s">
        <v>1831</v>
      </c>
      <c r="J120" s="167" t="s">
        <v>1832</v>
      </c>
      <c r="K120" s="167" t="s">
        <v>160</v>
      </c>
      <c r="L120" s="167" t="s">
        <v>171</v>
      </c>
      <c r="M120" s="167" t="s">
        <v>14</v>
      </c>
      <c r="N120" s="167" t="s">
        <v>1833</v>
      </c>
      <c r="O120" s="12" t="str">
        <f>_xlfn.DISPIMG("ID_9C01FBB9DB4A4DB19EA599EA9C699E26",1)</f>
        <v>=DISPIMG("ID_9C01FBB9DB4A4DB19EA599EA9C699E26",1)</v>
      </c>
      <c r="P120" s="11" t="s">
        <v>1834</v>
      </c>
      <c r="Q120" s="11">
        <v>209</v>
      </c>
      <c r="R120" s="17" t="s">
        <v>4435</v>
      </c>
      <c r="S120" s="18" t="s">
        <v>43</v>
      </c>
      <c r="T120" s="11">
        <v>28</v>
      </c>
    </row>
    <row r="121" s="3" customFormat="1" customHeight="1" spans="1:20">
      <c r="A121" s="167" t="s">
        <v>1939</v>
      </c>
      <c r="B121" s="167" t="s">
        <v>165</v>
      </c>
      <c r="C121" s="167" t="s">
        <v>1940</v>
      </c>
      <c r="D121" s="11">
        <v>15727538228</v>
      </c>
      <c r="E121" s="167" t="s">
        <v>156</v>
      </c>
      <c r="F121" s="167" t="s">
        <v>14</v>
      </c>
      <c r="G121" s="11">
        <v>202102001</v>
      </c>
      <c r="H121" s="167" t="s">
        <v>157</v>
      </c>
      <c r="I121" s="167" t="s">
        <v>233</v>
      </c>
      <c r="J121" s="167" t="s">
        <v>454</v>
      </c>
      <c r="K121" s="167" t="s">
        <v>170</v>
      </c>
      <c r="L121" s="167" t="s">
        <v>1942</v>
      </c>
      <c r="M121" s="167" t="s">
        <v>498</v>
      </c>
      <c r="N121" s="167" t="s">
        <v>1943</v>
      </c>
      <c r="O121" s="12" t="str">
        <f>_xlfn.DISPIMG("ID_1C58977D34D3459483FD1AF3B2109430",1)</f>
        <v>=DISPIMG("ID_1C58977D34D3459483FD1AF3B2109430",1)</v>
      </c>
      <c r="P121" s="11" t="s">
        <v>1944</v>
      </c>
      <c r="Q121" s="11">
        <v>224</v>
      </c>
      <c r="R121" s="17" t="s">
        <v>4436</v>
      </c>
      <c r="S121" s="18" t="s">
        <v>43</v>
      </c>
      <c r="T121" s="11">
        <v>3</v>
      </c>
    </row>
    <row r="122" s="3" customFormat="1" customHeight="1" spans="1:20">
      <c r="A122" s="167" t="s">
        <v>1947</v>
      </c>
      <c r="B122" s="167" t="s">
        <v>165</v>
      </c>
      <c r="C122" s="167" t="s">
        <v>1948</v>
      </c>
      <c r="D122" s="11">
        <v>15070578947</v>
      </c>
      <c r="E122" s="167" t="s">
        <v>156</v>
      </c>
      <c r="F122" s="167" t="s">
        <v>14</v>
      </c>
      <c r="G122" s="11">
        <v>202102001</v>
      </c>
      <c r="H122" s="167" t="s">
        <v>279</v>
      </c>
      <c r="I122" s="167" t="s">
        <v>1523</v>
      </c>
      <c r="J122" s="167" t="s">
        <v>1950</v>
      </c>
      <c r="K122" s="167" t="s">
        <v>170</v>
      </c>
      <c r="L122" s="167" t="s">
        <v>396</v>
      </c>
      <c r="M122" s="167" t="s">
        <v>14</v>
      </c>
      <c r="N122" s="167" t="s">
        <v>1951</v>
      </c>
      <c r="O122" s="12" t="str">
        <f>_xlfn.DISPIMG("ID_86A99051306F46439DFFA2E8604105B2",1)</f>
        <v>=DISPIMG("ID_86A99051306F46439DFFA2E8604105B2",1)</v>
      </c>
      <c r="P122" s="11" t="s">
        <v>1952</v>
      </c>
      <c r="Q122" s="11">
        <v>225</v>
      </c>
      <c r="R122" s="17" t="s">
        <v>4437</v>
      </c>
      <c r="S122" s="18" t="s">
        <v>43</v>
      </c>
      <c r="T122" s="11">
        <v>10</v>
      </c>
    </row>
    <row r="123" s="3" customFormat="1" customHeight="1" spans="1:20">
      <c r="A123" s="167" t="s">
        <v>1955</v>
      </c>
      <c r="B123" s="167" t="s">
        <v>165</v>
      </c>
      <c r="C123" s="167" t="s">
        <v>1956</v>
      </c>
      <c r="D123" s="11">
        <v>13687028289</v>
      </c>
      <c r="E123" s="167" t="s">
        <v>156</v>
      </c>
      <c r="F123" s="167" t="s">
        <v>14</v>
      </c>
      <c r="G123" s="11">
        <v>202102001</v>
      </c>
      <c r="H123" s="167" t="s">
        <v>279</v>
      </c>
      <c r="I123" s="167" t="s">
        <v>339</v>
      </c>
      <c r="J123" s="167" t="s">
        <v>348</v>
      </c>
      <c r="K123" s="167" t="s">
        <v>170</v>
      </c>
      <c r="L123" s="167" t="s">
        <v>180</v>
      </c>
      <c r="M123" s="167" t="s">
        <v>638</v>
      </c>
      <c r="N123" s="167" t="s">
        <v>1958</v>
      </c>
      <c r="O123" s="12" t="str">
        <f>_xlfn.DISPIMG("ID_2D011236909B4AB48CEACAF4EB3A9013",1)</f>
        <v>=DISPIMG("ID_2D011236909B4AB48CEACAF4EB3A9013",1)</v>
      </c>
      <c r="P123" s="11" t="s">
        <v>1959</v>
      </c>
      <c r="Q123" s="11">
        <v>226</v>
      </c>
      <c r="R123" s="17" t="s">
        <v>4438</v>
      </c>
      <c r="S123" s="18" t="s">
        <v>43</v>
      </c>
      <c r="T123" s="11">
        <v>15</v>
      </c>
    </row>
    <row r="124" s="3" customFormat="1" customHeight="1" spans="1:20">
      <c r="A124" s="167" t="s">
        <v>1962</v>
      </c>
      <c r="B124" s="167" t="s">
        <v>165</v>
      </c>
      <c r="C124" s="167" t="s">
        <v>1963</v>
      </c>
      <c r="D124" s="11">
        <v>18279199773</v>
      </c>
      <c r="E124" s="167" t="s">
        <v>156</v>
      </c>
      <c r="F124" s="167" t="s">
        <v>14</v>
      </c>
      <c r="G124" s="11">
        <v>202102001</v>
      </c>
      <c r="H124" s="167" t="s">
        <v>157</v>
      </c>
      <c r="I124" s="167" t="s">
        <v>1121</v>
      </c>
      <c r="J124" s="167" t="s">
        <v>813</v>
      </c>
      <c r="K124" s="167" t="s">
        <v>160</v>
      </c>
      <c r="L124" s="167" t="s">
        <v>199</v>
      </c>
      <c r="M124" s="167" t="s">
        <v>14</v>
      </c>
      <c r="N124" s="167" t="s">
        <v>1965</v>
      </c>
      <c r="O124" s="12" t="str">
        <f>_xlfn.DISPIMG("ID_978F05F9424741AE81F8E8335A7E991E",1)</f>
        <v>=DISPIMG("ID_978F05F9424741AE81F8E8335A7E991E",1)</v>
      </c>
      <c r="P124" s="11" t="s">
        <v>1966</v>
      </c>
      <c r="Q124" s="11">
        <v>227</v>
      </c>
      <c r="R124" s="17" t="s">
        <v>4439</v>
      </c>
      <c r="S124" s="18" t="s">
        <v>43</v>
      </c>
      <c r="T124" s="11">
        <v>22</v>
      </c>
    </row>
    <row r="125" s="3" customFormat="1" customHeight="1" spans="1:20">
      <c r="A125" s="167" t="s">
        <v>1983</v>
      </c>
      <c r="B125" s="167" t="s">
        <v>165</v>
      </c>
      <c r="C125" s="167" t="s">
        <v>1984</v>
      </c>
      <c r="D125" s="11">
        <v>15070924105</v>
      </c>
      <c r="E125" s="167" t="s">
        <v>156</v>
      </c>
      <c r="F125" s="167" t="s">
        <v>14</v>
      </c>
      <c r="G125" s="11">
        <v>202102001</v>
      </c>
      <c r="H125" s="167" t="s">
        <v>279</v>
      </c>
      <c r="I125" s="167" t="s">
        <v>515</v>
      </c>
      <c r="J125" s="167" t="s">
        <v>223</v>
      </c>
      <c r="K125" s="167" t="s">
        <v>170</v>
      </c>
      <c r="L125" s="167" t="s">
        <v>224</v>
      </c>
      <c r="M125" s="167" t="s">
        <v>14</v>
      </c>
      <c r="N125" s="11">
        <v>0</v>
      </c>
      <c r="O125" s="12" t="str">
        <f>_xlfn.DISPIMG("ID_88D6D1C166864D0C988B38CB94A18A2D",1)</f>
        <v>=DISPIMG("ID_88D6D1C166864D0C988B38CB94A18A2D",1)</v>
      </c>
      <c r="P125" s="11" t="s">
        <v>1986</v>
      </c>
      <c r="Q125" s="11">
        <v>230</v>
      </c>
      <c r="R125" s="17" t="s">
        <v>4440</v>
      </c>
      <c r="S125" s="18" t="s">
        <v>43</v>
      </c>
      <c r="T125" s="11">
        <v>27</v>
      </c>
    </row>
    <row r="126" s="3" customFormat="1" customHeight="1" spans="1:20">
      <c r="A126" s="167" t="s">
        <v>1989</v>
      </c>
      <c r="B126" s="167" t="s">
        <v>165</v>
      </c>
      <c r="C126" s="167" t="s">
        <v>1990</v>
      </c>
      <c r="D126" s="11">
        <v>18720291086</v>
      </c>
      <c r="E126" s="167" t="s">
        <v>156</v>
      </c>
      <c r="F126" s="167" t="s">
        <v>14</v>
      </c>
      <c r="G126" s="11">
        <v>202102001</v>
      </c>
      <c r="H126" s="167" t="s">
        <v>279</v>
      </c>
      <c r="I126" s="167" t="s">
        <v>367</v>
      </c>
      <c r="J126" s="167" t="s">
        <v>348</v>
      </c>
      <c r="K126" s="167" t="s">
        <v>170</v>
      </c>
      <c r="L126" s="167" t="s">
        <v>180</v>
      </c>
      <c r="M126" s="167" t="s">
        <v>1992</v>
      </c>
      <c r="N126" s="167" t="s">
        <v>1993</v>
      </c>
      <c r="O126" s="12" t="str">
        <f>_xlfn.DISPIMG("ID_08685AD380B84575A97C010891A129EA",1)</f>
        <v>=DISPIMG("ID_08685AD380B84575A97C010891A129EA",1)</v>
      </c>
      <c r="P126" s="11" t="s">
        <v>1994</v>
      </c>
      <c r="Q126" s="11">
        <v>231</v>
      </c>
      <c r="R126" s="17" t="s">
        <v>4441</v>
      </c>
      <c r="S126" s="18" t="s">
        <v>43</v>
      </c>
      <c r="T126" s="11">
        <v>2</v>
      </c>
    </row>
    <row r="127" s="3" customFormat="1" customHeight="1" spans="1:20">
      <c r="A127" s="167" t="s">
        <v>2028</v>
      </c>
      <c r="B127" s="167" t="s">
        <v>165</v>
      </c>
      <c r="C127" s="167" t="s">
        <v>2029</v>
      </c>
      <c r="D127" s="11">
        <v>18379220348</v>
      </c>
      <c r="E127" s="167" t="s">
        <v>156</v>
      </c>
      <c r="F127" s="167" t="s">
        <v>14</v>
      </c>
      <c r="G127" s="11">
        <v>202102001</v>
      </c>
      <c r="H127" s="167" t="s">
        <v>157</v>
      </c>
      <c r="I127" s="167" t="s">
        <v>158</v>
      </c>
      <c r="J127" s="167" t="s">
        <v>1546</v>
      </c>
      <c r="K127" s="167" t="s">
        <v>170</v>
      </c>
      <c r="L127" s="167" t="s">
        <v>161</v>
      </c>
      <c r="M127" s="167" t="s">
        <v>2031</v>
      </c>
      <c r="N127" s="167" t="s">
        <v>2032</v>
      </c>
      <c r="O127" s="12" t="str">
        <f>_xlfn.DISPIMG("ID_23D2336FF3CB4EA6B1558E965302CC98",1)</f>
        <v>=DISPIMG("ID_23D2336FF3CB4EA6B1558E965302CC98",1)</v>
      </c>
      <c r="P127" s="11" t="s">
        <v>2033</v>
      </c>
      <c r="Q127" s="11">
        <v>236</v>
      </c>
      <c r="R127" s="17" t="s">
        <v>4442</v>
      </c>
      <c r="S127" s="18" t="s">
        <v>43</v>
      </c>
      <c r="T127" s="11">
        <v>11</v>
      </c>
    </row>
    <row r="128" s="3" customFormat="1" customHeight="1" spans="1:20">
      <c r="A128" s="167" t="s">
        <v>2053</v>
      </c>
      <c r="B128" s="167" t="s">
        <v>165</v>
      </c>
      <c r="C128" s="167" t="s">
        <v>2054</v>
      </c>
      <c r="D128" s="11">
        <v>15079910015</v>
      </c>
      <c r="E128" s="167" t="s">
        <v>156</v>
      </c>
      <c r="F128" s="167" t="s">
        <v>14</v>
      </c>
      <c r="G128" s="11">
        <v>202102001</v>
      </c>
      <c r="H128" s="167" t="s">
        <v>279</v>
      </c>
      <c r="I128" s="167" t="s">
        <v>1424</v>
      </c>
      <c r="J128" s="167" t="s">
        <v>348</v>
      </c>
      <c r="K128" s="167" t="s">
        <v>170</v>
      </c>
      <c r="L128" s="167" t="s">
        <v>199</v>
      </c>
      <c r="M128" s="167" t="s">
        <v>14</v>
      </c>
      <c r="N128" s="167" t="s">
        <v>2056</v>
      </c>
      <c r="O128" s="12" t="str">
        <f>_xlfn.DISPIMG("ID_4A26FAD7BD014883BE19E7EBABEADF70",1)</f>
        <v>=DISPIMG("ID_4A26FAD7BD014883BE19E7EBABEADF70",1)</v>
      </c>
      <c r="P128" s="11" t="s">
        <v>2057</v>
      </c>
      <c r="Q128" s="11">
        <v>239</v>
      </c>
      <c r="R128" s="17" t="s">
        <v>4443</v>
      </c>
      <c r="S128" s="18" t="s">
        <v>43</v>
      </c>
      <c r="T128" s="11">
        <v>14</v>
      </c>
    </row>
    <row r="129" s="3" customFormat="1" customHeight="1" spans="1:20">
      <c r="A129" s="167" t="s">
        <v>2165</v>
      </c>
      <c r="B129" s="167" t="s">
        <v>165</v>
      </c>
      <c r="C129" s="167" t="s">
        <v>2166</v>
      </c>
      <c r="D129" s="11">
        <v>15270256109</v>
      </c>
      <c r="E129" s="167" t="s">
        <v>156</v>
      </c>
      <c r="F129" s="167" t="s">
        <v>14</v>
      </c>
      <c r="G129" s="11">
        <v>202102001</v>
      </c>
      <c r="H129" s="167" t="s">
        <v>279</v>
      </c>
      <c r="I129" s="167" t="s">
        <v>158</v>
      </c>
      <c r="J129" s="167" t="s">
        <v>348</v>
      </c>
      <c r="K129" s="167" t="s">
        <v>170</v>
      </c>
      <c r="L129" s="167" t="s">
        <v>306</v>
      </c>
      <c r="M129" s="167" t="s">
        <v>638</v>
      </c>
      <c r="N129" s="167" t="s">
        <v>2168</v>
      </c>
      <c r="O129" s="12" t="str">
        <f>_xlfn.DISPIMG("ID_3CABC7DA53ED4401B09BC2C27086B239",1)</f>
        <v>=DISPIMG("ID_3CABC7DA53ED4401B09BC2C27086B239",1)</v>
      </c>
      <c r="P129" s="11" t="s">
        <v>2169</v>
      </c>
      <c r="Q129" s="11">
        <v>254</v>
      </c>
      <c r="R129" s="17" t="s">
        <v>4444</v>
      </c>
      <c r="S129" s="18" t="s">
        <v>43</v>
      </c>
      <c r="T129" s="11">
        <v>23</v>
      </c>
    </row>
    <row r="130" s="3" customFormat="1" customHeight="1" spans="1:20">
      <c r="A130" s="167" t="s">
        <v>2218</v>
      </c>
      <c r="B130" s="167" t="s">
        <v>165</v>
      </c>
      <c r="C130" s="167" t="s">
        <v>2219</v>
      </c>
      <c r="D130" s="11">
        <v>15179156312</v>
      </c>
      <c r="E130" s="167" t="s">
        <v>156</v>
      </c>
      <c r="F130" s="167" t="s">
        <v>14</v>
      </c>
      <c r="G130" s="11">
        <v>202102001</v>
      </c>
      <c r="H130" s="167" t="s">
        <v>157</v>
      </c>
      <c r="I130" s="167" t="s">
        <v>233</v>
      </c>
      <c r="J130" s="167" t="s">
        <v>1195</v>
      </c>
      <c r="K130" s="167" t="s">
        <v>160</v>
      </c>
      <c r="L130" s="167" t="s">
        <v>2221</v>
      </c>
      <c r="M130" s="167" t="s">
        <v>638</v>
      </c>
      <c r="N130" s="167" t="s">
        <v>2222</v>
      </c>
      <c r="O130" s="12" t="str">
        <f>_xlfn.DISPIMG("ID_D4DBACC4389B49D6B9C508C515595D5D",1)</f>
        <v>=DISPIMG("ID_D4DBACC4389B49D6B9C508C515595D5D",1)</v>
      </c>
      <c r="P130" s="11" t="s">
        <v>2223</v>
      </c>
      <c r="Q130" s="11">
        <v>261</v>
      </c>
      <c r="R130" s="17" t="s">
        <v>4445</v>
      </c>
      <c r="S130" s="18" t="s">
        <v>43</v>
      </c>
      <c r="T130" s="11">
        <v>26</v>
      </c>
    </row>
    <row r="131" s="3" customFormat="1" customHeight="1" spans="1:20">
      <c r="A131" s="167" t="s">
        <v>2400</v>
      </c>
      <c r="B131" s="167" t="s">
        <v>165</v>
      </c>
      <c r="C131" s="167" t="s">
        <v>2401</v>
      </c>
      <c r="D131" s="11">
        <v>18879267195</v>
      </c>
      <c r="E131" s="167" t="s">
        <v>156</v>
      </c>
      <c r="F131" s="167" t="s">
        <v>14</v>
      </c>
      <c r="G131" s="11">
        <v>202102001</v>
      </c>
      <c r="H131" s="167" t="s">
        <v>279</v>
      </c>
      <c r="I131" s="167" t="s">
        <v>339</v>
      </c>
      <c r="J131" s="167" t="s">
        <v>348</v>
      </c>
      <c r="K131" s="167" t="s">
        <v>170</v>
      </c>
      <c r="L131" s="167" t="s">
        <v>180</v>
      </c>
      <c r="M131" s="167" t="s">
        <v>14</v>
      </c>
      <c r="N131" s="167" t="s">
        <v>2403</v>
      </c>
      <c r="O131" s="12" t="str">
        <f>_xlfn.DISPIMG("ID_FE029F69B78E439BA992D666A5ADF87E",1)</f>
        <v>=DISPIMG("ID_FE029F69B78E439BA992D666A5ADF87E",1)</v>
      </c>
      <c r="P131" s="11" t="s">
        <v>2404</v>
      </c>
      <c r="Q131" s="11">
        <v>285</v>
      </c>
      <c r="R131" s="17" t="s">
        <v>4446</v>
      </c>
      <c r="S131" s="18" t="s">
        <v>43</v>
      </c>
      <c r="T131" s="11">
        <v>1</v>
      </c>
    </row>
    <row r="132" s="3" customFormat="1" customHeight="1" spans="1:20">
      <c r="A132" s="167" t="s">
        <v>2430</v>
      </c>
      <c r="B132" s="167" t="s">
        <v>165</v>
      </c>
      <c r="C132" s="167" t="s">
        <v>2431</v>
      </c>
      <c r="D132" s="11">
        <v>18379086106</v>
      </c>
      <c r="E132" s="167" t="s">
        <v>156</v>
      </c>
      <c r="F132" s="167" t="s">
        <v>14</v>
      </c>
      <c r="G132" s="11">
        <v>202102001</v>
      </c>
      <c r="H132" s="167" t="s">
        <v>279</v>
      </c>
      <c r="I132" s="167" t="s">
        <v>178</v>
      </c>
      <c r="J132" s="167" t="s">
        <v>348</v>
      </c>
      <c r="K132" s="167" t="s">
        <v>170</v>
      </c>
      <c r="L132" s="167" t="s">
        <v>396</v>
      </c>
      <c r="M132" s="167" t="s">
        <v>14</v>
      </c>
      <c r="N132" s="167" t="s">
        <v>2433</v>
      </c>
      <c r="O132" s="12" t="str">
        <f>_xlfn.DISPIMG("ID_490114996A5646149508AE2796C7FCA8",1)</f>
        <v>=DISPIMG("ID_490114996A5646149508AE2796C7FCA8",1)</v>
      </c>
      <c r="P132" s="11" t="s">
        <v>2434</v>
      </c>
      <c r="Q132" s="11">
        <v>289</v>
      </c>
      <c r="R132" s="17" t="s">
        <v>4447</v>
      </c>
      <c r="S132" s="18" t="s">
        <v>43</v>
      </c>
      <c r="T132" s="11">
        <v>12</v>
      </c>
    </row>
    <row r="133" s="3" customFormat="1" customHeight="1" spans="1:20">
      <c r="A133" s="167" t="s">
        <v>2452</v>
      </c>
      <c r="B133" s="167" t="s">
        <v>165</v>
      </c>
      <c r="C133" s="167" t="s">
        <v>2453</v>
      </c>
      <c r="D133" s="11">
        <v>18720955003</v>
      </c>
      <c r="E133" s="167" t="s">
        <v>156</v>
      </c>
      <c r="F133" s="167" t="s">
        <v>14</v>
      </c>
      <c r="G133" s="11">
        <v>202102001</v>
      </c>
      <c r="H133" s="167" t="s">
        <v>157</v>
      </c>
      <c r="I133" s="167" t="s">
        <v>197</v>
      </c>
      <c r="J133" s="167" t="s">
        <v>454</v>
      </c>
      <c r="K133" s="167" t="s">
        <v>160</v>
      </c>
      <c r="L133" s="167" t="s">
        <v>216</v>
      </c>
      <c r="M133" s="167" t="s">
        <v>14</v>
      </c>
      <c r="N133" s="167" t="s">
        <v>2455</v>
      </c>
      <c r="O133" s="12" t="str">
        <f>_xlfn.DISPIMG("ID_FC7219DD86F84BE1856628C95CBE9A35",1)</f>
        <v>=DISPIMG("ID_FC7219DD86F84BE1856628C95CBE9A35",1)</v>
      </c>
      <c r="P133" s="11" t="s">
        <v>2456</v>
      </c>
      <c r="Q133" s="11">
        <v>292</v>
      </c>
      <c r="R133" s="17" t="s">
        <v>4448</v>
      </c>
      <c r="S133" s="18" t="s">
        <v>43</v>
      </c>
      <c r="T133" s="11">
        <v>13</v>
      </c>
    </row>
    <row r="134" s="3" customFormat="1" customHeight="1" spans="1:20">
      <c r="A134" s="167" t="s">
        <v>2466</v>
      </c>
      <c r="B134" s="167" t="s">
        <v>165</v>
      </c>
      <c r="C134" s="167" t="s">
        <v>2467</v>
      </c>
      <c r="D134" s="11">
        <v>18296295635</v>
      </c>
      <c r="E134" s="167" t="s">
        <v>156</v>
      </c>
      <c r="F134" s="167" t="s">
        <v>14</v>
      </c>
      <c r="G134" s="11">
        <v>202102001</v>
      </c>
      <c r="H134" s="167" t="s">
        <v>279</v>
      </c>
      <c r="I134" s="167" t="s">
        <v>233</v>
      </c>
      <c r="J134" s="167" t="s">
        <v>348</v>
      </c>
      <c r="K134" s="167" t="s">
        <v>170</v>
      </c>
      <c r="L134" s="167" t="s">
        <v>368</v>
      </c>
      <c r="M134" s="167" t="s">
        <v>14</v>
      </c>
      <c r="N134" s="167" t="s">
        <v>2469</v>
      </c>
      <c r="O134" s="12" t="str">
        <f>_xlfn.DISPIMG("ID_F16EE101B40044CF89D1DFEEC618BA53",1)</f>
        <v>=DISPIMG("ID_F16EE101B40044CF89D1DFEEC618BA53",1)</v>
      </c>
      <c r="P134" s="11" t="s">
        <v>2470</v>
      </c>
      <c r="Q134" s="11">
        <v>294</v>
      </c>
      <c r="R134" s="17" t="s">
        <v>4449</v>
      </c>
      <c r="S134" s="18" t="s">
        <v>43</v>
      </c>
      <c r="T134" s="11">
        <v>24</v>
      </c>
    </row>
    <row r="135" s="3" customFormat="1" customHeight="1" spans="1:20">
      <c r="A135" s="167" t="s">
        <v>2562</v>
      </c>
      <c r="B135" s="167" t="s">
        <v>165</v>
      </c>
      <c r="C135" s="167" t="s">
        <v>2563</v>
      </c>
      <c r="D135" s="11">
        <v>18279531380</v>
      </c>
      <c r="E135" s="167" t="s">
        <v>156</v>
      </c>
      <c r="F135" s="167" t="s">
        <v>14</v>
      </c>
      <c r="G135" s="11">
        <v>202102001</v>
      </c>
      <c r="H135" s="167" t="s">
        <v>705</v>
      </c>
      <c r="I135" s="167" t="s">
        <v>2565</v>
      </c>
      <c r="J135" s="167" t="s">
        <v>790</v>
      </c>
      <c r="K135" s="167" t="s">
        <v>160</v>
      </c>
      <c r="L135" s="167" t="s">
        <v>455</v>
      </c>
      <c r="M135" s="167" t="s">
        <v>14</v>
      </c>
      <c r="N135" s="167" t="s">
        <v>2566</v>
      </c>
      <c r="O135" s="12" t="str">
        <f>_xlfn.DISPIMG("ID_DA928F2BE2B24AF3ABF5D40BAC268946",1)</f>
        <v>=DISPIMG("ID_DA928F2BE2B24AF3ABF5D40BAC268946",1)</v>
      </c>
      <c r="P135" s="11" t="s">
        <v>2567</v>
      </c>
      <c r="Q135" s="11">
        <v>307</v>
      </c>
      <c r="R135" s="17" t="s">
        <v>4450</v>
      </c>
      <c r="S135" s="18" t="s">
        <v>43</v>
      </c>
      <c r="T135" s="11">
        <v>25</v>
      </c>
    </row>
    <row r="136" s="3" customFormat="1" customHeight="1" spans="1:20">
      <c r="A136" s="167" t="s">
        <v>2635</v>
      </c>
      <c r="B136" s="167" t="s">
        <v>165</v>
      </c>
      <c r="C136" s="167" t="s">
        <v>2636</v>
      </c>
      <c r="D136" s="11">
        <v>15170208662</v>
      </c>
      <c r="E136" s="167" t="s">
        <v>156</v>
      </c>
      <c r="F136" s="167" t="s">
        <v>14</v>
      </c>
      <c r="G136" s="11">
        <v>202102001</v>
      </c>
      <c r="H136" s="167" t="s">
        <v>157</v>
      </c>
      <c r="I136" s="167" t="s">
        <v>233</v>
      </c>
      <c r="J136" s="167" t="s">
        <v>454</v>
      </c>
      <c r="K136" s="167" t="s">
        <v>170</v>
      </c>
      <c r="L136" s="167" t="s">
        <v>349</v>
      </c>
      <c r="M136" s="167" t="s">
        <v>2638</v>
      </c>
      <c r="N136" s="167" t="s">
        <v>2639</v>
      </c>
      <c r="O136" s="12" t="str">
        <f>_xlfn.DISPIMG("ID_E1D95DAB49404461BEFC75E6320DFECC",1)</f>
        <v>=DISPIMG("ID_E1D95DAB49404461BEFC75E6320DFECC",1)</v>
      </c>
      <c r="P136" s="11" t="s">
        <v>2640</v>
      </c>
      <c r="Q136" s="11">
        <v>317</v>
      </c>
      <c r="R136" s="17" t="s">
        <v>4451</v>
      </c>
      <c r="S136" s="18" t="s">
        <v>45</v>
      </c>
      <c r="T136" s="11">
        <v>6</v>
      </c>
    </row>
    <row r="137" s="3" customFormat="1" customHeight="1" spans="1:20">
      <c r="A137" s="167" t="s">
        <v>2659</v>
      </c>
      <c r="B137" s="167" t="s">
        <v>165</v>
      </c>
      <c r="C137" s="167" t="s">
        <v>2660</v>
      </c>
      <c r="D137" s="11">
        <v>13627065761</v>
      </c>
      <c r="E137" s="167" t="s">
        <v>156</v>
      </c>
      <c r="F137" s="167" t="s">
        <v>14</v>
      </c>
      <c r="G137" s="11">
        <v>202102001</v>
      </c>
      <c r="H137" s="167" t="s">
        <v>157</v>
      </c>
      <c r="I137" s="167" t="s">
        <v>269</v>
      </c>
      <c r="J137" s="167" t="s">
        <v>454</v>
      </c>
      <c r="K137" s="167" t="s">
        <v>170</v>
      </c>
      <c r="L137" s="167" t="s">
        <v>161</v>
      </c>
      <c r="M137" s="167" t="s">
        <v>26</v>
      </c>
      <c r="N137" s="167" t="s">
        <v>2662</v>
      </c>
      <c r="O137" s="12" t="str">
        <f>_xlfn.DISPIMG("ID_4750BE615CAB4B2790251BC514AE2277",1)</f>
        <v>=DISPIMG("ID_4750BE615CAB4B2790251BC514AE2277",1)</v>
      </c>
      <c r="P137" s="11" t="s">
        <v>2663</v>
      </c>
      <c r="Q137" s="11">
        <v>320</v>
      </c>
      <c r="R137" s="17" t="s">
        <v>4452</v>
      </c>
      <c r="S137" s="18" t="s">
        <v>45</v>
      </c>
      <c r="T137" s="11">
        <v>7</v>
      </c>
    </row>
    <row r="138" s="3" customFormat="1" customHeight="1" spans="1:20">
      <c r="A138" s="167" t="s">
        <v>2726</v>
      </c>
      <c r="B138" s="167" t="s">
        <v>165</v>
      </c>
      <c r="C138" s="167" t="s">
        <v>2727</v>
      </c>
      <c r="D138" s="11">
        <v>18770822590</v>
      </c>
      <c r="E138" s="167" t="s">
        <v>156</v>
      </c>
      <c r="F138" s="167" t="s">
        <v>14</v>
      </c>
      <c r="G138" s="11">
        <v>202102001</v>
      </c>
      <c r="H138" s="167" t="s">
        <v>157</v>
      </c>
      <c r="I138" s="167" t="s">
        <v>233</v>
      </c>
      <c r="J138" s="167" t="s">
        <v>1570</v>
      </c>
      <c r="K138" s="167" t="s">
        <v>160</v>
      </c>
      <c r="L138" s="167" t="s">
        <v>252</v>
      </c>
      <c r="M138" s="167" t="s">
        <v>26</v>
      </c>
      <c r="N138" s="167" t="s">
        <v>2728</v>
      </c>
      <c r="O138" s="12" t="str">
        <f>_xlfn.DISPIMG("ID_BA1DF7BF960547A0983F8DB11C878B07",1)</f>
        <v>=DISPIMG("ID_BA1DF7BF960547A0983F8DB11C878B07",1)</v>
      </c>
      <c r="P138" s="11" t="s">
        <v>2729</v>
      </c>
      <c r="Q138" s="11">
        <v>329</v>
      </c>
      <c r="R138" s="17" t="s">
        <v>4453</v>
      </c>
      <c r="S138" s="18" t="s">
        <v>45</v>
      </c>
      <c r="T138" s="11">
        <v>18</v>
      </c>
    </row>
    <row r="139" s="3" customFormat="1" customHeight="1" spans="1:20">
      <c r="A139" s="167" t="s">
        <v>2767</v>
      </c>
      <c r="B139" s="167" t="s">
        <v>165</v>
      </c>
      <c r="C139" s="167" t="s">
        <v>2768</v>
      </c>
      <c r="D139" s="11">
        <v>18270257502</v>
      </c>
      <c r="E139" s="167" t="s">
        <v>506</v>
      </c>
      <c r="F139" s="167" t="s">
        <v>14</v>
      </c>
      <c r="G139" s="11">
        <v>202102014</v>
      </c>
      <c r="H139" s="167" t="s">
        <v>279</v>
      </c>
      <c r="I139" s="167" t="s">
        <v>367</v>
      </c>
      <c r="J139" s="167" t="s">
        <v>1878</v>
      </c>
      <c r="K139" s="167" t="s">
        <v>170</v>
      </c>
      <c r="L139" s="167" t="s">
        <v>161</v>
      </c>
      <c r="M139" s="167" t="s">
        <v>14</v>
      </c>
      <c r="N139" s="167" t="s">
        <v>2770</v>
      </c>
      <c r="O139" s="12" t="str">
        <f>_xlfn.DISPIMG("ID_599781AB8A9B405FA1C45AEDC9F43F4B",1)</f>
        <v>=DISPIMG("ID_599781AB8A9B405FA1C45AEDC9F43F4B",1)</v>
      </c>
      <c r="P139" s="11" t="s">
        <v>2771</v>
      </c>
      <c r="Q139" s="11">
        <v>335</v>
      </c>
      <c r="R139" s="17" t="s">
        <v>4454</v>
      </c>
      <c r="S139" s="18" t="s">
        <v>45</v>
      </c>
      <c r="T139" s="11">
        <v>19</v>
      </c>
    </row>
    <row r="140" s="3" customFormat="1" customHeight="1" spans="1:20">
      <c r="A140" s="167" t="s">
        <v>2991</v>
      </c>
      <c r="B140" s="167" t="s">
        <v>165</v>
      </c>
      <c r="C140" s="167" t="s">
        <v>2992</v>
      </c>
      <c r="D140" s="11">
        <v>18720220590</v>
      </c>
      <c r="E140" s="167" t="s">
        <v>156</v>
      </c>
      <c r="F140" s="167" t="s">
        <v>14</v>
      </c>
      <c r="G140" s="11">
        <v>202102001</v>
      </c>
      <c r="H140" s="167" t="s">
        <v>157</v>
      </c>
      <c r="I140" s="167" t="s">
        <v>611</v>
      </c>
      <c r="J140" s="167" t="s">
        <v>179</v>
      </c>
      <c r="K140" s="167" t="s">
        <v>160</v>
      </c>
      <c r="L140" s="167" t="s">
        <v>216</v>
      </c>
      <c r="M140" s="167" t="s">
        <v>14</v>
      </c>
      <c r="N140" s="11">
        <v>0</v>
      </c>
      <c r="O140" s="12" t="str">
        <f>_xlfn.DISPIMG("ID_AFAEC7F47E5847F688912010DE531FF7",1)</f>
        <v>=DISPIMG("ID_AFAEC7F47E5847F688912010DE531FF7",1)</v>
      </c>
      <c r="P140" s="11" t="s">
        <v>2994</v>
      </c>
      <c r="Q140" s="11">
        <v>368</v>
      </c>
      <c r="R140" s="17" t="s">
        <v>4455</v>
      </c>
      <c r="S140" s="18" t="s">
        <v>45</v>
      </c>
      <c r="T140" s="11">
        <v>30</v>
      </c>
    </row>
    <row r="141" s="3" customFormat="1" customHeight="1" spans="1:20">
      <c r="A141" s="167" t="s">
        <v>3036</v>
      </c>
      <c r="B141" s="167" t="s">
        <v>165</v>
      </c>
      <c r="C141" s="167" t="s">
        <v>3037</v>
      </c>
      <c r="D141" s="11">
        <v>13755268380</v>
      </c>
      <c r="E141" s="167" t="s">
        <v>156</v>
      </c>
      <c r="F141" s="167" t="s">
        <v>14</v>
      </c>
      <c r="G141" s="11">
        <v>202102001</v>
      </c>
      <c r="H141" s="167" t="s">
        <v>279</v>
      </c>
      <c r="I141" s="167" t="s">
        <v>1674</v>
      </c>
      <c r="J141" s="167" t="s">
        <v>348</v>
      </c>
      <c r="K141" s="167" t="s">
        <v>170</v>
      </c>
      <c r="L141" s="167" t="s">
        <v>3039</v>
      </c>
      <c r="M141" s="167" t="s">
        <v>2395</v>
      </c>
      <c r="N141" s="167" t="s">
        <v>3040</v>
      </c>
      <c r="O141" s="12" t="str">
        <f>_xlfn.DISPIMG("ID_BCD8D492551D473299BE1D3404EC1A74",1)</f>
        <v>=DISPIMG("ID_BCD8D492551D473299BE1D3404EC1A74",1)</v>
      </c>
      <c r="P141" s="11" t="s">
        <v>3041</v>
      </c>
      <c r="Q141" s="11">
        <v>375</v>
      </c>
      <c r="R141" s="17" t="s">
        <v>4456</v>
      </c>
      <c r="S141" s="18" t="s">
        <v>45</v>
      </c>
      <c r="T141" s="11">
        <v>5</v>
      </c>
    </row>
    <row r="142" s="3" customFormat="1" customHeight="1" spans="1:20">
      <c r="A142" s="167" t="s">
        <v>3058</v>
      </c>
      <c r="B142" s="167" t="s">
        <v>165</v>
      </c>
      <c r="C142" s="167" t="s">
        <v>3059</v>
      </c>
      <c r="D142" s="11">
        <v>18616047542</v>
      </c>
      <c r="E142" s="167" t="s">
        <v>156</v>
      </c>
      <c r="F142" s="167" t="s">
        <v>14</v>
      </c>
      <c r="G142" s="11">
        <v>202102001</v>
      </c>
      <c r="H142" s="167" t="s">
        <v>157</v>
      </c>
      <c r="I142" s="167" t="s">
        <v>233</v>
      </c>
      <c r="J142" s="167" t="s">
        <v>1489</v>
      </c>
      <c r="K142" s="167" t="s">
        <v>170</v>
      </c>
      <c r="L142" s="167" t="s">
        <v>3061</v>
      </c>
      <c r="M142" s="167" t="s">
        <v>3062</v>
      </c>
      <c r="N142" s="167" t="s">
        <v>3063</v>
      </c>
      <c r="O142" s="12" t="str">
        <f>_xlfn.DISPIMG("ID_0F24A07024DD4EC28C638A81C28E0099",1)</f>
        <v>=DISPIMG("ID_0F24A07024DD4EC28C638A81C28E0099",1)</v>
      </c>
      <c r="P142" s="11" t="s">
        <v>3064</v>
      </c>
      <c r="Q142" s="11">
        <v>378</v>
      </c>
      <c r="R142" s="17" t="s">
        <v>4457</v>
      </c>
      <c r="S142" s="18" t="s">
        <v>45</v>
      </c>
      <c r="T142" s="11">
        <v>8</v>
      </c>
    </row>
    <row r="143" s="3" customFormat="1" customHeight="1" spans="1:20">
      <c r="A143" s="167" t="s">
        <v>3067</v>
      </c>
      <c r="B143" s="167" t="s">
        <v>165</v>
      </c>
      <c r="C143" s="167" t="s">
        <v>3068</v>
      </c>
      <c r="D143" s="11">
        <v>18070525525</v>
      </c>
      <c r="E143" s="167" t="s">
        <v>156</v>
      </c>
      <c r="F143" s="167" t="s">
        <v>14</v>
      </c>
      <c r="G143" s="11">
        <v>202102001</v>
      </c>
      <c r="H143" s="167" t="s">
        <v>157</v>
      </c>
      <c r="I143" s="167" t="s">
        <v>3070</v>
      </c>
      <c r="J143" s="167" t="s">
        <v>454</v>
      </c>
      <c r="K143" s="167" t="s">
        <v>170</v>
      </c>
      <c r="L143" s="167" t="s">
        <v>577</v>
      </c>
      <c r="M143" s="167" t="s">
        <v>1579</v>
      </c>
      <c r="N143" s="167" t="s">
        <v>3071</v>
      </c>
      <c r="O143" s="12" t="str">
        <f>_xlfn.DISPIMG("ID_2CCF9645E24E4A3B81BAE72B8AED314D",1)</f>
        <v>=DISPIMG("ID_2CCF9645E24E4A3B81BAE72B8AED314D",1)</v>
      </c>
      <c r="P143" s="11" t="s">
        <v>3072</v>
      </c>
      <c r="Q143" s="11">
        <v>379</v>
      </c>
      <c r="R143" s="17" t="s">
        <v>4458</v>
      </c>
      <c r="S143" s="18" t="s">
        <v>45</v>
      </c>
      <c r="T143" s="11">
        <v>17</v>
      </c>
    </row>
    <row r="144" s="3" customFormat="1" customHeight="1" spans="1:20">
      <c r="A144" s="167" t="s">
        <v>3166</v>
      </c>
      <c r="B144" s="167" t="s">
        <v>165</v>
      </c>
      <c r="C144" s="167" t="s">
        <v>3167</v>
      </c>
      <c r="D144" s="11">
        <v>18797976473</v>
      </c>
      <c r="E144" s="167" t="s">
        <v>156</v>
      </c>
      <c r="F144" s="167" t="s">
        <v>14</v>
      </c>
      <c r="G144" s="11">
        <v>202102001</v>
      </c>
      <c r="H144" s="167" t="s">
        <v>157</v>
      </c>
      <c r="I144" s="167" t="s">
        <v>158</v>
      </c>
      <c r="J144" s="167" t="s">
        <v>395</v>
      </c>
      <c r="K144" s="167" t="s">
        <v>160</v>
      </c>
      <c r="L144" s="167" t="s">
        <v>587</v>
      </c>
      <c r="M144" s="167" t="s">
        <v>14</v>
      </c>
      <c r="N144" s="11">
        <v>0</v>
      </c>
      <c r="O144" s="12" t="str">
        <f>_xlfn.DISPIMG("ID_F2E559AD12664A6E81B51441D537B134",1)</f>
        <v>=DISPIMG("ID_F2E559AD12664A6E81B51441D537B134",1)</v>
      </c>
      <c r="P144" s="11" t="s">
        <v>3169</v>
      </c>
      <c r="Q144" s="11">
        <v>393</v>
      </c>
      <c r="R144" s="17" t="s">
        <v>4459</v>
      </c>
      <c r="S144" s="18" t="s">
        <v>45</v>
      </c>
      <c r="T144" s="11">
        <v>20</v>
      </c>
    </row>
    <row r="145" s="3" customFormat="1" customHeight="1" spans="1:20">
      <c r="A145" s="167" t="s">
        <v>3268</v>
      </c>
      <c r="B145" s="167" t="s">
        <v>165</v>
      </c>
      <c r="C145" s="167" t="s">
        <v>3269</v>
      </c>
      <c r="D145" s="11">
        <v>18770914454</v>
      </c>
      <c r="E145" s="167" t="s">
        <v>156</v>
      </c>
      <c r="F145" s="167" t="s">
        <v>14</v>
      </c>
      <c r="G145" s="11">
        <v>202102001</v>
      </c>
      <c r="H145" s="167" t="s">
        <v>279</v>
      </c>
      <c r="I145" s="167" t="s">
        <v>178</v>
      </c>
      <c r="J145" s="167" t="s">
        <v>348</v>
      </c>
      <c r="K145" s="167" t="s">
        <v>170</v>
      </c>
      <c r="L145" s="167" t="s">
        <v>216</v>
      </c>
      <c r="M145" s="167" t="s">
        <v>638</v>
      </c>
      <c r="N145" s="167" t="s">
        <v>3271</v>
      </c>
      <c r="O145" s="12" t="str">
        <f>_xlfn.DISPIMG("ID_A7E75D79E714426086202D465053808C",1)</f>
        <v>=DISPIMG("ID_A7E75D79E714426086202D465053808C",1)</v>
      </c>
      <c r="P145" s="11" t="s">
        <v>3272</v>
      </c>
      <c r="Q145" s="11">
        <v>408</v>
      </c>
      <c r="R145" s="17" t="s">
        <v>4460</v>
      </c>
      <c r="S145" s="18" t="s">
        <v>45</v>
      </c>
      <c r="T145" s="11">
        <v>29</v>
      </c>
    </row>
    <row r="146" s="3" customFormat="1" customHeight="1" spans="1:20">
      <c r="A146" s="167" t="s">
        <v>3283</v>
      </c>
      <c r="B146" s="167" t="s">
        <v>165</v>
      </c>
      <c r="C146" s="167" t="s">
        <v>3284</v>
      </c>
      <c r="D146" s="11">
        <v>18970283911</v>
      </c>
      <c r="E146" s="167" t="s">
        <v>156</v>
      </c>
      <c r="F146" s="167" t="s">
        <v>14</v>
      </c>
      <c r="G146" s="11">
        <v>202102001</v>
      </c>
      <c r="H146" s="167" t="s">
        <v>157</v>
      </c>
      <c r="I146" s="167" t="s">
        <v>178</v>
      </c>
      <c r="J146" s="167" t="s">
        <v>3286</v>
      </c>
      <c r="K146" s="167" t="s">
        <v>170</v>
      </c>
      <c r="L146" s="167" t="s">
        <v>199</v>
      </c>
      <c r="M146" s="167" t="s">
        <v>14</v>
      </c>
      <c r="N146" s="167" t="s">
        <v>3287</v>
      </c>
      <c r="O146" s="12" t="str">
        <f>_xlfn.DISPIMG("ID_CEC6054CEEDC4B7EB64CEFDE8D077DB1",1)</f>
        <v>=DISPIMG("ID_CEC6054CEEDC4B7EB64CEFDE8D077DB1",1)</v>
      </c>
      <c r="P146" s="11" t="s">
        <v>3288</v>
      </c>
      <c r="Q146" s="11">
        <v>410</v>
      </c>
      <c r="R146" s="17" t="s">
        <v>4461</v>
      </c>
      <c r="S146" s="18" t="s">
        <v>45</v>
      </c>
      <c r="T146" s="11">
        <v>4</v>
      </c>
    </row>
    <row r="147" s="3" customFormat="1" customHeight="1" spans="1:20">
      <c r="A147" s="167" t="s">
        <v>3374</v>
      </c>
      <c r="B147" s="167" t="s">
        <v>165</v>
      </c>
      <c r="C147" s="167" t="s">
        <v>3375</v>
      </c>
      <c r="D147" s="11">
        <v>18879135233</v>
      </c>
      <c r="E147" s="167" t="s">
        <v>156</v>
      </c>
      <c r="F147" s="167" t="s">
        <v>14</v>
      </c>
      <c r="G147" s="11">
        <v>202102001</v>
      </c>
      <c r="H147" s="167" t="s">
        <v>279</v>
      </c>
      <c r="I147" s="167" t="s">
        <v>339</v>
      </c>
      <c r="J147" s="167" t="s">
        <v>1950</v>
      </c>
      <c r="K147" s="167" t="s">
        <v>170</v>
      </c>
      <c r="L147" s="167" t="s">
        <v>216</v>
      </c>
      <c r="M147" s="167" t="s">
        <v>350</v>
      </c>
      <c r="N147" s="167" t="s">
        <v>3377</v>
      </c>
      <c r="O147" s="12" t="str">
        <f>_xlfn.DISPIMG("ID_A4F86B02E8AC4C77B083B94B4997B486",1)</f>
        <v>=DISPIMG("ID_A4F86B02E8AC4C77B083B94B4997B486",1)</v>
      </c>
      <c r="P147" s="11" t="s">
        <v>3378</v>
      </c>
      <c r="Q147" s="11">
        <v>425</v>
      </c>
      <c r="R147" s="17" t="s">
        <v>4462</v>
      </c>
      <c r="S147" s="18" t="s">
        <v>45</v>
      </c>
      <c r="T147" s="11">
        <v>9</v>
      </c>
    </row>
    <row r="148" s="3" customFormat="1" customHeight="1" spans="1:20">
      <c r="A148" s="167" t="s">
        <v>3381</v>
      </c>
      <c r="B148" s="167" t="s">
        <v>165</v>
      </c>
      <c r="C148" s="167" t="s">
        <v>3382</v>
      </c>
      <c r="D148" s="11">
        <v>15070017489</v>
      </c>
      <c r="E148" s="167" t="s">
        <v>156</v>
      </c>
      <c r="F148" s="167" t="s">
        <v>14</v>
      </c>
      <c r="G148" s="11">
        <v>202102001</v>
      </c>
      <c r="H148" s="167" t="s">
        <v>157</v>
      </c>
      <c r="I148" s="167" t="s">
        <v>1121</v>
      </c>
      <c r="J148" s="167" t="s">
        <v>1832</v>
      </c>
      <c r="K148" s="167" t="s">
        <v>160</v>
      </c>
      <c r="L148" s="167" t="s">
        <v>199</v>
      </c>
      <c r="M148" s="167" t="s">
        <v>14</v>
      </c>
      <c r="N148" s="11">
        <v>0</v>
      </c>
      <c r="O148" s="12" t="str">
        <f>_xlfn.DISPIMG("ID_755EB9C887424753BE38DCDA04F5D53F",1)</f>
        <v>=DISPIMG("ID_755EB9C887424753BE38DCDA04F5D53F",1)</v>
      </c>
      <c r="P148" s="11" t="s">
        <v>3384</v>
      </c>
      <c r="Q148" s="11">
        <v>426</v>
      </c>
      <c r="R148" s="17" t="s">
        <v>4463</v>
      </c>
      <c r="S148" s="18" t="s">
        <v>45</v>
      </c>
      <c r="T148" s="11">
        <v>16</v>
      </c>
    </row>
    <row r="149" s="3" customFormat="1" customHeight="1" spans="1:20">
      <c r="A149" s="167" t="s">
        <v>3436</v>
      </c>
      <c r="B149" s="167" t="s">
        <v>165</v>
      </c>
      <c r="C149" s="167" t="s">
        <v>3437</v>
      </c>
      <c r="D149" s="11">
        <v>15396816962</v>
      </c>
      <c r="E149" s="167" t="s">
        <v>156</v>
      </c>
      <c r="F149" s="167" t="s">
        <v>14</v>
      </c>
      <c r="G149" s="11">
        <v>202102001</v>
      </c>
      <c r="H149" s="167" t="s">
        <v>279</v>
      </c>
      <c r="I149" s="167" t="s">
        <v>367</v>
      </c>
      <c r="J149" s="167" t="s">
        <v>348</v>
      </c>
      <c r="K149" s="167" t="s">
        <v>170</v>
      </c>
      <c r="L149" s="167" t="s">
        <v>180</v>
      </c>
      <c r="M149" s="167" t="s">
        <v>638</v>
      </c>
      <c r="N149" s="167" t="s">
        <v>3439</v>
      </c>
      <c r="O149" s="12" t="str">
        <f>_xlfn.DISPIMG("ID_82244367FBEE45C5B0219468F4CFBAF4",1)</f>
        <v>=DISPIMG("ID_82244367FBEE45C5B0219468F4CFBAF4",1)</v>
      </c>
      <c r="P149" s="11" t="s">
        <v>3440</v>
      </c>
      <c r="Q149" s="11">
        <v>434</v>
      </c>
      <c r="R149" s="17" t="s">
        <v>4464</v>
      </c>
      <c r="S149" s="18" t="s">
        <v>45</v>
      </c>
      <c r="T149" s="11">
        <v>21</v>
      </c>
    </row>
    <row r="150" s="3" customFormat="1" customHeight="1" spans="1:20">
      <c r="A150" s="167" t="s">
        <v>3494</v>
      </c>
      <c r="B150" s="167" t="s">
        <v>165</v>
      </c>
      <c r="C150" s="167" t="s">
        <v>3495</v>
      </c>
      <c r="D150" s="11">
        <v>18000225971</v>
      </c>
      <c r="E150" s="167" t="s">
        <v>156</v>
      </c>
      <c r="F150" s="167" t="s">
        <v>14</v>
      </c>
      <c r="G150" s="11">
        <v>202102001</v>
      </c>
      <c r="H150" s="167" t="s">
        <v>157</v>
      </c>
      <c r="I150" s="167" t="s">
        <v>158</v>
      </c>
      <c r="J150" s="167" t="s">
        <v>348</v>
      </c>
      <c r="K150" s="167" t="s">
        <v>170</v>
      </c>
      <c r="L150" s="167" t="s">
        <v>349</v>
      </c>
      <c r="M150" s="167" t="s">
        <v>689</v>
      </c>
      <c r="N150" s="167" t="s">
        <v>3496</v>
      </c>
      <c r="O150" s="12" t="str">
        <f>_xlfn.DISPIMG("ID_92399A40D7B44F3B89AA85711A99D812",1)</f>
        <v>=DISPIMG("ID_92399A40D7B44F3B89AA85711A99D812",1)</v>
      </c>
      <c r="P150" s="11" t="s">
        <v>3497</v>
      </c>
      <c r="Q150" s="11">
        <v>442</v>
      </c>
      <c r="R150" s="17" t="s">
        <v>4465</v>
      </c>
      <c r="S150" s="18" t="s">
        <v>45</v>
      </c>
      <c r="T150" s="11">
        <v>28</v>
      </c>
    </row>
    <row r="151" s="4" customFormat="1" customHeight="1" spans="1:20">
      <c r="A151" s="167" t="s">
        <v>3500</v>
      </c>
      <c r="B151" s="167" t="s">
        <v>165</v>
      </c>
      <c r="C151" s="167" t="s">
        <v>3501</v>
      </c>
      <c r="D151" s="11">
        <v>15070192175</v>
      </c>
      <c r="E151" s="167" t="s">
        <v>156</v>
      </c>
      <c r="F151" s="167" t="s">
        <v>14</v>
      </c>
      <c r="G151" s="11">
        <v>202102001</v>
      </c>
      <c r="H151" s="167" t="s">
        <v>279</v>
      </c>
      <c r="I151" s="167" t="s">
        <v>1545</v>
      </c>
      <c r="J151" s="167" t="s">
        <v>348</v>
      </c>
      <c r="K151" s="167" t="s">
        <v>170</v>
      </c>
      <c r="L151" s="167" t="s">
        <v>577</v>
      </c>
      <c r="M151" s="167" t="s">
        <v>638</v>
      </c>
      <c r="N151" s="167" t="s">
        <v>3503</v>
      </c>
      <c r="O151" s="12" t="str">
        <f>_xlfn.DISPIMG("ID_582DA32893494A1CB2F261C9DF30C5FF",1)</f>
        <v>=DISPIMG("ID_582DA32893494A1CB2F261C9DF30C5FF",1)</v>
      </c>
      <c r="P151" s="11" t="s">
        <v>3504</v>
      </c>
      <c r="Q151" s="11">
        <v>443</v>
      </c>
      <c r="R151" s="17" t="s">
        <v>4466</v>
      </c>
      <c r="S151" s="18" t="s">
        <v>45</v>
      </c>
      <c r="T151" s="11">
        <v>3</v>
      </c>
    </row>
    <row r="152" s="3" customFormat="1" customHeight="1" spans="1:20">
      <c r="A152" s="167" t="s">
        <v>3602</v>
      </c>
      <c r="B152" s="167" t="s">
        <v>165</v>
      </c>
      <c r="C152" s="167" t="s">
        <v>3603</v>
      </c>
      <c r="D152" s="11">
        <v>18507927596</v>
      </c>
      <c r="E152" s="167" t="s">
        <v>156</v>
      </c>
      <c r="F152" s="167" t="s">
        <v>14</v>
      </c>
      <c r="G152" s="11">
        <v>202102001</v>
      </c>
      <c r="H152" s="167" t="s">
        <v>279</v>
      </c>
      <c r="I152" s="167" t="s">
        <v>158</v>
      </c>
      <c r="J152" s="167" t="s">
        <v>348</v>
      </c>
      <c r="K152" s="167" t="s">
        <v>170</v>
      </c>
      <c r="L152" s="167" t="s">
        <v>281</v>
      </c>
      <c r="M152" s="167" t="s">
        <v>14</v>
      </c>
      <c r="N152" s="167" t="s">
        <v>3604</v>
      </c>
      <c r="O152" s="12" t="str">
        <f>_xlfn.DISPIMG("ID_ADF263347E1B436A9E9869CDB170C299",1)</f>
        <v>=DISPIMG("ID_ADF263347E1B436A9E9869CDB170C299",1)</v>
      </c>
      <c r="P152" s="11" t="s">
        <v>3605</v>
      </c>
      <c r="Q152" s="11">
        <v>458</v>
      </c>
      <c r="R152" s="17" t="s">
        <v>4467</v>
      </c>
      <c r="S152" s="18" t="s">
        <v>45</v>
      </c>
      <c r="T152" s="11">
        <v>10</v>
      </c>
    </row>
    <row r="153" s="3" customFormat="1" customHeight="1" spans="1:20">
      <c r="A153" s="167" t="s">
        <v>3705</v>
      </c>
      <c r="B153" s="167" t="s">
        <v>165</v>
      </c>
      <c r="C153" s="167" t="s">
        <v>3706</v>
      </c>
      <c r="D153" s="11">
        <v>15079123471</v>
      </c>
      <c r="E153" s="167" t="s">
        <v>156</v>
      </c>
      <c r="F153" s="167" t="s">
        <v>14</v>
      </c>
      <c r="G153" s="11">
        <v>202102011</v>
      </c>
      <c r="H153" s="167" t="s">
        <v>157</v>
      </c>
      <c r="I153" s="167" t="s">
        <v>233</v>
      </c>
      <c r="J153" s="167" t="s">
        <v>3708</v>
      </c>
      <c r="K153" s="167" t="s">
        <v>170</v>
      </c>
      <c r="L153" s="167" t="s">
        <v>216</v>
      </c>
      <c r="M153" s="167" t="s">
        <v>14</v>
      </c>
      <c r="N153" s="167" t="s">
        <v>3709</v>
      </c>
      <c r="O153" s="12" t="str">
        <f>_xlfn.DISPIMG("ID_BF7D6285C9C043E7887E7AA2FA4C62A7",1)</f>
        <v>=DISPIMG("ID_BF7D6285C9C043E7887E7AA2FA4C62A7",1)</v>
      </c>
      <c r="P153" s="11" t="s">
        <v>3710</v>
      </c>
      <c r="Q153" s="20">
        <v>472</v>
      </c>
      <c r="R153" s="17" t="s">
        <v>4468</v>
      </c>
      <c r="S153" s="18" t="s">
        <v>45</v>
      </c>
      <c r="T153" s="11">
        <v>15</v>
      </c>
    </row>
    <row r="154" s="3" customFormat="1" customHeight="1" spans="1:20">
      <c r="A154" s="167" t="s">
        <v>3773</v>
      </c>
      <c r="B154" s="167" t="s">
        <v>165</v>
      </c>
      <c r="C154" s="167" t="s">
        <v>3774</v>
      </c>
      <c r="D154" s="11">
        <v>15083553694</v>
      </c>
      <c r="E154" s="167" t="s">
        <v>156</v>
      </c>
      <c r="F154" s="167" t="s">
        <v>14</v>
      </c>
      <c r="G154" s="11">
        <v>202102001</v>
      </c>
      <c r="H154" s="167" t="s">
        <v>279</v>
      </c>
      <c r="I154" s="167" t="s">
        <v>178</v>
      </c>
      <c r="J154" s="167" t="s">
        <v>348</v>
      </c>
      <c r="K154" s="167" t="s">
        <v>170</v>
      </c>
      <c r="L154" s="167" t="s">
        <v>180</v>
      </c>
      <c r="M154" s="167" t="s">
        <v>14</v>
      </c>
      <c r="N154" s="167" t="s">
        <v>3776</v>
      </c>
      <c r="O154" s="12" t="str">
        <f>_xlfn.DISPIMG("ID_CF1C1431032D4C21956EAEFBC2630095",1)</f>
        <v>=DISPIMG("ID_CF1C1431032D4C21956EAEFBC2630095",1)</v>
      </c>
      <c r="P154" s="11" t="s">
        <v>3777</v>
      </c>
      <c r="Q154" s="20">
        <v>481</v>
      </c>
      <c r="R154" s="17" t="s">
        <v>4469</v>
      </c>
      <c r="S154" s="18" t="s">
        <v>45</v>
      </c>
      <c r="T154" s="11">
        <v>22</v>
      </c>
    </row>
    <row r="155" s="3" customFormat="1" customHeight="1" spans="1:20">
      <c r="A155" s="167" t="s">
        <v>3858</v>
      </c>
      <c r="B155" s="167" t="s">
        <v>165</v>
      </c>
      <c r="C155" s="167" t="s">
        <v>3859</v>
      </c>
      <c r="D155" s="11">
        <v>15374225748</v>
      </c>
      <c r="E155" s="167" t="s">
        <v>156</v>
      </c>
      <c r="F155" s="167" t="s">
        <v>14</v>
      </c>
      <c r="G155" s="11">
        <v>202102001</v>
      </c>
      <c r="H155" s="167" t="s">
        <v>279</v>
      </c>
      <c r="I155" s="167" t="s">
        <v>3861</v>
      </c>
      <c r="J155" s="167" t="s">
        <v>298</v>
      </c>
      <c r="K155" s="167" t="s">
        <v>160</v>
      </c>
      <c r="L155" s="167" t="s">
        <v>805</v>
      </c>
      <c r="M155" s="167" t="s">
        <v>121</v>
      </c>
      <c r="N155" s="11">
        <v>0</v>
      </c>
      <c r="O155" s="12" t="str">
        <f>_xlfn.DISPIMG("ID_8CF8C6C0A559454996AB6FB606BDA1DD",1)</f>
        <v>=DISPIMG("ID_8CF8C6C0A559454996AB6FB606BDA1DD",1)</v>
      </c>
      <c r="P155" s="11" t="s">
        <v>3862</v>
      </c>
      <c r="Q155" s="20">
        <v>492</v>
      </c>
      <c r="R155" s="17" t="s">
        <v>4470</v>
      </c>
      <c r="S155" s="18" t="s">
        <v>45</v>
      </c>
      <c r="T155" s="11">
        <v>27</v>
      </c>
    </row>
    <row r="156" s="3" customFormat="1" customHeight="1" spans="1:20">
      <c r="A156" s="167" t="s">
        <v>3881</v>
      </c>
      <c r="B156" s="167" t="s">
        <v>165</v>
      </c>
      <c r="C156" s="167" t="s">
        <v>3882</v>
      </c>
      <c r="D156" s="11">
        <v>18770914505</v>
      </c>
      <c r="E156" s="167" t="s">
        <v>156</v>
      </c>
      <c r="F156" s="167" t="s">
        <v>14</v>
      </c>
      <c r="G156" s="11">
        <v>202102001</v>
      </c>
      <c r="H156" s="167" t="s">
        <v>279</v>
      </c>
      <c r="I156" s="167" t="s">
        <v>178</v>
      </c>
      <c r="J156" s="167" t="s">
        <v>348</v>
      </c>
      <c r="K156" s="167" t="s">
        <v>170</v>
      </c>
      <c r="L156" s="167" t="s">
        <v>281</v>
      </c>
      <c r="M156" s="167" t="s">
        <v>498</v>
      </c>
      <c r="N156" s="167" t="s">
        <v>3884</v>
      </c>
      <c r="O156" s="12" t="str">
        <f>_xlfn.DISPIMG("ID_3C6B462D1CF047DC951D0874F80418DC",1)</f>
        <v>=DISPIMG("ID_3C6B462D1CF047DC951D0874F80418DC",1)</v>
      </c>
      <c r="P156" s="11" t="s">
        <v>3885</v>
      </c>
      <c r="Q156" s="20">
        <v>495</v>
      </c>
      <c r="R156" s="17" t="s">
        <v>4471</v>
      </c>
      <c r="S156" s="18" t="s">
        <v>45</v>
      </c>
      <c r="T156" s="11">
        <v>2</v>
      </c>
    </row>
    <row r="157" s="3" customFormat="1" customHeight="1" spans="1:20">
      <c r="A157" s="167" t="s">
        <v>3888</v>
      </c>
      <c r="B157" s="167" t="s">
        <v>165</v>
      </c>
      <c r="C157" s="167" t="s">
        <v>3889</v>
      </c>
      <c r="D157" s="11">
        <v>15949598955</v>
      </c>
      <c r="E157" s="167" t="s">
        <v>156</v>
      </c>
      <c r="F157" s="167" t="s">
        <v>14</v>
      </c>
      <c r="G157" s="11">
        <v>202102001</v>
      </c>
      <c r="H157" s="167" t="s">
        <v>279</v>
      </c>
      <c r="I157" s="167" t="s">
        <v>367</v>
      </c>
      <c r="J157" s="167" t="s">
        <v>348</v>
      </c>
      <c r="K157" s="167" t="s">
        <v>170</v>
      </c>
      <c r="L157" s="167" t="s">
        <v>587</v>
      </c>
      <c r="M157" s="167" t="s">
        <v>14</v>
      </c>
      <c r="N157" s="167" t="s">
        <v>3891</v>
      </c>
      <c r="O157" s="12" t="str">
        <f>_xlfn.DISPIMG("ID_2410E866E9B946F380BB65E1492A0355",1)</f>
        <v>=DISPIMG("ID_2410E866E9B946F380BB65E1492A0355",1)</v>
      </c>
      <c r="P157" s="11" t="s">
        <v>3892</v>
      </c>
      <c r="Q157" s="20">
        <v>496</v>
      </c>
      <c r="R157" s="17" t="s">
        <v>4472</v>
      </c>
      <c r="S157" s="18" t="s">
        <v>45</v>
      </c>
      <c r="T157" s="11">
        <v>11</v>
      </c>
    </row>
    <row r="158" s="3" customFormat="1" customHeight="1" spans="1:20">
      <c r="A158" s="167" t="s">
        <v>3910</v>
      </c>
      <c r="B158" s="167" t="s">
        <v>165</v>
      </c>
      <c r="C158" s="167" t="s">
        <v>3911</v>
      </c>
      <c r="D158" s="11">
        <v>13627096197</v>
      </c>
      <c r="E158" s="167" t="s">
        <v>156</v>
      </c>
      <c r="F158" s="167" t="s">
        <v>14</v>
      </c>
      <c r="G158" s="11">
        <v>202102001</v>
      </c>
      <c r="H158" s="167" t="s">
        <v>157</v>
      </c>
      <c r="I158" s="167" t="s">
        <v>233</v>
      </c>
      <c r="J158" s="167" t="s">
        <v>454</v>
      </c>
      <c r="K158" s="167" t="s">
        <v>170</v>
      </c>
      <c r="L158" s="167" t="s">
        <v>516</v>
      </c>
      <c r="M158" s="167" t="s">
        <v>3913</v>
      </c>
      <c r="N158" s="167" t="s">
        <v>3914</v>
      </c>
      <c r="O158" s="12" t="str">
        <f>_xlfn.DISPIMG("ID_2CCA277749F14624BD11838DCC078340",1)</f>
        <v>=DISPIMG("ID_2CCA277749F14624BD11838DCC078340",1)</v>
      </c>
      <c r="P158" s="11" t="s">
        <v>3915</v>
      </c>
      <c r="Q158" s="20">
        <v>499</v>
      </c>
      <c r="R158" s="17" t="s">
        <v>4473</v>
      </c>
      <c r="S158" s="18" t="s">
        <v>45</v>
      </c>
      <c r="T158" s="11">
        <v>14</v>
      </c>
    </row>
    <row r="159" s="3" customFormat="1" customHeight="1" spans="1:20">
      <c r="A159" s="167" t="s">
        <v>3931</v>
      </c>
      <c r="B159" s="167" t="s">
        <v>165</v>
      </c>
      <c r="C159" s="167" t="s">
        <v>3932</v>
      </c>
      <c r="D159" s="11">
        <v>13064153607</v>
      </c>
      <c r="E159" s="167" t="s">
        <v>156</v>
      </c>
      <c r="F159" s="167" t="s">
        <v>14</v>
      </c>
      <c r="G159" s="11">
        <v>202102001</v>
      </c>
      <c r="H159" s="167" t="s">
        <v>279</v>
      </c>
      <c r="I159" s="167" t="s">
        <v>3934</v>
      </c>
      <c r="J159" s="167" t="s">
        <v>348</v>
      </c>
      <c r="K159" s="167" t="s">
        <v>170</v>
      </c>
      <c r="L159" s="167" t="s">
        <v>349</v>
      </c>
      <c r="M159" s="167" t="s">
        <v>3935</v>
      </c>
      <c r="N159" s="167" t="s">
        <v>3936</v>
      </c>
      <c r="O159" s="12" t="str">
        <f>_xlfn.DISPIMG("ID_FD6A12B7DDFB4497A1625AEB18B6C93E",1)</f>
        <v>=DISPIMG("ID_FD6A12B7DDFB4497A1625AEB18B6C93E",1)</v>
      </c>
      <c r="P159" s="11" t="s">
        <v>3937</v>
      </c>
      <c r="Q159" s="20">
        <v>502</v>
      </c>
      <c r="R159" s="17" t="s">
        <v>4474</v>
      </c>
      <c r="S159" s="18" t="s">
        <v>45</v>
      </c>
      <c r="T159" s="11">
        <v>23</v>
      </c>
    </row>
    <row r="160" s="3" customFormat="1" customHeight="1" spans="1:20">
      <c r="A160" s="167" t="s">
        <v>4036</v>
      </c>
      <c r="B160" s="167" t="s">
        <v>165</v>
      </c>
      <c r="C160" s="167" t="s">
        <v>4037</v>
      </c>
      <c r="D160" s="11">
        <v>13755593629</v>
      </c>
      <c r="E160" s="167" t="s">
        <v>156</v>
      </c>
      <c r="F160" s="167" t="s">
        <v>14</v>
      </c>
      <c r="G160" s="11">
        <v>202102001</v>
      </c>
      <c r="H160" s="167" t="s">
        <v>279</v>
      </c>
      <c r="I160" s="167" t="s">
        <v>1545</v>
      </c>
      <c r="J160" s="167" t="s">
        <v>348</v>
      </c>
      <c r="K160" s="167" t="s">
        <v>170</v>
      </c>
      <c r="L160" s="167" t="s">
        <v>216</v>
      </c>
      <c r="M160" s="167" t="s">
        <v>14</v>
      </c>
      <c r="N160" s="167" t="s">
        <v>4039</v>
      </c>
      <c r="O160" s="12" t="str">
        <f>_xlfn.DISPIMG("ID_25A2772C2A4349D4AAD4F2B8F942612C",1)</f>
        <v>=DISPIMG("ID_25A2772C2A4349D4AAD4F2B8F942612C",1)</v>
      </c>
      <c r="P160" s="11" t="s">
        <v>4040</v>
      </c>
      <c r="Q160" s="20">
        <v>516</v>
      </c>
      <c r="R160" s="17" t="s">
        <v>4475</v>
      </c>
      <c r="S160" s="18" t="s">
        <v>45</v>
      </c>
      <c r="T160" s="11">
        <v>26</v>
      </c>
    </row>
    <row r="161" s="3" customFormat="1" customHeight="1" spans="1:20">
      <c r="A161" s="167" t="s">
        <v>4082</v>
      </c>
      <c r="B161" s="167" t="s">
        <v>165</v>
      </c>
      <c r="C161" s="167" t="s">
        <v>4083</v>
      </c>
      <c r="D161" s="11">
        <v>17352963741</v>
      </c>
      <c r="E161" s="167" t="s">
        <v>506</v>
      </c>
      <c r="F161" s="167" t="s">
        <v>14</v>
      </c>
      <c r="G161" s="11">
        <v>202102014</v>
      </c>
      <c r="H161" s="167" t="s">
        <v>157</v>
      </c>
      <c r="I161" s="167" t="s">
        <v>178</v>
      </c>
      <c r="J161" s="167" t="s">
        <v>348</v>
      </c>
      <c r="K161" s="167" t="s">
        <v>170</v>
      </c>
      <c r="L161" s="167" t="s">
        <v>548</v>
      </c>
      <c r="M161" s="167" t="s">
        <v>4084</v>
      </c>
      <c r="N161" s="167" t="s">
        <v>4085</v>
      </c>
      <c r="O161" s="12" t="str">
        <f>_xlfn.DISPIMG("ID_C5311387C2FF404D8FA717D4979E175B",1)</f>
        <v>=DISPIMG("ID_C5311387C2FF404D8FA717D4979E175B",1)</v>
      </c>
      <c r="P161" s="11" t="s">
        <v>4086</v>
      </c>
      <c r="Q161" s="20">
        <v>522</v>
      </c>
      <c r="R161" s="17" t="s">
        <v>4476</v>
      </c>
      <c r="S161" s="18" t="s">
        <v>45</v>
      </c>
      <c r="T161" s="11">
        <v>1</v>
      </c>
    </row>
    <row r="162" s="4" customFormat="1" customHeight="1" spans="1:20">
      <c r="A162" s="164" t="s">
        <v>4103</v>
      </c>
      <c r="B162" s="164" t="s">
        <v>165</v>
      </c>
      <c r="C162" s="164" t="s">
        <v>4104</v>
      </c>
      <c r="D162" s="22">
        <v>15270173371</v>
      </c>
      <c r="E162" s="164" t="s">
        <v>384</v>
      </c>
      <c r="F162" s="164" t="s">
        <v>14</v>
      </c>
      <c r="G162" s="22">
        <v>202102001</v>
      </c>
      <c r="H162" s="164" t="s">
        <v>157</v>
      </c>
      <c r="I162" s="164" t="s">
        <v>233</v>
      </c>
      <c r="J162" s="164" t="s">
        <v>454</v>
      </c>
      <c r="K162" s="164" t="s">
        <v>170</v>
      </c>
      <c r="L162" s="164" t="s">
        <v>4106</v>
      </c>
      <c r="M162" s="164" t="s">
        <v>14</v>
      </c>
      <c r="N162" s="164" t="s">
        <v>4107</v>
      </c>
      <c r="O162" s="23" t="str">
        <f>_xlfn.DISPIMG("ID_EDE9A315C64A4BE2AC2F986557EA53FC",1)</f>
        <v>=DISPIMG("ID_EDE9A315C64A4BE2AC2F986557EA53FC",1)</v>
      </c>
      <c r="P162" s="22" t="s">
        <v>4108</v>
      </c>
      <c r="Q162" s="24">
        <v>525</v>
      </c>
      <c r="R162" s="17" t="s">
        <v>4477</v>
      </c>
      <c r="S162" s="18" t="s">
        <v>45</v>
      </c>
      <c r="T162" s="11">
        <v>12</v>
      </c>
    </row>
    <row r="163" s="3" customFormat="1" customHeight="1" spans="1:20">
      <c r="A163" s="167" t="s">
        <v>4177</v>
      </c>
      <c r="B163" s="167" t="s">
        <v>165</v>
      </c>
      <c r="C163" s="167" t="s">
        <v>4178</v>
      </c>
      <c r="D163" s="11">
        <v>18759251284</v>
      </c>
      <c r="E163" s="167" t="s">
        <v>156</v>
      </c>
      <c r="F163" s="167" t="s">
        <v>14</v>
      </c>
      <c r="G163" s="11">
        <v>202102001</v>
      </c>
      <c r="H163" s="167" t="s">
        <v>157</v>
      </c>
      <c r="I163" s="167" t="s">
        <v>2363</v>
      </c>
      <c r="J163" s="167" t="s">
        <v>454</v>
      </c>
      <c r="K163" s="167" t="s">
        <v>170</v>
      </c>
      <c r="L163" s="167" t="s">
        <v>455</v>
      </c>
      <c r="M163" s="167" t="s">
        <v>26</v>
      </c>
      <c r="N163" s="167" t="s">
        <v>4180</v>
      </c>
      <c r="O163" s="12" t="str">
        <f>_xlfn.DISPIMG("ID_E9338F1098B64D83A2AE0E9576D18B92",1)</f>
        <v>=DISPIMG("ID_E9338F1098B64D83A2AE0E9576D18B92",1)</v>
      </c>
      <c r="P163" s="11" t="s">
        <v>4181</v>
      </c>
      <c r="Q163" s="20">
        <v>534</v>
      </c>
      <c r="R163" s="17" t="s">
        <v>4478</v>
      </c>
      <c r="S163" s="18" t="s">
        <v>45</v>
      </c>
      <c r="T163" s="11">
        <v>13</v>
      </c>
    </row>
    <row r="164" s="3" customFormat="1" customHeight="1" spans="1:20">
      <c r="A164" s="167" t="s">
        <v>4214</v>
      </c>
      <c r="B164" s="167" t="s">
        <v>165</v>
      </c>
      <c r="C164" s="167" t="s">
        <v>4215</v>
      </c>
      <c r="D164" s="11">
        <v>19979263918</v>
      </c>
      <c r="E164" s="167" t="s">
        <v>156</v>
      </c>
      <c r="F164" s="167" t="s">
        <v>14</v>
      </c>
      <c r="G164" s="11">
        <v>202102001</v>
      </c>
      <c r="H164" s="167" t="s">
        <v>157</v>
      </c>
      <c r="I164" s="167" t="s">
        <v>412</v>
      </c>
      <c r="J164" s="167" t="s">
        <v>4217</v>
      </c>
      <c r="K164" s="167" t="s">
        <v>160</v>
      </c>
      <c r="L164" s="167" t="s">
        <v>180</v>
      </c>
      <c r="M164" s="167" t="s">
        <v>26</v>
      </c>
      <c r="N164" s="167" t="s">
        <v>4218</v>
      </c>
      <c r="O164" s="12" t="str">
        <f>_xlfn.DISPIMG("ID_458825B7ED724C7B8EAA7308C4517BC8",1)</f>
        <v>=DISPIMG("ID_458825B7ED724C7B8EAA7308C4517BC8",1)</v>
      </c>
      <c r="P164" s="11" t="s">
        <v>4219</v>
      </c>
      <c r="Q164" s="20">
        <v>539</v>
      </c>
      <c r="R164" s="17" t="s">
        <v>4479</v>
      </c>
      <c r="S164" s="18" t="s">
        <v>45</v>
      </c>
      <c r="T164" s="11">
        <v>24</v>
      </c>
    </row>
    <row r="165" s="3" customFormat="1" customHeight="1" spans="1:20">
      <c r="A165" s="167" t="s">
        <v>4308</v>
      </c>
      <c r="B165" s="167" t="s">
        <v>165</v>
      </c>
      <c r="C165" s="167" t="s">
        <v>4309</v>
      </c>
      <c r="D165" s="11">
        <v>17770159034</v>
      </c>
      <c r="E165" s="167" t="s">
        <v>156</v>
      </c>
      <c r="F165" s="167" t="s">
        <v>14</v>
      </c>
      <c r="G165" s="11">
        <v>202102001</v>
      </c>
      <c r="H165" s="167" t="s">
        <v>279</v>
      </c>
      <c r="I165" s="167" t="s">
        <v>1237</v>
      </c>
      <c r="J165" s="167" t="s">
        <v>348</v>
      </c>
      <c r="K165" s="167" t="s">
        <v>170</v>
      </c>
      <c r="L165" s="167" t="s">
        <v>180</v>
      </c>
      <c r="M165" s="167" t="s">
        <v>2395</v>
      </c>
      <c r="N165" s="167" t="s">
        <v>4310</v>
      </c>
      <c r="O165" s="12" t="str">
        <f>_xlfn.DISPIMG("ID_E6307ECF32B442B8A8FC80EADAF6E26D",1)</f>
        <v>=DISPIMG("ID_E6307ECF32B442B8A8FC80EADAF6E26D",1)</v>
      </c>
      <c r="P165" s="11" t="s">
        <v>4311</v>
      </c>
      <c r="Q165" s="20">
        <v>552</v>
      </c>
      <c r="R165" s="17" t="s">
        <v>4480</v>
      </c>
      <c r="S165" s="18" t="s">
        <v>45</v>
      </c>
      <c r="T165" s="11">
        <v>25</v>
      </c>
    </row>
    <row r="166" s="3" customFormat="1" customHeight="1" spans="1:20">
      <c r="A166" s="167" t="s">
        <v>494</v>
      </c>
      <c r="B166" s="167" t="s">
        <v>165</v>
      </c>
      <c r="C166" s="167" t="s">
        <v>495</v>
      </c>
      <c r="D166" s="11">
        <v>13662204471</v>
      </c>
      <c r="E166" s="167" t="s">
        <v>156</v>
      </c>
      <c r="F166" s="167" t="s">
        <v>8</v>
      </c>
      <c r="G166" s="11">
        <v>202102002</v>
      </c>
      <c r="H166" s="167" t="s">
        <v>279</v>
      </c>
      <c r="I166" s="167" t="s">
        <v>158</v>
      </c>
      <c r="J166" s="167" t="s">
        <v>497</v>
      </c>
      <c r="K166" s="167" t="s">
        <v>170</v>
      </c>
      <c r="L166" s="167" t="s">
        <v>180</v>
      </c>
      <c r="M166" s="167" t="s">
        <v>498</v>
      </c>
      <c r="N166" s="167" t="s">
        <v>499</v>
      </c>
      <c r="O166" s="12" t="str">
        <f>_xlfn.DISPIMG("ID_83DE97F5DD9E4626804875394FE0FC9C",1)</f>
        <v>=DISPIMG("ID_83DE97F5DD9E4626804875394FE0FC9C",1)</v>
      </c>
      <c r="P166" s="11" t="s">
        <v>500</v>
      </c>
      <c r="Q166" s="11">
        <v>41</v>
      </c>
      <c r="R166" s="17" t="s">
        <v>4481</v>
      </c>
      <c r="S166" s="18" t="s">
        <v>46</v>
      </c>
      <c r="T166" s="11">
        <v>6</v>
      </c>
    </row>
    <row r="167" s="3" customFormat="1" customHeight="1" spans="1:20">
      <c r="A167" s="167" t="s">
        <v>565</v>
      </c>
      <c r="B167" s="167" t="s">
        <v>165</v>
      </c>
      <c r="C167" s="167" t="s">
        <v>566</v>
      </c>
      <c r="D167" s="11">
        <v>13184588975</v>
      </c>
      <c r="E167" s="167" t="s">
        <v>156</v>
      </c>
      <c r="F167" s="167" t="s">
        <v>8</v>
      </c>
      <c r="G167" s="11">
        <v>202102002</v>
      </c>
      <c r="H167" s="167" t="s">
        <v>279</v>
      </c>
      <c r="I167" s="167" t="s">
        <v>178</v>
      </c>
      <c r="J167" s="167" t="s">
        <v>497</v>
      </c>
      <c r="K167" s="167" t="s">
        <v>170</v>
      </c>
      <c r="L167" s="167" t="s">
        <v>368</v>
      </c>
      <c r="M167" s="167" t="s">
        <v>568</v>
      </c>
      <c r="N167" s="167" t="s">
        <v>569</v>
      </c>
      <c r="O167" s="12" t="str">
        <f>_xlfn.DISPIMG("ID_937169E203CF4CFF91192737B547BFCD",1)</f>
        <v>=DISPIMG("ID_937169E203CF4CFF91192737B547BFCD",1)</v>
      </c>
      <c r="P167" s="11" t="s">
        <v>570</v>
      </c>
      <c r="Q167" s="11">
        <v>49</v>
      </c>
      <c r="R167" s="17" t="s">
        <v>4482</v>
      </c>
      <c r="S167" s="18" t="s">
        <v>46</v>
      </c>
      <c r="T167" s="11">
        <v>7</v>
      </c>
    </row>
    <row r="168" s="3" customFormat="1" customHeight="1" spans="1:20">
      <c r="A168" s="167" t="s">
        <v>668</v>
      </c>
      <c r="B168" s="167" t="s">
        <v>165</v>
      </c>
      <c r="C168" s="167" t="s">
        <v>669</v>
      </c>
      <c r="D168" s="11">
        <v>19970219155</v>
      </c>
      <c r="E168" s="167" t="s">
        <v>156</v>
      </c>
      <c r="F168" s="167" t="s">
        <v>8</v>
      </c>
      <c r="G168" s="11">
        <v>202102002</v>
      </c>
      <c r="H168" s="167" t="s">
        <v>279</v>
      </c>
      <c r="I168" s="167" t="s">
        <v>671</v>
      </c>
      <c r="J168" s="167" t="s">
        <v>672</v>
      </c>
      <c r="K168" s="167" t="s">
        <v>160</v>
      </c>
      <c r="L168" s="167" t="s">
        <v>673</v>
      </c>
      <c r="M168" s="167" t="s">
        <v>674</v>
      </c>
      <c r="N168" s="167" t="s">
        <v>675</v>
      </c>
      <c r="O168" s="12" t="str">
        <f>_xlfn.DISPIMG("ID_350951056247403B99D5F5C96BCE4CA8",1)</f>
        <v>=DISPIMG("ID_350951056247403B99D5F5C96BCE4CA8",1)</v>
      </c>
      <c r="P168" s="11" t="s">
        <v>676</v>
      </c>
      <c r="Q168" s="11">
        <v>62</v>
      </c>
      <c r="R168" s="17" t="s">
        <v>4483</v>
      </c>
      <c r="S168" s="18" t="s">
        <v>46</v>
      </c>
      <c r="T168" s="11">
        <v>18</v>
      </c>
    </row>
    <row r="169" s="3" customFormat="1" customHeight="1" spans="1:20">
      <c r="A169" s="167" t="s">
        <v>779</v>
      </c>
      <c r="B169" s="167" t="s">
        <v>165</v>
      </c>
      <c r="C169" s="167" t="s">
        <v>780</v>
      </c>
      <c r="D169" s="11">
        <v>18379173946</v>
      </c>
      <c r="E169" s="167" t="s">
        <v>506</v>
      </c>
      <c r="F169" s="167" t="s">
        <v>8</v>
      </c>
      <c r="G169" s="11">
        <v>202102015</v>
      </c>
      <c r="H169" s="167" t="s">
        <v>279</v>
      </c>
      <c r="I169" s="167" t="s">
        <v>662</v>
      </c>
      <c r="J169" s="167" t="s">
        <v>497</v>
      </c>
      <c r="K169" s="167" t="s">
        <v>170</v>
      </c>
      <c r="L169" s="167" t="s">
        <v>171</v>
      </c>
      <c r="M169" s="167" t="s">
        <v>568</v>
      </c>
      <c r="N169" s="167" t="s">
        <v>782</v>
      </c>
      <c r="O169" s="12" t="str">
        <f>_xlfn.DISPIMG("ID_F2E1FDE086E6423DAF30A93C1D5DA4A4",1)</f>
        <v>=DISPIMG("ID_F2E1FDE086E6423DAF30A93C1D5DA4A4",1)</v>
      </c>
      <c r="P169" s="11" t="s">
        <v>783</v>
      </c>
      <c r="Q169" s="11">
        <v>75</v>
      </c>
      <c r="R169" s="17" t="s">
        <v>4484</v>
      </c>
      <c r="S169" s="18" t="s">
        <v>46</v>
      </c>
      <c r="T169" s="11">
        <v>19</v>
      </c>
    </row>
    <row r="170" s="3" customFormat="1" customHeight="1" spans="1:20">
      <c r="A170" s="167" t="s">
        <v>810</v>
      </c>
      <c r="B170" s="167" t="s">
        <v>165</v>
      </c>
      <c r="C170" s="167" t="s">
        <v>811</v>
      </c>
      <c r="D170" s="11">
        <v>13767213363</v>
      </c>
      <c r="E170" s="167" t="s">
        <v>156</v>
      </c>
      <c r="F170" s="167" t="s">
        <v>8</v>
      </c>
      <c r="G170" s="11">
        <v>202102002</v>
      </c>
      <c r="H170" s="167" t="s">
        <v>157</v>
      </c>
      <c r="I170" s="167" t="s">
        <v>158</v>
      </c>
      <c r="J170" s="167" t="s">
        <v>813</v>
      </c>
      <c r="K170" s="167" t="s">
        <v>160</v>
      </c>
      <c r="L170" s="167" t="s">
        <v>161</v>
      </c>
      <c r="M170" s="167" t="s">
        <v>8</v>
      </c>
      <c r="N170" s="11">
        <v>0</v>
      </c>
      <c r="O170" s="12" t="str">
        <f>_xlfn.DISPIMG("ID_5528F9D8BCB3449AB737B926D9AAB949",1)</f>
        <v>=DISPIMG("ID_5528F9D8BCB3449AB737B926D9AAB949",1)</v>
      </c>
      <c r="P170" s="11" t="s">
        <v>814</v>
      </c>
      <c r="Q170" s="11">
        <v>79</v>
      </c>
      <c r="R170" s="17" t="s">
        <v>4485</v>
      </c>
      <c r="S170" s="18" t="s">
        <v>46</v>
      </c>
      <c r="T170" s="11">
        <v>30</v>
      </c>
    </row>
    <row r="171" s="3" customFormat="1" customHeight="1" spans="1:20">
      <c r="A171" s="167" t="s">
        <v>864</v>
      </c>
      <c r="B171" s="167" t="s">
        <v>165</v>
      </c>
      <c r="C171" s="167" t="s">
        <v>865</v>
      </c>
      <c r="D171" s="11">
        <v>18958190827</v>
      </c>
      <c r="E171" s="167" t="s">
        <v>156</v>
      </c>
      <c r="F171" s="167" t="s">
        <v>8</v>
      </c>
      <c r="G171" s="11">
        <v>202102002</v>
      </c>
      <c r="H171" s="167" t="s">
        <v>157</v>
      </c>
      <c r="I171" s="167" t="s">
        <v>867</v>
      </c>
      <c r="J171" s="167" t="s">
        <v>868</v>
      </c>
      <c r="K171" s="167" t="s">
        <v>160</v>
      </c>
      <c r="L171" s="167" t="s">
        <v>548</v>
      </c>
      <c r="M171" s="167" t="s">
        <v>8</v>
      </c>
      <c r="N171" s="167" t="s">
        <v>869</v>
      </c>
      <c r="O171" s="12" t="str">
        <f>_xlfn.DISPIMG("ID_019B47D80B6342B48EC2873E3CE82AE8",1)</f>
        <v>=DISPIMG("ID_019B47D80B6342B48EC2873E3CE82AE8",1)</v>
      </c>
      <c r="P171" s="11" t="s">
        <v>870</v>
      </c>
      <c r="Q171" s="11">
        <v>86</v>
      </c>
      <c r="R171" s="17" t="s">
        <v>4486</v>
      </c>
      <c r="S171" s="18" t="s">
        <v>46</v>
      </c>
      <c r="T171" s="11">
        <v>5</v>
      </c>
    </row>
    <row r="172" s="3" customFormat="1" customHeight="1" spans="1:20">
      <c r="A172" s="167" t="s">
        <v>941</v>
      </c>
      <c r="B172" s="167" t="s">
        <v>165</v>
      </c>
      <c r="C172" s="167" t="s">
        <v>942</v>
      </c>
      <c r="D172" s="11">
        <v>18379646602</v>
      </c>
      <c r="E172" s="167" t="s">
        <v>156</v>
      </c>
      <c r="F172" s="167" t="s">
        <v>8</v>
      </c>
      <c r="G172" s="11">
        <v>202102002</v>
      </c>
      <c r="H172" s="167" t="s">
        <v>157</v>
      </c>
      <c r="I172" s="167" t="s">
        <v>269</v>
      </c>
      <c r="J172" s="167" t="s">
        <v>944</v>
      </c>
      <c r="K172" s="167" t="s">
        <v>170</v>
      </c>
      <c r="L172" s="167" t="s">
        <v>261</v>
      </c>
      <c r="M172" s="167" t="s">
        <v>945</v>
      </c>
      <c r="N172" s="11">
        <v>0</v>
      </c>
      <c r="O172" s="12" t="str">
        <f>_xlfn.DISPIMG("ID_BCCBED5385A54C5D88278A56BF2ABF99",1)</f>
        <v>=DISPIMG("ID_BCCBED5385A54C5D88278A56BF2ABF99",1)</v>
      </c>
      <c r="P172" s="11" t="s">
        <v>946</v>
      </c>
      <c r="Q172" s="11">
        <v>95</v>
      </c>
      <c r="R172" s="17" t="s">
        <v>4487</v>
      </c>
      <c r="S172" s="18" t="s">
        <v>46</v>
      </c>
      <c r="T172" s="11">
        <v>8</v>
      </c>
    </row>
    <row r="173" s="4" customFormat="1" customHeight="1" spans="1:20">
      <c r="A173" s="167" t="s">
        <v>983</v>
      </c>
      <c r="B173" s="167" t="s">
        <v>165</v>
      </c>
      <c r="C173" s="167" t="s">
        <v>984</v>
      </c>
      <c r="D173" s="11">
        <v>18170988745</v>
      </c>
      <c r="E173" s="167" t="s">
        <v>156</v>
      </c>
      <c r="F173" s="167" t="s">
        <v>8</v>
      </c>
      <c r="G173" s="11">
        <v>202102002</v>
      </c>
      <c r="H173" s="167" t="s">
        <v>157</v>
      </c>
      <c r="I173" s="167" t="s">
        <v>986</v>
      </c>
      <c r="J173" s="167" t="s">
        <v>987</v>
      </c>
      <c r="K173" s="167" t="s">
        <v>160</v>
      </c>
      <c r="L173" s="167" t="s">
        <v>988</v>
      </c>
      <c r="M173" s="167" t="s">
        <v>989</v>
      </c>
      <c r="N173" s="167" t="s">
        <v>990</v>
      </c>
      <c r="O173" s="12" t="str">
        <f>_xlfn.DISPIMG("ID_21AE3772EA6B45FAA68CF356346534B7",1)</f>
        <v>=DISPIMG("ID_21AE3772EA6B45FAA68CF356346534B7",1)</v>
      </c>
      <c r="P173" s="11" t="s">
        <v>991</v>
      </c>
      <c r="Q173" s="11">
        <v>100</v>
      </c>
      <c r="R173" s="17" t="s">
        <v>4488</v>
      </c>
      <c r="S173" s="18" t="s">
        <v>46</v>
      </c>
      <c r="T173" s="11">
        <v>17</v>
      </c>
    </row>
    <row r="174" s="3" customFormat="1" customHeight="1" spans="1:20">
      <c r="A174" s="167" t="s">
        <v>1002</v>
      </c>
      <c r="B174" s="167" t="s">
        <v>165</v>
      </c>
      <c r="C174" s="167" t="s">
        <v>1003</v>
      </c>
      <c r="D174" s="11">
        <v>16607008286</v>
      </c>
      <c r="E174" s="167" t="s">
        <v>156</v>
      </c>
      <c r="F174" s="167" t="s">
        <v>8</v>
      </c>
      <c r="G174" s="11">
        <v>202102002</v>
      </c>
      <c r="H174" s="167" t="s">
        <v>157</v>
      </c>
      <c r="I174" s="167" t="s">
        <v>233</v>
      </c>
      <c r="J174" s="167" t="s">
        <v>1005</v>
      </c>
      <c r="K174" s="167" t="s">
        <v>170</v>
      </c>
      <c r="L174" s="167" t="s">
        <v>180</v>
      </c>
      <c r="M174" s="167" t="s">
        <v>8</v>
      </c>
      <c r="N174" s="167" t="s">
        <v>1006</v>
      </c>
      <c r="O174" s="12" t="str">
        <f>_xlfn.DISPIMG("ID_AB18BB501DAF4CA0AB480E453554BF60",1)</f>
        <v>=DISPIMG("ID_AB18BB501DAF4CA0AB480E453554BF60",1)</v>
      </c>
      <c r="P174" s="11" t="s">
        <v>1007</v>
      </c>
      <c r="Q174" s="11">
        <v>102</v>
      </c>
      <c r="R174" s="17" t="s">
        <v>4489</v>
      </c>
      <c r="S174" s="18" t="s">
        <v>46</v>
      </c>
      <c r="T174" s="11">
        <v>20</v>
      </c>
    </row>
    <row r="175" s="5" customFormat="1" customHeight="1" spans="1:20">
      <c r="A175" s="167" t="s">
        <v>1127</v>
      </c>
      <c r="B175" s="167" t="s">
        <v>153</v>
      </c>
      <c r="C175" s="167" t="s">
        <v>1128</v>
      </c>
      <c r="D175" s="11">
        <v>13698023687</v>
      </c>
      <c r="E175" s="167" t="s">
        <v>156</v>
      </c>
      <c r="F175" s="167" t="s">
        <v>8</v>
      </c>
      <c r="G175" s="11">
        <v>202102002</v>
      </c>
      <c r="H175" s="167" t="s">
        <v>157</v>
      </c>
      <c r="I175" s="167" t="s">
        <v>158</v>
      </c>
      <c r="J175" s="167" t="s">
        <v>270</v>
      </c>
      <c r="K175" s="167" t="s">
        <v>170</v>
      </c>
      <c r="L175" s="167" t="s">
        <v>548</v>
      </c>
      <c r="M175" s="167" t="s">
        <v>1130</v>
      </c>
      <c r="N175" s="167" t="s">
        <v>1131</v>
      </c>
      <c r="O175" s="12" t="str">
        <f>_xlfn.DISPIMG("ID_2ABFF7AF1BF04D95953E32E5250DE953",1)</f>
        <v>=DISPIMG("ID_2ABFF7AF1BF04D95953E32E5250DE953",1)</v>
      </c>
      <c r="P175" s="11" t="s">
        <v>1132</v>
      </c>
      <c r="Q175" s="11">
        <v>118</v>
      </c>
      <c r="R175" s="17" t="s">
        <v>4490</v>
      </c>
      <c r="S175" s="18" t="s">
        <v>46</v>
      </c>
      <c r="T175" s="11">
        <v>29</v>
      </c>
    </row>
    <row r="176" s="3" customFormat="1" customHeight="1" spans="1:20">
      <c r="A176" s="167" t="s">
        <v>1200</v>
      </c>
      <c r="B176" s="167" t="s">
        <v>165</v>
      </c>
      <c r="C176" s="167" t="s">
        <v>1201</v>
      </c>
      <c r="D176" s="11">
        <v>15270186776</v>
      </c>
      <c r="E176" s="167" t="s">
        <v>156</v>
      </c>
      <c r="F176" s="167" t="s">
        <v>8</v>
      </c>
      <c r="G176" s="11">
        <v>202102002</v>
      </c>
      <c r="H176" s="167" t="s">
        <v>157</v>
      </c>
      <c r="I176" s="167" t="s">
        <v>1203</v>
      </c>
      <c r="J176" s="167" t="s">
        <v>1204</v>
      </c>
      <c r="K176" s="167" t="s">
        <v>160</v>
      </c>
      <c r="L176" s="167" t="s">
        <v>1089</v>
      </c>
      <c r="M176" s="167" t="s">
        <v>1205</v>
      </c>
      <c r="N176" s="167" t="s">
        <v>1206</v>
      </c>
      <c r="O176" s="12" t="str">
        <f>_xlfn.DISPIMG("ID_0C966700704E44E6A4C50F763206BC81",1)</f>
        <v>=DISPIMG("ID_0C966700704E44E6A4C50F763206BC81",1)</v>
      </c>
      <c r="P176" s="11" t="s">
        <v>1207</v>
      </c>
      <c r="Q176" s="11">
        <v>127</v>
      </c>
      <c r="R176" s="17" t="s">
        <v>4491</v>
      </c>
      <c r="S176" s="18" t="s">
        <v>46</v>
      </c>
      <c r="T176" s="11">
        <v>4</v>
      </c>
    </row>
    <row r="177" s="3" customFormat="1" customHeight="1" spans="1:20">
      <c r="A177" s="167" t="s">
        <v>1262</v>
      </c>
      <c r="B177" s="167" t="s">
        <v>165</v>
      </c>
      <c r="C177" s="167" t="s">
        <v>1263</v>
      </c>
      <c r="D177" s="11">
        <v>18897926715</v>
      </c>
      <c r="E177" s="167" t="s">
        <v>156</v>
      </c>
      <c r="F177" s="167" t="s">
        <v>8</v>
      </c>
      <c r="G177" s="11">
        <v>202102002</v>
      </c>
      <c r="H177" s="167" t="s">
        <v>157</v>
      </c>
      <c r="I177" s="167" t="s">
        <v>1265</v>
      </c>
      <c r="J177" s="167" t="s">
        <v>813</v>
      </c>
      <c r="K177" s="167" t="s">
        <v>160</v>
      </c>
      <c r="L177" s="167" t="s">
        <v>199</v>
      </c>
      <c r="M177" s="167" t="s">
        <v>1266</v>
      </c>
      <c r="N177" s="11">
        <v>0</v>
      </c>
      <c r="O177" s="12" t="str">
        <f>_xlfn.DISPIMG("ID_5DC2209F39824089B70DAE46CB942DD1",1)</f>
        <v>=DISPIMG("ID_5DC2209F39824089B70DAE46CB942DD1",1)</v>
      </c>
      <c r="P177" s="11" t="s">
        <v>1267</v>
      </c>
      <c r="Q177" s="11">
        <v>135</v>
      </c>
      <c r="R177" s="17" t="s">
        <v>4492</v>
      </c>
      <c r="S177" s="18" t="s">
        <v>46</v>
      </c>
      <c r="T177" s="11">
        <v>9</v>
      </c>
    </row>
    <row r="178" s="3" customFormat="1" customHeight="1" spans="1:20">
      <c r="A178" s="167" t="s">
        <v>1318</v>
      </c>
      <c r="B178" s="167" t="s">
        <v>165</v>
      </c>
      <c r="C178" s="167" t="s">
        <v>1319</v>
      </c>
      <c r="D178" s="11">
        <v>18270633854</v>
      </c>
      <c r="E178" s="167" t="s">
        <v>156</v>
      </c>
      <c r="F178" s="167" t="s">
        <v>8</v>
      </c>
      <c r="G178" s="11">
        <v>202102002</v>
      </c>
      <c r="H178" s="167" t="s">
        <v>157</v>
      </c>
      <c r="I178" s="167" t="s">
        <v>1258</v>
      </c>
      <c r="J178" s="167" t="s">
        <v>1321</v>
      </c>
      <c r="K178" s="167" t="s">
        <v>160</v>
      </c>
      <c r="L178" s="167" t="s">
        <v>516</v>
      </c>
      <c r="M178" s="167" t="s">
        <v>1322</v>
      </c>
      <c r="N178" s="167" t="s">
        <v>1323</v>
      </c>
      <c r="O178" s="12" t="str">
        <f>_xlfn.DISPIMG("ID_D86A3E1B243D4E47B731958FB3B82FC3",1)</f>
        <v>=DISPIMG("ID_D86A3E1B243D4E47B731958FB3B82FC3",1)</v>
      </c>
      <c r="P178" s="11" t="s">
        <v>1324</v>
      </c>
      <c r="Q178" s="11">
        <v>143</v>
      </c>
      <c r="R178" s="17" t="s">
        <v>4493</v>
      </c>
      <c r="S178" s="18" t="s">
        <v>46</v>
      </c>
      <c r="T178" s="11">
        <v>16</v>
      </c>
    </row>
    <row r="179" s="3" customFormat="1" customHeight="1" spans="1:20">
      <c r="A179" s="167" t="s">
        <v>1471</v>
      </c>
      <c r="B179" s="167" t="s">
        <v>165</v>
      </c>
      <c r="C179" s="167" t="s">
        <v>1472</v>
      </c>
      <c r="D179" s="11">
        <v>13687036753</v>
      </c>
      <c r="E179" s="167" t="s">
        <v>156</v>
      </c>
      <c r="F179" s="167" t="s">
        <v>8</v>
      </c>
      <c r="G179" s="11">
        <v>202102002</v>
      </c>
      <c r="H179" s="167" t="s">
        <v>157</v>
      </c>
      <c r="I179" s="167" t="s">
        <v>269</v>
      </c>
      <c r="J179" s="167" t="s">
        <v>1204</v>
      </c>
      <c r="K179" s="167" t="s">
        <v>160</v>
      </c>
      <c r="L179" s="167" t="s">
        <v>171</v>
      </c>
      <c r="M179" s="167" t="s">
        <v>20</v>
      </c>
      <c r="N179" s="167" t="s">
        <v>1474</v>
      </c>
      <c r="O179" s="12" t="str">
        <f>_xlfn.DISPIMG("ID_282C99EDDFB743068B1F4514F99C7126",1)</f>
        <v>=DISPIMG("ID_282C99EDDFB743068B1F4514F99C7126",1)</v>
      </c>
      <c r="P179" s="11" t="s">
        <v>1475</v>
      </c>
      <c r="Q179" s="11">
        <v>163</v>
      </c>
      <c r="R179" s="17" t="s">
        <v>4494</v>
      </c>
      <c r="S179" s="18" t="s">
        <v>46</v>
      </c>
      <c r="T179" s="11">
        <v>21</v>
      </c>
    </row>
    <row r="180" s="3" customFormat="1" customHeight="1" spans="1:20">
      <c r="A180" s="167" t="s">
        <v>1613</v>
      </c>
      <c r="B180" s="167" t="s">
        <v>165</v>
      </c>
      <c r="C180" s="167" t="s">
        <v>1614</v>
      </c>
      <c r="D180" s="11">
        <v>18296280573</v>
      </c>
      <c r="E180" s="167" t="s">
        <v>156</v>
      </c>
      <c r="F180" s="167" t="s">
        <v>8</v>
      </c>
      <c r="G180" s="11">
        <v>202102002</v>
      </c>
      <c r="H180" s="167" t="s">
        <v>157</v>
      </c>
      <c r="I180" s="167" t="s">
        <v>233</v>
      </c>
      <c r="J180" s="167" t="s">
        <v>1616</v>
      </c>
      <c r="K180" s="167" t="s">
        <v>170</v>
      </c>
      <c r="L180" s="167" t="s">
        <v>235</v>
      </c>
      <c r="M180" s="167" t="s">
        <v>1617</v>
      </c>
      <c r="N180" s="167" t="s">
        <v>1618</v>
      </c>
      <c r="O180" s="12" t="str">
        <f>_xlfn.DISPIMG("ID_2062AD8B56DF4C85BF68D2846493F2B2",1)</f>
        <v>=DISPIMG("ID_2062AD8B56DF4C85BF68D2846493F2B2",1)</v>
      </c>
      <c r="P180" s="11" t="s">
        <v>1619</v>
      </c>
      <c r="Q180" s="11">
        <v>181</v>
      </c>
      <c r="R180" s="17" t="s">
        <v>4495</v>
      </c>
      <c r="S180" s="18" t="s">
        <v>46</v>
      </c>
      <c r="T180" s="11">
        <v>28</v>
      </c>
    </row>
    <row r="181" s="3" customFormat="1" customHeight="1" spans="1:20">
      <c r="A181" s="167" t="s">
        <v>1766</v>
      </c>
      <c r="B181" s="167" t="s">
        <v>165</v>
      </c>
      <c r="C181" s="167" t="s">
        <v>1767</v>
      </c>
      <c r="D181" s="11">
        <v>18370038373</v>
      </c>
      <c r="E181" s="167" t="s">
        <v>156</v>
      </c>
      <c r="F181" s="167" t="s">
        <v>8</v>
      </c>
      <c r="G181" s="11">
        <v>202102002</v>
      </c>
      <c r="H181" s="167" t="s">
        <v>157</v>
      </c>
      <c r="I181" s="167" t="s">
        <v>269</v>
      </c>
      <c r="J181" s="167" t="s">
        <v>813</v>
      </c>
      <c r="K181" s="167" t="s">
        <v>160</v>
      </c>
      <c r="L181" s="167" t="s">
        <v>180</v>
      </c>
      <c r="M181" s="167" t="s">
        <v>8</v>
      </c>
      <c r="N181" s="167" t="s">
        <v>1769</v>
      </c>
      <c r="O181" s="12" t="str">
        <f>_xlfn.DISPIMG("ID_DCEB7245249347F4A2C197E5AB7C6C11",1)</f>
        <v>=DISPIMG("ID_DCEB7245249347F4A2C197E5AB7C6C11",1)</v>
      </c>
      <c r="P181" s="11" t="s">
        <v>1770</v>
      </c>
      <c r="Q181" s="11">
        <v>201</v>
      </c>
      <c r="R181" s="17" t="s">
        <v>4496</v>
      </c>
      <c r="S181" s="18" t="s">
        <v>46</v>
      </c>
      <c r="T181" s="11">
        <v>3</v>
      </c>
    </row>
    <row r="182" s="3" customFormat="1" customHeight="1" spans="1:20">
      <c r="A182" s="167" t="s">
        <v>1837</v>
      </c>
      <c r="B182" s="167" t="s">
        <v>165</v>
      </c>
      <c r="C182" s="167" t="s">
        <v>1838</v>
      </c>
      <c r="D182" s="11">
        <v>13480509971</v>
      </c>
      <c r="E182" s="167" t="s">
        <v>156</v>
      </c>
      <c r="F182" s="167" t="s">
        <v>8</v>
      </c>
      <c r="G182" s="11">
        <v>202102002</v>
      </c>
      <c r="H182" s="167" t="s">
        <v>157</v>
      </c>
      <c r="I182" s="167" t="s">
        <v>540</v>
      </c>
      <c r="J182" s="167" t="s">
        <v>1840</v>
      </c>
      <c r="K182" s="167" t="s">
        <v>160</v>
      </c>
      <c r="L182" s="167" t="s">
        <v>587</v>
      </c>
      <c r="M182" s="167" t="s">
        <v>1841</v>
      </c>
      <c r="N182" s="167" t="s">
        <v>1842</v>
      </c>
      <c r="O182" s="12" t="str">
        <f>_xlfn.DISPIMG("ID_0F8BA8686B8D4F92BF1EF6F4CB55E695",1)</f>
        <v>=DISPIMG("ID_0F8BA8686B8D4F92BF1EF6F4CB55E695",1)</v>
      </c>
      <c r="P182" s="11" t="s">
        <v>1843</v>
      </c>
      <c r="Q182" s="11">
        <v>210</v>
      </c>
      <c r="R182" s="17" t="s">
        <v>4497</v>
      </c>
      <c r="S182" s="18" t="s">
        <v>46</v>
      </c>
      <c r="T182" s="11">
        <v>10</v>
      </c>
    </row>
    <row r="183" s="3" customFormat="1" customHeight="1" spans="1:20">
      <c r="A183" s="167" t="s">
        <v>1904</v>
      </c>
      <c r="B183" s="167" t="s">
        <v>165</v>
      </c>
      <c r="C183" s="167" t="s">
        <v>1905</v>
      </c>
      <c r="D183" s="11">
        <v>15070412978</v>
      </c>
      <c r="E183" s="167" t="s">
        <v>156</v>
      </c>
      <c r="F183" s="167" t="s">
        <v>8</v>
      </c>
      <c r="G183" s="11">
        <v>202102002</v>
      </c>
      <c r="H183" s="167" t="s">
        <v>157</v>
      </c>
      <c r="I183" s="167" t="s">
        <v>233</v>
      </c>
      <c r="J183" s="167" t="s">
        <v>454</v>
      </c>
      <c r="K183" s="167" t="s">
        <v>170</v>
      </c>
      <c r="L183" s="167" t="s">
        <v>1907</v>
      </c>
      <c r="M183" s="167" t="s">
        <v>8</v>
      </c>
      <c r="N183" s="167" t="s">
        <v>1908</v>
      </c>
      <c r="O183" s="12" t="str">
        <f>_xlfn.DISPIMG("ID_02D14B5C83BE4DBBBCAAA0B55D7FE392",1)</f>
        <v>=DISPIMG("ID_02D14B5C83BE4DBBBCAAA0B55D7FE392",1)</v>
      </c>
      <c r="P183" s="11" t="s">
        <v>1909</v>
      </c>
      <c r="Q183" s="11">
        <v>219</v>
      </c>
      <c r="R183" s="17" t="s">
        <v>4498</v>
      </c>
      <c r="S183" s="18" t="s">
        <v>46</v>
      </c>
      <c r="T183" s="11">
        <v>15</v>
      </c>
    </row>
    <row r="184" s="3" customFormat="1" customHeight="1" spans="1:20">
      <c r="A184" s="167" t="s">
        <v>1977</v>
      </c>
      <c r="B184" s="167" t="s">
        <v>165</v>
      </c>
      <c r="C184" s="167" t="s">
        <v>1978</v>
      </c>
      <c r="D184" s="11">
        <v>15070907830</v>
      </c>
      <c r="E184" s="167" t="s">
        <v>156</v>
      </c>
      <c r="F184" s="167" t="s">
        <v>8</v>
      </c>
      <c r="G184" s="11">
        <v>202102002</v>
      </c>
      <c r="H184" s="167" t="s">
        <v>157</v>
      </c>
      <c r="I184" s="167" t="s">
        <v>827</v>
      </c>
      <c r="J184" s="167" t="s">
        <v>243</v>
      </c>
      <c r="K184" s="167" t="s">
        <v>160</v>
      </c>
      <c r="L184" s="167" t="s">
        <v>161</v>
      </c>
      <c r="M184" s="167" t="s">
        <v>8</v>
      </c>
      <c r="N184" s="167" t="s">
        <v>1979</v>
      </c>
      <c r="O184" s="12" t="str">
        <f>_xlfn.DISPIMG("ID_4F2775F35FF241D1A9320534AD0F9FD6",1)</f>
        <v>=DISPIMG("ID_4F2775F35FF241D1A9320534AD0F9FD6",1)</v>
      </c>
      <c r="P184" s="11" t="s">
        <v>1980</v>
      </c>
      <c r="Q184" s="11">
        <v>229</v>
      </c>
      <c r="R184" s="17" t="s">
        <v>4499</v>
      </c>
      <c r="S184" s="18" t="s">
        <v>46</v>
      </c>
      <c r="T184" s="11">
        <v>22</v>
      </c>
    </row>
    <row r="185" s="3" customFormat="1" customHeight="1" spans="1:20">
      <c r="A185" s="167" t="s">
        <v>2076</v>
      </c>
      <c r="B185" s="167" t="s">
        <v>153</v>
      </c>
      <c r="C185" s="167" t="s">
        <v>2077</v>
      </c>
      <c r="D185" s="11">
        <v>19951510515</v>
      </c>
      <c r="E185" s="167" t="s">
        <v>156</v>
      </c>
      <c r="F185" s="167" t="s">
        <v>8</v>
      </c>
      <c r="G185" s="11">
        <v>202102002</v>
      </c>
      <c r="H185" s="167" t="s">
        <v>279</v>
      </c>
      <c r="I185" s="167" t="s">
        <v>507</v>
      </c>
      <c r="J185" s="167" t="s">
        <v>497</v>
      </c>
      <c r="K185" s="167" t="s">
        <v>170</v>
      </c>
      <c r="L185" s="167" t="s">
        <v>224</v>
      </c>
      <c r="M185" s="167" t="s">
        <v>989</v>
      </c>
      <c r="N185" s="167" t="s">
        <v>2079</v>
      </c>
      <c r="O185" s="12" t="str">
        <f>_xlfn.DISPIMG("ID_55D50712BDA742E9BE089E9AEF5CFD56",1)</f>
        <v>=DISPIMG("ID_55D50712BDA742E9BE089E9AEF5CFD56",1)</v>
      </c>
      <c r="P185" s="11" t="s">
        <v>2080</v>
      </c>
      <c r="Q185" s="11">
        <v>242</v>
      </c>
      <c r="R185" s="17" t="s">
        <v>4500</v>
      </c>
      <c r="S185" s="18" t="s">
        <v>46</v>
      </c>
      <c r="T185" s="11">
        <v>27</v>
      </c>
    </row>
    <row r="186" s="3" customFormat="1" customHeight="1" spans="1:20">
      <c r="A186" s="167" t="s">
        <v>2126</v>
      </c>
      <c r="B186" s="167" t="s">
        <v>165</v>
      </c>
      <c r="C186" s="167" t="s">
        <v>2127</v>
      </c>
      <c r="D186" s="11">
        <v>18370269701</v>
      </c>
      <c r="E186" s="167" t="s">
        <v>156</v>
      </c>
      <c r="F186" s="167" t="s">
        <v>8</v>
      </c>
      <c r="G186" s="11">
        <v>202102002</v>
      </c>
      <c r="H186" s="167" t="s">
        <v>157</v>
      </c>
      <c r="I186" s="167" t="s">
        <v>789</v>
      </c>
      <c r="J186" s="167" t="s">
        <v>2129</v>
      </c>
      <c r="K186" s="167" t="s">
        <v>160</v>
      </c>
      <c r="L186" s="167" t="s">
        <v>252</v>
      </c>
      <c r="M186" s="167" t="s">
        <v>20</v>
      </c>
      <c r="N186" s="11">
        <v>0</v>
      </c>
      <c r="O186" s="12" t="str">
        <f>_xlfn.DISPIMG("ID_03579C230E4B4D1F94606FFA97C412A2",1)</f>
        <v>=DISPIMG("ID_03579C230E4B4D1F94606FFA97C412A2",1)</v>
      </c>
      <c r="P186" s="11" t="s">
        <v>2130</v>
      </c>
      <c r="Q186" s="11">
        <v>249</v>
      </c>
      <c r="R186" s="17" t="s">
        <v>4501</v>
      </c>
      <c r="S186" s="18" t="s">
        <v>46</v>
      </c>
      <c r="T186" s="11">
        <v>2</v>
      </c>
    </row>
    <row r="187" s="3" customFormat="1" customHeight="1" spans="1:20">
      <c r="A187" s="167" t="s">
        <v>2133</v>
      </c>
      <c r="B187" s="167" t="s">
        <v>165</v>
      </c>
      <c r="C187" s="167" t="s">
        <v>2134</v>
      </c>
      <c r="D187" s="11">
        <v>15079264291</v>
      </c>
      <c r="E187" s="167" t="s">
        <v>156</v>
      </c>
      <c r="F187" s="167" t="s">
        <v>8</v>
      </c>
      <c r="G187" s="11">
        <v>202102002</v>
      </c>
      <c r="H187" s="167" t="s">
        <v>157</v>
      </c>
      <c r="I187" s="167" t="s">
        <v>876</v>
      </c>
      <c r="J187" s="167" t="s">
        <v>270</v>
      </c>
      <c r="K187" s="167" t="s">
        <v>170</v>
      </c>
      <c r="L187" s="167" t="s">
        <v>455</v>
      </c>
      <c r="M187" s="167" t="s">
        <v>20</v>
      </c>
      <c r="N187" s="167" t="s">
        <v>2136</v>
      </c>
      <c r="O187" s="12" t="str">
        <f>_xlfn.DISPIMG("ID_96FF4E1240E04D98ACBC33F8D3EE9C8F",1)</f>
        <v>=DISPIMG("ID_96FF4E1240E04D98ACBC33F8D3EE9C8F",1)</v>
      </c>
      <c r="P187" s="11" t="s">
        <v>2137</v>
      </c>
      <c r="Q187" s="11">
        <v>250</v>
      </c>
      <c r="R187" s="17" t="s">
        <v>4502</v>
      </c>
      <c r="S187" s="18" t="s">
        <v>46</v>
      </c>
      <c r="T187" s="11">
        <v>11</v>
      </c>
    </row>
    <row r="188" s="3" customFormat="1" customHeight="1" spans="1:20">
      <c r="A188" s="167" t="s">
        <v>2194</v>
      </c>
      <c r="B188" s="167" t="s">
        <v>165</v>
      </c>
      <c r="C188" s="167" t="s">
        <v>2195</v>
      </c>
      <c r="D188" s="11">
        <v>13617094078</v>
      </c>
      <c r="E188" s="167" t="s">
        <v>156</v>
      </c>
      <c r="F188" s="167" t="s">
        <v>8</v>
      </c>
      <c r="G188" s="11">
        <v>202102002</v>
      </c>
      <c r="H188" s="167" t="s">
        <v>157</v>
      </c>
      <c r="I188" s="167" t="s">
        <v>2197</v>
      </c>
      <c r="J188" s="167" t="s">
        <v>2198</v>
      </c>
      <c r="K188" s="167" t="s">
        <v>160</v>
      </c>
      <c r="L188" s="167" t="s">
        <v>281</v>
      </c>
      <c r="M188" s="167" t="s">
        <v>8</v>
      </c>
      <c r="N188" s="167" t="s">
        <v>2199</v>
      </c>
      <c r="O188" s="12" t="str">
        <f>_xlfn.DISPIMG("ID_C169A98BEF614A41ADF43CA619535221",1)</f>
        <v>=DISPIMG("ID_C169A98BEF614A41ADF43CA619535221",1)</v>
      </c>
      <c r="P188" s="11" t="s">
        <v>2200</v>
      </c>
      <c r="Q188" s="11">
        <v>258</v>
      </c>
      <c r="R188" s="17" t="s">
        <v>4503</v>
      </c>
      <c r="S188" s="18" t="s">
        <v>46</v>
      </c>
      <c r="T188" s="11">
        <v>14</v>
      </c>
    </row>
    <row r="189" s="3" customFormat="1" customHeight="1" spans="1:20">
      <c r="A189" s="167" t="s">
        <v>2309</v>
      </c>
      <c r="B189" s="167" t="s">
        <v>165</v>
      </c>
      <c r="C189" s="167" t="s">
        <v>2310</v>
      </c>
      <c r="D189" s="11">
        <v>15279968703</v>
      </c>
      <c r="E189" s="167" t="s">
        <v>156</v>
      </c>
      <c r="F189" s="167" t="s">
        <v>8</v>
      </c>
      <c r="G189" s="11">
        <v>202102002</v>
      </c>
      <c r="H189" s="167" t="s">
        <v>279</v>
      </c>
      <c r="I189" s="167" t="s">
        <v>1424</v>
      </c>
      <c r="J189" s="167" t="s">
        <v>497</v>
      </c>
      <c r="K189" s="167" t="s">
        <v>170</v>
      </c>
      <c r="L189" s="167" t="s">
        <v>180</v>
      </c>
      <c r="M189" s="167" t="s">
        <v>8</v>
      </c>
      <c r="N189" s="167" t="s">
        <v>2312</v>
      </c>
      <c r="O189" s="12" t="str">
        <f>_xlfn.DISPIMG("ID_987FF0FA37F44BD9A4B0BCCB3CF13E1D",1)</f>
        <v>=DISPIMG("ID_987FF0FA37F44BD9A4B0BCCB3CF13E1D",1)</v>
      </c>
      <c r="P189" s="11" t="s">
        <v>2313</v>
      </c>
      <c r="Q189" s="11">
        <v>273</v>
      </c>
      <c r="R189" s="17" t="s">
        <v>4504</v>
      </c>
      <c r="S189" s="18" t="s">
        <v>46</v>
      </c>
      <c r="T189" s="11">
        <v>23</v>
      </c>
    </row>
    <row r="190" s="3" customFormat="1" customHeight="1" spans="1:20">
      <c r="A190" s="167" t="s">
        <v>2337</v>
      </c>
      <c r="B190" s="167" t="s">
        <v>165</v>
      </c>
      <c r="C190" s="167" t="s">
        <v>2338</v>
      </c>
      <c r="D190" s="11">
        <v>15779252368</v>
      </c>
      <c r="E190" s="167" t="s">
        <v>156</v>
      </c>
      <c r="F190" s="167" t="s">
        <v>8</v>
      </c>
      <c r="G190" s="11">
        <v>202102002</v>
      </c>
      <c r="H190" s="167" t="s">
        <v>157</v>
      </c>
      <c r="I190" s="167" t="s">
        <v>2340</v>
      </c>
      <c r="J190" s="167" t="s">
        <v>270</v>
      </c>
      <c r="K190" s="167" t="s">
        <v>170</v>
      </c>
      <c r="L190" s="167" t="s">
        <v>548</v>
      </c>
      <c r="M190" s="167" t="s">
        <v>1322</v>
      </c>
      <c r="N190" s="167" t="s">
        <v>2341</v>
      </c>
      <c r="O190" s="12" t="str">
        <f>_xlfn.DISPIMG("ID_590DFB2A64AB463E915AA57C80368398",1)</f>
        <v>=DISPIMG("ID_590DFB2A64AB463E915AA57C80368398",1)</v>
      </c>
      <c r="P190" s="11" t="s">
        <v>2342</v>
      </c>
      <c r="Q190" s="11">
        <v>277</v>
      </c>
      <c r="R190" s="17" t="s">
        <v>4505</v>
      </c>
      <c r="S190" s="18" t="s">
        <v>46</v>
      </c>
      <c r="T190" s="11">
        <v>26</v>
      </c>
    </row>
    <row r="191" s="3" customFormat="1" customHeight="1" spans="1:20">
      <c r="A191" s="167" t="s">
        <v>2345</v>
      </c>
      <c r="B191" s="167" t="s">
        <v>153</v>
      </c>
      <c r="C191" s="167" t="s">
        <v>2346</v>
      </c>
      <c r="D191" s="11">
        <v>15267177470</v>
      </c>
      <c r="E191" s="167" t="s">
        <v>156</v>
      </c>
      <c r="F191" s="167" t="s">
        <v>8</v>
      </c>
      <c r="G191" s="11">
        <v>202102002</v>
      </c>
      <c r="H191" s="167" t="s">
        <v>279</v>
      </c>
      <c r="I191" s="167" t="s">
        <v>2348</v>
      </c>
      <c r="J191" s="167" t="s">
        <v>1950</v>
      </c>
      <c r="K191" s="167" t="s">
        <v>170</v>
      </c>
      <c r="L191" s="167" t="s">
        <v>2047</v>
      </c>
      <c r="M191" s="167" t="s">
        <v>2349</v>
      </c>
      <c r="N191" s="167" t="s">
        <v>2350</v>
      </c>
      <c r="O191" s="12" t="str">
        <f>_xlfn.DISPIMG("ID_5E2BE4A32E0C443299D86A217DB8E55F",1)</f>
        <v>=DISPIMG("ID_5E2BE4A32E0C443299D86A217DB8E55F",1)</v>
      </c>
      <c r="P191" s="11" t="s">
        <v>2351</v>
      </c>
      <c r="Q191" s="11">
        <v>278</v>
      </c>
      <c r="R191" s="17" t="s">
        <v>4506</v>
      </c>
      <c r="S191" s="18" t="s">
        <v>46</v>
      </c>
      <c r="T191" s="11">
        <v>1</v>
      </c>
    </row>
    <row r="192" s="3" customFormat="1" customHeight="1" spans="1:20">
      <c r="A192" s="167" t="s">
        <v>2376</v>
      </c>
      <c r="B192" s="167" t="s">
        <v>165</v>
      </c>
      <c r="C192" s="167" t="s">
        <v>2377</v>
      </c>
      <c r="D192" s="11">
        <v>15779112128</v>
      </c>
      <c r="E192" s="167" t="s">
        <v>156</v>
      </c>
      <c r="F192" s="167" t="s">
        <v>8</v>
      </c>
      <c r="G192" s="11">
        <v>202102002</v>
      </c>
      <c r="H192" s="167" t="s">
        <v>157</v>
      </c>
      <c r="I192" s="167" t="s">
        <v>603</v>
      </c>
      <c r="J192" s="167" t="s">
        <v>2379</v>
      </c>
      <c r="K192" s="167" t="s">
        <v>160</v>
      </c>
      <c r="L192" s="167" t="s">
        <v>180</v>
      </c>
      <c r="M192" s="167" t="s">
        <v>8</v>
      </c>
      <c r="N192" s="167" t="s">
        <v>2380</v>
      </c>
      <c r="O192" s="12" t="str">
        <f>_xlfn.DISPIMG("ID_9499CE74334F4664AC42AD98401CDCF8",1)</f>
        <v>=DISPIMG("ID_9499CE74334F4664AC42AD98401CDCF8",1)</v>
      </c>
      <c r="P192" s="11" t="s">
        <v>2381</v>
      </c>
      <c r="Q192" s="11">
        <v>282</v>
      </c>
      <c r="R192" s="17" t="s">
        <v>4507</v>
      </c>
      <c r="S192" s="18" t="s">
        <v>46</v>
      </c>
      <c r="T192" s="11">
        <v>12</v>
      </c>
    </row>
    <row r="193" s="3" customFormat="1" customHeight="1" spans="1:20">
      <c r="A193" s="167" t="s">
        <v>2391</v>
      </c>
      <c r="B193" s="167" t="s">
        <v>165</v>
      </c>
      <c r="C193" s="167" t="s">
        <v>2392</v>
      </c>
      <c r="D193" s="11">
        <v>18779160835</v>
      </c>
      <c r="E193" s="167" t="s">
        <v>156</v>
      </c>
      <c r="F193" s="167" t="s">
        <v>8</v>
      </c>
      <c r="G193" s="11">
        <v>202102002</v>
      </c>
      <c r="H193" s="167" t="s">
        <v>157</v>
      </c>
      <c r="I193" s="167" t="s">
        <v>385</v>
      </c>
      <c r="J193" s="167" t="s">
        <v>2394</v>
      </c>
      <c r="K193" s="167" t="s">
        <v>160</v>
      </c>
      <c r="L193" s="167" t="s">
        <v>306</v>
      </c>
      <c r="M193" s="167" t="s">
        <v>2395</v>
      </c>
      <c r="N193" s="167" t="s">
        <v>2396</v>
      </c>
      <c r="O193" s="12" t="str">
        <f>_xlfn.DISPIMG("ID_E59FBD148CC0458789196A3F7371E3AC",1)</f>
        <v>=DISPIMG("ID_E59FBD148CC0458789196A3F7371E3AC",1)</v>
      </c>
      <c r="P193" s="11" t="s">
        <v>2397</v>
      </c>
      <c r="Q193" s="11">
        <v>284</v>
      </c>
      <c r="R193" s="17" t="s">
        <v>4508</v>
      </c>
      <c r="S193" s="18" t="s">
        <v>46</v>
      </c>
      <c r="T193" s="11">
        <v>13</v>
      </c>
    </row>
    <row r="194" s="3" customFormat="1" customHeight="1" spans="1:20">
      <c r="A194" s="167" t="s">
        <v>2437</v>
      </c>
      <c r="B194" s="167" t="s">
        <v>165</v>
      </c>
      <c r="C194" s="167" t="s">
        <v>2438</v>
      </c>
      <c r="D194" s="11">
        <v>13657919316</v>
      </c>
      <c r="E194" s="167" t="s">
        <v>156</v>
      </c>
      <c r="F194" s="167" t="s">
        <v>8</v>
      </c>
      <c r="G194" s="11">
        <v>202102002</v>
      </c>
      <c r="H194" s="167" t="s">
        <v>705</v>
      </c>
      <c r="I194" s="167" t="s">
        <v>2440</v>
      </c>
      <c r="J194" s="167" t="s">
        <v>2441</v>
      </c>
      <c r="K194" s="167" t="s">
        <v>160</v>
      </c>
      <c r="L194" s="167" t="s">
        <v>189</v>
      </c>
      <c r="M194" s="167" t="s">
        <v>8</v>
      </c>
      <c r="N194" s="11">
        <v>0</v>
      </c>
      <c r="O194" s="12" t="str">
        <f>_xlfn.DISPIMG("ID_840140DEA4BE4280A385428CC67C44E3",1)</f>
        <v>=DISPIMG("ID_840140DEA4BE4280A385428CC67C44E3",1)</v>
      </c>
      <c r="P194" s="11" t="s">
        <v>2442</v>
      </c>
      <c r="Q194" s="11">
        <v>290</v>
      </c>
      <c r="R194" s="17" t="s">
        <v>4509</v>
      </c>
      <c r="S194" s="18" t="s">
        <v>46</v>
      </c>
      <c r="T194" s="11">
        <v>24</v>
      </c>
    </row>
    <row r="195" s="3" customFormat="1" customHeight="1" spans="1:20">
      <c r="A195" s="167" t="s">
        <v>2473</v>
      </c>
      <c r="B195" s="167" t="s">
        <v>153</v>
      </c>
      <c r="C195" s="167" t="s">
        <v>2474</v>
      </c>
      <c r="D195" s="11">
        <v>18079290506</v>
      </c>
      <c r="E195" s="167" t="s">
        <v>156</v>
      </c>
      <c r="F195" s="167" t="s">
        <v>8</v>
      </c>
      <c r="G195" s="11">
        <v>202102002</v>
      </c>
      <c r="H195" s="167" t="s">
        <v>157</v>
      </c>
      <c r="I195" s="167" t="s">
        <v>935</v>
      </c>
      <c r="J195" s="167" t="s">
        <v>270</v>
      </c>
      <c r="K195" s="167" t="s">
        <v>170</v>
      </c>
      <c r="L195" s="167" t="s">
        <v>281</v>
      </c>
      <c r="M195" s="167" t="s">
        <v>1322</v>
      </c>
      <c r="N195" s="167" t="s">
        <v>2476</v>
      </c>
      <c r="O195" s="12" t="str">
        <f>_xlfn.DISPIMG("ID_DDCFE953EBFD4779B7FAA3122A1B85C5",1)</f>
        <v>=DISPIMG("ID_DDCFE953EBFD4779B7FAA3122A1B85C5",1)</v>
      </c>
      <c r="P195" s="11" t="s">
        <v>2477</v>
      </c>
      <c r="Q195" s="11">
        <v>295</v>
      </c>
      <c r="R195" s="17" t="s">
        <v>4510</v>
      </c>
      <c r="S195" s="18" t="s">
        <v>46</v>
      </c>
      <c r="T195" s="11">
        <v>25</v>
      </c>
    </row>
    <row r="196" s="3" customFormat="1" customHeight="1" spans="1:20">
      <c r="A196" s="167" t="s">
        <v>2480</v>
      </c>
      <c r="B196" s="167" t="s">
        <v>165</v>
      </c>
      <c r="C196" s="167" t="s">
        <v>2481</v>
      </c>
      <c r="D196" s="11">
        <v>15179240952</v>
      </c>
      <c r="E196" s="167" t="s">
        <v>156</v>
      </c>
      <c r="F196" s="167" t="s">
        <v>8</v>
      </c>
      <c r="G196" s="11">
        <v>202102002</v>
      </c>
      <c r="H196" s="167" t="s">
        <v>157</v>
      </c>
      <c r="I196" s="167" t="s">
        <v>2483</v>
      </c>
      <c r="J196" s="167" t="s">
        <v>2379</v>
      </c>
      <c r="K196" s="167" t="s">
        <v>160</v>
      </c>
      <c r="L196" s="167" t="s">
        <v>199</v>
      </c>
      <c r="M196" s="167" t="s">
        <v>8</v>
      </c>
      <c r="N196" s="167" t="s">
        <v>2484</v>
      </c>
      <c r="O196" s="12" t="str">
        <f>_xlfn.DISPIMG("ID_6EB4CC10A54B4F2AAD1518F1F500F570",1)</f>
        <v>=DISPIMG("ID_6EB4CC10A54B4F2AAD1518F1F500F570",1)</v>
      </c>
      <c r="P196" s="11" t="s">
        <v>2485</v>
      </c>
      <c r="Q196" s="11">
        <v>296</v>
      </c>
      <c r="R196" s="17" t="s">
        <v>4511</v>
      </c>
      <c r="S196" s="18" t="s">
        <v>48</v>
      </c>
      <c r="T196" s="11">
        <v>6</v>
      </c>
    </row>
    <row r="197" s="3" customFormat="1" customHeight="1" spans="1:20">
      <c r="A197" s="167" t="s">
        <v>2556</v>
      </c>
      <c r="B197" s="167" t="s">
        <v>165</v>
      </c>
      <c r="C197" s="167" t="s">
        <v>2557</v>
      </c>
      <c r="D197" s="11">
        <v>15770775780</v>
      </c>
      <c r="E197" s="167" t="s">
        <v>156</v>
      </c>
      <c r="F197" s="167" t="s">
        <v>8</v>
      </c>
      <c r="G197" s="11">
        <v>202102002</v>
      </c>
      <c r="H197" s="167" t="s">
        <v>157</v>
      </c>
      <c r="I197" s="167" t="s">
        <v>1413</v>
      </c>
      <c r="J197" s="167" t="s">
        <v>169</v>
      </c>
      <c r="K197" s="167" t="s">
        <v>170</v>
      </c>
      <c r="L197" s="167" t="s">
        <v>235</v>
      </c>
      <c r="M197" s="167" t="s">
        <v>8</v>
      </c>
      <c r="N197" s="11">
        <v>0</v>
      </c>
      <c r="O197" s="12" t="str">
        <f>_xlfn.DISPIMG("ID_BF27FE8641A74810A1152D199B9359D9",1)</f>
        <v>=DISPIMG("ID_BF27FE8641A74810A1152D199B9359D9",1)</v>
      </c>
      <c r="P197" s="11" t="s">
        <v>2559</v>
      </c>
      <c r="Q197" s="11">
        <v>306</v>
      </c>
      <c r="R197" s="17" t="s">
        <v>4512</v>
      </c>
      <c r="S197" s="18" t="s">
        <v>48</v>
      </c>
      <c r="T197" s="11">
        <v>7</v>
      </c>
    </row>
    <row r="198" s="3" customFormat="1" customHeight="1" spans="1:20">
      <c r="A198" s="167" t="s">
        <v>2839</v>
      </c>
      <c r="B198" s="167" t="s">
        <v>165</v>
      </c>
      <c r="C198" s="167" t="s">
        <v>2840</v>
      </c>
      <c r="D198" s="11">
        <v>15979055139</v>
      </c>
      <c r="E198" s="167" t="s">
        <v>156</v>
      </c>
      <c r="F198" s="167" t="s">
        <v>8</v>
      </c>
      <c r="G198" s="11">
        <v>202102002</v>
      </c>
      <c r="H198" s="167" t="s">
        <v>157</v>
      </c>
      <c r="I198" s="167" t="s">
        <v>827</v>
      </c>
      <c r="J198" s="167" t="s">
        <v>270</v>
      </c>
      <c r="K198" s="167" t="s">
        <v>170</v>
      </c>
      <c r="L198" s="167" t="s">
        <v>587</v>
      </c>
      <c r="M198" s="167" t="s">
        <v>2842</v>
      </c>
      <c r="N198" s="167" t="s">
        <v>2843</v>
      </c>
      <c r="O198" s="12" t="str">
        <f>_xlfn.DISPIMG("ID_D0E61411E52441859AFE69B7874CA20C",1)</f>
        <v>=DISPIMG("ID_D0E61411E52441859AFE69B7874CA20C",1)</v>
      </c>
      <c r="P198" s="11" t="s">
        <v>2844</v>
      </c>
      <c r="Q198" s="11">
        <v>345</v>
      </c>
      <c r="R198" s="17" t="s">
        <v>4513</v>
      </c>
      <c r="S198" s="18" t="s">
        <v>48</v>
      </c>
      <c r="T198" s="11">
        <v>18</v>
      </c>
    </row>
    <row r="199" s="3" customFormat="1" customHeight="1" spans="1:20">
      <c r="A199" s="167" t="s">
        <v>2847</v>
      </c>
      <c r="B199" s="167" t="s">
        <v>165</v>
      </c>
      <c r="C199" s="167" t="s">
        <v>2848</v>
      </c>
      <c r="D199" s="11">
        <v>18720087898</v>
      </c>
      <c r="E199" s="167" t="s">
        <v>156</v>
      </c>
      <c r="F199" s="167" t="s">
        <v>8</v>
      </c>
      <c r="G199" s="11">
        <v>202102002</v>
      </c>
      <c r="H199" s="167" t="s">
        <v>157</v>
      </c>
      <c r="I199" s="167" t="s">
        <v>1654</v>
      </c>
      <c r="J199" s="167" t="s">
        <v>813</v>
      </c>
      <c r="K199" s="167" t="s">
        <v>160</v>
      </c>
      <c r="L199" s="167" t="s">
        <v>516</v>
      </c>
      <c r="M199" s="167" t="s">
        <v>8</v>
      </c>
      <c r="N199" s="167" t="s">
        <v>2850</v>
      </c>
      <c r="O199" s="12" t="str">
        <f>_xlfn.DISPIMG("ID_B4574457B7EA4998BCE46939492C25E1",1)</f>
        <v>=DISPIMG("ID_B4574457B7EA4998BCE46939492C25E1",1)</v>
      </c>
      <c r="P199" s="11" t="s">
        <v>2851</v>
      </c>
      <c r="Q199" s="11">
        <v>346</v>
      </c>
      <c r="R199" s="17" t="s">
        <v>4514</v>
      </c>
      <c r="S199" s="18" t="s">
        <v>48</v>
      </c>
      <c r="T199" s="11">
        <v>19</v>
      </c>
    </row>
    <row r="200" s="3" customFormat="1" customHeight="1" spans="1:20">
      <c r="A200" s="167" t="s">
        <v>2180</v>
      </c>
      <c r="B200" s="167" t="s">
        <v>153</v>
      </c>
      <c r="C200" s="167" t="s">
        <v>2181</v>
      </c>
      <c r="D200" s="11">
        <v>18779219080</v>
      </c>
      <c r="E200" s="167" t="s">
        <v>506</v>
      </c>
      <c r="F200" s="167" t="s">
        <v>8</v>
      </c>
      <c r="G200" s="11">
        <v>202102015</v>
      </c>
      <c r="H200" s="167" t="s">
        <v>279</v>
      </c>
      <c r="I200" s="167" t="s">
        <v>158</v>
      </c>
      <c r="J200" s="167" t="s">
        <v>497</v>
      </c>
      <c r="K200" s="167" t="s">
        <v>170</v>
      </c>
      <c r="L200" s="167" t="s">
        <v>919</v>
      </c>
      <c r="M200" s="167" t="s">
        <v>2183</v>
      </c>
      <c r="N200" s="167" t="s">
        <v>2184</v>
      </c>
      <c r="O200" s="12" t="str">
        <f>_xlfn.DISPIMG("ID_59BF2512FDA845A780519BF3EE363C98",1)</f>
        <v>=DISPIMG("ID_59BF2512FDA845A780519BF3EE363C98",1)</v>
      </c>
      <c r="P200" s="11" t="s">
        <v>2185</v>
      </c>
      <c r="Q200" s="11">
        <v>358</v>
      </c>
      <c r="R200" s="17" t="s">
        <v>4515</v>
      </c>
      <c r="S200" s="18" t="s">
        <v>48</v>
      </c>
      <c r="T200" s="11">
        <v>5</v>
      </c>
    </row>
    <row r="201" s="3" customFormat="1" customHeight="1" spans="1:20">
      <c r="A201" s="167" t="s">
        <v>2947</v>
      </c>
      <c r="B201" s="167" t="s">
        <v>165</v>
      </c>
      <c r="C201" s="167" t="s">
        <v>2948</v>
      </c>
      <c r="D201" s="11">
        <v>17370852983</v>
      </c>
      <c r="E201" s="167" t="s">
        <v>156</v>
      </c>
      <c r="F201" s="167" t="s">
        <v>8</v>
      </c>
      <c r="G201" s="11">
        <v>202102002</v>
      </c>
      <c r="H201" s="167" t="s">
        <v>157</v>
      </c>
      <c r="I201" s="167" t="s">
        <v>611</v>
      </c>
      <c r="J201" s="167" t="s">
        <v>1832</v>
      </c>
      <c r="K201" s="167" t="s">
        <v>160</v>
      </c>
      <c r="L201" s="167" t="s">
        <v>306</v>
      </c>
      <c r="M201" s="167" t="s">
        <v>2950</v>
      </c>
      <c r="N201" s="167" t="s">
        <v>2951</v>
      </c>
      <c r="O201" s="12" t="str">
        <f>_xlfn.DISPIMG("ID_53C3410979BA49538F1410917AAC183C",1)</f>
        <v>=DISPIMG("ID_53C3410979BA49538F1410917AAC183C",1)</v>
      </c>
      <c r="P201" s="11" t="s">
        <v>2952</v>
      </c>
      <c r="Q201" s="11">
        <v>362</v>
      </c>
      <c r="R201" s="17" t="s">
        <v>4516</v>
      </c>
      <c r="S201" s="18" t="s">
        <v>48</v>
      </c>
      <c r="T201" s="11">
        <v>8</v>
      </c>
    </row>
    <row r="202" s="3" customFormat="1" customHeight="1" spans="1:20">
      <c r="A202" s="167" t="s">
        <v>2983</v>
      </c>
      <c r="B202" s="167" t="s">
        <v>165</v>
      </c>
      <c r="C202" s="167" t="s">
        <v>2984</v>
      </c>
      <c r="D202" s="11">
        <v>13699860392</v>
      </c>
      <c r="E202" s="167" t="s">
        <v>156</v>
      </c>
      <c r="F202" s="167" t="s">
        <v>8</v>
      </c>
      <c r="G202" s="11">
        <v>202102002</v>
      </c>
      <c r="H202" s="167" t="s">
        <v>157</v>
      </c>
      <c r="I202" s="167" t="s">
        <v>187</v>
      </c>
      <c r="J202" s="167" t="s">
        <v>2986</v>
      </c>
      <c r="K202" s="167" t="s">
        <v>160</v>
      </c>
      <c r="L202" s="167" t="s">
        <v>516</v>
      </c>
      <c r="M202" s="167" t="s">
        <v>20</v>
      </c>
      <c r="N202" s="167" t="s">
        <v>2987</v>
      </c>
      <c r="O202" s="12" t="str">
        <f>_xlfn.DISPIMG("ID_60E91D8703D740D9A8AE531BE158A22D",1)</f>
        <v>=DISPIMG("ID_60E91D8703D740D9A8AE531BE158A22D",1)</v>
      </c>
      <c r="P202" s="11" t="s">
        <v>2988</v>
      </c>
      <c r="Q202" s="11">
        <v>367</v>
      </c>
      <c r="R202" s="17" t="s">
        <v>4517</v>
      </c>
      <c r="S202" s="18" t="s">
        <v>48</v>
      </c>
      <c r="T202" s="11">
        <v>17</v>
      </c>
    </row>
    <row r="203" s="3" customFormat="1" customHeight="1" spans="1:20">
      <c r="A203" s="167" t="s">
        <v>2996</v>
      </c>
      <c r="B203" s="167" t="s">
        <v>165</v>
      </c>
      <c r="C203" s="167" t="s">
        <v>2997</v>
      </c>
      <c r="D203" s="11">
        <v>17379208038</v>
      </c>
      <c r="E203" s="167" t="s">
        <v>156</v>
      </c>
      <c r="F203" s="167" t="s">
        <v>8</v>
      </c>
      <c r="G203" s="11">
        <v>202102002</v>
      </c>
      <c r="H203" s="167" t="s">
        <v>157</v>
      </c>
      <c r="I203" s="167" t="s">
        <v>437</v>
      </c>
      <c r="J203" s="167" t="s">
        <v>1481</v>
      </c>
      <c r="K203" s="167" t="s">
        <v>160</v>
      </c>
      <c r="L203" s="167" t="s">
        <v>281</v>
      </c>
      <c r="M203" s="167" t="s">
        <v>8</v>
      </c>
      <c r="N203" s="11">
        <v>0</v>
      </c>
      <c r="O203" s="12" t="str">
        <f>_xlfn.DISPIMG("ID_A119020A43A6495588BAFB55CB082F01",1)</f>
        <v>=DISPIMG("ID_A119020A43A6495588BAFB55CB082F01",1)</v>
      </c>
      <c r="P203" s="11" t="s">
        <v>2999</v>
      </c>
      <c r="Q203" s="11">
        <v>369</v>
      </c>
      <c r="R203" s="17" t="s">
        <v>4518</v>
      </c>
      <c r="S203" s="18" t="s">
        <v>48</v>
      </c>
      <c r="T203" s="11">
        <v>20</v>
      </c>
    </row>
    <row r="204" s="3" customFormat="1" customHeight="1" spans="1:20">
      <c r="A204" s="167" t="s">
        <v>3075</v>
      </c>
      <c r="B204" s="167" t="s">
        <v>165</v>
      </c>
      <c r="C204" s="167" t="s">
        <v>3076</v>
      </c>
      <c r="D204" s="11">
        <v>13122383919</v>
      </c>
      <c r="E204" s="167" t="s">
        <v>156</v>
      </c>
      <c r="F204" s="167" t="s">
        <v>8</v>
      </c>
      <c r="G204" s="11">
        <v>202102002</v>
      </c>
      <c r="H204" s="167" t="s">
        <v>157</v>
      </c>
      <c r="I204" s="167" t="s">
        <v>3078</v>
      </c>
      <c r="J204" s="167" t="s">
        <v>3079</v>
      </c>
      <c r="K204" s="167" t="s">
        <v>160</v>
      </c>
      <c r="L204" s="167" t="s">
        <v>252</v>
      </c>
      <c r="M204" s="167" t="s">
        <v>8</v>
      </c>
      <c r="N204" s="11">
        <v>0</v>
      </c>
      <c r="O204" s="12" t="str">
        <f>_xlfn.DISPIMG("ID_0C5BA3A4E8B245D6AB6AE82F368BFF6A",1)</f>
        <v>=DISPIMG("ID_0C5BA3A4E8B245D6AB6AE82F368BFF6A",1)</v>
      </c>
      <c r="P204" s="11" t="s">
        <v>3080</v>
      </c>
      <c r="Q204" s="11">
        <v>380</v>
      </c>
      <c r="R204" s="17" t="s">
        <v>4519</v>
      </c>
      <c r="S204" s="18" t="s">
        <v>48</v>
      </c>
      <c r="T204" s="11">
        <v>4</v>
      </c>
    </row>
    <row r="205" s="3" customFormat="1" customHeight="1" spans="1:20">
      <c r="A205" s="167" t="s">
        <v>3083</v>
      </c>
      <c r="B205" s="167" t="s">
        <v>165</v>
      </c>
      <c r="C205" s="167" t="s">
        <v>3084</v>
      </c>
      <c r="D205" s="11">
        <v>15070231776</v>
      </c>
      <c r="E205" s="167" t="s">
        <v>156</v>
      </c>
      <c r="F205" s="167" t="s">
        <v>8</v>
      </c>
      <c r="G205" s="11">
        <v>202102002</v>
      </c>
      <c r="H205" s="167" t="s">
        <v>157</v>
      </c>
      <c r="I205" s="167" t="s">
        <v>3086</v>
      </c>
      <c r="J205" s="167" t="s">
        <v>3087</v>
      </c>
      <c r="K205" s="167" t="s">
        <v>160</v>
      </c>
      <c r="L205" s="167" t="s">
        <v>455</v>
      </c>
      <c r="M205" s="167" t="s">
        <v>8</v>
      </c>
      <c r="N205" s="11">
        <v>0</v>
      </c>
      <c r="O205" s="12" t="str">
        <f>_xlfn.DISPIMG("ID_FE0A8F210AE74D2ABEA83714575A775F",1)</f>
        <v>=DISPIMG("ID_FE0A8F210AE74D2ABEA83714575A775F",1)</v>
      </c>
      <c r="P205" s="11" t="s">
        <v>3088</v>
      </c>
      <c r="Q205" s="20">
        <v>381</v>
      </c>
      <c r="R205" s="17" t="s">
        <v>4520</v>
      </c>
      <c r="S205" s="18" t="s">
        <v>48</v>
      </c>
      <c r="T205" s="11">
        <v>9</v>
      </c>
    </row>
    <row r="206" s="3" customFormat="1" customHeight="1" spans="1:20">
      <c r="A206" s="167" t="s">
        <v>3226</v>
      </c>
      <c r="B206" s="167" t="s">
        <v>165</v>
      </c>
      <c r="C206" s="167" t="s">
        <v>3227</v>
      </c>
      <c r="D206" s="11">
        <v>18279226554</v>
      </c>
      <c r="E206" s="167" t="s">
        <v>156</v>
      </c>
      <c r="F206" s="167" t="s">
        <v>8</v>
      </c>
      <c r="G206" s="11">
        <v>202102002</v>
      </c>
      <c r="H206" s="167" t="s">
        <v>157</v>
      </c>
      <c r="I206" s="167" t="s">
        <v>3229</v>
      </c>
      <c r="J206" s="167" t="s">
        <v>1832</v>
      </c>
      <c r="K206" s="167" t="s">
        <v>160</v>
      </c>
      <c r="L206" s="167" t="s">
        <v>235</v>
      </c>
      <c r="M206" s="167" t="s">
        <v>3230</v>
      </c>
      <c r="N206" s="11">
        <v>0</v>
      </c>
      <c r="O206" s="12" t="str">
        <f>_xlfn.DISPIMG("ID_E38CE29681DB4326A5DB290E49AD4AFC",1)</f>
        <v>=DISPIMG("ID_E38CE29681DB4326A5DB290E49AD4AFC",1)</v>
      </c>
      <c r="P206" s="11" t="s">
        <v>3231</v>
      </c>
      <c r="Q206" s="11">
        <v>402</v>
      </c>
      <c r="R206" s="17" t="s">
        <v>4522</v>
      </c>
      <c r="S206" s="18" t="s">
        <v>48</v>
      </c>
      <c r="T206" s="11">
        <v>16</v>
      </c>
    </row>
    <row r="207" s="3" customFormat="1" customHeight="1" spans="1:20">
      <c r="A207" s="167" t="s">
        <v>3416</v>
      </c>
      <c r="B207" s="167" t="s">
        <v>165</v>
      </c>
      <c r="C207" s="167" t="s">
        <v>3417</v>
      </c>
      <c r="D207" s="11">
        <v>15179885806</v>
      </c>
      <c r="E207" s="167" t="s">
        <v>156</v>
      </c>
      <c r="F207" s="167" t="s">
        <v>8</v>
      </c>
      <c r="G207" s="11">
        <v>202102002</v>
      </c>
      <c r="H207" s="167" t="s">
        <v>157</v>
      </c>
      <c r="I207" s="167" t="s">
        <v>242</v>
      </c>
      <c r="J207" s="167" t="s">
        <v>3087</v>
      </c>
      <c r="K207" s="167" t="s">
        <v>160</v>
      </c>
      <c r="L207" s="167" t="s">
        <v>180</v>
      </c>
      <c r="M207" s="167" t="s">
        <v>3418</v>
      </c>
      <c r="N207" s="167" t="s">
        <v>3419</v>
      </c>
      <c r="O207" s="12" t="str">
        <f>_xlfn.DISPIMG("ID_7663A71771F44500AC5AF2DBC8366CB5",1)</f>
        <v>=DISPIMG("ID_7663A71771F44500AC5AF2DBC8366CB5",1)</v>
      </c>
      <c r="P207" s="11" t="s">
        <v>3420</v>
      </c>
      <c r="Q207" s="11">
        <v>431</v>
      </c>
      <c r="R207" s="17" t="s">
        <v>4523</v>
      </c>
      <c r="S207" s="18" t="s">
        <v>48</v>
      </c>
      <c r="T207" s="11">
        <v>21</v>
      </c>
    </row>
    <row r="208" s="3" customFormat="1" customHeight="1" spans="1:20">
      <c r="A208" s="167" t="s">
        <v>3594</v>
      </c>
      <c r="B208" s="167" t="s">
        <v>165</v>
      </c>
      <c r="C208" s="167" t="s">
        <v>3595</v>
      </c>
      <c r="D208" s="11">
        <v>13635983416</v>
      </c>
      <c r="E208" s="167" t="s">
        <v>156</v>
      </c>
      <c r="F208" s="167" t="s">
        <v>8</v>
      </c>
      <c r="G208" s="11">
        <v>202102002</v>
      </c>
      <c r="H208" s="167" t="s">
        <v>279</v>
      </c>
      <c r="I208" s="167" t="s">
        <v>3597</v>
      </c>
      <c r="J208" s="167" t="s">
        <v>497</v>
      </c>
      <c r="K208" s="167" t="s">
        <v>170</v>
      </c>
      <c r="L208" s="167" t="s">
        <v>189</v>
      </c>
      <c r="M208" s="167" t="s">
        <v>989</v>
      </c>
      <c r="N208" s="167" t="s">
        <v>3598</v>
      </c>
      <c r="O208" s="12" t="str">
        <f>_xlfn.DISPIMG("ID_DB80027A676342B6B8178A0E756378C3",1)</f>
        <v>=DISPIMG("ID_DB80027A676342B6B8178A0E756378C3",1)</v>
      </c>
      <c r="P208" s="11" t="s">
        <v>3599</v>
      </c>
      <c r="Q208" s="11">
        <v>457</v>
      </c>
      <c r="R208" s="17" t="s">
        <v>4524</v>
      </c>
      <c r="S208" s="18" t="s">
        <v>48</v>
      </c>
      <c r="T208" s="11">
        <v>3</v>
      </c>
    </row>
    <row r="209" s="4" customFormat="1" customHeight="1" spans="1:20">
      <c r="A209" s="167" t="s">
        <v>1027</v>
      </c>
      <c r="B209" s="167" t="s">
        <v>165</v>
      </c>
      <c r="C209" s="167" t="s">
        <v>3692</v>
      </c>
      <c r="D209" s="11">
        <v>15779259710</v>
      </c>
      <c r="E209" s="167" t="s">
        <v>156</v>
      </c>
      <c r="F209" s="167" t="s">
        <v>8</v>
      </c>
      <c r="G209" s="11">
        <v>202102002</v>
      </c>
      <c r="H209" s="167" t="s">
        <v>279</v>
      </c>
      <c r="I209" s="167" t="s">
        <v>3694</v>
      </c>
      <c r="J209" s="167" t="s">
        <v>497</v>
      </c>
      <c r="K209" s="167" t="s">
        <v>170</v>
      </c>
      <c r="L209" s="167" t="s">
        <v>180</v>
      </c>
      <c r="M209" s="167" t="s">
        <v>8</v>
      </c>
      <c r="N209" s="167" t="s">
        <v>3695</v>
      </c>
      <c r="O209" s="12" t="str">
        <f>_xlfn.DISPIMG("ID_57DB6C2F5BCD45498E344599D2C7D1D8",1)</f>
        <v>=DISPIMG("ID_57DB6C2F5BCD45498E344599D2C7D1D8",1)</v>
      </c>
      <c r="P209" s="11" t="s">
        <v>3696</v>
      </c>
      <c r="Q209" s="20">
        <v>470</v>
      </c>
      <c r="R209" s="17" t="s">
        <v>4525</v>
      </c>
      <c r="S209" s="18" t="s">
        <v>48</v>
      </c>
      <c r="T209" s="11">
        <v>10</v>
      </c>
    </row>
    <row r="210" s="3" customFormat="1" customHeight="1" spans="1:20">
      <c r="A210" s="167" t="s">
        <v>3734</v>
      </c>
      <c r="B210" s="167" t="s">
        <v>165</v>
      </c>
      <c r="C210" s="167" t="s">
        <v>3735</v>
      </c>
      <c r="D210" s="11">
        <v>15070233072</v>
      </c>
      <c r="E210" s="167" t="s">
        <v>156</v>
      </c>
      <c r="F210" s="167" t="s">
        <v>8</v>
      </c>
      <c r="G210" s="11">
        <v>202102002</v>
      </c>
      <c r="H210" s="167" t="s">
        <v>157</v>
      </c>
      <c r="I210" s="167" t="s">
        <v>3737</v>
      </c>
      <c r="J210" s="167" t="s">
        <v>3738</v>
      </c>
      <c r="K210" s="167" t="s">
        <v>160</v>
      </c>
      <c r="L210" s="167" t="s">
        <v>171</v>
      </c>
      <c r="M210" s="167" t="s">
        <v>8</v>
      </c>
      <c r="N210" s="167" t="s">
        <v>3739</v>
      </c>
      <c r="O210" s="12" t="str">
        <f>_xlfn.DISPIMG("ID_B7F470084B4940CBBF67BF60A043E6F0",1)</f>
        <v>=DISPIMG("ID_B7F470084B4940CBBF67BF60A043E6F0",1)</v>
      </c>
      <c r="P210" s="11" t="s">
        <v>3740</v>
      </c>
      <c r="Q210" s="11">
        <v>476</v>
      </c>
      <c r="R210" s="17" t="s">
        <v>4527</v>
      </c>
      <c r="S210" s="18" t="s">
        <v>48</v>
      </c>
      <c r="T210" s="11">
        <v>15</v>
      </c>
    </row>
    <row r="211" s="3" customFormat="1" customHeight="1" spans="1:20">
      <c r="A211" s="167" t="s">
        <v>3766</v>
      </c>
      <c r="B211" s="167" t="s">
        <v>165</v>
      </c>
      <c r="C211" s="167" t="s">
        <v>3767</v>
      </c>
      <c r="D211" s="11">
        <v>18079224740</v>
      </c>
      <c r="E211" s="167" t="s">
        <v>156</v>
      </c>
      <c r="F211" s="167" t="s">
        <v>8</v>
      </c>
      <c r="G211" s="11">
        <v>202102002</v>
      </c>
      <c r="H211" s="167" t="s">
        <v>157</v>
      </c>
      <c r="I211" s="167" t="s">
        <v>233</v>
      </c>
      <c r="J211" s="167" t="s">
        <v>3769</v>
      </c>
      <c r="K211" s="167" t="s">
        <v>160</v>
      </c>
      <c r="L211" s="167" t="s">
        <v>1089</v>
      </c>
      <c r="M211" s="167" t="s">
        <v>8</v>
      </c>
      <c r="N211" s="11">
        <v>0</v>
      </c>
      <c r="O211" s="12" t="str">
        <f>_xlfn.DISPIMG("ID_2E7FF83B7D12427491B1BA1300A2CD7A",1)</f>
        <v>=DISPIMG("ID_2E7FF83B7D12427491B1BA1300A2CD7A",1)</v>
      </c>
      <c r="P211" s="11" t="s">
        <v>3770</v>
      </c>
      <c r="Q211" s="11">
        <v>480</v>
      </c>
      <c r="R211" s="17" t="s">
        <v>4528</v>
      </c>
      <c r="S211" s="18" t="s">
        <v>48</v>
      </c>
      <c r="T211" s="11">
        <v>22</v>
      </c>
    </row>
    <row r="212" s="3" customFormat="1" customHeight="1" spans="1:20">
      <c r="A212" s="167" t="s">
        <v>3811</v>
      </c>
      <c r="B212" s="167" t="s">
        <v>165</v>
      </c>
      <c r="C212" s="167" t="s">
        <v>3812</v>
      </c>
      <c r="D212" s="11">
        <v>18970830560</v>
      </c>
      <c r="E212" s="167" t="s">
        <v>156</v>
      </c>
      <c r="F212" s="167" t="s">
        <v>8</v>
      </c>
      <c r="G212" s="11">
        <v>202102002</v>
      </c>
      <c r="H212" s="167" t="s">
        <v>157</v>
      </c>
      <c r="I212" s="167" t="s">
        <v>2483</v>
      </c>
      <c r="J212" s="167" t="s">
        <v>1832</v>
      </c>
      <c r="K212" s="167" t="s">
        <v>160</v>
      </c>
      <c r="L212" s="167" t="s">
        <v>349</v>
      </c>
      <c r="M212" s="167" t="s">
        <v>8</v>
      </c>
      <c r="N212" s="11">
        <v>0</v>
      </c>
      <c r="O212" s="12" t="str">
        <f>_xlfn.DISPIMG("ID_E15E0A7D91AC4C3983241BCD063880D6",1)</f>
        <v>=DISPIMG("ID_E15E0A7D91AC4C3983241BCD063880D6",1)</v>
      </c>
      <c r="P212" s="11" t="s">
        <v>3814</v>
      </c>
      <c r="Q212" s="11">
        <v>486</v>
      </c>
      <c r="R212" s="17" t="s">
        <v>4529</v>
      </c>
      <c r="S212" s="18" t="s">
        <v>48</v>
      </c>
      <c r="T212" s="11">
        <v>2</v>
      </c>
    </row>
    <row r="213" s="3" customFormat="1" customHeight="1" spans="1:20">
      <c r="A213" s="167" t="s">
        <v>3850</v>
      </c>
      <c r="B213" s="167" t="s">
        <v>165</v>
      </c>
      <c r="C213" s="167" t="s">
        <v>3851</v>
      </c>
      <c r="D213" s="11">
        <v>15797695028</v>
      </c>
      <c r="E213" s="167" t="s">
        <v>156</v>
      </c>
      <c r="F213" s="167" t="s">
        <v>8</v>
      </c>
      <c r="G213" s="11">
        <v>202102002</v>
      </c>
      <c r="H213" s="167" t="s">
        <v>157</v>
      </c>
      <c r="I213" s="167" t="s">
        <v>233</v>
      </c>
      <c r="J213" s="167" t="s">
        <v>3853</v>
      </c>
      <c r="K213" s="167" t="s">
        <v>160</v>
      </c>
      <c r="L213" s="167" t="s">
        <v>235</v>
      </c>
      <c r="M213" s="167" t="s">
        <v>3854</v>
      </c>
      <c r="N213" s="11">
        <v>0</v>
      </c>
      <c r="O213" s="12" t="str">
        <f>_xlfn.DISPIMG("ID_84872379004C4F22BC15C75702A4DBC9",1)</f>
        <v>=DISPIMG("ID_84872379004C4F22BC15C75702A4DBC9",1)</v>
      </c>
      <c r="P213" s="11" t="s">
        <v>3855</v>
      </c>
      <c r="Q213" s="20">
        <v>491</v>
      </c>
      <c r="R213" s="17" t="s">
        <v>4530</v>
      </c>
      <c r="S213" s="18" t="s">
        <v>48</v>
      </c>
      <c r="T213" s="11">
        <v>11</v>
      </c>
    </row>
    <row r="214" s="3" customFormat="1" customHeight="1" spans="1:20">
      <c r="A214" s="167" t="s">
        <v>3865</v>
      </c>
      <c r="B214" s="167" t="s">
        <v>165</v>
      </c>
      <c r="C214" s="167" t="s">
        <v>3866</v>
      </c>
      <c r="D214" s="11">
        <v>18879267212</v>
      </c>
      <c r="E214" s="167" t="s">
        <v>156</v>
      </c>
      <c r="F214" s="167" t="s">
        <v>8</v>
      </c>
      <c r="G214" s="11">
        <v>202102002</v>
      </c>
      <c r="H214" s="167" t="s">
        <v>157</v>
      </c>
      <c r="I214" s="167" t="s">
        <v>827</v>
      </c>
      <c r="J214" s="167" t="s">
        <v>270</v>
      </c>
      <c r="K214" s="167" t="s">
        <v>170</v>
      </c>
      <c r="L214" s="167" t="s">
        <v>171</v>
      </c>
      <c r="M214" s="167" t="s">
        <v>3868</v>
      </c>
      <c r="N214" s="167" t="s">
        <v>3869</v>
      </c>
      <c r="O214" s="12" t="str">
        <f>_xlfn.DISPIMG("ID_60BA691C89BB46A3A629500DC48B1B82",1)</f>
        <v>=DISPIMG("ID_60BA691C89BB46A3A629500DC48B1B82",1)</v>
      </c>
      <c r="P214" s="11" t="s">
        <v>3870</v>
      </c>
      <c r="Q214" s="20">
        <v>493</v>
      </c>
      <c r="R214" s="17" t="s">
        <v>4532</v>
      </c>
      <c r="S214" s="18" t="s">
        <v>48</v>
      </c>
      <c r="T214" s="11">
        <v>14</v>
      </c>
    </row>
    <row r="215" s="3" customFormat="1" customHeight="1" spans="1:20">
      <c r="A215" s="167" t="s">
        <v>3904</v>
      </c>
      <c r="B215" s="167" t="s">
        <v>153</v>
      </c>
      <c r="C215" s="167" t="s">
        <v>3905</v>
      </c>
      <c r="D215" s="11">
        <v>15007027769</v>
      </c>
      <c r="E215" s="167" t="s">
        <v>156</v>
      </c>
      <c r="F215" s="167" t="s">
        <v>8</v>
      </c>
      <c r="G215" s="11">
        <v>202102002</v>
      </c>
      <c r="H215" s="167" t="s">
        <v>157</v>
      </c>
      <c r="I215" s="167" t="s">
        <v>158</v>
      </c>
      <c r="J215" s="167" t="s">
        <v>1481</v>
      </c>
      <c r="K215" s="167" t="s">
        <v>160</v>
      </c>
      <c r="L215" s="167" t="s">
        <v>216</v>
      </c>
      <c r="M215" s="167" t="s">
        <v>8</v>
      </c>
      <c r="N215" s="11">
        <v>0</v>
      </c>
      <c r="O215" s="12" t="str">
        <f>_xlfn.DISPIMG("ID_9F8C123E434549AABE94648B98FC4902",1)</f>
        <v>=DISPIMG("ID_9F8C123E434549AABE94648B98FC4902",1)</v>
      </c>
      <c r="P215" s="11" t="s">
        <v>3907</v>
      </c>
      <c r="Q215" s="20">
        <v>498</v>
      </c>
      <c r="R215" s="17" t="s">
        <v>4533</v>
      </c>
      <c r="S215" s="18" t="s">
        <v>48</v>
      </c>
      <c r="T215" s="11">
        <v>23</v>
      </c>
    </row>
    <row r="216" s="3" customFormat="1" customHeight="1" spans="1:20">
      <c r="A216" s="167" t="s">
        <v>3924</v>
      </c>
      <c r="B216" s="167" t="s">
        <v>165</v>
      </c>
      <c r="C216" s="167" t="s">
        <v>3925</v>
      </c>
      <c r="D216" s="11">
        <v>15797691720</v>
      </c>
      <c r="E216" s="167" t="s">
        <v>156</v>
      </c>
      <c r="F216" s="167" t="s">
        <v>8</v>
      </c>
      <c r="G216" s="11">
        <v>202102002</v>
      </c>
      <c r="H216" s="167" t="s">
        <v>157</v>
      </c>
      <c r="I216" s="167" t="s">
        <v>603</v>
      </c>
      <c r="J216" s="167" t="s">
        <v>2379</v>
      </c>
      <c r="K216" s="167" t="s">
        <v>160</v>
      </c>
      <c r="L216" s="167" t="s">
        <v>306</v>
      </c>
      <c r="M216" s="167" t="s">
        <v>989</v>
      </c>
      <c r="N216" s="167" t="s">
        <v>3927</v>
      </c>
      <c r="O216" s="12" t="str">
        <f>_xlfn.DISPIMG("ID_514B3145E6BD4A2498C42CFECAEF98E2",1)</f>
        <v>=DISPIMG("ID_514B3145E6BD4A2498C42CFECAEF98E2",1)</v>
      </c>
      <c r="P216" s="11" t="s">
        <v>3928</v>
      </c>
      <c r="Q216" s="20">
        <v>501</v>
      </c>
      <c r="R216" s="17" t="s">
        <v>4534</v>
      </c>
      <c r="S216" s="18" t="s">
        <v>48</v>
      </c>
      <c r="T216" s="11">
        <v>26</v>
      </c>
    </row>
    <row r="217" s="3" customFormat="1" customHeight="1" spans="1:20">
      <c r="A217" s="167" t="s">
        <v>3948</v>
      </c>
      <c r="B217" s="167" t="s">
        <v>165</v>
      </c>
      <c r="C217" s="167" t="s">
        <v>3949</v>
      </c>
      <c r="D217" s="11">
        <v>13803563575</v>
      </c>
      <c r="E217" s="167" t="s">
        <v>156</v>
      </c>
      <c r="F217" s="167" t="s">
        <v>8</v>
      </c>
      <c r="G217" s="11">
        <v>202102002</v>
      </c>
      <c r="H217" s="167" t="s">
        <v>279</v>
      </c>
      <c r="I217" s="167" t="s">
        <v>158</v>
      </c>
      <c r="J217" s="167" t="s">
        <v>497</v>
      </c>
      <c r="K217" s="167" t="s">
        <v>170</v>
      </c>
      <c r="L217" s="167" t="s">
        <v>180</v>
      </c>
      <c r="M217" s="167" t="s">
        <v>3230</v>
      </c>
      <c r="N217" s="167" t="s">
        <v>3951</v>
      </c>
      <c r="O217" s="12" t="str">
        <f>_xlfn.DISPIMG("ID_997BB006A29449FB8D35751C6152A872",1)</f>
        <v>=DISPIMG("ID_997BB006A29449FB8D35751C6152A872",1)</v>
      </c>
      <c r="P217" s="11" t="s">
        <v>3952</v>
      </c>
      <c r="Q217" s="11">
        <v>504</v>
      </c>
      <c r="R217" s="17" t="s">
        <v>4535</v>
      </c>
      <c r="S217" s="18" t="s">
        <v>48</v>
      </c>
      <c r="T217" s="11">
        <v>1</v>
      </c>
    </row>
    <row r="218" s="3" customFormat="1" customHeight="1" spans="1:20">
      <c r="A218" s="167" t="s">
        <v>4043</v>
      </c>
      <c r="B218" s="167" t="s">
        <v>165</v>
      </c>
      <c r="C218" s="167" t="s">
        <v>4044</v>
      </c>
      <c r="D218" s="11">
        <v>18046771974</v>
      </c>
      <c r="E218" s="167" t="s">
        <v>156</v>
      </c>
      <c r="F218" s="167" t="s">
        <v>8</v>
      </c>
      <c r="G218" s="11">
        <v>202102002</v>
      </c>
      <c r="H218" s="167" t="s">
        <v>157</v>
      </c>
      <c r="I218" s="167" t="s">
        <v>1368</v>
      </c>
      <c r="J218" s="167" t="s">
        <v>4046</v>
      </c>
      <c r="K218" s="167" t="s">
        <v>170</v>
      </c>
      <c r="L218" s="167" t="s">
        <v>281</v>
      </c>
      <c r="M218" s="167" t="s">
        <v>20</v>
      </c>
      <c r="N218" s="167" t="s">
        <v>4047</v>
      </c>
      <c r="O218" s="12" t="str">
        <f>_xlfn.DISPIMG("ID_5DC4628448F54176A5FF91EC25B128F5",1)</f>
        <v>=DISPIMG("ID_5DC4628448F54176A5FF91EC25B128F5",1)</v>
      </c>
      <c r="P218" s="11" t="s">
        <v>4048</v>
      </c>
      <c r="Q218" s="20">
        <v>517</v>
      </c>
      <c r="R218" s="17" t="s">
        <v>4536</v>
      </c>
      <c r="S218" s="18" t="s">
        <v>48</v>
      </c>
      <c r="T218" s="11">
        <v>12</v>
      </c>
    </row>
    <row r="219" s="3" customFormat="1" customHeight="1" spans="1:20">
      <c r="A219" s="167" t="s">
        <v>4089</v>
      </c>
      <c r="B219" s="167" t="s">
        <v>165</v>
      </c>
      <c r="C219" s="167" t="s">
        <v>4090</v>
      </c>
      <c r="D219" s="11">
        <v>15979951702</v>
      </c>
      <c r="E219" s="167" t="s">
        <v>156</v>
      </c>
      <c r="F219" s="167" t="s">
        <v>8</v>
      </c>
      <c r="G219" s="11">
        <v>202102002</v>
      </c>
      <c r="H219" s="167" t="s">
        <v>157</v>
      </c>
      <c r="I219" s="167" t="s">
        <v>385</v>
      </c>
      <c r="J219" s="167" t="s">
        <v>270</v>
      </c>
      <c r="K219" s="167" t="s">
        <v>170</v>
      </c>
      <c r="L219" s="167" t="s">
        <v>161</v>
      </c>
      <c r="M219" s="167" t="s">
        <v>20</v>
      </c>
      <c r="N219" s="167" t="s">
        <v>4092</v>
      </c>
      <c r="O219" s="12" t="str">
        <f>_xlfn.DISPIMG("ID_9B43E41106094708AAB8E2C3D51BAF21",1)</f>
        <v>=DISPIMG("ID_9B43E41106094708AAB8E2C3D51BAF21",1)</v>
      </c>
      <c r="P219" s="11" t="s">
        <v>4093</v>
      </c>
      <c r="Q219" s="20">
        <v>523</v>
      </c>
      <c r="R219" s="17" t="s">
        <v>4537</v>
      </c>
      <c r="S219" s="18" t="s">
        <v>48</v>
      </c>
      <c r="T219" s="11">
        <v>13</v>
      </c>
    </row>
    <row r="220" s="3" customFormat="1" customHeight="1" spans="1:20">
      <c r="A220" s="167" t="s">
        <v>4191</v>
      </c>
      <c r="B220" s="167" t="s">
        <v>153</v>
      </c>
      <c r="C220" s="167" t="s">
        <v>4192</v>
      </c>
      <c r="D220" s="11">
        <v>15979988511</v>
      </c>
      <c r="E220" s="167" t="s">
        <v>156</v>
      </c>
      <c r="F220" s="167" t="s">
        <v>8</v>
      </c>
      <c r="G220" s="11">
        <v>202102002</v>
      </c>
      <c r="H220" s="167" t="s">
        <v>157</v>
      </c>
      <c r="I220" s="167" t="s">
        <v>789</v>
      </c>
      <c r="J220" s="167" t="s">
        <v>270</v>
      </c>
      <c r="K220" s="167" t="s">
        <v>160</v>
      </c>
      <c r="L220" s="167" t="s">
        <v>180</v>
      </c>
      <c r="M220" s="167" t="s">
        <v>8</v>
      </c>
      <c r="N220" s="167" t="s">
        <v>4194</v>
      </c>
      <c r="O220" s="12" t="str">
        <f>_xlfn.DISPIMG("ID_0D01E0F1A35045CF8FA47A6F17C3312E",1)</f>
        <v>=DISPIMG("ID_0D01E0F1A35045CF8FA47A6F17C3312E",1)</v>
      </c>
      <c r="P220" s="11" t="s">
        <v>4195</v>
      </c>
      <c r="Q220" s="20">
        <v>536</v>
      </c>
      <c r="R220" s="17" t="s">
        <v>4538</v>
      </c>
      <c r="S220" s="18" t="s">
        <v>48</v>
      </c>
      <c r="T220" s="11">
        <v>24</v>
      </c>
    </row>
    <row r="221" s="3" customFormat="1" customHeight="1" spans="1:20">
      <c r="A221" s="167" t="s">
        <v>4230</v>
      </c>
      <c r="B221" s="167" t="s">
        <v>165</v>
      </c>
      <c r="C221" s="167" t="s">
        <v>4231</v>
      </c>
      <c r="D221" s="11">
        <v>15797679627</v>
      </c>
      <c r="E221" s="167" t="s">
        <v>156</v>
      </c>
      <c r="F221" s="167" t="s">
        <v>8</v>
      </c>
      <c r="G221" s="11">
        <v>202102002</v>
      </c>
      <c r="H221" s="167" t="s">
        <v>157</v>
      </c>
      <c r="I221" s="167" t="s">
        <v>876</v>
      </c>
      <c r="J221" s="167" t="s">
        <v>1204</v>
      </c>
      <c r="K221" s="167" t="s">
        <v>160</v>
      </c>
      <c r="L221" s="167" t="s">
        <v>171</v>
      </c>
      <c r="M221" s="167" t="s">
        <v>4233</v>
      </c>
      <c r="N221" s="11">
        <v>0</v>
      </c>
      <c r="O221" s="12" t="str">
        <f>_xlfn.DISPIMG("ID_866D1667729041288352BAC0C5E9F611",1)</f>
        <v>=DISPIMG("ID_866D1667729041288352BAC0C5E9F611",1)</v>
      </c>
      <c r="P221" s="11" t="s">
        <v>4234</v>
      </c>
      <c r="Q221" s="20">
        <v>541</v>
      </c>
      <c r="R221" s="17" t="s">
        <v>4531</v>
      </c>
      <c r="S221" s="18" t="s">
        <v>48</v>
      </c>
      <c r="T221" s="11">
        <v>25</v>
      </c>
    </row>
    <row r="222" s="3" customFormat="1" customHeight="1" spans="1:20">
      <c r="A222" s="167" t="s">
        <v>2210</v>
      </c>
      <c r="B222" s="167" t="s">
        <v>165</v>
      </c>
      <c r="C222" s="167" t="s">
        <v>2211</v>
      </c>
      <c r="D222" s="11">
        <v>15770710161</v>
      </c>
      <c r="E222" s="167" t="s">
        <v>384</v>
      </c>
      <c r="F222" s="167" t="s">
        <v>27</v>
      </c>
      <c r="G222" s="11">
        <v>202101016</v>
      </c>
      <c r="H222" s="167" t="s">
        <v>157</v>
      </c>
      <c r="I222" s="167" t="s">
        <v>1413</v>
      </c>
      <c r="J222" s="167" t="s">
        <v>215</v>
      </c>
      <c r="K222" s="167" t="s">
        <v>170</v>
      </c>
      <c r="L222" s="167" t="s">
        <v>171</v>
      </c>
      <c r="M222" s="167" t="s">
        <v>2213</v>
      </c>
      <c r="N222" s="167" t="s">
        <v>2214</v>
      </c>
      <c r="O222" s="12" t="str">
        <f>_xlfn.DISPIMG("ID_0AC7D7DC948D4142BC7E39C07F0EB7F8",1)</f>
        <v>=DISPIMG("ID_0AC7D7DC948D4142BC7E39C07F0EB7F8",1)</v>
      </c>
      <c r="P222" s="11" t="s">
        <v>2215</v>
      </c>
      <c r="Q222" s="11">
        <v>260</v>
      </c>
      <c r="R222" s="17" t="s">
        <v>4540</v>
      </c>
      <c r="S222" s="18" t="s">
        <v>48</v>
      </c>
      <c r="T222" s="11">
        <v>28</v>
      </c>
    </row>
    <row r="223" s="3" customFormat="1" customHeight="1" spans="1:20">
      <c r="A223" s="167" t="s">
        <v>3667</v>
      </c>
      <c r="B223" s="167" t="s">
        <v>153</v>
      </c>
      <c r="C223" s="167" t="s">
        <v>3668</v>
      </c>
      <c r="D223" s="11">
        <v>15604248160</v>
      </c>
      <c r="E223" s="167" t="s">
        <v>384</v>
      </c>
      <c r="F223" s="167" t="s">
        <v>27</v>
      </c>
      <c r="G223" s="11">
        <v>202101016</v>
      </c>
      <c r="H223" s="167" t="s">
        <v>705</v>
      </c>
      <c r="I223" s="167" t="s">
        <v>3670</v>
      </c>
      <c r="J223" s="167" t="s">
        <v>215</v>
      </c>
      <c r="K223" s="167" t="s">
        <v>160</v>
      </c>
      <c r="L223" s="167" t="s">
        <v>910</v>
      </c>
      <c r="M223" s="167" t="s">
        <v>3671</v>
      </c>
      <c r="N223" s="167" t="s">
        <v>3672</v>
      </c>
      <c r="O223" s="12" t="str">
        <f>_xlfn.DISPIMG("ID_FBBE15C9E10944F892C3BCC99A8EDA31",1)</f>
        <v>=DISPIMG("ID_FBBE15C9E10944F892C3BCC99A8EDA31",1)</v>
      </c>
      <c r="P223" s="11" t="s">
        <v>3673</v>
      </c>
      <c r="Q223" s="20">
        <v>467</v>
      </c>
      <c r="R223" s="17" t="s">
        <v>4541</v>
      </c>
      <c r="S223" s="18" t="s">
        <v>48</v>
      </c>
      <c r="T223" s="11">
        <v>27</v>
      </c>
    </row>
    <row r="224" s="3" customFormat="1" customHeight="1" spans="1:20">
      <c r="A224" s="167" t="s">
        <v>425</v>
      </c>
      <c r="B224" s="167" t="s">
        <v>165</v>
      </c>
      <c r="C224" s="167" t="s">
        <v>426</v>
      </c>
      <c r="D224" s="11">
        <v>18720147865</v>
      </c>
      <c r="E224" s="167" t="s">
        <v>297</v>
      </c>
      <c r="F224" s="167" t="s">
        <v>29</v>
      </c>
      <c r="G224" s="11">
        <v>202101008</v>
      </c>
      <c r="H224" s="167" t="s">
        <v>157</v>
      </c>
      <c r="I224" s="167" t="s">
        <v>428</v>
      </c>
      <c r="J224" s="167" t="s">
        <v>429</v>
      </c>
      <c r="K224" s="167" t="s">
        <v>160</v>
      </c>
      <c r="L224" s="167" t="s">
        <v>235</v>
      </c>
      <c r="M224" s="167" t="s">
        <v>430</v>
      </c>
      <c r="N224" s="11">
        <v>0</v>
      </c>
      <c r="O224" s="12" t="str">
        <f>_xlfn.DISPIMG("ID_9C21E529A1D946A49AECBF1B4E991CC9",1)</f>
        <v>=DISPIMG("ID_9C21E529A1D946A49AECBF1B4E991CC9",1)</v>
      </c>
      <c r="P224" s="11" t="s">
        <v>431</v>
      </c>
      <c r="Q224" s="20">
        <v>32</v>
      </c>
      <c r="R224" s="17" t="s">
        <v>4542</v>
      </c>
      <c r="S224" s="18" t="s">
        <v>48</v>
      </c>
      <c r="T224" s="11">
        <v>29</v>
      </c>
    </row>
    <row r="225" s="3" customFormat="1" customHeight="1" spans="1:20">
      <c r="A225" s="167" t="s">
        <v>194</v>
      </c>
      <c r="B225" s="167" t="s">
        <v>165</v>
      </c>
      <c r="C225" s="167" t="s">
        <v>195</v>
      </c>
      <c r="D225" s="11">
        <v>15079132548</v>
      </c>
      <c r="E225" s="167" t="s">
        <v>156</v>
      </c>
      <c r="F225" s="167" t="s">
        <v>13</v>
      </c>
      <c r="G225" s="11">
        <v>202102003</v>
      </c>
      <c r="H225" s="167" t="s">
        <v>157</v>
      </c>
      <c r="I225" s="167" t="s">
        <v>197</v>
      </c>
      <c r="J225" s="167" t="s">
        <v>198</v>
      </c>
      <c r="K225" s="167" t="s">
        <v>160</v>
      </c>
      <c r="L225" s="167" t="s">
        <v>199</v>
      </c>
      <c r="M225" s="167" t="s">
        <v>13</v>
      </c>
      <c r="N225" s="11">
        <v>0</v>
      </c>
      <c r="O225" s="12" t="str">
        <f>_xlfn.DISPIMG("ID_07DCBF9A6CCC43E7BDA66377D7B2A516",1)</f>
        <v>=DISPIMG("ID_07DCBF9A6CCC43E7BDA66377D7B2A516",1)</v>
      </c>
      <c r="P225" s="11" t="s">
        <v>200</v>
      </c>
      <c r="Q225" s="11">
        <v>6</v>
      </c>
      <c r="R225" s="17" t="s">
        <v>4543</v>
      </c>
      <c r="S225" s="18" t="s">
        <v>52</v>
      </c>
      <c r="T225" s="11">
        <v>6</v>
      </c>
    </row>
    <row r="226" s="3" customFormat="1" customHeight="1" spans="1:20">
      <c r="A226" s="167" t="s">
        <v>220</v>
      </c>
      <c r="B226" s="167" t="s">
        <v>165</v>
      </c>
      <c r="C226" s="167" t="s">
        <v>221</v>
      </c>
      <c r="D226" s="11">
        <v>13330102770</v>
      </c>
      <c r="E226" s="167" t="s">
        <v>156</v>
      </c>
      <c r="F226" s="167" t="s">
        <v>13</v>
      </c>
      <c r="G226" s="11">
        <v>202102003</v>
      </c>
      <c r="H226" s="167" t="s">
        <v>157</v>
      </c>
      <c r="I226" s="167" t="s">
        <v>178</v>
      </c>
      <c r="J226" s="167" t="s">
        <v>223</v>
      </c>
      <c r="K226" s="167" t="s">
        <v>170</v>
      </c>
      <c r="L226" s="167" t="s">
        <v>224</v>
      </c>
      <c r="M226" s="167" t="s">
        <v>225</v>
      </c>
      <c r="N226" s="167" t="s">
        <v>226</v>
      </c>
      <c r="O226" s="12" t="str">
        <f>_xlfn.DISPIMG("ID_331C6355B784470AAD84DC8B9EBD3F4C",1)</f>
        <v>=DISPIMG("ID_331C6355B784470AAD84DC8B9EBD3F4C",1)</v>
      </c>
      <c r="P226" s="11" t="s">
        <v>227</v>
      </c>
      <c r="Q226" s="11">
        <v>9</v>
      </c>
      <c r="R226" s="17" t="s">
        <v>4526</v>
      </c>
      <c r="S226" s="18" t="s">
        <v>52</v>
      </c>
      <c r="T226" s="11">
        <v>7</v>
      </c>
    </row>
    <row r="227" s="3" customFormat="1" customHeight="1" spans="1:20">
      <c r="A227" s="167" t="s">
        <v>230</v>
      </c>
      <c r="B227" s="167" t="s">
        <v>165</v>
      </c>
      <c r="C227" s="167" t="s">
        <v>231</v>
      </c>
      <c r="D227" s="11">
        <v>18317923585</v>
      </c>
      <c r="E227" s="167" t="s">
        <v>156</v>
      </c>
      <c r="F227" s="167" t="s">
        <v>13</v>
      </c>
      <c r="G227" s="11">
        <v>202102003</v>
      </c>
      <c r="H227" s="167" t="s">
        <v>157</v>
      </c>
      <c r="I227" s="167" t="s">
        <v>233</v>
      </c>
      <c r="J227" s="167" t="s">
        <v>234</v>
      </c>
      <c r="K227" s="167" t="s">
        <v>170</v>
      </c>
      <c r="L227" s="167" t="s">
        <v>235</v>
      </c>
      <c r="M227" s="167" t="s">
        <v>13</v>
      </c>
      <c r="N227" s="167" t="s">
        <v>236</v>
      </c>
      <c r="O227" s="12" t="str">
        <f>_xlfn.DISPIMG("ID_5F2C40BDD5324AC2917B018DDF4B26D9",1)</f>
        <v>=DISPIMG("ID_5F2C40BDD5324AC2917B018DDF4B26D9",1)</v>
      </c>
      <c r="P227" s="11" t="s">
        <v>237</v>
      </c>
      <c r="Q227" s="11">
        <v>10</v>
      </c>
      <c r="R227" s="17" t="s">
        <v>4545</v>
      </c>
      <c r="S227" s="18" t="s">
        <v>52</v>
      </c>
      <c r="T227" s="11">
        <v>18</v>
      </c>
    </row>
    <row r="228" s="3" customFormat="1" customHeight="1" spans="1:20">
      <c r="A228" s="167" t="s">
        <v>258</v>
      </c>
      <c r="B228" s="167" t="s">
        <v>165</v>
      </c>
      <c r="C228" s="167" t="s">
        <v>259</v>
      </c>
      <c r="D228" s="11">
        <v>15079252433</v>
      </c>
      <c r="E228" s="167" t="s">
        <v>156</v>
      </c>
      <c r="F228" s="167" t="s">
        <v>13</v>
      </c>
      <c r="G228" s="11">
        <v>202102003</v>
      </c>
      <c r="H228" s="167" t="s">
        <v>157</v>
      </c>
      <c r="I228" s="167" t="s">
        <v>158</v>
      </c>
      <c r="J228" s="167" t="s">
        <v>179</v>
      </c>
      <c r="K228" s="167" t="s">
        <v>170</v>
      </c>
      <c r="L228" s="167" t="s">
        <v>261</v>
      </c>
      <c r="M228" s="167" t="s">
        <v>13</v>
      </c>
      <c r="N228" s="11">
        <v>0</v>
      </c>
      <c r="O228" s="12" t="str">
        <f>_xlfn.DISPIMG("ID_6612D67BD9E1456A9FAE3B7BC6ABC79B",1)</f>
        <v>=DISPIMG("ID_6612D67BD9E1456A9FAE3B7BC6ABC79B",1)</v>
      </c>
      <c r="P228" s="11" t="s">
        <v>262</v>
      </c>
      <c r="Q228" s="11">
        <v>13</v>
      </c>
      <c r="R228" s="17" t="s">
        <v>4546</v>
      </c>
      <c r="S228" s="18" t="s">
        <v>52</v>
      </c>
      <c r="T228" s="11">
        <v>19</v>
      </c>
    </row>
    <row r="229" s="3" customFormat="1" customHeight="1" spans="1:20">
      <c r="A229" s="167" t="s">
        <v>302</v>
      </c>
      <c r="B229" s="167" t="s">
        <v>165</v>
      </c>
      <c r="C229" s="167" t="s">
        <v>303</v>
      </c>
      <c r="D229" s="11">
        <v>18270729426</v>
      </c>
      <c r="E229" s="167" t="s">
        <v>156</v>
      </c>
      <c r="F229" s="167" t="s">
        <v>13</v>
      </c>
      <c r="G229" s="11">
        <v>202102003</v>
      </c>
      <c r="H229" s="167" t="s">
        <v>157</v>
      </c>
      <c r="I229" s="167" t="s">
        <v>305</v>
      </c>
      <c r="J229" s="167" t="s">
        <v>179</v>
      </c>
      <c r="K229" s="167" t="s">
        <v>170</v>
      </c>
      <c r="L229" s="167" t="s">
        <v>306</v>
      </c>
      <c r="M229" s="167" t="s">
        <v>307</v>
      </c>
      <c r="N229" s="167" t="s">
        <v>308</v>
      </c>
      <c r="O229" s="12" t="str">
        <f>_xlfn.DISPIMG("ID_BFA65A737AA14FBDAE88EFBDD5E2990B",1)</f>
        <v>=DISPIMG("ID_BFA65A737AA14FBDAE88EFBDD5E2990B",1)</v>
      </c>
      <c r="P229" s="11" t="s">
        <v>309</v>
      </c>
      <c r="Q229" s="11">
        <v>18</v>
      </c>
      <c r="R229" s="17" t="s">
        <v>4539</v>
      </c>
      <c r="S229" s="18" t="s">
        <v>52</v>
      </c>
      <c r="T229" s="11">
        <v>30</v>
      </c>
    </row>
    <row r="230" s="3" customFormat="1" customHeight="1" spans="1:20">
      <c r="A230" s="167" t="s">
        <v>355</v>
      </c>
      <c r="B230" s="167" t="s">
        <v>165</v>
      </c>
      <c r="C230" s="167" t="s">
        <v>356</v>
      </c>
      <c r="D230" s="11">
        <v>18311315751</v>
      </c>
      <c r="E230" s="167" t="s">
        <v>156</v>
      </c>
      <c r="F230" s="167" t="s">
        <v>13</v>
      </c>
      <c r="G230" s="11">
        <v>202102003</v>
      </c>
      <c r="H230" s="167" t="s">
        <v>157</v>
      </c>
      <c r="I230" s="167" t="s">
        <v>358</v>
      </c>
      <c r="J230" s="167" t="s">
        <v>179</v>
      </c>
      <c r="K230" s="167" t="s">
        <v>160</v>
      </c>
      <c r="L230" s="167" t="s">
        <v>306</v>
      </c>
      <c r="M230" s="167" t="s">
        <v>359</v>
      </c>
      <c r="N230" s="167" t="s">
        <v>360</v>
      </c>
      <c r="O230" s="12" t="str">
        <f>_xlfn.DISPIMG("ID_FD9EEFBCD596495DACB8A95ACD5E222F",1)</f>
        <v>=DISPIMG("ID_FD9EEFBCD596495DACB8A95ACD5E222F",1)</v>
      </c>
      <c r="P230" s="11" t="s">
        <v>361</v>
      </c>
      <c r="Q230" s="11">
        <v>24</v>
      </c>
      <c r="R230" s="17" t="s">
        <v>4544</v>
      </c>
      <c r="S230" s="18" t="s">
        <v>52</v>
      </c>
      <c r="T230" s="11">
        <v>5</v>
      </c>
    </row>
    <row r="231" s="3" customFormat="1" customHeight="1" spans="1:20">
      <c r="A231" s="167" t="s">
        <v>434</v>
      </c>
      <c r="B231" s="167" t="s">
        <v>165</v>
      </c>
      <c r="C231" s="167" t="s">
        <v>435</v>
      </c>
      <c r="D231" s="11">
        <v>18707020389</v>
      </c>
      <c r="E231" s="167" t="s">
        <v>156</v>
      </c>
      <c r="F231" s="167" t="s">
        <v>13</v>
      </c>
      <c r="G231" s="11">
        <v>202102003</v>
      </c>
      <c r="H231" s="167" t="s">
        <v>157</v>
      </c>
      <c r="I231" s="167" t="s">
        <v>437</v>
      </c>
      <c r="J231" s="167" t="s">
        <v>179</v>
      </c>
      <c r="K231" s="167" t="s">
        <v>160</v>
      </c>
      <c r="L231" s="167" t="s">
        <v>161</v>
      </c>
      <c r="M231" s="167" t="s">
        <v>13</v>
      </c>
      <c r="N231" s="167" t="s">
        <v>438</v>
      </c>
      <c r="O231" s="12" t="str">
        <f>_xlfn.DISPIMG("ID_A9E5DA8466964C2D98F0B0FFCCE562D8",1)</f>
        <v>=DISPIMG("ID_A9E5DA8466964C2D98F0B0FFCCE562D8",1)</v>
      </c>
      <c r="P231" s="11" t="s">
        <v>439</v>
      </c>
      <c r="Q231" s="11">
        <v>33</v>
      </c>
      <c r="R231" s="17" t="s">
        <v>4521</v>
      </c>
      <c r="S231" s="18" t="s">
        <v>52</v>
      </c>
      <c r="T231" s="11">
        <v>8</v>
      </c>
    </row>
    <row r="232" s="3" customFormat="1" customHeight="1" spans="1:20">
      <c r="A232" s="167" t="s">
        <v>484</v>
      </c>
      <c r="B232" s="167" t="s">
        <v>165</v>
      </c>
      <c r="C232" s="167" t="s">
        <v>485</v>
      </c>
      <c r="D232" s="11">
        <v>15079175289</v>
      </c>
      <c r="E232" s="167" t="s">
        <v>156</v>
      </c>
      <c r="F232" s="167" t="s">
        <v>13</v>
      </c>
      <c r="G232" s="11">
        <v>202102003</v>
      </c>
      <c r="H232" s="167" t="s">
        <v>279</v>
      </c>
      <c r="I232" s="167" t="s">
        <v>178</v>
      </c>
      <c r="J232" s="167" t="s">
        <v>223</v>
      </c>
      <c r="K232" s="167" t="s">
        <v>170</v>
      </c>
      <c r="L232" s="167" t="s">
        <v>180</v>
      </c>
      <c r="M232" s="167" t="s">
        <v>487</v>
      </c>
      <c r="N232" s="167" t="s">
        <v>488</v>
      </c>
      <c r="O232" s="12" t="str">
        <f>_xlfn.DISPIMG("ID_090E35C53BC1424DB22E97EDD7B66993",1)</f>
        <v>=DISPIMG("ID_090E35C53BC1424DB22E97EDD7B66993",1)</v>
      </c>
      <c r="P232" s="11" t="s">
        <v>489</v>
      </c>
      <c r="Q232" s="11">
        <v>39</v>
      </c>
      <c r="R232" s="17" t="s">
        <v>4547</v>
      </c>
      <c r="S232" s="18" t="s">
        <v>52</v>
      </c>
      <c r="T232" s="11">
        <v>17</v>
      </c>
    </row>
    <row r="233" s="3" customFormat="1" customHeight="1" spans="1:20">
      <c r="A233" s="167" t="s">
        <v>503</v>
      </c>
      <c r="B233" s="167" t="s">
        <v>165</v>
      </c>
      <c r="C233" s="167" t="s">
        <v>504</v>
      </c>
      <c r="D233" s="11">
        <v>18279271412</v>
      </c>
      <c r="E233" s="167" t="s">
        <v>506</v>
      </c>
      <c r="F233" s="167" t="s">
        <v>13</v>
      </c>
      <c r="G233" s="11">
        <v>202102016</v>
      </c>
      <c r="H233" s="167" t="s">
        <v>157</v>
      </c>
      <c r="I233" s="167" t="s">
        <v>507</v>
      </c>
      <c r="J233" s="167" t="s">
        <v>298</v>
      </c>
      <c r="K233" s="167" t="s">
        <v>160</v>
      </c>
      <c r="L233" s="167" t="s">
        <v>252</v>
      </c>
      <c r="M233" s="167" t="s">
        <v>13</v>
      </c>
      <c r="N233" s="167" t="s">
        <v>508</v>
      </c>
      <c r="O233" s="12" t="str">
        <f>_xlfn.DISPIMG("ID_40FEE490C2E64411A9F9A70FED108C60",1)</f>
        <v>=DISPIMG("ID_40FEE490C2E64411A9F9A70FED108C60",1)</v>
      </c>
      <c r="P233" s="11" t="s">
        <v>509</v>
      </c>
      <c r="Q233" s="11">
        <v>42</v>
      </c>
      <c r="R233" s="17" t="s">
        <v>4548</v>
      </c>
      <c r="S233" s="18" t="s">
        <v>52</v>
      </c>
      <c r="T233" s="11">
        <v>20</v>
      </c>
    </row>
    <row r="234" s="3" customFormat="1" customHeight="1" spans="1:20">
      <c r="A234" s="167" t="s">
        <v>537</v>
      </c>
      <c r="B234" s="167" t="s">
        <v>165</v>
      </c>
      <c r="C234" s="167" t="s">
        <v>538</v>
      </c>
      <c r="D234" s="11">
        <v>18720218990</v>
      </c>
      <c r="E234" s="167" t="s">
        <v>156</v>
      </c>
      <c r="F234" s="167" t="s">
        <v>13</v>
      </c>
      <c r="G234" s="11">
        <v>202102003</v>
      </c>
      <c r="H234" s="167" t="s">
        <v>157</v>
      </c>
      <c r="I234" s="167" t="s">
        <v>540</v>
      </c>
      <c r="J234" s="167" t="s">
        <v>179</v>
      </c>
      <c r="K234" s="167" t="s">
        <v>160</v>
      </c>
      <c r="L234" s="167" t="s">
        <v>541</v>
      </c>
      <c r="M234" s="167" t="s">
        <v>25</v>
      </c>
      <c r="N234" s="11">
        <v>0</v>
      </c>
      <c r="O234" s="12" t="str">
        <f>_xlfn.DISPIMG("ID_9605826B48E04C21832E1CDFB6E0AF15",1)</f>
        <v>=DISPIMG("ID_9605826B48E04C21832E1CDFB6E0AF15",1)</v>
      </c>
      <c r="P234" s="11" t="s">
        <v>542</v>
      </c>
      <c r="Q234" s="11">
        <v>46</v>
      </c>
      <c r="R234" s="17" t="s">
        <v>4549</v>
      </c>
      <c r="S234" s="18" t="s">
        <v>52</v>
      </c>
      <c r="T234" s="11">
        <v>29</v>
      </c>
    </row>
    <row r="235" s="3" customFormat="1" customHeight="1" spans="1:20">
      <c r="A235" s="167" t="s">
        <v>600</v>
      </c>
      <c r="B235" s="167" t="s">
        <v>165</v>
      </c>
      <c r="C235" s="167" t="s">
        <v>601</v>
      </c>
      <c r="D235" s="11">
        <v>18170238971</v>
      </c>
      <c r="E235" s="167" t="s">
        <v>506</v>
      </c>
      <c r="F235" s="167" t="s">
        <v>13</v>
      </c>
      <c r="G235" s="11">
        <v>202102016</v>
      </c>
      <c r="H235" s="167" t="s">
        <v>157</v>
      </c>
      <c r="I235" s="167" t="s">
        <v>603</v>
      </c>
      <c r="J235" s="167" t="s">
        <v>179</v>
      </c>
      <c r="K235" s="167" t="s">
        <v>160</v>
      </c>
      <c r="L235" s="167" t="s">
        <v>216</v>
      </c>
      <c r="M235" s="167" t="s">
        <v>13</v>
      </c>
      <c r="N235" s="167" t="s">
        <v>604</v>
      </c>
      <c r="O235" s="12" t="str">
        <f>_xlfn.DISPIMG("ID_274A21E15DE94C9DB65D865C0AE50BA3",1)</f>
        <v>=DISPIMG("ID_274A21E15DE94C9DB65D865C0AE50BA3",1)</v>
      </c>
      <c r="P235" s="11" t="s">
        <v>605</v>
      </c>
      <c r="Q235" s="11">
        <v>53</v>
      </c>
      <c r="R235" s="17" t="s">
        <v>4550</v>
      </c>
      <c r="S235" s="18" t="s">
        <v>52</v>
      </c>
      <c r="T235" s="11">
        <v>4</v>
      </c>
    </row>
    <row r="236" s="3" customFormat="1" customHeight="1" spans="1:20">
      <c r="A236" s="167" t="s">
        <v>608</v>
      </c>
      <c r="B236" s="167" t="s">
        <v>165</v>
      </c>
      <c r="C236" s="167" t="s">
        <v>609</v>
      </c>
      <c r="D236" s="11">
        <v>18779299502</v>
      </c>
      <c r="E236" s="167" t="s">
        <v>156</v>
      </c>
      <c r="F236" s="167" t="s">
        <v>13</v>
      </c>
      <c r="G236" s="11">
        <v>202102003</v>
      </c>
      <c r="H236" s="167" t="s">
        <v>157</v>
      </c>
      <c r="I236" s="167" t="s">
        <v>611</v>
      </c>
      <c r="J236" s="167" t="s">
        <v>179</v>
      </c>
      <c r="K236" s="167" t="s">
        <v>160</v>
      </c>
      <c r="L236" s="167" t="s">
        <v>261</v>
      </c>
      <c r="M236" s="167" t="s">
        <v>13</v>
      </c>
      <c r="N236" s="11">
        <v>0</v>
      </c>
      <c r="O236" s="12" t="str">
        <f>_xlfn.DISPIMG("ID_AED44616ADF34083BED4818BEE7F954D",1)</f>
        <v>=DISPIMG("ID_AED44616ADF34083BED4818BEE7F954D",1)</v>
      </c>
      <c r="P236" s="11" t="s">
        <v>612</v>
      </c>
      <c r="Q236" s="11">
        <v>54</v>
      </c>
      <c r="R236" s="17" t="s">
        <v>4551</v>
      </c>
      <c r="S236" s="18" t="s">
        <v>52</v>
      </c>
      <c r="T236" s="11">
        <v>9</v>
      </c>
    </row>
    <row r="237" s="3" customFormat="1" customHeight="1" spans="1:20">
      <c r="A237" s="167" t="s">
        <v>833</v>
      </c>
      <c r="B237" s="167" t="s">
        <v>165</v>
      </c>
      <c r="C237" s="167" t="s">
        <v>834</v>
      </c>
      <c r="D237" s="11">
        <v>13517923087</v>
      </c>
      <c r="E237" s="167" t="s">
        <v>156</v>
      </c>
      <c r="F237" s="167" t="s">
        <v>13</v>
      </c>
      <c r="G237" s="11">
        <v>202102003</v>
      </c>
      <c r="H237" s="167" t="s">
        <v>279</v>
      </c>
      <c r="I237" s="167" t="s">
        <v>339</v>
      </c>
      <c r="J237" s="167" t="s">
        <v>223</v>
      </c>
      <c r="K237" s="167" t="s">
        <v>170</v>
      </c>
      <c r="L237" s="167" t="s">
        <v>224</v>
      </c>
      <c r="M237" s="167" t="s">
        <v>13</v>
      </c>
      <c r="N237" s="167" t="s">
        <v>836</v>
      </c>
      <c r="O237" s="12" t="str">
        <f>_xlfn.DISPIMG("ID_89C7FFEC948F45D4B7C91F290C37CCB6",1)</f>
        <v>=DISPIMG("ID_89C7FFEC948F45D4B7C91F290C37CCB6",1)</v>
      </c>
      <c r="P237" s="11" t="s">
        <v>837</v>
      </c>
      <c r="Q237" s="11">
        <v>82</v>
      </c>
      <c r="R237" s="17" t="s">
        <v>4552</v>
      </c>
      <c r="S237" s="18" t="s">
        <v>52</v>
      </c>
      <c r="T237" s="11">
        <v>16</v>
      </c>
    </row>
    <row r="238" s="3" customFormat="1" customHeight="1" spans="1:20">
      <c r="A238" s="167" t="s">
        <v>994</v>
      </c>
      <c r="B238" s="167" t="s">
        <v>165</v>
      </c>
      <c r="C238" s="167" t="s">
        <v>995</v>
      </c>
      <c r="D238" s="11">
        <v>15079132554</v>
      </c>
      <c r="E238" s="167" t="s">
        <v>156</v>
      </c>
      <c r="F238" s="167" t="s">
        <v>13</v>
      </c>
      <c r="G238" s="11">
        <v>202102003</v>
      </c>
      <c r="H238" s="167" t="s">
        <v>157</v>
      </c>
      <c r="I238" s="167" t="s">
        <v>197</v>
      </c>
      <c r="J238" s="167" t="s">
        <v>179</v>
      </c>
      <c r="K238" s="167" t="s">
        <v>160</v>
      </c>
      <c r="L238" s="167" t="s">
        <v>180</v>
      </c>
      <c r="M238" s="167" t="s">
        <v>997</v>
      </c>
      <c r="N238" s="167" t="s">
        <v>998</v>
      </c>
      <c r="O238" s="12" t="str">
        <f>_xlfn.DISPIMG("ID_10318FA0EB2E4E7ABCD18627E825B2DF",1)</f>
        <v>=DISPIMG("ID_10318FA0EB2E4E7ABCD18627E825B2DF",1)</v>
      </c>
      <c r="P238" s="11" t="s">
        <v>999</v>
      </c>
      <c r="Q238" s="11">
        <v>101</v>
      </c>
      <c r="R238" s="17" t="s">
        <v>4553</v>
      </c>
      <c r="S238" s="18" t="s">
        <v>52</v>
      </c>
      <c r="T238" s="11">
        <v>21</v>
      </c>
    </row>
    <row r="239" s="3" customFormat="1" customHeight="1" spans="1:20">
      <c r="A239" s="167" t="s">
        <v>1018</v>
      </c>
      <c r="B239" s="167" t="s">
        <v>165</v>
      </c>
      <c r="C239" s="167" t="s">
        <v>1019</v>
      </c>
      <c r="D239" s="11">
        <v>18270832760</v>
      </c>
      <c r="E239" s="167" t="s">
        <v>156</v>
      </c>
      <c r="F239" s="167" t="s">
        <v>13</v>
      </c>
      <c r="G239" s="11">
        <v>202102003</v>
      </c>
      <c r="H239" s="167" t="s">
        <v>157</v>
      </c>
      <c r="I239" s="167" t="s">
        <v>827</v>
      </c>
      <c r="J239" s="167" t="s">
        <v>1021</v>
      </c>
      <c r="K239" s="167" t="s">
        <v>160</v>
      </c>
      <c r="L239" s="167" t="s">
        <v>281</v>
      </c>
      <c r="M239" s="167" t="s">
        <v>1022</v>
      </c>
      <c r="N239" s="167" t="s">
        <v>1023</v>
      </c>
      <c r="O239" s="12" t="str">
        <f>_xlfn.DISPIMG("ID_8ABFE7CB3D4544BB889DAF8FFFAF27BC",1)</f>
        <v>=DISPIMG("ID_8ABFE7CB3D4544BB889DAF8FFFAF27BC",1)</v>
      </c>
      <c r="P239" s="11" t="s">
        <v>1024</v>
      </c>
      <c r="Q239" s="11">
        <v>104</v>
      </c>
      <c r="R239" s="17" t="s">
        <v>4554</v>
      </c>
      <c r="S239" s="18" t="s">
        <v>52</v>
      </c>
      <c r="T239" s="11">
        <v>28</v>
      </c>
    </row>
    <row r="240" s="3" customFormat="1" customHeight="1" spans="1:20">
      <c r="A240" s="167" t="s">
        <v>1118</v>
      </c>
      <c r="B240" s="167" t="s">
        <v>165</v>
      </c>
      <c r="C240" s="167" t="s">
        <v>1119</v>
      </c>
      <c r="D240" s="11">
        <v>15170931048</v>
      </c>
      <c r="E240" s="167" t="s">
        <v>156</v>
      </c>
      <c r="F240" s="167" t="s">
        <v>13</v>
      </c>
      <c r="G240" s="11">
        <v>202102003</v>
      </c>
      <c r="H240" s="167" t="s">
        <v>157</v>
      </c>
      <c r="I240" s="167" t="s">
        <v>1121</v>
      </c>
      <c r="J240" s="167" t="s">
        <v>1122</v>
      </c>
      <c r="K240" s="167" t="s">
        <v>160</v>
      </c>
      <c r="L240" s="167" t="s">
        <v>577</v>
      </c>
      <c r="M240" s="167" t="s">
        <v>13</v>
      </c>
      <c r="N240" s="167" t="s">
        <v>1123</v>
      </c>
      <c r="O240" s="12" t="str">
        <f>_xlfn.DISPIMG("ID_FE9003ADDBCE49A4979CC74582466077",1)</f>
        <v>=DISPIMG("ID_FE9003ADDBCE49A4979CC74582466077",1)</v>
      </c>
      <c r="P240" s="11" t="s">
        <v>1124</v>
      </c>
      <c r="Q240" s="11">
        <v>117</v>
      </c>
      <c r="R240" s="17" t="s">
        <v>4555</v>
      </c>
      <c r="S240" s="18" t="s">
        <v>52</v>
      </c>
      <c r="T240" s="11">
        <v>3</v>
      </c>
    </row>
    <row r="241" s="3" customFormat="1" customHeight="1" spans="1:20">
      <c r="A241" s="167" t="s">
        <v>1176</v>
      </c>
      <c r="B241" s="167" t="s">
        <v>165</v>
      </c>
      <c r="C241" s="167" t="s">
        <v>1177</v>
      </c>
      <c r="D241" s="11">
        <v>13782906805</v>
      </c>
      <c r="E241" s="167" t="s">
        <v>156</v>
      </c>
      <c r="F241" s="167" t="s">
        <v>13</v>
      </c>
      <c r="G241" s="11">
        <v>202102003</v>
      </c>
      <c r="H241" s="167" t="s">
        <v>157</v>
      </c>
      <c r="I241" s="167" t="s">
        <v>1179</v>
      </c>
      <c r="J241" s="167" t="s">
        <v>298</v>
      </c>
      <c r="K241" s="167" t="s">
        <v>160</v>
      </c>
      <c r="L241" s="167" t="s">
        <v>171</v>
      </c>
      <c r="M241" s="167" t="s">
        <v>13</v>
      </c>
      <c r="N241" s="167" t="s">
        <v>1180</v>
      </c>
      <c r="O241" s="12" t="str">
        <f>_xlfn.DISPIMG("ID_DB5AD54F043740C8B3AEB4879C927DCC",1)</f>
        <v>=DISPIMG("ID_DB5AD54F043740C8B3AEB4879C927DCC",1)</v>
      </c>
      <c r="P241" s="11" t="s">
        <v>1181</v>
      </c>
      <c r="Q241" s="11">
        <v>124</v>
      </c>
      <c r="R241" s="17" t="s">
        <v>4556</v>
      </c>
      <c r="S241" s="18" t="s">
        <v>52</v>
      </c>
      <c r="T241" s="11">
        <v>10</v>
      </c>
    </row>
    <row r="242" s="3" customFormat="1" customHeight="1" spans="1:20">
      <c r="A242" s="167" t="s">
        <v>1184</v>
      </c>
      <c r="B242" s="167" t="s">
        <v>165</v>
      </c>
      <c r="C242" s="167" t="s">
        <v>1185</v>
      </c>
      <c r="D242" s="11">
        <v>18379170197</v>
      </c>
      <c r="E242" s="167" t="s">
        <v>156</v>
      </c>
      <c r="F242" s="167" t="s">
        <v>13</v>
      </c>
      <c r="G242" s="11">
        <v>202102003</v>
      </c>
      <c r="H242" s="167" t="s">
        <v>157</v>
      </c>
      <c r="I242" s="167" t="s">
        <v>197</v>
      </c>
      <c r="J242" s="167" t="s">
        <v>179</v>
      </c>
      <c r="K242" s="167" t="s">
        <v>160</v>
      </c>
      <c r="L242" s="167" t="s">
        <v>577</v>
      </c>
      <c r="M242" s="167" t="s">
        <v>1187</v>
      </c>
      <c r="N242" s="167" t="s">
        <v>1188</v>
      </c>
      <c r="O242" s="12" t="str">
        <f>_xlfn.DISPIMG("ID_CF1AB7C1F93745BDBA48E23E3B3C5BFF",1)</f>
        <v>=DISPIMG("ID_CF1AB7C1F93745BDBA48E23E3B3C5BFF",1)</v>
      </c>
      <c r="P242" s="11" t="s">
        <v>1189</v>
      </c>
      <c r="Q242" s="11">
        <v>125</v>
      </c>
      <c r="R242" s="17" t="s">
        <v>4557</v>
      </c>
      <c r="S242" s="18" t="s">
        <v>52</v>
      </c>
      <c r="T242" s="11">
        <v>15</v>
      </c>
    </row>
    <row r="243" s="3" customFormat="1" customHeight="1" spans="1:20">
      <c r="A243" s="167" t="s">
        <v>1192</v>
      </c>
      <c r="B243" s="167" t="s">
        <v>165</v>
      </c>
      <c r="C243" s="167" t="s">
        <v>1193</v>
      </c>
      <c r="D243" s="11">
        <v>18079223375</v>
      </c>
      <c r="E243" s="167" t="s">
        <v>156</v>
      </c>
      <c r="F243" s="167" t="s">
        <v>13</v>
      </c>
      <c r="G243" s="11">
        <v>202102003</v>
      </c>
      <c r="H243" s="167" t="s">
        <v>157</v>
      </c>
      <c r="I243" s="167" t="s">
        <v>233</v>
      </c>
      <c r="J243" s="167" t="s">
        <v>1195</v>
      </c>
      <c r="K243" s="167" t="s">
        <v>170</v>
      </c>
      <c r="L243" s="167" t="s">
        <v>587</v>
      </c>
      <c r="M243" s="167" t="s">
        <v>13</v>
      </c>
      <c r="N243" s="167" t="s">
        <v>1196</v>
      </c>
      <c r="O243" s="12" t="str">
        <f>_xlfn.DISPIMG("ID_1776A5AD18184E18978F80ADFFF4A0AF",1)</f>
        <v>=DISPIMG("ID_1776A5AD18184E18978F80ADFFF4A0AF",1)</v>
      </c>
      <c r="P243" s="11" t="s">
        <v>1197</v>
      </c>
      <c r="Q243" s="11">
        <v>126</v>
      </c>
      <c r="R243" s="17" t="s">
        <v>4558</v>
      </c>
      <c r="S243" s="18" t="s">
        <v>52</v>
      </c>
      <c r="T243" s="11">
        <v>22</v>
      </c>
    </row>
    <row r="244" s="3" customFormat="1" customHeight="1" spans="1:20">
      <c r="A244" s="167" t="s">
        <v>1210</v>
      </c>
      <c r="B244" s="167" t="s">
        <v>165</v>
      </c>
      <c r="C244" s="167" t="s">
        <v>1211</v>
      </c>
      <c r="D244" s="11">
        <v>18279901604</v>
      </c>
      <c r="E244" s="167" t="s">
        <v>156</v>
      </c>
      <c r="F244" s="167" t="s">
        <v>13</v>
      </c>
      <c r="G244" s="11">
        <v>202102003</v>
      </c>
      <c r="H244" s="167" t="s">
        <v>157</v>
      </c>
      <c r="I244" s="167" t="s">
        <v>1213</v>
      </c>
      <c r="J244" s="167" t="s">
        <v>1214</v>
      </c>
      <c r="K244" s="167" t="s">
        <v>160</v>
      </c>
      <c r="L244" s="167" t="s">
        <v>252</v>
      </c>
      <c r="M244" s="167" t="s">
        <v>13</v>
      </c>
      <c r="N244" s="11">
        <v>0</v>
      </c>
      <c r="O244" s="12" t="str">
        <f>_xlfn.DISPIMG("ID_FBB70D9010F74144B210C02BDB9CE6A1",1)</f>
        <v>=DISPIMG("ID_FBB70D9010F74144B210C02BDB9CE6A1",1)</v>
      </c>
      <c r="P244" s="11" t="s">
        <v>1215</v>
      </c>
      <c r="Q244" s="11">
        <v>128</v>
      </c>
      <c r="R244" s="17" t="s">
        <v>4559</v>
      </c>
      <c r="S244" s="18" t="s">
        <v>52</v>
      </c>
      <c r="T244" s="11">
        <v>27</v>
      </c>
    </row>
    <row r="245" s="3" customFormat="1" customHeight="1" spans="1:20">
      <c r="A245" s="167" t="s">
        <v>1270</v>
      </c>
      <c r="B245" s="167" t="s">
        <v>153</v>
      </c>
      <c r="C245" s="167" t="s">
        <v>1271</v>
      </c>
      <c r="D245" s="11">
        <v>18879347903</v>
      </c>
      <c r="E245" s="167" t="s">
        <v>156</v>
      </c>
      <c r="F245" s="167" t="s">
        <v>13</v>
      </c>
      <c r="G245" s="11">
        <v>202102003</v>
      </c>
      <c r="H245" s="167" t="s">
        <v>279</v>
      </c>
      <c r="I245" s="167" t="s">
        <v>1273</v>
      </c>
      <c r="J245" s="167" t="s">
        <v>223</v>
      </c>
      <c r="K245" s="167" t="s">
        <v>170</v>
      </c>
      <c r="L245" s="167" t="s">
        <v>548</v>
      </c>
      <c r="M245" s="167" t="s">
        <v>13</v>
      </c>
      <c r="N245" s="167" t="s">
        <v>1274</v>
      </c>
      <c r="O245" s="12" t="str">
        <f>_xlfn.DISPIMG("ID_DF04DBFB481D40418B898CD7AB20784A",1)</f>
        <v>=DISPIMG("ID_DF04DBFB481D40418B898CD7AB20784A",1)</v>
      </c>
      <c r="P245" s="11" t="s">
        <v>1275</v>
      </c>
      <c r="Q245" s="11">
        <v>136</v>
      </c>
      <c r="R245" s="17" t="s">
        <v>4560</v>
      </c>
      <c r="S245" s="18" t="s">
        <v>52</v>
      </c>
      <c r="T245" s="11">
        <v>2</v>
      </c>
    </row>
    <row r="246" s="3" customFormat="1" customHeight="1" spans="1:20">
      <c r="A246" s="167" t="s">
        <v>1311</v>
      </c>
      <c r="B246" s="167" t="s">
        <v>165</v>
      </c>
      <c r="C246" s="167" t="s">
        <v>1312</v>
      </c>
      <c r="D246" s="11">
        <v>13672224425</v>
      </c>
      <c r="E246" s="167" t="s">
        <v>156</v>
      </c>
      <c r="F246" s="167" t="s">
        <v>13</v>
      </c>
      <c r="G246" s="11">
        <v>202102003</v>
      </c>
      <c r="H246" s="167" t="s">
        <v>157</v>
      </c>
      <c r="I246" s="167" t="s">
        <v>697</v>
      </c>
      <c r="J246" s="167" t="s">
        <v>243</v>
      </c>
      <c r="K246" s="167" t="s">
        <v>160</v>
      </c>
      <c r="L246" s="167" t="s">
        <v>368</v>
      </c>
      <c r="M246" s="167" t="s">
        <v>13</v>
      </c>
      <c r="N246" s="167" t="s">
        <v>1314</v>
      </c>
      <c r="O246" s="12" t="str">
        <f>_xlfn.DISPIMG("ID_7D2290FD7009470AB45B6E90DB94AE0B",1)</f>
        <v>=DISPIMG("ID_7D2290FD7009470AB45B6E90DB94AE0B",1)</v>
      </c>
      <c r="P246" s="11" t="s">
        <v>1315</v>
      </c>
      <c r="Q246" s="11">
        <v>142</v>
      </c>
      <c r="R246" s="17" t="s">
        <v>4561</v>
      </c>
      <c r="S246" s="18" t="s">
        <v>52</v>
      </c>
      <c r="T246" s="11">
        <v>11</v>
      </c>
    </row>
    <row r="247" s="3" customFormat="1" customHeight="1" spans="1:20">
      <c r="A247" s="167" t="s">
        <v>1357</v>
      </c>
      <c r="B247" s="167" t="s">
        <v>165</v>
      </c>
      <c r="C247" s="167" t="s">
        <v>1358</v>
      </c>
      <c r="D247" s="11">
        <v>19977181836</v>
      </c>
      <c r="E247" s="167" t="s">
        <v>156</v>
      </c>
      <c r="F247" s="167" t="s">
        <v>13</v>
      </c>
      <c r="G247" s="11">
        <v>202102003</v>
      </c>
      <c r="H247" s="167" t="s">
        <v>157</v>
      </c>
      <c r="I247" s="167" t="s">
        <v>1360</v>
      </c>
      <c r="J247" s="167" t="s">
        <v>223</v>
      </c>
      <c r="K247" s="167" t="s">
        <v>170</v>
      </c>
      <c r="L247" s="167" t="s">
        <v>587</v>
      </c>
      <c r="M247" s="167" t="s">
        <v>1361</v>
      </c>
      <c r="N247" s="167" t="s">
        <v>1362</v>
      </c>
      <c r="O247" s="12" t="str">
        <f>_xlfn.DISPIMG("ID_F234455BC8F04A26B7C1140CBE7FB1F1",1)</f>
        <v>=DISPIMG("ID_F234455BC8F04A26B7C1140CBE7FB1F1",1)</v>
      </c>
      <c r="P247" s="11" t="s">
        <v>1363</v>
      </c>
      <c r="Q247" s="11">
        <v>148</v>
      </c>
      <c r="R247" s="17" t="s">
        <v>4562</v>
      </c>
      <c r="S247" s="18" t="s">
        <v>52</v>
      </c>
      <c r="T247" s="11">
        <v>14</v>
      </c>
    </row>
    <row r="248" s="3" customFormat="1" customHeight="1" spans="1:20">
      <c r="A248" s="167" t="s">
        <v>1463</v>
      </c>
      <c r="B248" s="167" t="s">
        <v>165</v>
      </c>
      <c r="C248" s="167" t="s">
        <v>1464</v>
      </c>
      <c r="D248" s="11">
        <v>18279171935</v>
      </c>
      <c r="E248" s="167" t="s">
        <v>156</v>
      </c>
      <c r="F248" s="167" t="s">
        <v>13</v>
      </c>
      <c r="G248" s="11">
        <v>202102003</v>
      </c>
      <c r="H248" s="167" t="s">
        <v>157</v>
      </c>
      <c r="I248" s="167" t="s">
        <v>1466</v>
      </c>
      <c r="J248" s="167" t="s">
        <v>179</v>
      </c>
      <c r="K248" s="167" t="s">
        <v>160</v>
      </c>
      <c r="L248" s="167" t="s">
        <v>281</v>
      </c>
      <c r="M248" s="167" t="s">
        <v>1467</v>
      </c>
      <c r="N248" s="167" t="s">
        <v>1468</v>
      </c>
      <c r="O248" s="12" t="str">
        <f>_xlfn.DISPIMG("ID_050656778A6D494197B2CC367B7C8BBA",1)</f>
        <v>=DISPIMG("ID_050656778A6D494197B2CC367B7C8BBA",1)</v>
      </c>
      <c r="P248" s="11" t="s">
        <v>1469</v>
      </c>
      <c r="Q248" s="11">
        <v>162</v>
      </c>
      <c r="R248" s="17" t="s">
        <v>4563</v>
      </c>
      <c r="S248" s="18" t="s">
        <v>52</v>
      </c>
      <c r="T248" s="11">
        <v>23</v>
      </c>
    </row>
    <row r="249" s="3" customFormat="1" customHeight="1" spans="1:20">
      <c r="A249" s="167" t="s">
        <v>1477</v>
      </c>
      <c r="B249" s="167" t="s">
        <v>153</v>
      </c>
      <c r="C249" s="167" t="s">
        <v>1478</v>
      </c>
      <c r="D249" s="11">
        <v>15779705216</v>
      </c>
      <c r="E249" s="167" t="s">
        <v>156</v>
      </c>
      <c r="F249" s="167" t="s">
        <v>13</v>
      </c>
      <c r="G249" s="11">
        <v>202102003</v>
      </c>
      <c r="H249" s="167" t="s">
        <v>157</v>
      </c>
      <c r="I249" s="167" t="s">
        <v>1480</v>
      </c>
      <c r="J249" s="167" t="s">
        <v>1481</v>
      </c>
      <c r="K249" s="167" t="s">
        <v>160</v>
      </c>
      <c r="L249" s="167" t="s">
        <v>235</v>
      </c>
      <c r="M249" s="167" t="s">
        <v>13</v>
      </c>
      <c r="N249" s="167" t="s">
        <v>1482</v>
      </c>
      <c r="O249" s="12" t="str">
        <f>_xlfn.DISPIMG("ID_7EA9DB823A764F28A536B4FEC9EB2A2B",1)</f>
        <v>=DISPIMG("ID_7EA9DB823A764F28A536B4FEC9EB2A2B",1)</v>
      </c>
      <c r="P249" s="11" t="s">
        <v>1483</v>
      </c>
      <c r="Q249" s="11">
        <v>164</v>
      </c>
      <c r="R249" s="17" t="s">
        <v>4564</v>
      </c>
      <c r="S249" s="18" t="s">
        <v>52</v>
      </c>
      <c r="T249" s="11">
        <v>26</v>
      </c>
    </row>
    <row r="250" s="3" customFormat="1" customHeight="1" spans="1:20">
      <c r="A250" s="167" t="s">
        <v>1486</v>
      </c>
      <c r="B250" s="167" t="s">
        <v>165</v>
      </c>
      <c r="C250" s="167" t="s">
        <v>1487</v>
      </c>
      <c r="D250" s="11">
        <v>13979859802</v>
      </c>
      <c r="E250" s="167" t="s">
        <v>156</v>
      </c>
      <c r="F250" s="167" t="s">
        <v>13</v>
      </c>
      <c r="G250" s="11">
        <v>202102003</v>
      </c>
      <c r="H250" s="167" t="s">
        <v>157</v>
      </c>
      <c r="I250" s="167" t="s">
        <v>233</v>
      </c>
      <c r="J250" s="167" t="s">
        <v>1489</v>
      </c>
      <c r="K250" s="167" t="s">
        <v>170</v>
      </c>
      <c r="L250" s="167" t="s">
        <v>1490</v>
      </c>
      <c r="M250" s="167" t="s">
        <v>1491</v>
      </c>
      <c r="N250" s="167" t="s">
        <v>1492</v>
      </c>
      <c r="O250" s="12" t="str">
        <f>_xlfn.DISPIMG("ID_8C3008D7D3C74B79A4E1698AF4E9725F",1)</f>
        <v>=DISPIMG("ID_8C3008D7D3C74B79A4E1698AF4E9725F",1)</v>
      </c>
      <c r="P250" s="11" t="s">
        <v>1493</v>
      </c>
      <c r="Q250" s="11">
        <v>165</v>
      </c>
      <c r="R250" s="17" t="s">
        <v>4565</v>
      </c>
      <c r="S250" s="18" t="s">
        <v>52</v>
      </c>
      <c r="T250" s="11">
        <v>1</v>
      </c>
    </row>
    <row r="251" s="3" customFormat="1" customHeight="1" spans="1:20">
      <c r="A251" s="167" t="s">
        <v>1503</v>
      </c>
      <c r="B251" s="167" t="s">
        <v>165</v>
      </c>
      <c r="C251" s="167" t="s">
        <v>1504</v>
      </c>
      <c r="D251" s="11">
        <v>15070911038</v>
      </c>
      <c r="E251" s="167" t="s">
        <v>156</v>
      </c>
      <c r="F251" s="167" t="s">
        <v>13</v>
      </c>
      <c r="G251" s="11">
        <v>202102003</v>
      </c>
      <c r="H251" s="167" t="s">
        <v>157</v>
      </c>
      <c r="I251" s="167" t="s">
        <v>827</v>
      </c>
      <c r="J251" s="167" t="s">
        <v>223</v>
      </c>
      <c r="K251" s="167" t="s">
        <v>170</v>
      </c>
      <c r="L251" s="167" t="s">
        <v>180</v>
      </c>
      <c r="M251" s="167" t="s">
        <v>1506</v>
      </c>
      <c r="N251" s="167" t="s">
        <v>1507</v>
      </c>
      <c r="O251" s="12" t="str">
        <f>_xlfn.DISPIMG("ID_ADCECB4C3BFF4D9FA761F0B3617DDB20",1)</f>
        <v>=DISPIMG("ID_ADCECB4C3BFF4D9FA761F0B3617DDB20",1)</v>
      </c>
      <c r="P251" s="11" t="s">
        <v>1508</v>
      </c>
      <c r="Q251" s="11">
        <v>167</v>
      </c>
      <c r="R251" s="17" t="s">
        <v>4566</v>
      </c>
      <c r="S251" s="18" t="s">
        <v>52</v>
      </c>
      <c r="T251" s="11">
        <v>12</v>
      </c>
    </row>
    <row r="252" s="3" customFormat="1" customHeight="1" spans="1:20">
      <c r="A252" s="167" t="s">
        <v>1528</v>
      </c>
      <c r="B252" s="167" t="s">
        <v>165</v>
      </c>
      <c r="C252" s="167" t="s">
        <v>1529</v>
      </c>
      <c r="D252" s="11">
        <v>13247705960</v>
      </c>
      <c r="E252" s="167" t="s">
        <v>156</v>
      </c>
      <c r="F252" s="167" t="s">
        <v>13</v>
      </c>
      <c r="G252" s="11">
        <v>202102003</v>
      </c>
      <c r="H252" s="167" t="s">
        <v>157</v>
      </c>
      <c r="I252" s="167" t="s">
        <v>385</v>
      </c>
      <c r="J252" s="167" t="s">
        <v>179</v>
      </c>
      <c r="K252" s="167" t="s">
        <v>160</v>
      </c>
      <c r="L252" s="167" t="s">
        <v>548</v>
      </c>
      <c r="M252" s="167" t="s">
        <v>25</v>
      </c>
      <c r="N252" s="167" t="s">
        <v>1531</v>
      </c>
      <c r="O252" s="12" t="str">
        <f>_xlfn.DISPIMG("ID_8A933BECC5A94F3D8B394A9689736C52",1)</f>
        <v>=DISPIMG("ID_8A933BECC5A94F3D8B394A9689736C52",1)</v>
      </c>
      <c r="P252" s="11" t="s">
        <v>1532</v>
      </c>
      <c r="Q252" s="11">
        <v>170</v>
      </c>
      <c r="R252" s="17" t="s">
        <v>4567</v>
      </c>
      <c r="S252" s="18" t="s">
        <v>52</v>
      </c>
      <c r="T252" s="11">
        <v>13</v>
      </c>
    </row>
    <row r="253" s="3" customFormat="1" customHeight="1" spans="1:20">
      <c r="A253" s="167" t="s">
        <v>1643</v>
      </c>
      <c r="B253" s="167" t="s">
        <v>153</v>
      </c>
      <c r="C253" s="167" t="s">
        <v>1644</v>
      </c>
      <c r="D253" s="11">
        <v>18351336229</v>
      </c>
      <c r="E253" s="167" t="s">
        <v>156</v>
      </c>
      <c r="F253" s="167" t="s">
        <v>13</v>
      </c>
      <c r="G253" s="11">
        <v>202102003</v>
      </c>
      <c r="H253" s="167" t="s">
        <v>157</v>
      </c>
      <c r="I253" s="167" t="s">
        <v>1646</v>
      </c>
      <c r="J253" s="167" t="s">
        <v>1647</v>
      </c>
      <c r="K253" s="167" t="s">
        <v>160</v>
      </c>
      <c r="L253" s="167" t="s">
        <v>261</v>
      </c>
      <c r="M253" s="167" t="s">
        <v>1506</v>
      </c>
      <c r="N253" s="11">
        <v>0</v>
      </c>
      <c r="O253" s="12" t="str">
        <f>_xlfn.DISPIMG("ID_B4AD11310DDA4138B05F8034BA3D88DD",1)</f>
        <v>=DISPIMG("ID_B4AD11310DDA4138B05F8034BA3D88DD",1)</v>
      </c>
      <c r="P253" s="11" t="s">
        <v>1648</v>
      </c>
      <c r="Q253" s="11">
        <v>185</v>
      </c>
      <c r="R253" s="17" t="s">
        <v>4568</v>
      </c>
      <c r="S253" s="18" t="s">
        <v>52</v>
      </c>
      <c r="T253" s="11">
        <v>24</v>
      </c>
    </row>
    <row r="254" s="3" customFormat="1" customHeight="1" spans="1:20">
      <c r="A254" s="167" t="s">
        <v>1651</v>
      </c>
      <c r="B254" s="167" t="s">
        <v>165</v>
      </c>
      <c r="C254" s="167" t="s">
        <v>1652</v>
      </c>
      <c r="D254" s="11">
        <v>15870862742</v>
      </c>
      <c r="E254" s="167" t="s">
        <v>156</v>
      </c>
      <c r="F254" s="167" t="s">
        <v>13</v>
      </c>
      <c r="G254" s="11">
        <v>202102003</v>
      </c>
      <c r="H254" s="167" t="s">
        <v>157</v>
      </c>
      <c r="I254" s="167" t="s">
        <v>1654</v>
      </c>
      <c r="J254" s="167" t="s">
        <v>179</v>
      </c>
      <c r="K254" s="167" t="s">
        <v>160</v>
      </c>
      <c r="L254" s="167" t="s">
        <v>235</v>
      </c>
      <c r="M254" s="167" t="s">
        <v>13</v>
      </c>
      <c r="N254" s="11">
        <v>0</v>
      </c>
      <c r="O254" s="12" t="str">
        <f>_xlfn.DISPIMG("ID_3972EE6FED8B40BFAB5CECB7F30981FD",1)</f>
        <v>=DISPIMG("ID_3972EE6FED8B40BFAB5CECB7F30981FD",1)</v>
      </c>
      <c r="P254" s="11" t="s">
        <v>1655</v>
      </c>
      <c r="Q254" s="11">
        <v>186</v>
      </c>
      <c r="R254" s="17" t="s">
        <v>4569</v>
      </c>
      <c r="S254" s="18" t="s">
        <v>52</v>
      </c>
      <c r="T254" s="11">
        <v>25</v>
      </c>
    </row>
    <row r="255" s="3" customFormat="1" customHeight="1" spans="1:20">
      <c r="A255" s="167" t="s">
        <v>1715</v>
      </c>
      <c r="B255" s="167" t="s">
        <v>165</v>
      </c>
      <c r="C255" s="167" t="s">
        <v>1716</v>
      </c>
      <c r="D255" s="11">
        <v>15070075457</v>
      </c>
      <c r="E255" s="167" t="s">
        <v>156</v>
      </c>
      <c r="F255" s="167" t="s">
        <v>13</v>
      </c>
      <c r="G255" s="11">
        <v>202102003</v>
      </c>
      <c r="H255" s="167" t="s">
        <v>157</v>
      </c>
      <c r="I255" s="167" t="s">
        <v>1718</v>
      </c>
      <c r="J255" s="167" t="s">
        <v>1195</v>
      </c>
      <c r="K255" s="167" t="s">
        <v>170</v>
      </c>
      <c r="L255" s="167" t="s">
        <v>281</v>
      </c>
      <c r="M255" s="167" t="s">
        <v>13</v>
      </c>
      <c r="N255" s="167" t="s">
        <v>1719</v>
      </c>
      <c r="O255" s="12" t="str">
        <f>_xlfn.DISPIMG("ID_33BA8978EFEE4AA59909527B43B2E1C1",1)</f>
        <v>=DISPIMG("ID_33BA8978EFEE4AA59909527B43B2E1C1",1)</v>
      </c>
      <c r="P255" s="11" t="s">
        <v>1720</v>
      </c>
      <c r="Q255" s="11">
        <v>194</v>
      </c>
      <c r="R255" s="17" t="s">
        <v>4570</v>
      </c>
      <c r="S255" s="18" t="s">
        <v>54</v>
      </c>
      <c r="T255" s="11">
        <v>6</v>
      </c>
    </row>
    <row r="256" s="3" customFormat="1" customHeight="1" spans="1:20">
      <c r="A256" s="167" t="s">
        <v>1759</v>
      </c>
      <c r="B256" s="167" t="s">
        <v>165</v>
      </c>
      <c r="C256" s="167" t="s">
        <v>1760</v>
      </c>
      <c r="D256" s="11">
        <v>13450834436</v>
      </c>
      <c r="E256" s="167" t="s">
        <v>156</v>
      </c>
      <c r="F256" s="167" t="s">
        <v>13</v>
      </c>
      <c r="G256" s="11">
        <v>202102003</v>
      </c>
      <c r="H256" s="167" t="s">
        <v>279</v>
      </c>
      <c r="I256" s="167" t="s">
        <v>158</v>
      </c>
      <c r="J256" s="167" t="s">
        <v>298</v>
      </c>
      <c r="K256" s="167" t="s">
        <v>160</v>
      </c>
      <c r="L256" s="167" t="s">
        <v>910</v>
      </c>
      <c r="M256" s="167" t="s">
        <v>13</v>
      </c>
      <c r="N256" s="167" t="s">
        <v>1762</v>
      </c>
      <c r="O256" s="12" t="str">
        <f>_xlfn.DISPIMG("ID_6061453C50E94D60AD50D7D119779DE5",1)</f>
        <v>=DISPIMG("ID_6061453C50E94D60AD50D7D119779DE5",1)</v>
      </c>
      <c r="P256" s="11" t="s">
        <v>1763</v>
      </c>
      <c r="Q256" s="11">
        <v>200</v>
      </c>
      <c r="R256" s="17" t="s">
        <v>4571</v>
      </c>
      <c r="S256" s="18" t="s">
        <v>54</v>
      </c>
      <c r="T256" s="11">
        <v>7</v>
      </c>
    </row>
    <row r="257" s="3" customFormat="1" customHeight="1" spans="1:20">
      <c r="A257" s="167" t="s">
        <v>1781</v>
      </c>
      <c r="B257" s="167" t="s">
        <v>165</v>
      </c>
      <c r="C257" s="167" t="s">
        <v>1782</v>
      </c>
      <c r="D257" s="11">
        <v>18379139309</v>
      </c>
      <c r="E257" s="167" t="s">
        <v>156</v>
      </c>
      <c r="F257" s="167" t="s">
        <v>13</v>
      </c>
      <c r="G257" s="11">
        <v>202102003</v>
      </c>
      <c r="H257" s="167" t="s">
        <v>157</v>
      </c>
      <c r="I257" s="167" t="s">
        <v>1784</v>
      </c>
      <c r="J257" s="167" t="s">
        <v>243</v>
      </c>
      <c r="K257" s="167" t="s">
        <v>160</v>
      </c>
      <c r="L257" s="167" t="s">
        <v>516</v>
      </c>
      <c r="M257" s="167" t="s">
        <v>25</v>
      </c>
      <c r="N257" s="167" t="s">
        <v>1785</v>
      </c>
      <c r="O257" s="12" t="str">
        <f>_xlfn.DISPIMG("ID_FAA9DF7D97144F66A8EC0127C6ABD49F",1)</f>
        <v>=DISPIMG("ID_FAA9DF7D97144F66A8EC0127C6ABD49F",1)</v>
      </c>
      <c r="P257" s="11" t="s">
        <v>1786</v>
      </c>
      <c r="Q257" s="11">
        <v>203</v>
      </c>
      <c r="R257" s="17" t="s">
        <v>4572</v>
      </c>
      <c r="S257" s="18" t="s">
        <v>54</v>
      </c>
      <c r="T257" s="11">
        <v>18</v>
      </c>
    </row>
    <row r="258" s="3" customFormat="1" customHeight="1" spans="1:20">
      <c r="A258" s="167" t="s">
        <v>1868</v>
      </c>
      <c r="B258" s="167" t="s">
        <v>165</v>
      </c>
      <c r="C258" s="167" t="s">
        <v>1869</v>
      </c>
      <c r="D258" s="11">
        <v>18270285866</v>
      </c>
      <c r="E258" s="167" t="s">
        <v>156</v>
      </c>
      <c r="F258" s="167" t="s">
        <v>13</v>
      </c>
      <c r="G258" s="11">
        <v>202102003</v>
      </c>
      <c r="H258" s="167" t="s">
        <v>157</v>
      </c>
      <c r="I258" s="167" t="s">
        <v>697</v>
      </c>
      <c r="J258" s="167" t="s">
        <v>179</v>
      </c>
      <c r="K258" s="167" t="s">
        <v>160</v>
      </c>
      <c r="L258" s="167" t="s">
        <v>161</v>
      </c>
      <c r="M258" s="167" t="s">
        <v>13</v>
      </c>
      <c r="N258" s="167" t="s">
        <v>1871</v>
      </c>
      <c r="O258" s="12" t="str">
        <f>_xlfn.DISPIMG("ID_8FA08A92AF314DECB56C8C1E101E9B2E",1)</f>
        <v>=DISPIMG("ID_8FA08A92AF314DECB56C8C1E101E9B2E",1)</v>
      </c>
      <c r="P258" s="11" t="s">
        <v>1872</v>
      </c>
      <c r="Q258" s="11">
        <v>214</v>
      </c>
      <c r="R258" s="17" t="s">
        <v>4573</v>
      </c>
      <c r="S258" s="18" t="s">
        <v>54</v>
      </c>
      <c r="T258" s="11">
        <v>19</v>
      </c>
    </row>
    <row r="259" s="3" customFormat="1" customHeight="1" spans="1:20">
      <c r="A259" s="167" t="s">
        <v>1890</v>
      </c>
      <c r="B259" s="167" t="s">
        <v>165</v>
      </c>
      <c r="C259" s="167" t="s">
        <v>1891</v>
      </c>
      <c r="D259" s="11">
        <v>18770267494</v>
      </c>
      <c r="E259" s="167" t="s">
        <v>156</v>
      </c>
      <c r="F259" s="167" t="s">
        <v>13</v>
      </c>
      <c r="G259" s="11">
        <v>202102003</v>
      </c>
      <c r="H259" s="167" t="s">
        <v>157</v>
      </c>
      <c r="I259" s="167" t="s">
        <v>646</v>
      </c>
      <c r="J259" s="167" t="s">
        <v>179</v>
      </c>
      <c r="K259" s="167" t="s">
        <v>160</v>
      </c>
      <c r="L259" s="167" t="s">
        <v>161</v>
      </c>
      <c r="M259" s="167" t="s">
        <v>25</v>
      </c>
      <c r="N259" s="167" t="s">
        <v>1893</v>
      </c>
      <c r="O259" s="12" t="str">
        <f>_xlfn.DISPIMG("ID_E3FEEF4304AD40319195B6CB72FAB7DA",1)</f>
        <v>=DISPIMG("ID_E3FEEF4304AD40319195B6CB72FAB7DA",1)</v>
      </c>
      <c r="P259" s="11" t="s">
        <v>1894</v>
      </c>
      <c r="Q259" s="11">
        <v>217</v>
      </c>
      <c r="R259" s="17" t="s">
        <v>4574</v>
      </c>
      <c r="S259" s="18" t="s">
        <v>54</v>
      </c>
      <c r="T259" s="11">
        <v>30</v>
      </c>
    </row>
    <row r="260" s="3" customFormat="1" customHeight="1" spans="1:20">
      <c r="A260" s="167" t="s">
        <v>1925</v>
      </c>
      <c r="B260" s="167" t="s">
        <v>165</v>
      </c>
      <c r="C260" s="167" t="s">
        <v>1926</v>
      </c>
      <c r="D260" s="11">
        <v>18000203663</v>
      </c>
      <c r="E260" s="167" t="s">
        <v>156</v>
      </c>
      <c r="F260" s="167" t="s">
        <v>13</v>
      </c>
      <c r="G260" s="11">
        <v>202102003</v>
      </c>
      <c r="H260" s="167" t="s">
        <v>157</v>
      </c>
      <c r="I260" s="167" t="s">
        <v>611</v>
      </c>
      <c r="J260" s="167" t="s">
        <v>179</v>
      </c>
      <c r="K260" s="167" t="s">
        <v>160</v>
      </c>
      <c r="L260" s="167" t="s">
        <v>281</v>
      </c>
      <c r="M260" s="167" t="s">
        <v>13</v>
      </c>
      <c r="N260" s="167" t="s">
        <v>1928</v>
      </c>
      <c r="O260" s="12" t="str">
        <f>_xlfn.DISPIMG("ID_F763BF131F364181A17D865B8B797D97",1)</f>
        <v>=DISPIMG("ID_F763BF131F364181A17D865B8B797D97",1)</v>
      </c>
      <c r="P260" s="11" t="s">
        <v>1929</v>
      </c>
      <c r="Q260" s="11">
        <v>222</v>
      </c>
      <c r="R260" s="17" t="s">
        <v>4575</v>
      </c>
      <c r="S260" s="18" t="s">
        <v>54</v>
      </c>
      <c r="T260" s="11">
        <v>5</v>
      </c>
    </row>
    <row r="261" s="3" customFormat="1" customHeight="1" spans="1:20">
      <c r="A261" s="167" t="s">
        <v>1997</v>
      </c>
      <c r="B261" s="167" t="s">
        <v>165</v>
      </c>
      <c r="C261" s="167" t="s">
        <v>1998</v>
      </c>
      <c r="D261" s="11">
        <v>15270177023</v>
      </c>
      <c r="E261" s="167" t="s">
        <v>156</v>
      </c>
      <c r="F261" s="167" t="s">
        <v>13</v>
      </c>
      <c r="G261" s="11">
        <v>202102003</v>
      </c>
      <c r="H261" s="167" t="s">
        <v>157</v>
      </c>
      <c r="I261" s="167" t="s">
        <v>158</v>
      </c>
      <c r="J261" s="167" t="s">
        <v>2000</v>
      </c>
      <c r="K261" s="167" t="s">
        <v>160</v>
      </c>
      <c r="L261" s="167" t="s">
        <v>161</v>
      </c>
      <c r="M261" s="167" t="s">
        <v>13</v>
      </c>
      <c r="N261" s="11">
        <v>0</v>
      </c>
      <c r="O261" s="12" t="str">
        <f>_xlfn.DISPIMG("ID_08A4D05852A0412E805E12227EDF1C33",1)</f>
        <v>=DISPIMG("ID_08A4D05852A0412E805E12227EDF1C33",1)</v>
      </c>
      <c r="P261" s="11" t="s">
        <v>2001</v>
      </c>
      <c r="Q261" s="11">
        <v>232</v>
      </c>
      <c r="R261" s="17" t="s">
        <v>4576</v>
      </c>
      <c r="S261" s="18" t="s">
        <v>54</v>
      </c>
      <c r="T261" s="11">
        <v>8</v>
      </c>
    </row>
    <row r="262" s="3" customFormat="1" customHeight="1" spans="1:20">
      <c r="A262" s="167" t="s">
        <v>2012</v>
      </c>
      <c r="B262" s="167" t="s">
        <v>165</v>
      </c>
      <c r="C262" s="167" t="s">
        <v>2013</v>
      </c>
      <c r="D262" s="11">
        <v>18970612776</v>
      </c>
      <c r="E262" s="167" t="s">
        <v>156</v>
      </c>
      <c r="F262" s="167" t="s">
        <v>13</v>
      </c>
      <c r="G262" s="11">
        <v>202102003</v>
      </c>
      <c r="H262" s="167" t="s">
        <v>279</v>
      </c>
      <c r="I262" s="167" t="s">
        <v>2015</v>
      </c>
      <c r="J262" s="167" t="s">
        <v>223</v>
      </c>
      <c r="K262" s="167" t="s">
        <v>170</v>
      </c>
      <c r="L262" s="167" t="s">
        <v>216</v>
      </c>
      <c r="M262" s="167" t="s">
        <v>2016</v>
      </c>
      <c r="N262" s="167" t="s">
        <v>2017</v>
      </c>
      <c r="O262" s="12" t="str">
        <f>_xlfn.DISPIMG("ID_DBB8A81F2D854EDC847C805211582887",1)</f>
        <v>=DISPIMG("ID_DBB8A81F2D854EDC847C805211582887",1)</v>
      </c>
      <c r="P262" s="11" t="s">
        <v>2018</v>
      </c>
      <c r="Q262" s="11">
        <v>234</v>
      </c>
      <c r="R262" s="17" t="s">
        <v>4577</v>
      </c>
      <c r="S262" s="18" t="s">
        <v>54</v>
      </c>
      <c r="T262" s="11">
        <v>17</v>
      </c>
    </row>
    <row r="263" s="3" customFormat="1" customHeight="1" spans="1:20">
      <c r="A263" s="167" t="s">
        <v>2020</v>
      </c>
      <c r="B263" s="167" t="s">
        <v>165</v>
      </c>
      <c r="C263" s="167" t="s">
        <v>2021</v>
      </c>
      <c r="D263" s="11">
        <v>13607094902</v>
      </c>
      <c r="E263" s="167" t="s">
        <v>506</v>
      </c>
      <c r="F263" s="167" t="s">
        <v>13</v>
      </c>
      <c r="G263" s="11">
        <v>202102016</v>
      </c>
      <c r="H263" s="167" t="s">
        <v>157</v>
      </c>
      <c r="I263" s="167" t="s">
        <v>2015</v>
      </c>
      <c r="J263" s="167" t="s">
        <v>179</v>
      </c>
      <c r="K263" s="167" t="s">
        <v>170</v>
      </c>
      <c r="L263" s="167" t="s">
        <v>2023</v>
      </c>
      <c r="M263" s="167" t="s">
        <v>13</v>
      </c>
      <c r="N263" s="167" t="s">
        <v>2024</v>
      </c>
      <c r="O263" s="12" t="str">
        <f>_xlfn.DISPIMG("ID_391065F92F2843D5ABEC64E49971BF9B",1)</f>
        <v>=DISPIMG("ID_391065F92F2843D5ABEC64E49971BF9B",1)</v>
      </c>
      <c r="P263" s="11" t="s">
        <v>2025</v>
      </c>
      <c r="Q263" s="11">
        <v>235</v>
      </c>
      <c r="R263" s="17" t="s">
        <v>4578</v>
      </c>
      <c r="S263" s="18" t="s">
        <v>54</v>
      </c>
      <c r="T263" s="11">
        <v>20</v>
      </c>
    </row>
    <row r="264" s="3" customFormat="1" customHeight="1" spans="1:20">
      <c r="A264" s="167" t="s">
        <v>2090</v>
      </c>
      <c r="B264" s="167" t="s">
        <v>153</v>
      </c>
      <c r="C264" s="167" t="s">
        <v>2091</v>
      </c>
      <c r="D264" s="11">
        <v>18079635877</v>
      </c>
      <c r="E264" s="167" t="s">
        <v>156</v>
      </c>
      <c r="F264" s="167" t="s">
        <v>13</v>
      </c>
      <c r="G264" s="11">
        <v>202102003</v>
      </c>
      <c r="H264" s="167" t="s">
        <v>157</v>
      </c>
      <c r="I264" s="167" t="s">
        <v>507</v>
      </c>
      <c r="J264" s="167" t="s">
        <v>2093</v>
      </c>
      <c r="K264" s="167" t="s">
        <v>160</v>
      </c>
      <c r="L264" s="167" t="s">
        <v>281</v>
      </c>
      <c r="M264" s="167" t="s">
        <v>25</v>
      </c>
      <c r="N264" s="167" t="s">
        <v>2094</v>
      </c>
      <c r="O264" s="12" t="str">
        <f>_xlfn.DISPIMG("ID_C4F6E9DAFE344DCCAABCAAE0A2F04564",1)</f>
        <v>=DISPIMG("ID_C4F6E9DAFE344DCCAABCAAE0A2F04564",1)</v>
      </c>
      <c r="P264" s="11" t="s">
        <v>2095</v>
      </c>
      <c r="Q264" s="11">
        <v>244</v>
      </c>
      <c r="R264" s="17" t="s">
        <v>4579</v>
      </c>
      <c r="S264" s="18" t="s">
        <v>54</v>
      </c>
      <c r="T264" s="11">
        <v>29</v>
      </c>
    </row>
    <row r="265" s="3" customFormat="1" customHeight="1" spans="1:20">
      <c r="A265" s="167" t="s">
        <v>2113</v>
      </c>
      <c r="B265" s="167" t="s">
        <v>165</v>
      </c>
      <c r="C265" s="167" t="s">
        <v>2114</v>
      </c>
      <c r="D265" s="11">
        <v>18779262393</v>
      </c>
      <c r="E265" s="167" t="s">
        <v>156</v>
      </c>
      <c r="F265" s="167" t="s">
        <v>13</v>
      </c>
      <c r="G265" s="11">
        <v>202102003</v>
      </c>
      <c r="H265" s="167" t="s">
        <v>157</v>
      </c>
      <c r="I265" s="167" t="s">
        <v>168</v>
      </c>
      <c r="J265" s="167" t="s">
        <v>179</v>
      </c>
      <c r="K265" s="167" t="s">
        <v>170</v>
      </c>
      <c r="L265" s="167" t="s">
        <v>261</v>
      </c>
      <c r="M265" s="167" t="s">
        <v>13</v>
      </c>
      <c r="N265" s="167" t="s">
        <v>2116</v>
      </c>
      <c r="O265" s="12" t="str">
        <f>_xlfn.DISPIMG("ID_FD96452CC72B491AA69A0DC966FE8814",1)</f>
        <v>=DISPIMG("ID_FD96452CC72B491AA69A0DC966FE8814",1)</v>
      </c>
      <c r="P265" s="11" t="s">
        <v>2117</v>
      </c>
      <c r="Q265" s="11">
        <v>247</v>
      </c>
      <c r="R265" s="17" t="s">
        <v>4580</v>
      </c>
      <c r="S265" s="18" t="s">
        <v>54</v>
      </c>
      <c r="T265" s="11">
        <v>4</v>
      </c>
    </row>
    <row r="266" s="3" customFormat="1" customHeight="1" spans="1:20">
      <c r="A266" s="167" t="s">
        <v>2120</v>
      </c>
      <c r="B266" s="167" t="s">
        <v>165</v>
      </c>
      <c r="C266" s="167" t="s">
        <v>2121</v>
      </c>
      <c r="D266" s="11">
        <v>15070693643</v>
      </c>
      <c r="E266" s="167" t="s">
        <v>156</v>
      </c>
      <c r="F266" s="167" t="s">
        <v>13</v>
      </c>
      <c r="G266" s="11">
        <v>202102003</v>
      </c>
      <c r="H266" s="167" t="s">
        <v>157</v>
      </c>
      <c r="I266" s="167" t="s">
        <v>197</v>
      </c>
      <c r="J266" s="167" t="s">
        <v>179</v>
      </c>
      <c r="K266" s="167" t="s">
        <v>160</v>
      </c>
      <c r="L266" s="167" t="s">
        <v>455</v>
      </c>
      <c r="M266" s="167" t="s">
        <v>225</v>
      </c>
      <c r="N266" s="11">
        <v>0</v>
      </c>
      <c r="O266" s="12" t="str">
        <f>_xlfn.DISPIMG("ID_BB45129897024B4183D09C0AA547B197",1)</f>
        <v>=DISPIMG("ID_BB45129897024B4183D09C0AA547B197",1)</v>
      </c>
      <c r="P266" s="11" t="s">
        <v>2123</v>
      </c>
      <c r="Q266" s="11">
        <v>248</v>
      </c>
      <c r="R266" s="17" t="s">
        <v>4581</v>
      </c>
      <c r="S266" s="18" t="s">
        <v>54</v>
      </c>
      <c r="T266" s="11">
        <v>9</v>
      </c>
    </row>
    <row r="267" s="3" customFormat="1" customHeight="1" spans="1:20">
      <c r="A267" s="167" t="s">
        <v>2140</v>
      </c>
      <c r="B267" s="167" t="s">
        <v>165</v>
      </c>
      <c r="C267" s="167" t="s">
        <v>2141</v>
      </c>
      <c r="D267" s="11">
        <v>13576909746</v>
      </c>
      <c r="E267" s="167" t="s">
        <v>156</v>
      </c>
      <c r="F267" s="167" t="s">
        <v>13</v>
      </c>
      <c r="G267" s="11">
        <v>202102003</v>
      </c>
      <c r="H267" s="167" t="s">
        <v>157</v>
      </c>
      <c r="I267" s="167" t="s">
        <v>540</v>
      </c>
      <c r="J267" s="167" t="s">
        <v>298</v>
      </c>
      <c r="K267" s="167" t="s">
        <v>160</v>
      </c>
      <c r="L267" s="167" t="s">
        <v>180</v>
      </c>
      <c r="M267" s="167" t="s">
        <v>13</v>
      </c>
      <c r="N267" s="167" t="s">
        <v>2143</v>
      </c>
      <c r="O267" s="12" t="str">
        <f>_xlfn.DISPIMG("ID_5B22FFE3C77C4E8C9BD243D72EC649E2",1)</f>
        <v>=DISPIMG("ID_5B22FFE3C77C4E8C9BD243D72EC649E2",1)</v>
      </c>
      <c r="P267" s="11" t="s">
        <v>2144</v>
      </c>
      <c r="Q267" s="11">
        <v>251</v>
      </c>
      <c r="R267" s="17" t="s">
        <v>4582</v>
      </c>
      <c r="S267" s="18" t="s">
        <v>54</v>
      </c>
      <c r="T267" s="11">
        <v>16</v>
      </c>
    </row>
    <row r="268" s="3" customFormat="1" customHeight="1" spans="1:20">
      <c r="A268" s="167" t="s">
        <v>2147</v>
      </c>
      <c r="B268" s="167" t="s">
        <v>165</v>
      </c>
      <c r="C268" s="167" t="s">
        <v>2148</v>
      </c>
      <c r="D268" s="11">
        <v>18870849075</v>
      </c>
      <c r="E268" s="167" t="s">
        <v>156</v>
      </c>
      <c r="F268" s="167" t="s">
        <v>13</v>
      </c>
      <c r="G268" s="11">
        <v>202102003</v>
      </c>
      <c r="H268" s="167" t="s">
        <v>157</v>
      </c>
      <c r="I268" s="167" t="s">
        <v>2150</v>
      </c>
      <c r="J268" s="167" t="s">
        <v>1832</v>
      </c>
      <c r="K268" s="167" t="s">
        <v>160</v>
      </c>
      <c r="L268" s="167" t="s">
        <v>2151</v>
      </c>
      <c r="M268" s="167" t="s">
        <v>13</v>
      </c>
      <c r="N268" s="167" t="s">
        <v>2152</v>
      </c>
      <c r="O268" s="12" t="str">
        <f>_xlfn.DISPIMG("ID_AE861B6E26D2460C9E654A52BE43B6F4",1)</f>
        <v>=DISPIMG("ID_AE861B6E26D2460C9E654A52BE43B6F4",1)</v>
      </c>
      <c r="P268" s="11" t="s">
        <v>2153</v>
      </c>
      <c r="Q268" s="11">
        <v>252</v>
      </c>
      <c r="R268" s="17" t="s">
        <v>4583</v>
      </c>
      <c r="S268" s="18" t="s">
        <v>54</v>
      </c>
      <c r="T268" s="11">
        <v>21</v>
      </c>
    </row>
    <row r="269" s="3" customFormat="1" customHeight="1" spans="1:20">
      <c r="A269" s="167" t="s">
        <v>2156</v>
      </c>
      <c r="B269" s="167" t="s">
        <v>165</v>
      </c>
      <c r="C269" s="167" t="s">
        <v>2157</v>
      </c>
      <c r="D269" s="11">
        <v>17707083376</v>
      </c>
      <c r="E269" s="167" t="s">
        <v>156</v>
      </c>
      <c r="F269" s="167" t="s">
        <v>13</v>
      </c>
      <c r="G269" s="11">
        <v>202102003</v>
      </c>
      <c r="H269" s="167" t="s">
        <v>157</v>
      </c>
      <c r="I269" s="167" t="s">
        <v>2159</v>
      </c>
      <c r="J269" s="167" t="s">
        <v>179</v>
      </c>
      <c r="K269" s="167" t="s">
        <v>170</v>
      </c>
      <c r="L269" s="167" t="s">
        <v>2160</v>
      </c>
      <c r="M269" s="167" t="s">
        <v>13</v>
      </c>
      <c r="N269" s="167" t="s">
        <v>2161</v>
      </c>
      <c r="O269" s="12" t="str">
        <f>_xlfn.DISPIMG("ID_40A8AEA41DF44D5AB3229E18DF729A74",1)</f>
        <v>=DISPIMG("ID_40A8AEA41DF44D5AB3229E18DF729A74",1)</v>
      </c>
      <c r="P269" s="11" t="s">
        <v>2162</v>
      </c>
      <c r="Q269" s="11">
        <v>253</v>
      </c>
      <c r="R269" s="17" t="s">
        <v>4584</v>
      </c>
      <c r="S269" s="18" t="s">
        <v>54</v>
      </c>
      <c r="T269" s="11">
        <v>28</v>
      </c>
    </row>
    <row r="270" s="3" customFormat="1" customHeight="1" spans="1:20">
      <c r="A270" s="167" t="s">
        <v>2188</v>
      </c>
      <c r="B270" s="167" t="s">
        <v>165</v>
      </c>
      <c r="C270" s="167" t="s">
        <v>2189</v>
      </c>
      <c r="D270" s="11">
        <v>15297925516</v>
      </c>
      <c r="E270" s="167" t="s">
        <v>156</v>
      </c>
      <c r="F270" s="167" t="s">
        <v>13</v>
      </c>
      <c r="G270" s="11">
        <v>202102003</v>
      </c>
      <c r="H270" s="167" t="s">
        <v>157</v>
      </c>
      <c r="I270" s="167" t="s">
        <v>178</v>
      </c>
      <c r="J270" s="167" t="s">
        <v>179</v>
      </c>
      <c r="K270" s="167" t="s">
        <v>170</v>
      </c>
      <c r="L270" s="167" t="s">
        <v>161</v>
      </c>
      <c r="M270" s="167" t="s">
        <v>25</v>
      </c>
      <c r="N270" s="11">
        <v>0</v>
      </c>
      <c r="O270" s="12" t="str">
        <f>_xlfn.DISPIMG("ID_D5F43AB9EBAD44A4B07E87AF936A6299",1)</f>
        <v>=DISPIMG("ID_D5F43AB9EBAD44A4B07E87AF936A6299",1)</v>
      </c>
      <c r="P270" s="11" t="s">
        <v>2191</v>
      </c>
      <c r="Q270" s="11">
        <v>257</v>
      </c>
      <c r="R270" s="17" t="s">
        <v>4585</v>
      </c>
      <c r="S270" s="18" t="s">
        <v>54</v>
      </c>
      <c r="T270" s="11">
        <v>3</v>
      </c>
    </row>
    <row r="271" s="3" customFormat="1" customHeight="1" spans="1:20">
      <c r="A271" s="167" t="s">
        <v>2203</v>
      </c>
      <c r="B271" s="167" t="s">
        <v>165</v>
      </c>
      <c r="C271" s="167" t="s">
        <v>2204</v>
      </c>
      <c r="D271" s="11">
        <v>18702523558</v>
      </c>
      <c r="E271" s="167" t="s">
        <v>156</v>
      </c>
      <c r="F271" s="167" t="s">
        <v>13</v>
      </c>
      <c r="G271" s="11">
        <v>202102003</v>
      </c>
      <c r="H271" s="167" t="s">
        <v>157</v>
      </c>
      <c r="I271" s="167" t="s">
        <v>646</v>
      </c>
      <c r="J271" s="167" t="s">
        <v>179</v>
      </c>
      <c r="K271" s="167" t="s">
        <v>170</v>
      </c>
      <c r="L271" s="167" t="s">
        <v>368</v>
      </c>
      <c r="M271" s="167" t="s">
        <v>25</v>
      </c>
      <c r="N271" s="167" t="s">
        <v>2206</v>
      </c>
      <c r="O271" s="12" t="str">
        <f>_xlfn.DISPIMG("ID_06812EDB7CE84D14BCAEC56B86A3FB64",1)</f>
        <v>=DISPIMG("ID_06812EDB7CE84D14BCAEC56B86A3FB64",1)</v>
      </c>
      <c r="P271" s="11" t="s">
        <v>2207</v>
      </c>
      <c r="Q271" s="11">
        <v>259</v>
      </c>
      <c r="R271" s="17" t="s">
        <v>4586</v>
      </c>
      <c r="S271" s="18" t="s">
        <v>54</v>
      </c>
      <c r="T271" s="11">
        <v>10</v>
      </c>
    </row>
    <row r="272" s="3" customFormat="1" customHeight="1" spans="1:20">
      <c r="A272" s="167" t="s">
        <v>2256</v>
      </c>
      <c r="B272" s="167" t="s">
        <v>165</v>
      </c>
      <c r="C272" s="167" t="s">
        <v>2257</v>
      </c>
      <c r="D272" s="11">
        <v>18379620695</v>
      </c>
      <c r="E272" s="167" t="s">
        <v>156</v>
      </c>
      <c r="F272" s="167" t="s">
        <v>13</v>
      </c>
      <c r="G272" s="11">
        <v>202102003</v>
      </c>
      <c r="H272" s="167" t="s">
        <v>157</v>
      </c>
      <c r="I272" s="167" t="s">
        <v>2259</v>
      </c>
      <c r="J272" s="167" t="s">
        <v>2260</v>
      </c>
      <c r="K272" s="167" t="s">
        <v>170</v>
      </c>
      <c r="L272" s="167" t="s">
        <v>252</v>
      </c>
      <c r="M272" s="167" t="s">
        <v>13</v>
      </c>
      <c r="N272" s="167" t="s">
        <v>2261</v>
      </c>
      <c r="O272" s="12" t="str">
        <f>_xlfn.DISPIMG("ID_796E86B7DB7B4E23A74B2B041E7E25B9",1)</f>
        <v>=DISPIMG("ID_796E86B7DB7B4E23A74B2B041E7E25B9",1)</v>
      </c>
      <c r="P272" s="11" t="s">
        <v>2262</v>
      </c>
      <c r="Q272" s="11">
        <v>266</v>
      </c>
      <c r="R272" s="17" t="s">
        <v>4587</v>
      </c>
      <c r="S272" s="18" t="s">
        <v>54</v>
      </c>
      <c r="T272" s="11">
        <v>15</v>
      </c>
    </row>
    <row r="273" s="3" customFormat="1" customHeight="1" spans="1:20">
      <c r="A273" s="167" t="s">
        <v>2280</v>
      </c>
      <c r="B273" s="167" t="s">
        <v>153</v>
      </c>
      <c r="C273" s="167" t="s">
        <v>2281</v>
      </c>
      <c r="D273" s="11">
        <v>18679290186</v>
      </c>
      <c r="E273" s="167" t="s">
        <v>156</v>
      </c>
      <c r="F273" s="167" t="s">
        <v>13</v>
      </c>
      <c r="G273" s="11">
        <v>202102003</v>
      </c>
      <c r="H273" s="167" t="s">
        <v>279</v>
      </c>
      <c r="I273" s="167" t="s">
        <v>233</v>
      </c>
      <c r="J273" s="167" t="s">
        <v>223</v>
      </c>
      <c r="K273" s="167" t="s">
        <v>170</v>
      </c>
      <c r="L273" s="167" t="s">
        <v>2283</v>
      </c>
      <c r="M273" s="167" t="s">
        <v>2284</v>
      </c>
      <c r="N273" s="167" t="s">
        <v>2285</v>
      </c>
      <c r="O273" s="12" t="str">
        <f>_xlfn.DISPIMG("ID_89FA20207CD0456DA5278484203F3141",1)</f>
        <v>=DISPIMG("ID_89FA20207CD0456DA5278484203F3141",1)</v>
      </c>
      <c r="P273" s="11" t="s">
        <v>2286</v>
      </c>
      <c r="Q273" s="11">
        <v>269</v>
      </c>
      <c r="R273" s="17" t="s">
        <v>4588</v>
      </c>
      <c r="S273" s="18" t="s">
        <v>54</v>
      </c>
      <c r="T273" s="11">
        <v>22</v>
      </c>
    </row>
    <row r="274" s="3" customFormat="1" customHeight="1" spans="1:20">
      <c r="A274" s="167" t="s">
        <v>2289</v>
      </c>
      <c r="B274" s="167" t="s">
        <v>165</v>
      </c>
      <c r="C274" s="167" t="s">
        <v>2290</v>
      </c>
      <c r="D274" s="11">
        <v>18170815855</v>
      </c>
      <c r="E274" s="167" t="s">
        <v>156</v>
      </c>
      <c r="F274" s="167" t="s">
        <v>13</v>
      </c>
      <c r="G274" s="11">
        <v>202102003</v>
      </c>
      <c r="H274" s="167" t="s">
        <v>157</v>
      </c>
      <c r="I274" s="167" t="s">
        <v>158</v>
      </c>
      <c r="J274" s="167" t="s">
        <v>223</v>
      </c>
      <c r="K274" s="167" t="s">
        <v>170</v>
      </c>
      <c r="L274" s="167" t="s">
        <v>349</v>
      </c>
      <c r="M274" s="167" t="s">
        <v>1692</v>
      </c>
      <c r="N274" s="167" t="s">
        <v>2290</v>
      </c>
      <c r="O274" s="12" t="str">
        <f>_xlfn.DISPIMG("ID_BC3CD3F4A07B4F5DB131E901992815BA",1)</f>
        <v>=DISPIMG("ID_BC3CD3F4A07B4F5DB131E901992815BA",1)</v>
      </c>
      <c r="P274" s="11" t="s">
        <v>2291</v>
      </c>
      <c r="Q274" s="11">
        <v>270</v>
      </c>
      <c r="R274" s="17" t="s">
        <v>4589</v>
      </c>
      <c r="S274" s="18" t="s">
        <v>54</v>
      </c>
      <c r="T274" s="11">
        <v>27</v>
      </c>
    </row>
    <row r="275" s="3" customFormat="1" customHeight="1" spans="1:20">
      <c r="A275" s="167" t="s">
        <v>2303</v>
      </c>
      <c r="B275" s="167" t="s">
        <v>165</v>
      </c>
      <c r="C275" s="167" t="s">
        <v>2304</v>
      </c>
      <c r="D275" s="11">
        <v>18397921329</v>
      </c>
      <c r="E275" s="167" t="s">
        <v>156</v>
      </c>
      <c r="F275" s="167" t="s">
        <v>13</v>
      </c>
      <c r="G275" s="11">
        <v>202102003</v>
      </c>
      <c r="H275" s="167" t="s">
        <v>157</v>
      </c>
      <c r="I275" s="167" t="s">
        <v>233</v>
      </c>
      <c r="J275" s="167" t="s">
        <v>1832</v>
      </c>
      <c r="K275" s="167" t="s">
        <v>160</v>
      </c>
      <c r="L275" s="167" t="s">
        <v>161</v>
      </c>
      <c r="M275" s="167" t="s">
        <v>2284</v>
      </c>
      <c r="N275" s="11">
        <v>0</v>
      </c>
      <c r="O275" s="12" t="str">
        <f>_xlfn.DISPIMG("ID_D3E1E42587914F6EA2229B8441CD1EF2",1)</f>
        <v>=DISPIMG("ID_D3E1E42587914F6EA2229B8441CD1EF2",1)</v>
      </c>
      <c r="P275" s="11" t="s">
        <v>2306</v>
      </c>
      <c r="Q275" s="11">
        <v>272</v>
      </c>
      <c r="R275" s="17" t="s">
        <v>4590</v>
      </c>
      <c r="S275" s="18" t="s">
        <v>54</v>
      </c>
      <c r="T275" s="11">
        <v>2</v>
      </c>
    </row>
    <row r="276" s="3" customFormat="1" customHeight="1" spans="1:20">
      <c r="A276" s="167" t="s">
        <v>2422</v>
      </c>
      <c r="B276" s="167" t="s">
        <v>165</v>
      </c>
      <c r="C276" s="167" t="s">
        <v>2423</v>
      </c>
      <c r="D276" s="11">
        <v>18720291058</v>
      </c>
      <c r="E276" s="167" t="s">
        <v>156</v>
      </c>
      <c r="F276" s="167" t="s">
        <v>13</v>
      </c>
      <c r="G276" s="11">
        <v>202102003</v>
      </c>
      <c r="H276" s="167" t="s">
        <v>157</v>
      </c>
      <c r="I276" s="167" t="s">
        <v>2425</v>
      </c>
      <c r="J276" s="167" t="s">
        <v>395</v>
      </c>
      <c r="K276" s="167" t="s">
        <v>160</v>
      </c>
      <c r="L276" s="167" t="s">
        <v>577</v>
      </c>
      <c r="M276" s="167" t="s">
        <v>324</v>
      </c>
      <c r="N276" s="167" t="s">
        <v>2426</v>
      </c>
      <c r="O276" s="12" t="str">
        <f>_xlfn.DISPIMG("ID_93FC4398D0D24B119D9D1B8E0038C2BD",1)</f>
        <v>=DISPIMG("ID_93FC4398D0D24B119D9D1B8E0038C2BD",1)</v>
      </c>
      <c r="P276" s="11" t="s">
        <v>2427</v>
      </c>
      <c r="Q276" s="11">
        <v>288</v>
      </c>
      <c r="R276" s="17" t="s">
        <v>4591</v>
      </c>
      <c r="S276" s="18" t="s">
        <v>54</v>
      </c>
      <c r="T276" s="11">
        <v>11</v>
      </c>
    </row>
    <row r="277" s="3" customFormat="1" customHeight="1" spans="1:20">
      <c r="A277" s="167" t="s">
        <v>2532</v>
      </c>
      <c r="B277" s="167" t="s">
        <v>165</v>
      </c>
      <c r="C277" s="167" t="s">
        <v>2533</v>
      </c>
      <c r="D277" s="11">
        <v>13687926524</v>
      </c>
      <c r="E277" s="167" t="s">
        <v>156</v>
      </c>
      <c r="F277" s="167" t="s">
        <v>13</v>
      </c>
      <c r="G277" s="11">
        <v>202102003</v>
      </c>
      <c r="H277" s="167" t="s">
        <v>157</v>
      </c>
      <c r="I277" s="167" t="s">
        <v>2535</v>
      </c>
      <c r="J277" s="167" t="s">
        <v>179</v>
      </c>
      <c r="K277" s="167" t="s">
        <v>160</v>
      </c>
      <c r="L277" s="167" t="s">
        <v>161</v>
      </c>
      <c r="M277" s="167" t="s">
        <v>13</v>
      </c>
      <c r="N277" s="11">
        <v>0</v>
      </c>
      <c r="O277" s="12" t="str">
        <f>_xlfn.DISPIMG("ID_B2A378810E7443059EBD825CE991BFE9",1)</f>
        <v>=DISPIMG("ID_B2A378810E7443059EBD825CE991BFE9",1)</v>
      </c>
      <c r="P277" s="11" t="s">
        <v>2536</v>
      </c>
      <c r="Q277" s="11">
        <v>303</v>
      </c>
      <c r="R277" s="17" t="s">
        <v>4592</v>
      </c>
      <c r="S277" s="18" t="s">
        <v>54</v>
      </c>
      <c r="T277" s="11">
        <v>14</v>
      </c>
    </row>
    <row r="278" s="3" customFormat="1" customHeight="1" spans="1:20">
      <c r="A278" s="167" t="s">
        <v>2547</v>
      </c>
      <c r="B278" s="167" t="s">
        <v>165</v>
      </c>
      <c r="C278" s="167" t="s">
        <v>2548</v>
      </c>
      <c r="D278" s="11">
        <v>18779213164</v>
      </c>
      <c r="E278" s="167" t="s">
        <v>156</v>
      </c>
      <c r="F278" s="167" t="s">
        <v>13</v>
      </c>
      <c r="G278" s="11">
        <v>202102003</v>
      </c>
      <c r="H278" s="167" t="s">
        <v>157</v>
      </c>
      <c r="I278" s="167" t="s">
        <v>158</v>
      </c>
      <c r="J278" s="167" t="s">
        <v>179</v>
      </c>
      <c r="K278" s="167" t="s">
        <v>170</v>
      </c>
      <c r="L278" s="167" t="s">
        <v>2550</v>
      </c>
      <c r="M278" s="167" t="s">
        <v>2551</v>
      </c>
      <c r="N278" s="167" t="s">
        <v>2552</v>
      </c>
      <c r="O278" s="12" t="str">
        <f>_xlfn.DISPIMG("ID_4531DA1F574D4F7CA2AF28BAD514AF1A",1)</f>
        <v>=DISPIMG("ID_4531DA1F574D4F7CA2AF28BAD514AF1A",1)</v>
      </c>
      <c r="P278" s="11" t="s">
        <v>2553</v>
      </c>
      <c r="Q278" s="11">
        <v>305</v>
      </c>
      <c r="R278" s="17" t="s">
        <v>4593</v>
      </c>
      <c r="S278" s="18" t="s">
        <v>54</v>
      </c>
      <c r="T278" s="11">
        <v>23</v>
      </c>
    </row>
    <row r="279" s="3" customFormat="1" customHeight="1" spans="1:20">
      <c r="A279" s="167" t="s">
        <v>2578</v>
      </c>
      <c r="B279" s="167" t="s">
        <v>165</v>
      </c>
      <c r="C279" s="167" t="s">
        <v>2579</v>
      </c>
      <c r="D279" s="11">
        <v>13907924069</v>
      </c>
      <c r="E279" s="167" t="s">
        <v>506</v>
      </c>
      <c r="F279" s="167" t="s">
        <v>13</v>
      </c>
      <c r="G279" s="11">
        <v>202102016</v>
      </c>
      <c r="H279" s="167" t="s">
        <v>279</v>
      </c>
      <c r="I279" s="167" t="s">
        <v>1237</v>
      </c>
      <c r="J279" s="167" t="s">
        <v>169</v>
      </c>
      <c r="K279" s="167" t="s">
        <v>170</v>
      </c>
      <c r="L279" s="167" t="s">
        <v>161</v>
      </c>
      <c r="M279" s="167" t="s">
        <v>2284</v>
      </c>
      <c r="N279" s="167" t="s">
        <v>2581</v>
      </c>
      <c r="O279" s="12" t="str">
        <f>_xlfn.DISPIMG("ID_1B69D0009E5944278A43199D519E50CB",1)</f>
        <v>=DISPIMG("ID_1B69D0009E5944278A43199D519E50CB",1)</v>
      </c>
      <c r="P279" s="11" t="s">
        <v>2582</v>
      </c>
      <c r="Q279" s="11">
        <v>309</v>
      </c>
      <c r="R279" s="17" t="s">
        <v>4594</v>
      </c>
      <c r="S279" s="18" t="s">
        <v>54</v>
      </c>
      <c r="T279" s="11">
        <v>26</v>
      </c>
    </row>
    <row r="280" s="3" customFormat="1" customHeight="1" spans="1:20">
      <c r="A280" s="167" t="s">
        <v>2585</v>
      </c>
      <c r="B280" s="167" t="s">
        <v>153</v>
      </c>
      <c r="C280" s="167" t="s">
        <v>2586</v>
      </c>
      <c r="D280" s="11">
        <v>18870098307</v>
      </c>
      <c r="E280" s="167" t="s">
        <v>156</v>
      </c>
      <c r="F280" s="167" t="s">
        <v>13</v>
      </c>
      <c r="G280" s="11">
        <v>202102003</v>
      </c>
      <c r="H280" s="167" t="s">
        <v>157</v>
      </c>
      <c r="I280" s="167" t="s">
        <v>233</v>
      </c>
      <c r="J280" s="167" t="s">
        <v>179</v>
      </c>
      <c r="K280" s="167" t="s">
        <v>160</v>
      </c>
      <c r="L280" s="167" t="s">
        <v>2298</v>
      </c>
      <c r="M280" s="167" t="s">
        <v>1692</v>
      </c>
      <c r="N280" s="167" t="s">
        <v>2588</v>
      </c>
      <c r="O280" s="12" t="str">
        <f>_xlfn.DISPIMG("ID_C226BACFF043492F9C2831E3F2035CBF",1)</f>
        <v>=DISPIMG("ID_C226BACFF043492F9C2831E3F2035CBF",1)</v>
      </c>
      <c r="P280" s="11" t="s">
        <v>2589</v>
      </c>
      <c r="Q280" s="11">
        <v>310</v>
      </c>
      <c r="R280" s="17" t="s">
        <v>4595</v>
      </c>
      <c r="S280" s="18" t="s">
        <v>54</v>
      </c>
      <c r="T280" s="11">
        <v>1</v>
      </c>
    </row>
    <row r="281" s="3" customFormat="1" customHeight="1" spans="1:20">
      <c r="A281" s="167" t="s">
        <v>2592</v>
      </c>
      <c r="B281" s="167" t="s">
        <v>165</v>
      </c>
      <c r="C281" s="167" t="s">
        <v>2593</v>
      </c>
      <c r="D281" s="11">
        <v>15179254283</v>
      </c>
      <c r="E281" s="167" t="s">
        <v>156</v>
      </c>
      <c r="F281" s="167" t="s">
        <v>13</v>
      </c>
      <c r="G281" s="11">
        <v>202102003</v>
      </c>
      <c r="H281" s="167" t="s">
        <v>157</v>
      </c>
      <c r="I281" s="167" t="s">
        <v>269</v>
      </c>
      <c r="J281" s="167" t="s">
        <v>298</v>
      </c>
      <c r="K281" s="167" t="s">
        <v>160</v>
      </c>
      <c r="L281" s="167" t="s">
        <v>161</v>
      </c>
      <c r="M281" s="167" t="s">
        <v>13</v>
      </c>
      <c r="N281" s="167" t="s">
        <v>2595</v>
      </c>
      <c r="O281" s="12" t="str">
        <f>_xlfn.DISPIMG("ID_4B5E37E946EA4E60BDCBA196E50050B9",1)</f>
        <v>=DISPIMG("ID_4B5E37E946EA4E60BDCBA196E50050B9",1)</v>
      </c>
      <c r="P281" s="11" t="s">
        <v>2596</v>
      </c>
      <c r="Q281" s="11">
        <v>311</v>
      </c>
      <c r="R281" s="17" t="s">
        <v>4596</v>
      </c>
      <c r="S281" s="18" t="s">
        <v>54</v>
      </c>
      <c r="T281" s="11">
        <v>12</v>
      </c>
    </row>
    <row r="282" s="3" customFormat="1" customHeight="1" spans="1:20">
      <c r="A282" s="167" t="s">
        <v>2620</v>
      </c>
      <c r="B282" s="167" t="s">
        <v>165</v>
      </c>
      <c r="C282" s="167" t="s">
        <v>2621</v>
      </c>
      <c r="D282" s="11">
        <v>15374326855</v>
      </c>
      <c r="E282" s="167" t="s">
        <v>156</v>
      </c>
      <c r="F282" s="167" t="s">
        <v>13</v>
      </c>
      <c r="G282" s="11">
        <v>202102003</v>
      </c>
      <c r="H282" s="167" t="s">
        <v>279</v>
      </c>
      <c r="I282" s="167" t="s">
        <v>2623</v>
      </c>
      <c r="J282" s="167" t="s">
        <v>223</v>
      </c>
      <c r="K282" s="167" t="s">
        <v>170</v>
      </c>
      <c r="L282" s="167" t="s">
        <v>587</v>
      </c>
      <c r="M282" s="167" t="s">
        <v>487</v>
      </c>
      <c r="N282" s="167" t="s">
        <v>2624</v>
      </c>
      <c r="O282" s="12" t="str">
        <f>_xlfn.DISPIMG("ID_2F48B8B967A44C168C6D69CE2A1FBAF0",1)</f>
        <v>=DISPIMG("ID_2F48B8B967A44C168C6D69CE2A1FBAF0",1)</v>
      </c>
      <c r="P282" s="11" t="s">
        <v>2625</v>
      </c>
      <c r="Q282" s="11">
        <v>315</v>
      </c>
      <c r="R282" s="17" t="s">
        <v>4597</v>
      </c>
      <c r="S282" s="18" t="s">
        <v>54</v>
      </c>
      <c r="T282" s="11">
        <v>13</v>
      </c>
    </row>
    <row r="283" s="3" customFormat="1" customHeight="1" spans="1:20">
      <c r="A283" s="167" t="s">
        <v>2698</v>
      </c>
      <c r="B283" s="167" t="s">
        <v>165</v>
      </c>
      <c r="C283" s="167" t="s">
        <v>2699</v>
      </c>
      <c r="D283" s="11">
        <v>17879865970</v>
      </c>
      <c r="E283" s="167" t="s">
        <v>156</v>
      </c>
      <c r="F283" s="167" t="s">
        <v>13</v>
      </c>
      <c r="G283" s="11">
        <v>202102003</v>
      </c>
      <c r="H283" s="167" t="s">
        <v>157</v>
      </c>
      <c r="I283" s="167" t="s">
        <v>603</v>
      </c>
      <c r="J283" s="167" t="s">
        <v>179</v>
      </c>
      <c r="K283" s="167" t="s">
        <v>160</v>
      </c>
      <c r="L283" s="167" t="s">
        <v>161</v>
      </c>
      <c r="M283" s="167" t="s">
        <v>13</v>
      </c>
      <c r="N283" s="167" t="s">
        <v>2701</v>
      </c>
      <c r="O283" s="12" t="str">
        <f>_xlfn.DISPIMG("ID_F144CD0E4B7B43F08EC41420B132D7BF",1)</f>
        <v>=DISPIMG("ID_F144CD0E4B7B43F08EC41420B132D7BF",1)</v>
      </c>
      <c r="P283" s="11" t="s">
        <v>2702</v>
      </c>
      <c r="Q283" s="11">
        <v>325</v>
      </c>
      <c r="R283" s="17" t="s">
        <v>4598</v>
      </c>
      <c r="S283" s="18" t="s">
        <v>54</v>
      </c>
      <c r="T283" s="11">
        <v>24</v>
      </c>
    </row>
    <row r="284" s="3" customFormat="1" customHeight="1" spans="1:20">
      <c r="A284" s="167" t="s">
        <v>2711</v>
      </c>
      <c r="B284" s="167" t="s">
        <v>165</v>
      </c>
      <c r="C284" s="167" t="s">
        <v>2712</v>
      </c>
      <c r="D284" s="11">
        <v>17722507024</v>
      </c>
      <c r="E284" s="167" t="s">
        <v>156</v>
      </c>
      <c r="F284" s="167" t="s">
        <v>13</v>
      </c>
      <c r="G284" s="11">
        <v>202102003</v>
      </c>
      <c r="H284" s="167" t="s">
        <v>157</v>
      </c>
      <c r="I284" s="167" t="s">
        <v>2714</v>
      </c>
      <c r="J284" s="167" t="s">
        <v>179</v>
      </c>
      <c r="K284" s="167" t="s">
        <v>160</v>
      </c>
      <c r="L284" s="167" t="s">
        <v>216</v>
      </c>
      <c r="M284" s="167" t="s">
        <v>13</v>
      </c>
      <c r="N284" s="11">
        <v>0</v>
      </c>
      <c r="O284" s="12" t="str">
        <f>_xlfn.DISPIMG("ID_8518D0C3018F4000B213F1115E41EEAA",1)</f>
        <v>=DISPIMG("ID_8518D0C3018F4000B213F1115E41EEAA",1)</v>
      </c>
      <c r="P284" s="11" t="s">
        <v>2715</v>
      </c>
      <c r="Q284" s="11">
        <v>327</v>
      </c>
      <c r="R284" s="17" t="s">
        <v>4599</v>
      </c>
      <c r="S284" s="18" t="s">
        <v>54</v>
      </c>
      <c r="T284" s="11">
        <v>25</v>
      </c>
    </row>
    <row r="285" s="3" customFormat="1" customHeight="1" spans="1:20">
      <c r="A285" s="167" t="s">
        <v>2753</v>
      </c>
      <c r="B285" s="167" t="s">
        <v>165</v>
      </c>
      <c r="C285" s="167" t="s">
        <v>2754</v>
      </c>
      <c r="D285" s="11">
        <v>18770057517</v>
      </c>
      <c r="E285" s="167" t="s">
        <v>156</v>
      </c>
      <c r="F285" s="167" t="s">
        <v>13</v>
      </c>
      <c r="G285" s="11">
        <v>202102003</v>
      </c>
      <c r="H285" s="167" t="s">
        <v>157</v>
      </c>
      <c r="I285" s="167" t="s">
        <v>646</v>
      </c>
      <c r="J285" s="167" t="s">
        <v>179</v>
      </c>
      <c r="K285" s="167" t="s">
        <v>160</v>
      </c>
      <c r="L285" s="167" t="s">
        <v>548</v>
      </c>
      <c r="M285" s="167" t="s">
        <v>2284</v>
      </c>
      <c r="N285" s="167" t="s">
        <v>2756</v>
      </c>
      <c r="O285" s="12" t="str">
        <f>_xlfn.DISPIMG("ID_2E6C674524F0427FBB4E2C3FFA53D3DF",1)</f>
        <v>=DISPIMG("ID_2E6C674524F0427FBB4E2C3FFA53D3DF",1)</v>
      </c>
      <c r="P285" s="11" t="s">
        <v>2757</v>
      </c>
      <c r="Q285" s="11">
        <v>333</v>
      </c>
      <c r="R285" s="17" t="s">
        <v>4600</v>
      </c>
      <c r="S285" s="18" t="s">
        <v>55</v>
      </c>
      <c r="T285" s="11">
        <v>6</v>
      </c>
    </row>
    <row r="286" s="3" customFormat="1" customHeight="1" spans="1:20">
      <c r="A286" s="167" t="s">
        <v>2760</v>
      </c>
      <c r="B286" s="167" t="s">
        <v>165</v>
      </c>
      <c r="C286" s="167" t="s">
        <v>2761</v>
      </c>
      <c r="D286" s="11">
        <v>18296291050</v>
      </c>
      <c r="E286" s="167" t="s">
        <v>156</v>
      </c>
      <c r="F286" s="167" t="s">
        <v>13</v>
      </c>
      <c r="G286" s="11">
        <v>202102003</v>
      </c>
      <c r="H286" s="167" t="s">
        <v>157</v>
      </c>
      <c r="I286" s="167" t="s">
        <v>2763</v>
      </c>
      <c r="J286" s="167" t="s">
        <v>179</v>
      </c>
      <c r="K286" s="167" t="s">
        <v>160</v>
      </c>
      <c r="L286" s="167" t="s">
        <v>261</v>
      </c>
      <c r="M286" s="167" t="s">
        <v>487</v>
      </c>
      <c r="N286" s="11">
        <v>0</v>
      </c>
      <c r="O286" s="12" t="str">
        <f>_xlfn.DISPIMG("ID_345E5ECE839B455186CF8C80E701C44C",1)</f>
        <v>=DISPIMG("ID_345E5ECE839B455186CF8C80E701C44C",1)</v>
      </c>
      <c r="P286" s="11" t="s">
        <v>2764</v>
      </c>
      <c r="Q286" s="11">
        <v>334</v>
      </c>
      <c r="R286" s="17" t="s">
        <v>4601</v>
      </c>
      <c r="S286" s="18" t="s">
        <v>55</v>
      </c>
      <c r="T286" s="11">
        <v>7</v>
      </c>
    </row>
    <row r="287" s="3" customFormat="1" customHeight="1" spans="1:20">
      <c r="A287" s="167" t="s">
        <v>2781</v>
      </c>
      <c r="B287" s="167" t="s">
        <v>165</v>
      </c>
      <c r="C287" s="167" t="s">
        <v>2782</v>
      </c>
      <c r="D287" s="11">
        <v>15720953943</v>
      </c>
      <c r="E287" s="167" t="s">
        <v>156</v>
      </c>
      <c r="F287" s="167" t="s">
        <v>13</v>
      </c>
      <c r="G287" s="11">
        <v>202102003</v>
      </c>
      <c r="H287" s="167" t="s">
        <v>279</v>
      </c>
      <c r="I287" s="167" t="s">
        <v>178</v>
      </c>
      <c r="J287" s="167" t="s">
        <v>223</v>
      </c>
      <c r="K287" s="167" t="s">
        <v>170</v>
      </c>
      <c r="L287" s="167" t="s">
        <v>281</v>
      </c>
      <c r="M287" s="167" t="s">
        <v>13</v>
      </c>
      <c r="N287" s="167" t="s">
        <v>2784</v>
      </c>
      <c r="O287" s="12" t="str">
        <f>_xlfn.DISPIMG("ID_88B18CBF153241AE8E07B8EDC59079D6",1)</f>
        <v>=DISPIMG("ID_88B18CBF153241AE8E07B8EDC59079D6",1)</v>
      </c>
      <c r="P287" s="11" t="s">
        <v>2785</v>
      </c>
      <c r="Q287" s="11">
        <v>337</v>
      </c>
      <c r="R287" s="17" t="s">
        <v>4602</v>
      </c>
      <c r="S287" s="18" t="s">
        <v>55</v>
      </c>
      <c r="T287" s="11">
        <v>18</v>
      </c>
    </row>
    <row r="288" s="3" customFormat="1" customHeight="1" spans="1:20">
      <c r="A288" s="167" t="s">
        <v>2788</v>
      </c>
      <c r="B288" s="167" t="s">
        <v>165</v>
      </c>
      <c r="C288" s="167" t="s">
        <v>2789</v>
      </c>
      <c r="D288" s="11">
        <v>15727651558</v>
      </c>
      <c r="E288" s="167" t="s">
        <v>156</v>
      </c>
      <c r="F288" s="167" t="s">
        <v>13</v>
      </c>
      <c r="G288" s="11">
        <v>202102003</v>
      </c>
      <c r="H288" s="167" t="s">
        <v>157</v>
      </c>
      <c r="I288" s="167" t="s">
        <v>827</v>
      </c>
      <c r="J288" s="167" t="s">
        <v>223</v>
      </c>
      <c r="K288" s="167" t="s">
        <v>170</v>
      </c>
      <c r="L288" s="167" t="s">
        <v>306</v>
      </c>
      <c r="M288" s="167" t="s">
        <v>2791</v>
      </c>
      <c r="N288" s="167" t="s">
        <v>2792</v>
      </c>
      <c r="O288" s="12" t="str">
        <f>_xlfn.DISPIMG("ID_5273CD0F4AF44426A565D4F4C926815B",1)</f>
        <v>=DISPIMG("ID_5273CD0F4AF44426A565D4F4C926815B",1)</v>
      </c>
      <c r="P288" s="11" t="s">
        <v>2793</v>
      </c>
      <c r="Q288" s="11">
        <v>338</v>
      </c>
      <c r="R288" s="17" t="s">
        <v>4603</v>
      </c>
      <c r="S288" s="18" t="s">
        <v>55</v>
      </c>
      <c r="T288" s="11">
        <v>19</v>
      </c>
    </row>
    <row r="289" s="3" customFormat="1" customHeight="1" spans="1:20">
      <c r="A289" s="167" t="s">
        <v>2812</v>
      </c>
      <c r="B289" s="167" t="s">
        <v>165</v>
      </c>
      <c r="C289" s="167" t="s">
        <v>2813</v>
      </c>
      <c r="D289" s="11">
        <v>17770890987</v>
      </c>
      <c r="E289" s="167" t="s">
        <v>156</v>
      </c>
      <c r="F289" s="167" t="s">
        <v>13</v>
      </c>
      <c r="G289" s="11">
        <v>202102003</v>
      </c>
      <c r="H289" s="167" t="s">
        <v>157</v>
      </c>
      <c r="I289" s="167" t="s">
        <v>385</v>
      </c>
      <c r="J289" s="167" t="s">
        <v>179</v>
      </c>
      <c r="K289" s="167" t="s">
        <v>170</v>
      </c>
      <c r="L289" s="167" t="s">
        <v>2047</v>
      </c>
      <c r="M289" s="167" t="s">
        <v>1692</v>
      </c>
      <c r="N289" s="167" t="s">
        <v>2815</v>
      </c>
      <c r="O289" s="12" t="str">
        <f>_xlfn.DISPIMG("ID_5757AB93890A4F58A4EA7B46206D2416",1)</f>
        <v>=DISPIMG("ID_5757AB93890A4F58A4EA7B46206D2416",1)</v>
      </c>
      <c r="P289" s="11" t="s">
        <v>2816</v>
      </c>
      <c r="Q289" s="11">
        <v>341</v>
      </c>
      <c r="R289" s="17" t="s">
        <v>4604</v>
      </c>
      <c r="S289" s="18" t="s">
        <v>55</v>
      </c>
      <c r="T289" s="11">
        <v>30</v>
      </c>
    </row>
    <row r="290" s="3" customFormat="1" customHeight="1" spans="1:20">
      <c r="A290" s="167" t="s">
        <v>2819</v>
      </c>
      <c r="B290" s="167" t="s">
        <v>165</v>
      </c>
      <c r="C290" s="167" t="s">
        <v>2820</v>
      </c>
      <c r="D290" s="11">
        <v>18720151872</v>
      </c>
      <c r="E290" s="167" t="s">
        <v>156</v>
      </c>
      <c r="F290" s="167" t="s">
        <v>13</v>
      </c>
      <c r="G290" s="11">
        <v>202102003</v>
      </c>
      <c r="H290" s="167" t="s">
        <v>157</v>
      </c>
      <c r="I290" s="167" t="s">
        <v>269</v>
      </c>
      <c r="J290" s="167" t="s">
        <v>2821</v>
      </c>
      <c r="K290" s="167" t="s">
        <v>170</v>
      </c>
      <c r="L290" s="167" t="s">
        <v>455</v>
      </c>
      <c r="M290" s="167" t="s">
        <v>13</v>
      </c>
      <c r="N290" s="11">
        <v>0</v>
      </c>
      <c r="O290" s="12" t="str">
        <f>_xlfn.DISPIMG("ID_3C9269A8B40D486AA589E83B191F62F8",1)</f>
        <v>=DISPIMG("ID_3C9269A8B40D486AA589E83B191F62F8",1)</v>
      </c>
      <c r="P290" s="11" t="s">
        <v>2822</v>
      </c>
      <c r="Q290" s="11">
        <v>342</v>
      </c>
      <c r="R290" s="17" t="s">
        <v>4605</v>
      </c>
      <c r="S290" s="18" t="s">
        <v>55</v>
      </c>
      <c r="T290" s="11">
        <v>5</v>
      </c>
    </row>
    <row r="291" s="3" customFormat="1" customHeight="1" spans="1:20">
      <c r="A291" s="167" t="s">
        <v>2895</v>
      </c>
      <c r="B291" s="167" t="s">
        <v>165</v>
      </c>
      <c r="C291" s="167" t="s">
        <v>2896</v>
      </c>
      <c r="D291" s="11">
        <v>13667020095</v>
      </c>
      <c r="E291" s="167" t="s">
        <v>156</v>
      </c>
      <c r="F291" s="167" t="s">
        <v>13</v>
      </c>
      <c r="G291" s="11">
        <v>202102003</v>
      </c>
      <c r="H291" s="167" t="s">
        <v>157</v>
      </c>
      <c r="I291" s="167" t="s">
        <v>1413</v>
      </c>
      <c r="J291" s="167" t="s">
        <v>298</v>
      </c>
      <c r="K291" s="167" t="s">
        <v>160</v>
      </c>
      <c r="L291" s="167" t="s">
        <v>455</v>
      </c>
      <c r="M291" s="167" t="s">
        <v>13</v>
      </c>
      <c r="N291" s="11">
        <v>0</v>
      </c>
      <c r="O291" s="12" t="str">
        <f>_xlfn.DISPIMG("ID_C271EED4B7664E51B0603E12A2C5BA93",1)</f>
        <v>=DISPIMG("ID_C271EED4B7664E51B0603E12A2C5BA93",1)</v>
      </c>
      <c r="P291" s="11" t="s">
        <v>2898</v>
      </c>
      <c r="Q291" s="11">
        <v>352</v>
      </c>
      <c r="R291" s="17" t="s">
        <v>4606</v>
      </c>
      <c r="S291" s="18" t="s">
        <v>55</v>
      </c>
      <c r="T291" s="11">
        <v>8</v>
      </c>
    </row>
    <row r="292" s="3" customFormat="1" customHeight="1" spans="1:20">
      <c r="A292" s="167" t="s">
        <v>2901</v>
      </c>
      <c r="B292" s="167" t="s">
        <v>165</v>
      </c>
      <c r="C292" s="167" t="s">
        <v>2902</v>
      </c>
      <c r="D292" s="11">
        <v>18070124707</v>
      </c>
      <c r="E292" s="167" t="s">
        <v>156</v>
      </c>
      <c r="F292" s="167" t="s">
        <v>13</v>
      </c>
      <c r="G292" s="11">
        <v>202102003</v>
      </c>
      <c r="H292" s="167" t="s">
        <v>157</v>
      </c>
      <c r="I292" s="167" t="s">
        <v>2904</v>
      </c>
      <c r="J292" s="167" t="s">
        <v>2379</v>
      </c>
      <c r="K292" s="167" t="s">
        <v>160</v>
      </c>
      <c r="L292" s="167" t="s">
        <v>396</v>
      </c>
      <c r="M292" s="167" t="s">
        <v>13</v>
      </c>
      <c r="N292" s="11">
        <v>0</v>
      </c>
      <c r="O292" s="12" t="str">
        <f>_xlfn.DISPIMG("ID_C611D78CF3534BF4A6063B88C3B55BD9",1)</f>
        <v>=DISPIMG("ID_C611D78CF3534BF4A6063B88C3B55BD9",1)</v>
      </c>
      <c r="P292" s="11" t="s">
        <v>2905</v>
      </c>
      <c r="Q292" s="11">
        <v>353</v>
      </c>
      <c r="R292" s="17" t="s">
        <v>4607</v>
      </c>
      <c r="S292" s="18" t="s">
        <v>55</v>
      </c>
      <c r="T292" s="11">
        <v>17</v>
      </c>
    </row>
    <row r="293" s="6" customFormat="1" customHeight="1" spans="1:20">
      <c r="A293" s="167" t="s">
        <v>2932</v>
      </c>
      <c r="B293" s="167" t="s">
        <v>165</v>
      </c>
      <c r="C293" s="167" t="s">
        <v>2933</v>
      </c>
      <c r="D293" s="11">
        <v>13870255583</v>
      </c>
      <c r="E293" s="167" t="s">
        <v>156</v>
      </c>
      <c r="F293" s="167" t="s">
        <v>13</v>
      </c>
      <c r="G293" s="11">
        <v>202102003</v>
      </c>
      <c r="H293" s="167" t="s">
        <v>157</v>
      </c>
      <c r="I293" s="167" t="s">
        <v>385</v>
      </c>
      <c r="J293" s="167" t="s">
        <v>1832</v>
      </c>
      <c r="K293" s="167" t="s">
        <v>160</v>
      </c>
      <c r="L293" s="167" t="s">
        <v>2935</v>
      </c>
      <c r="M293" s="167" t="s">
        <v>487</v>
      </c>
      <c r="N293" s="167" t="s">
        <v>2936</v>
      </c>
      <c r="O293" s="12" t="str">
        <f>_xlfn.DISPIMG("ID_63C75D62D3BC4F35AC4FD3D224F21D03",1)</f>
        <v>=DISPIMG("ID_63C75D62D3BC4F35AC4FD3D224F21D03",1)</v>
      </c>
      <c r="P293" s="11" t="s">
        <v>2937</v>
      </c>
      <c r="Q293" s="11">
        <v>360</v>
      </c>
      <c r="R293" s="17" t="s">
        <v>4608</v>
      </c>
      <c r="S293" s="18" t="s">
        <v>55</v>
      </c>
      <c r="T293" s="11">
        <v>20</v>
      </c>
    </row>
    <row r="294" s="3" customFormat="1" customHeight="1" spans="1:20">
      <c r="A294" s="167" t="s">
        <v>3008</v>
      </c>
      <c r="B294" s="167" t="s">
        <v>165</v>
      </c>
      <c r="C294" s="167" t="s">
        <v>3009</v>
      </c>
      <c r="D294" s="11">
        <v>15180626109</v>
      </c>
      <c r="E294" s="167" t="s">
        <v>156</v>
      </c>
      <c r="F294" s="167" t="s">
        <v>13</v>
      </c>
      <c r="G294" s="11">
        <v>202102003</v>
      </c>
      <c r="H294" s="167" t="s">
        <v>157</v>
      </c>
      <c r="I294" s="167" t="s">
        <v>197</v>
      </c>
      <c r="J294" s="167" t="s">
        <v>179</v>
      </c>
      <c r="K294" s="167" t="s">
        <v>160</v>
      </c>
      <c r="L294" s="167" t="s">
        <v>261</v>
      </c>
      <c r="M294" s="167" t="s">
        <v>3011</v>
      </c>
      <c r="N294" s="11">
        <v>0</v>
      </c>
      <c r="O294" s="12" t="str">
        <f>_xlfn.DISPIMG("ID_81E01CE746794A43971E9E864E9A0098",1)</f>
        <v>=DISPIMG("ID_81E01CE746794A43971E9E864E9A0098",1)</v>
      </c>
      <c r="P294" s="11" t="s">
        <v>3012</v>
      </c>
      <c r="Q294" s="11">
        <v>371</v>
      </c>
      <c r="R294" s="17" t="s">
        <v>4609</v>
      </c>
      <c r="S294" s="18" t="s">
        <v>55</v>
      </c>
      <c r="T294" s="11">
        <v>29</v>
      </c>
    </row>
    <row r="295" s="3" customFormat="1" customHeight="1" spans="1:20">
      <c r="A295" s="167" t="s">
        <v>3151</v>
      </c>
      <c r="B295" s="167" t="s">
        <v>165</v>
      </c>
      <c r="C295" s="167" t="s">
        <v>3152</v>
      </c>
      <c r="D295" s="11">
        <v>15807046137</v>
      </c>
      <c r="E295" s="167" t="s">
        <v>156</v>
      </c>
      <c r="F295" s="167" t="s">
        <v>13</v>
      </c>
      <c r="G295" s="11">
        <v>202102003</v>
      </c>
      <c r="H295" s="167" t="s">
        <v>157</v>
      </c>
      <c r="I295" s="167" t="s">
        <v>611</v>
      </c>
      <c r="J295" s="167" t="s">
        <v>179</v>
      </c>
      <c r="K295" s="167" t="s">
        <v>160</v>
      </c>
      <c r="L295" s="167" t="s">
        <v>261</v>
      </c>
      <c r="M295" s="167" t="s">
        <v>13</v>
      </c>
      <c r="N295" s="167" t="s">
        <v>3154</v>
      </c>
      <c r="O295" s="12" t="str">
        <f>_xlfn.DISPIMG("ID_677BA8871B344518950747C60527229E",1)</f>
        <v>=DISPIMG("ID_677BA8871B344518950747C60527229E",1)</v>
      </c>
      <c r="P295" s="11" t="s">
        <v>3155</v>
      </c>
      <c r="Q295" s="11">
        <v>390</v>
      </c>
      <c r="R295" s="17" t="s">
        <v>4610</v>
      </c>
      <c r="S295" s="18" t="s">
        <v>55</v>
      </c>
      <c r="T295" s="11">
        <v>4</v>
      </c>
    </row>
    <row r="296" s="3" customFormat="1" customHeight="1" spans="1:20">
      <c r="A296" s="167" t="s">
        <v>3204</v>
      </c>
      <c r="B296" s="167" t="s">
        <v>165</v>
      </c>
      <c r="C296" s="167" t="s">
        <v>3205</v>
      </c>
      <c r="D296" s="11">
        <v>18270304769</v>
      </c>
      <c r="E296" s="167" t="s">
        <v>156</v>
      </c>
      <c r="F296" s="167" t="s">
        <v>13</v>
      </c>
      <c r="G296" s="11">
        <v>202102003</v>
      </c>
      <c r="H296" s="167" t="s">
        <v>279</v>
      </c>
      <c r="I296" s="167" t="s">
        <v>168</v>
      </c>
      <c r="J296" s="167" t="s">
        <v>223</v>
      </c>
      <c r="K296" s="167" t="s">
        <v>170</v>
      </c>
      <c r="L296" s="167" t="s">
        <v>171</v>
      </c>
      <c r="M296" s="167" t="s">
        <v>13</v>
      </c>
      <c r="N296" s="167" t="s">
        <v>3207</v>
      </c>
      <c r="O296" s="12" t="str">
        <f>_xlfn.DISPIMG("ID_51BC672EACDF4F87BCFEE4B4000126C2",1)</f>
        <v>=DISPIMG("ID_51BC672EACDF4F87BCFEE4B4000126C2",1)</v>
      </c>
      <c r="P296" s="11" t="s">
        <v>3208</v>
      </c>
      <c r="Q296" s="11">
        <v>399</v>
      </c>
      <c r="R296" s="17" t="s">
        <v>4611</v>
      </c>
      <c r="S296" s="18" t="s">
        <v>55</v>
      </c>
      <c r="T296" s="11">
        <v>9</v>
      </c>
    </row>
    <row r="297" s="3" customFormat="1" customHeight="1" spans="1:20">
      <c r="A297" s="167" t="s">
        <v>3241</v>
      </c>
      <c r="B297" s="167" t="s">
        <v>165</v>
      </c>
      <c r="C297" s="167" t="s">
        <v>3242</v>
      </c>
      <c r="D297" s="11">
        <v>15390868523</v>
      </c>
      <c r="E297" s="167" t="s">
        <v>156</v>
      </c>
      <c r="F297" s="167" t="s">
        <v>13</v>
      </c>
      <c r="G297" s="11">
        <v>202102003</v>
      </c>
      <c r="H297" s="167" t="s">
        <v>157</v>
      </c>
      <c r="I297" s="167" t="s">
        <v>3244</v>
      </c>
      <c r="J297" s="167" t="s">
        <v>179</v>
      </c>
      <c r="K297" s="167" t="s">
        <v>160</v>
      </c>
      <c r="L297" s="167" t="s">
        <v>161</v>
      </c>
      <c r="M297" s="167" t="s">
        <v>190</v>
      </c>
      <c r="N297" s="11">
        <v>0</v>
      </c>
      <c r="O297" s="12" t="str">
        <f>_xlfn.DISPIMG("ID_AED07D8F3E8D4336A7B785D8FBC52BF4",1)</f>
        <v>=DISPIMG("ID_AED07D8F3E8D4336A7B785D8FBC52BF4",1)</v>
      </c>
      <c r="P297" s="11" t="s">
        <v>3245</v>
      </c>
      <c r="Q297" s="11">
        <v>404</v>
      </c>
      <c r="R297" s="17" t="s">
        <v>4612</v>
      </c>
      <c r="S297" s="18" t="s">
        <v>55</v>
      </c>
      <c r="T297" s="11">
        <v>16</v>
      </c>
    </row>
    <row r="298" s="4" customFormat="1" customHeight="1" spans="1:20">
      <c r="A298" s="167" t="s">
        <v>3255</v>
      </c>
      <c r="B298" s="167" t="s">
        <v>165</v>
      </c>
      <c r="C298" s="167" t="s">
        <v>3256</v>
      </c>
      <c r="D298" s="11">
        <v>18770283607</v>
      </c>
      <c r="E298" s="167" t="s">
        <v>156</v>
      </c>
      <c r="F298" s="167" t="s">
        <v>13</v>
      </c>
      <c r="G298" s="11">
        <v>202102003</v>
      </c>
      <c r="H298" s="167" t="s">
        <v>157</v>
      </c>
      <c r="I298" s="167" t="s">
        <v>611</v>
      </c>
      <c r="J298" s="167" t="s">
        <v>179</v>
      </c>
      <c r="K298" s="167" t="s">
        <v>160</v>
      </c>
      <c r="L298" s="167" t="s">
        <v>577</v>
      </c>
      <c r="M298" s="167" t="s">
        <v>3258</v>
      </c>
      <c r="N298" s="167" t="s">
        <v>3259</v>
      </c>
      <c r="O298" s="12" t="str">
        <f>_xlfn.DISPIMG("ID_9640DE1808F9498F8612547EA44506E8",1)</f>
        <v>=DISPIMG("ID_9640DE1808F9498F8612547EA44506E8",1)</v>
      </c>
      <c r="P298" s="11" t="s">
        <v>3260</v>
      </c>
      <c r="Q298" s="11">
        <v>406</v>
      </c>
      <c r="R298" s="17" t="s">
        <v>4613</v>
      </c>
      <c r="S298" s="18" t="s">
        <v>55</v>
      </c>
      <c r="T298" s="11">
        <v>21</v>
      </c>
    </row>
    <row r="299" s="3" customFormat="1" customHeight="1" spans="1:20">
      <c r="A299" s="167" t="s">
        <v>3314</v>
      </c>
      <c r="B299" s="167" t="s">
        <v>165</v>
      </c>
      <c r="C299" s="167" t="s">
        <v>3315</v>
      </c>
      <c r="D299" s="11">
        <v>18070403284</v>
      </c>
      <c r="E299" s="167" t="s">
        <v>156</v>
      </c>
      <c r="F299" s="167" t="s">
        <v>13</v>
      </c>
      <c r="G299" s="11">
        <v>202102003</v>
      </c>
      <c r="H299" s="167" t="s">
        <v>157</v>
      </c>
      <c r="I299" s="167" t="s">
        <v>385</v>
      </c>
      <c r="J299" s="167" t="s">
        <v>2821</v>
      </c>
      <c r="K299" s="167" t="s">
        <v>170</v>
      </c>
      <c r="L299" s="167" t="s">
        <v>281</v>
      </c>
      <c r="M299" s="167" t="s">
        <v>25</v>
      </c>
      <c r="N299" s="167" t="s">
        <v>3317</v>
      </c>
      <c r="O299" s="12" t="str">
        <f>_xlfn.DISPIMG("ID_395A3D0BD71445EA85EA2ACA292A2801",1)</f>
        <v>=DISPIMG("ID_395A3D0BD71445EA85EA2ACA292A2801",1)</v>
      </c>
      <c r="P299" s="11" t="s">
        <v>3318</v>
      </c>
      <c r="Q299" s="11">
        <v>416</v>
      </c>
      <c r="R299" s="17" t="s">
        <v>4614</v>
      </c>
      <c r="S299" s="18" t="s">
        <v>55</v>
      </c>
      <c r="T299" s="11">
        <v>28</v>
      </c>
    </row>
    <row r="300" s="3" customFormat="1" customHeight="1" spans="1:20">
      <c r="A300" s="167" t="s">
        <v>3351</v>
      </c>
      <c r="B300" s="167" t="s">
        <v>165</v>
      </c>
      <c r="C300" s="167" t="s">
        <v>3352</v>
      </c>
      <c r="D300" s="11">
        <v>18720295129</v>
      </c>
      <c r="E300" s="167" t="s">
        <v>156</v>
      </c>
      <c r="F300" s="167" t="s">
        <v>13</v>
      </c>
      <c r="G300" s="11">
        <v>202102003</v>
      </c>
      <c r="H300" s="167" t="s">
        <v>279</v>
      </c>
      <c r="I300" s="167" t="s">
        <v>158</v>
      </c>
      <c r="J300" s="167" t="s">
        <v>223</v>
      </c>
      <c r="K300" s="167" t="s">
        <v>170</v>
      </c>
      <c r="L300" s="167" t="s">
        <v>180</v>
      </c>
      <c r="M300" s="167" t="s">
        <v>3354</v>
      </c>
      <c r="N300" s="167" t="s">
        <v>3355</v>
      </c>
      <c r="O300" s="12" t="str">
        <f>_xlfn.DISPIMG("ID_74A8F2037BB844E7BAC2F04950084CD2",1)</f>
        <v>=DISPIMG("ID_74A8F2037BB844E7BAC2F04950084CD2",1)</v>
      </c>
      <c r="P300" s="11" t="s">
        <v>3356</v>
      </c>
      <c r="Q300" s="11">
        <v>422</v>
      </c>
      <c r="R300" s="17" t="s">
        <v>4615</v>
      </c>
      <c r="S300" s="18" t="s">
        <v>55</v>
      </c>
      <c r="T300" s="11">
        <v>3</v>
      </c>
    </row>
    <row r="301" s="3" customFormat="1" customHeight="1" spans="1:20">
      <c r="A301" s="167" t="s">
        <v>3409</v>
      </c>
      <c r="B301" s="167" t="s">
        <v>165</v>
      </c>
      <c r="C301" s="167" t="s">
        <v>3410</v>
      </c>
      <c r="D301" s="11">
        <v>15079270221</v>
      </c>
      <c r="E301" s="167" t="s">
        <v>156</v>
      </c>
      <c r="F301" s="167" t="s">
        <v>13</v>
      </c>
      <c r="G301" s="11">
        <v>202102003</v>
      </c>
      <c r="H301" s="167" t="s">
        <v>157</v>
      </c>
      <c r="I301" s="167" t="s">
        <v>158</v>
      </c>
      <c r="J301" s="167" t="s">
        <v>298</v>
      </c>
      <c r="K301" s="167" t="s">
        <v>160</v>
      </c>
      <c r="L301" s="167" t="s">
        <v>306</v>
      </c>
      <c r="M301" s="167" t="s">
        <v>13</v>
      </c>
      <c r="N301" s="167" t="s">
        <v>3412</v>
      </c>
      <c r="O301" s="12" t="str">
        <f>_xlfn.DISPIMG("ID_36F8A707A81B40EC83CC116E77C5C07D",1)</f>
        <v>=DISPIMG("ID_36F8A707A81B40EC83CC116E77C5C07D",1)</v>
      </c>
      <c r="P301" s="11" t="s">
        <v>3413</v>
      </c>
      <c r="Q301" s="11">
        <v>430</v>
      </c>
      <c r="R301" s="17" t="s">
        <v>4616</v>
      </c>
      <c r="S301" s="18" t="s">
        <v>55</v>
      </c>
      <c r="T301" s="11">
        <v>10</v>
      </c>
    </row>
    <row r="302" s="3" customFormat="1" customHeight="1" spans="1:20">
      <c r="A302" s="167" t="s">
        <v>3458</v>
      </c>
      <c r="B302" s="167" t="s">
        <v>165</v>
      </c>
      <c r="C302" s="167" t="s">
        <v>3459</v>
      </c>
      <c r="D302" s="11">
        <v>18207577354</v>
      </c>
      <c r="E302" s="167" t="s">
        <v>156</v>
      </c>
      <c r="F302" s="167" t="s">
        <v>13</v>
      </c>
      <c r="G302" s="11">
        <v>202102003</v>
      </c>
      <c r="H302" s="167" t="s">
        <v>157</v>
      </c>
      <c r="I302" s="167" t="s">
        <v>385</v>
      </c>
      <c r="J302" s="167" t="s">
        <v>3461</v>
      </c>
      <c r="K302" s="167" t="s">
        <v>160</v>
      </c>
      <c r="L302" s="167" t="s">
        <v>368</v>
      </c>
      <c r="M302" s="167" t="s">
        <v>3011</v>
      </c>
      <c r="N302" s="167" t="s">
        <v>3462</v>
      </c>
      <c r="O302" s="12" t="str">
        <f>_xlfn.DISPIMG("ID_D2C4D691F93F4717949BB5BBCD3994DD",1)</f>
        <v>=DISPIMG("ID_D2C4D691F93F4717949BB5BBCD3994DD",1)</v>
      </c>
      <c r="P302" s="11" t="s">
        <v>3463</v>
      </c>
      <c r="Q302" s="11">
        <v>437</v>
      </c>
      <c r="R302" s="17" t="s">
        <v>4617</v>
      </c>
      <c r="S302" s="18" t="s">
        <v>55</v>
      </c>
      <c r="T302" s="11">
        <v>15</v>
      </c>
    </row>
    <row r="303" s="3" customFormat="1" customHeight="1" spans="1:20">
      <c r="A303" s="167" t="s">
        <v>3481</v>
      </c>
      <c r="B303" s="167" t="s">
        <v>153</v>
      </c>
      <c r="C303" s="167" t="s">
        <v>3482</v>
      </c>
      <c r="D303" s="11">
        <v>13119548929</v>
      </c>
      <c r="E303" s="167" t="s">
        <v>506</v>
      </c>
      <c r="F303" s="167" t="s">
        <v>13</v>
      </c>
      <c r="G303" s="11">
        <v>202102016</v>
      </c>
      <c r="H303" s="167" t="s">
        <v>157</v>
      </c>
      <c r="I303" s="167" t="s">
        <v>1112</v>
      </c>
      <c r="J303" s="167" t="s">
        <v>3484</v>
      </c>
      <c r="K303" s="167" t="s">
        <v>160</v>
      </c>
      <c r="L303" s="167" t="s">
        <v>216</v>
      </c>
      <c r="M303" s="167" t="s">
        <v>2284</v>
      </c>
      <c r="N303" s="167" t="s">
        <v>3485</v>
      </c>
      <c r="O303" s="12" t="str">
        <f>_xlfn.DISPIMG("ID_9C9702A9D71D49F4A0D4283BE0B57A8D",1)</f>
        <v>=DISPIMG("ID_9C9702A9D71D49F4A0D4283BE0B57A8D",1)</v>
      </c>
      <c r="P303" s="11" t="s">
        <v>3486</v>
      </c>
      <c r="Q303" s="11">
        <v>440</v>
      </c>
      <c r="R303" s="17" t="s">
        <v>4618</v>
      </c>
      <c r="S303" s="18" t="s">
        <v>55</v>
      </c>
      <c r="T303" s="11">
        <v>22</v>
      </c>
    </row>
    <row r="304" s="3" customFormat="1" customHeight="1" spans="1:20">
      <c r="A304" s="167" t="s">
        <v>3647</v>
      </c>
      <c r="B304" s="167" t="s">
        <v>165</v>
      </c>
      <c r="C304" s="167" t="s">
        <v>3648</v>
      </c>
      <c r="D304" s="11">
        <v>19914728112</v>
      </c>
      <c r="E304" s="167" t="s">
        <v>156</v>
      </c>
      <c r="F304" s="167" t="s">
        <v>13</v>
      </c>
      <c r="G304" s="11">
        <v>202102003</v>
      </c>
      <c r="H304" s="167" t="s">
        <v>705</v>
      </c>
      <c r="I304" s="167" t="s">
        <v>1413</v>
      </c>
      <c r="J304" s="167" t="s">
        <v>3650</v>
      </c>
      <c r="K304" s="167" t="s">
        <v>170</v>
      </c>
      <c r="L304" s="167" t="s">
        <v>455</v>
      </c>
      <c r="M304" s="167" t="s">
        <v>3651</v>
      </c>
      <c r="N304" s="11">
        <v>0</v>
      </c>
      <c r="O304" s="12" t="str">
        <f>_xlfn.DISPIMG("ID_5D17E050202348DFAA14EEF8D985F66D",1)</f>
        <v>=DISPIMG("ID_5D17E050202348DFAA14EEF8D985F66D",1)</v>
      </c>
      <c r="P304" s="11" t="s">
        <v>3652</v>
      </c>
      <c r="Q304" s="11">
        <v>464</v>
      </c>
      <c r="R304" s="17" t="s">
        <v>4619</v>
      </c>
      <c r="S304" s="18" t="s">
        <v>55</v>
      </c>
      <c r="T304" s="11">
        <v>27</v>
      </c>
    </row>
    <row r="305" s="3" customFormat="1" customHeight="1" spans="1:20">
      <c r="A305" s="167" t="s">
        <v>3804</v>
      </c>
      <c r="B305" s="167" t="s">
        <v>165</v>
      </c>
      <c r="C305" s="167" t="s">
        <v>3805</v>
      </c>
      <c r="D305" s="11">
        <v>18859568610</v>
      </c>
      <c r="E305" s="167" t="s">
        <v>156</v>
      </c>
      <c r="F305" s="167" t="s">
        <v>13</v>
      </c>
      <c r="G305" s="11">
        <v>202102003</v>
      </c>
      <c r="H305" s="167" t="s">
        <v>157</v>
      </c>
      <c r="I305" s="167" t="s">
        <v>2943</v>
      </c>
      <c r="J305" s="167" t="s">
        <v>179</v>
      </c>
      <c r="K305" s="167" t="s">
        <v>160</v>
      </c>
      <c r="L305" s="167" t="s">
        <v>235</v>
      </c>
      <c r="M305" s="167" t="s">
        <v>1187</v>
      </c>
      <c r="N305" s="167" t="s">
        <v>3807</v>
      </c>
      <c r="O305" s="12" t="str">
        <f>_xlfn.DISPIMG("ID_958C237DE20E4119882FD97115456597",1)</f>
        <v>=DISPIMG("ID_958C237DE20E4119882FD97115456597",1)</v>
      </c>
      <c r="P305" s="11" t="s">
        <v>3808</v>
      </c>
      <c r="Q305" s="20">
        <v>485</v>
      </c>
      <c r="R305" s="17" t="s">
        <v>4620</v>
      </c>
      <c r="S305" s="18" t="s">
        <v>55</v>
      </c>
      <c r="T305" s="11">
        <v>2</v>
      </c>
    </row>
    <row r="306" s="3" customFormat="1" customHeight="1" spans="1:20">
      <c r="A306" s="167" t="s">
        <v>3826</v>
      </c>
      <c r="B306" s="167" t="s">
        <v>165</v>
      </c>
      <c r="C306" s="167" t="s">
        <v>3827</v>
      </c>
      <c r="D306" s="11">
        <v>18379207307</v>
      </c>
      <c r="E306" s="167" t="s">
        <v>156</v>
      </c>
      <c r="F306" s="167" t="s">
        <v>13</v>
      </c>
      <c r="G306" s="11">
        <v>202102003</v>
      </c>
      <c r="H306" s="167" t="s">
        <v>279</v>
      </c>
      <c r="I306" s="167" t="s">
        <v>158</v>
      </c>
      <c r="J306" s="167" t="s">
        <v>223</v>
      </c>
      <c r="K306" s="167" t="s">
        <v>170</v>
      </c>
      <c r="L306" s="167" t="s">
        <v>180</v>
      </c>
      <c r="M306" s="167" t="s">
        <v>487</v>
      </c>
      <c r="N306" s="167" t="s">
        <v>3829</v>
      </c>
      <c r="O306" s="12" t="str">
        <f>_xlfn.DISPIMG("ID_0F27C17184DB40E4ADCCEAF2E242F8D5",1)</f>
        <v>=DISPIMG("ID_0F27C17184DB40E4ADCCEAF2E242F8D5",1)</v>
      </c>
      <c r="P306" s="11" t="s">
        <v>3830</v>
      </c>
      <c r="Q306" s="20">
        <v>488</v>
      </c>
      <c r="R306" s="17" t="s">
        <v>4621</v>
      </c>
      <c r="S306" s="18" t="s">
        <v>55</v>
      </c>
      <c r="T306" s="11">
        <v>11</v>
      </c>
    </row>
    <row r="307" s="3" customFormat="1" customHeight="1" spans="1:20">
      <c r="A307" s="167" t="s">
        <v>3970</v>
      </c>
      <c r="B307" s="167" t="s">
        <v>165</v>
      </c>
      <c r="C307" s="167" t="s">
        <v>3971</v>
      </c>
      <c r="D307" s="11">
        <v>18279298177</v>
      </c>
      <c r="E307" s="167" t="s">
        <v>156</v>
      </c>
      <c r="F307" s="167" t="s">
        <v>13</v>
      </c>
      <c r="G307" s="11">
        <v>202102003</v>
      </c>
      <c r="H307" s="167" t="s">
        <v>157</v>
      </c>
      <c r="I307" s="167" t="s">
        <v>233</v>
      </c>
      <c r="J307" s="167" t="s">
        <v>3973</v>
      </c>
      <c r="K307" s="167" t="s">
        <v>160</v>
      </c>
      <c r="L307" s="167" t="s">
        <v>161</v>
      </c>
      <c r="M307" s="167" t="s">
        <v>25</v>
      </c>
      <c r="N307" s="167" t="s">
        <v>3974</v>
      </c>
      <c r="O307" s="12" t="str">
        <f>_xlfn.DISPIMG("ID_B1F0BA2C377444B08B7692E1B53E42C5",1)</f>
        <v>=DISPIMG("ID_B1F0BA2C377444B08B7692E1B53E42C5",1)</v>
      </c>
      <c r="P307" s="11" t="s">
        <v>3975</v>
      </c>
      <c r="Q307" s="20">
        <v>507</v>
      </c>
      <c r="R307" s="17" t="s">
        <v>4622</v>
      </c>
      <c r="S307" s="18" t="s">
        <v>55</v>
      </c>
      <c r="T307" s="11">
        <v>14</v>
      </c>
    </row>
    <row r="308" s="3" customFormat="1" customHeight="1" spans="1:20">
      <c r="A308" s="167" t="s">
        <v>3991</v>
      </c>
      <c r="B308" s="167" t="s">
        <v>165</v>
      </c>
      <c r="C308" s="167" t="s">
        <v>3992</v>
      </c>
      <c r="D308" s="11">
        <v>15779276924</v>
      </c>
      <c r="E308" s="167" t="s">
        <v>156</v>
      </c>
      <c r="F308" s="167" t="s">
        <v>13</v>
      </c>
      <c r="G308" s="11">
        <v>202102003</v>
      </c>
      <c r="H308" s="167" t="s">
        <v>157</v>
      </c>
      <c r="I308" s="167" t="s">
        <v>158</v>
      </c>
      <c r="J308" s="167" t="s">
        <v>298</v>
      </c>
      <c r="K308" s="167" t="s">
        <v>160</v>
      </c>
      <c r="L308" s="167" t="s">
        <v>171</v>
      </c>
      <c r="M308" s="167" t="s">
        <v>1692</v>
      </c>
      <c r="N308" s="167" t="s">
        <v>3994</v>
      </c>
      <c r="O308" s="12" t="str">
        <f>_xlfn.DISPIMG("ID_78A88502741143D5850B496E71BE5DA0",1)</f>
        <v>=DISPIMG("ID_78A88502741143D5850B496E71BE5DA0",1)</v>
      </c>
      <c r="P308" s="11" t="s">
        <v>3995</v>
      </c>
      <c r="Q308" s="20">
        <v>510</v>
      </c>
      <c r="R308" s="17" t="s">
        <v>4623</v>
      </c>
      <c r="S308" s="18" t="s">
        <v>55</v>
      </c>
      <c r="T308" s="11">
        <v>23</v>
      </c>
    </row>
    <row r="309" s="3" customFormat="1" customHeight="1" spans="1:20">
      <c r="A309" s="167" t="s">
        <v>4013</v>
      </c>
      <c r="B309" s="167" t="s">
        <v>165</v>
      </c>
      <c r="C309" s="167" t="s">
        <v>4014</v>
      </c>
      <c r="D309" s="11">
        <v>18870236365</v>
      </c>
      <c r="E309" s="167" t="s">
        <v>156</v>
      </c>
      <c r="F309" s="167" t="s">
        <v>13</v>
      </c>
      <c r="G309" s="11">
        <v>202102003</v>
      </c>
      <c r="H309" s="167" t="s">
        <v>279</v>
      </c>
      <c r="I309" s="167" t="s">
        <v>158</v>
      </c>
      <c r="J309" s="167" t="s">
        <v>223</v>
      </c>
      <c r="K309" s="167" t="s">
        <v>170</v>
      </c>
      <c r="L309" s="167" t="s">
        <v>306</v>
      </c>
      <c r="M309" s="167" t="s">
        <v>4016</v>
      </c>
      <c r="N309" s="167" t="s">
        <v>4017</v>
      </c>
      <c r="O309" s="12" t="str">
        <f>_xlfn.DISPIMG("ID_4B6C2F7765194334A42FC9F1088827FE",1)</f>
        <v>=DISPIMG("ID_4B6C2F7765194334A42FC9F1088827FE",1)</v>
      </c>
      <c r="P309" s="11" t="s">
        <v>4018</v>
      </c>
      <c r="Q309" s="20">
        <v>513</v>
      </c>
      <c r="R309" s="17" t="s">
        <v>4624</v>
      </c>
      <c r="S309" s="18" t="s">
        <v>55</v>
      </c>
      <c r="T309" s="11">
        <v>26</v>
      </c>
    </row>
    <row r="310" s="3" customFormat="1" customHeight="1" spans="1:20">
      <c r="A310" s="167" t="s">
        <v>4021</v>
      </c>
      <c r="B310" s="167" t="s">
        <v>165</v>
      </c>
      <c r="C310" s="167" t="s">
        <v>4022</v>
      </c>
      <c r="D310" s="11">
        <v>15870639139</v>
      </c>
      <c r="E310" s="167" t="s">
        <v>156</v>
      </c>
      <c r="F310" s="167" t="s">
        <v>13</v>
      </c>
      <c r="G310" s="11">
        <v>202102003</v>
      </c>
      <c r="H310" s="167" t="s">
        <v>157</v>
      </c>
      <c r="I310" s="167" t="s">
        <v>1413</v>
      </c>
      <c r="J310" s="167" t="s">
        <v>1122</v>
      </c>
      <c r="K310" s="167" t="s">
        <v>160</v>
      </c>
      <c r="L310" s="167" t="s">
        <v>235</v>
      </c>
      <c r="M310" s="167" t="s">
        <v>487</v>
      </c>
      <c r="N310" s="167" t="s">
        <v>4024</v>
      </c>
      <c r="O310" s="12" t="str">
        <f>_xlfn.DISPIMG("ID_678965A481D64CEABA15E59CA2B84698",1)</f>
        <v>=DISPIMG("ID_678965A481D64CEABA15E59CA2B84698",1)</v>
      </c>
      <c r="P310" s="11" t="s">
        <v>4025</v>
      </c>
      <c r="Q310" s="20">
        <v>514</v>
      </c>
      <c r="R310" s="17" t="s">
        <v>4625</v>
      </c>
      <c r="S310" s="18" t="s">
        <v>55</v>
      </c>
      <c r="T310" s="11">
        <v>1</v>
      </c>
    </row>
    <row r="311" s="3" customFormat="1" customHeight="1" spans="1:20">
      <c r="A311" s="167" t="s">
        <v>4065</v>
      </c>
      <c r="B311" s="167" t="s">
        <v>165</v>
      </c>
      <c r="C311" s="167" t="s">
        <v>4066</v>
      </c>
      <c r="D311" s="11">
        <v>15797987795</v>
      </c>
      <c r="E311" s="167" t="s">
        <v>506</v>
      </c>
      <c r="F311" s="167" t="s">
        <v>13</v>
      </c>
      <c r="G311" s="11">
        <v>202102016</v>
      </c>
      <c r="H311" s="167" t="s">
        <v>279</v>
      </c>
      <c r="I311" s="167" t="s">
        <v>158</v>
      </c>
      <c r="J311" s="167" t="s">
        <v>223</v>
      </c>
      <c r="K311" s="167" t="s">
        <v>170</v>
      </c>
      <c r="L311" s="167" t="s">
        <v>368</v>
      </c>
      <c r="M311" s="167" t="s">
        <v>4068</v>
      </c>
      <c r="N311" s="167" t="s">
        <v>4069</v>
      </c>
      <c r="O311" s="12" t="str">
        <f>_xlfn.DISPIMG("ID_699B420D06BD4D209FB40A52E07C758F",1)</f>
        <v>=DISPIMG("ID_699B420D06BD4D209FB40A52E07C758F",1)</v>
      </c>
      <c r="P311" s="11" t="s">
        <v>4070</v>
      </c>
      <c r="Q311" s="11">
        <v>520</v>
      </c>
      <c r="R311" s="17" t="s">
        <v>4626</v>
      </c>
      <c r="S311" s="18" t="s">
        <v>55</v>
      </c>
      <c r="T311" s="11">
        <v>12</v>
      </c>
    </row>
    <row r="312" s="3" customFormat="1" customHeight="1" spans="1:20">
      <c r="A312" s="167" t="s">
        <v>4096</v>
      </c>
      <c r="B312" s="167" t="s">
        <v>165</v>
      </c>
      <c r="C312" s="167" t="s">
        <v>4097</v>
      </c>
      <c r="D312" s="11">
        <v>18279205166</v>
      </c>
      <c r="E312" s="167" t="s">
        <v>506</v>
      </c>
      <c r="F312" s="167" t="s">
        <v>13</v>
      </c>
      <c r="G312" s="11">
        <v>202102016</v>
      </c>
      <c r="H312" s="167" t="s">
        <v>157</v>
      </c>
      <c r="I312" s="167" t="s">
        <v>1121</v>
      </c>
      <c r="J312" s="167" t="s">
        <v>179</v>
      </c>
      <c r="K312" s="167" t="s">
        <v>160</v>
      </c>
      <c r="L312" s="167" t="s">
        <v>199</v>
      </c>
      <c r="M312" s="167" t="s">
        <v>13</v>
      </c>
      <c r="N312" s="167" t="s">
        <v>4099</v>
      </c>
      <c r="O312" s="12" t="str">
        <f>_xlfn.DISPIMG("ID_AF2EA5B71B5B4904B17F83B386FDD8B5",1)</f>
        <v>=DISPIMG("ID_AF2EA5B71B5B4904B17F83B386FDD8B5",1)</v>
      </c>
      <c r="P312" s="11" t="s">
        <v>4100</v>
      </c>
      <c r="Q312" s="11">
        <v>524</v>
      </c>
      <c r="R312" s="17" t="s">
        <v>4627</v>
      </c>
      <c r="S312" s="18" t="s">
        <v>55</v>
      </c>
      <c r="T312" s="11">
        <v>13</v>
      </c>
    </row>
    <row r="313" s="3" customFormat="1" customHeight="1" spans="1:20">
      <c r="A313" s="167" t="s">
        <v>4120</v>
      </c>
      <c r="B313" s="167" t="s">
        <v>153</v>
      </c>
      <c r="C313" s="167" t="s">
        <v>4121</v>
      </c>
      <c r="D313" s="11">
        <v>15070281790</v>
      </c>
      <c r="E313" s="167" t="s">
        <v>506</v>
      </c>
      <c r="F313" s="167" t="s">
        <v>13</v>
      </c>
      <c r="G313" s="11">
        <v>202102016</v>
      </c>
      <c r="H313" s="167" t="s">
        <v>157</v>
      </c>
      <c r="I313" s="167" t="s">
        <v>269</v>
      </c>
      <c r="J313" s="167" t="s">
        <v>179</v>
      </c>
      <c r="K313" s="167" t="s">
        <v>170</v>
      </c>
      <c r="L313" s="167" t="s">
        <v>3039</v>
      </c>
      <c r="M313" s="167" t="s">
        <v>307</v>
      </c>
      <c r="N313" s="167" t="s">
        <v>4123</v>
      </c>
      <c r="O313" s="12" t="str">
        <f>_xlfn.DISPIMG("ID_E27C6548F4194D02B9DC397724E0FA4F",1)</f>
        <v>=DISPIMG("ID_E27C6548F4194D02B9DC397724E0FA4F",1)</v>
      </c>
      <c r="P313" s="11" t="s">
        <v>4124</v>
      </c>
      <c r="Q313" s="11">
        <v>527</v>
      </c>
      <c r="R313" s="17" t="s">
        <v>4628</v>
      </c>
      <c r="S313" s="18" t="s">
        <v>55</v>
      </c>
      <c r="T313" s="11">
        <v>24</v>
      </c>
    </row>
    <row r="314" s="3" customFormat="1" customHeight="1" spans="1:20">
      <c r="A314" s="167" t="s">
        <v>4169</v>
      </c>
      <c r="B314" s="167" t="s">
        <v>165</v>
      </c>
      <c r="C314" s="167" t="s">
        <v>4170</v>
      </c>
      <c r="D314" s="11">
        <v>13970241382</v>
      </c>
      <c r="E314" s="167" t="s">
        <v>156</v>
      </c>
      <c r="F314" s="167" t="s">
        <v>13</v>
      </c>
      <c r="G314" s="11">
        <v>202102003</v>
      </c>
      <c r="H314" s="167" t="s">
        <v>157</v>
      </c>
      <c r="I314" s="167" t="s">
        <v>233</v>
      </c>
      <c r="J314" s="167" t="s">
        <v>4172</v>
      </c>
      <c r="K314" s="167" t="s">
        <v>170</v>
      </c>
      <c r="L314" s="167" t="s">
        <v>161</v>
      </c>
      <c r="M314" s="167" t="s">
        <v>4173</v>
      </c>
      <c r="N314" s="11">
        <v>0</v>
      </c>
      <c r="O314" s="12" t="str">
        <f>_xlfn.DISPIMG("ID_5B6CA2E5A2044344BC4069C94E27DF22",1)</f>
        <v>=DISPIMG("ID_5B6CA2E5A2044344BC4069C94E27DF22",1)</v>
      </c>
      <c r="P314" s="11" t="s">
        <v>4174</v>
      </c>
      <c r="Q314" s="20">
        <v>533</v>
      </c>
      <c r="R314" s="17" t="s">
        <v>4629</v>
      </c>
      <c r="S314" s="18" t="s">
        <v>55</v>
      </c>
      <c r="T314" s="11">
        <v>25</v>
      </c>
    </row>
    <row r="315" s="3" customFormat="1" customHeight="1" spans="1:20">
      <c r="A315" s="167" t="s">
        <v>4244</v>
      </c>
      <c r="B315" s="167" t="s">
        <v>165</v>
      </c>
      <c r="C315" s="167" t="s">
        <v>4245</v>
      </c>
      <c r="D315" s="11">
        <v>18296230426</v>
      </c>
      <c r="E315" s="167" t="s">
        <v>156</v>
      </c>
      <c r="F315" s="167" t="s">
        <v>13</v>
      </c>
      <c r="G315" s="11">
        <v>202102003</v>
      </c>
      <c r="H315" s="167" t="s">
        <v>157</v>
      </c>
      <c r="I315" s="167" t="s">
        <v>646</v>
      </c>
      <c r="J315" s="167" t="s">
        <v>179</v>
      </c>
      <c r="K315" s="167" t="s">
        <v>160</v>
      </c>
      <c r="L315" s="167" t="s">
        <v>180</v>
      </c>
      <c r="M315" s="167" t="s">
        <v>25</v>
      </c>
      <c r="N315" s="167" t="s">
        <v>4247</v>
      </c>
      <c r="O315" s="12" t="str">
        <f>_xlfn.DISPIMG("ID_36DA19808F4346CB8F6359485B7E0248",1)</f>
        <v>=DISPIMG("ID_36DA19808F4346CB8F6359485B7E0248",1)</v>
      </c>
      <c r="P315" s="11" t="s">
        <v>4248</v>
      </c>
      <c r="Q315" s="20">
        <v>543</v>
      </c>
      <c r="R315" s="17" t="s">
        <v>4630</v>
      </c>
      <c r="S315" s="18" t="s">
        <v>56</v>
      </c>
      <c r="T315" s="25">
        <v>6</v>
      </c>
    </row>
    <row r="316" s="3" customFormat="1" customHeight="1" spans="1:20">
      <c r="A316" s="167" t="s">
        <v>4273</v>
      </c>
      <c r="B316" s="167" t="s">
        <v>165</v>
      </c>
      <c r="C316" s="167" t="s">
        <v>4274</v>
      </c>
      <c r="D316" s="11">
        <v>18317912297</v>
      </c>
      <c r="E316" s="167" t="s">
        <v>156</v>
      </c>
      <c r="F316" s="167" t="s">
        <v>13</v>
      </c>
      <c r="G316" s="11">
        <v>202102003</v>
      </c>
      <c r="H316" s="167" t="s">
        <v>157</v>
      </c>
      <c r="I316" s="167" t="s">
        <v>1513</v>
      </c>
      <c r="J316" s="167" t="s">
        <v>1331</v>
      </c>
      <c r="K316" s="167" t="s">
        <v>160</v>
      </c>
      <c r="L316" s="167" t="s">
        <v>368</v>
      </c>
      <c r="M316" s="167" t="s">
        <v>13</v>
      </c>
      <c r="N316" s="167" t="s">
        <v>4276</v>
      </c>
      <c r="O316" s="12" t="str">
        <f>_xlfn.DISPIMG("ID_BFA48D3AEAE641428A104A2BB93F50F8",1)</f>
        <v>=DISPIMG("ID_BFA48D3AEAE641428A104A2BB93F50F8",1)</v>
      </c>
      <c r="P316" s="11" t="s">
        <v>4277</v>
      </c>
      <c r="Q316" s="20">
        <v>547</v>
      </c>
      <c r="R316" s="17" t="s">
        <v>4631</v>
      </c>
      <c r="S316" s="18" t="s">
        <v>56</v>
      </c>
      <c r="T316" s="25">
        <v>5</v>
      </c>
    </row>
    <row r="317" s="3" customFormat="1" customHeight="1" spans="1:20">
      <c r="A317" s="167" t="s">
        <v>4280</v>
      </c>
      <c r="B317" s="167" t="s">
        <v>165</v>
      </c>
      <c r="C317" s="167" t="s">
        <v>4281</v>
      </c>
      <c r="D317" s="11">
        <v>15949551660</v>
      </c>
      <c r="E317" s="167" t="s">
        <v>156</v>
      </c>
      <c r="F317" s="167" t="s">
        <v>13</v>
      </c>
      <c r="G317" s="11">
        <v>202102003</v>
      </c>
      <c r="H317" s="167" t="s">
        <v>157</v>
      </c>
      <c r="I317" s="167" t="s">
        <v>158</v>
      </c>
      <c r="J317" s="167" t="s">
        <v>298</v>
      </c>
      <c r="K317" s="167" t="s">
        <v>160</v>
      </c>
      <c r="L317" s="167" t="s">
        <v>252</v>
      </c>
      <c r="M317" s="167" t="s">
        <v>13</v>
      </c>
      <c r="N317" s="167" t="s">
        <v>4283</v>
      </c>
      <c r="O317" s="12" t="str">
        <f>_xlfn.DISPIMG("ID_0A7C024448EB4671A840FBA92AB35983",1)</f>
        <v>=DISPIMG("ID_0A7C024448EB4671A840FBA92AB35983",1)</v>
      </c>
      <c r="P317" s="11" t="s">
        <v>4284</v>
      </c>
      <c r="Q317" s="11">
        <v>548</v>
      </c>
      <c r="R317" s="17" t="s">
        <v>4632</v>
      </c>
      <c r="S317" s="18" t="s">
        <v>56</v>
      </c>
      <c r="T317" s="25">
        <v>4</v>
      </c>
    </row>
    <row r="318" s="3" customFormat="1" customHeight="1" spans="1:20">
      <c r="A318" s="167" t="s">
        <v>4287</v>
      </c>
      <c r="B318" s="167" t="s">
        <v>165</v>
      </c>
      <c r="C318" s="167" t="s">
        <v>4288</v>
      </c>
      <c r="D318" s="11">
        <v>15067121965</v>
      </c>
      <c r="E318" s="167" t="s">
        <v>156</v>
      </c>
      <c r="F318" s="167" t="s">
        <v>13</v>
      </c>
      <c r="G318" s="11">
        <v>202102003</v>
      </c>
      <c r="H318" s="167" t="s">
        <v>279</v>
      </c>
      <c r="I318" s="167" t="s">
        <v>4290</v>
      </c>
      <c r="J318" s="167" t="s">
        <v>4291</v>
      </c>
      <c r="K318" s="167" t="s">
        <v>170</v>
      </c>
      <c r="L318" s="167" t="s">
        <v>224</v>
      </c>
      <c r="M318" s="167" t="s">
        <v>1398</v>
      </c>
      <c r="N318" s="11">
        <v>0</v>
      </c>
      <c r="O318" s="12" t="str">
        <f>_xlfn.DISPIMG("ID_722A9A1419ED4209B5078EB200B4615A",1)</f>
        <v>=DISPIMG("ID_722A9A1419ED4209B5078EB200B4615A",1)</v>
      </c>
      <c r="P318" s="11" t="s">
        <v>4292</v>
      </c>
      <c r="Q318" s="11">
        <v>549</v>
      </c>
      <c r="R318" s="17" t="s">
        <v>4633</v>
      </c>
      <c r="S318" s="18" t="s">
        <v>56</v>
      </c>
      <c r="T318" s="25">
        <v>3</v>
      </c>
    </row>
    <row r="319" s="3" customFormat="1" customHeight="1" spans="1:20">
      <c r="A319" s="167" t="s">
        <v>4295</v>
      </c>
      <c r="B319" s="167" t="s">
        <v>165</v>
      </c>
      <c r="C319" s="167" t="s">
        <v>4296</v>
      </c>
      <c r="D319" s="11">
        <v>18174018729</v>
      </c>
      <c r="E319" s="167" t="s">
        <v>156</v>
      </c>
      <c r="F319" s="167" t="s">
        <v>13</v>
      </c>
      <c r="G319" s="11">
        <v>202102003</v>
      </c>
      <c r="H319" s="167" t="s">
        <v>157</v>
      </c>
      <c r="I319" s="167" t="s">
        <v>3054</v>
      </c>
      <c r="J319" s="167" t="s">
        <v>4298</v>
      </c>
      <c r="K319" s="167" t="s">
        <v>160</v>
      </c>
      <c r="L319" s="167" t="s">
        <v>261</v>
      </c>
      <c r="M319" s="167" t="s">
        <v>13</v>
      </c>
      <c r="N319" s="11">
        <v>0</v>
      </c>
      <c r="O319" s="12" t="str">
        <f>_xlfn.DISPIMG("ID_AB63EA744ECF442183CACE9AA5A6EA85",1)</f>
        <v>=DISPIMG("ID_AB63EA744ECF442183CACE9AA5A6EA85",1)</v>
      </c>
      <c r="P319" s="11" t="s">
        <v>4299</v>
      </c>
      <c r="Q319" s="20">
        <v>550</v>
      </c>
      <c r="R319" s="17" t="s">
        <v>4634</v>
      </c>
      <c r="S319" s="18" t="s">
        <v>56</v>
      </c>
      <c r="T319" s="25">
        <v>2</v>
      </c>
    </row>
    <row r="320" s="3" customFormat="1" customHeight="1" spans="1:20">
      <c r="A320" s="167" t="s">
        <v>4302</v>
      </c>
      <c r="B320" s="167" t="s">
        <v>165</v>
      </c>
      <c r="C320" s="167" t="s">
        <v>4303</v>
      </c>
      <c r="D320" s="11">
        <v>15279209806</v>
      </c>
      <c r="E320" s="167" t="s">
        <v>506</v>
      </c>
      <c r="F320" s="167" t="s">
        <v>13</v>
      </c>
      <c r="G320" s="11">
        <v>202102016</v>
      </c>
      <c r="H320" s="167" t="s">
        <v>279</v>
      </c>
      <c r="I320" s="167" t="s">
        <v>168</v>
      </c>
      <c r="J320" s="167" t="s">
        <v>223</v>
      </c>
      <c r="K320" s="167" t="s">
        <v>170</v>
      </c>
      <c r="L320" s="167" t="s">
        <v>577</v>
      </c>
      <c r="M320" s="167" t="s">
        <v>487</v>
      </c>
      <c r="N320" s="167" t="s">
        <v>4304</v>
      </c>
      <c r="O320" s="12" t="str">
        <f>_xlfn.DISPIMG("ID_2F1FB7C94C004C5BAD8EEBBBB9C7D0C9",1)</f>
        <v>=DISPIMG("ID_2F1FB7C94C004C5BAD8EEBBBB9C7D0C9",1)</v>
      </c>
      <c r="P320" s="11" t="s">
        <v>4305</v>
      </c>
      <c r="Q320" s="11">
        <v>551</v>
      </c>
      <c r="R320" s="17" t="s">
        <v>4635</v>
      </c>
      <c r="S320" s="18" t="s">
        <v>56</v>
      </c>
      <c r="T320" s="25">
        <v>1</v>
      </c>
    </row>
    <row r="321" s="3" customFormat="1" customHeight="1" spans="1:20">
      <c r="A321" s="167" t="s">
        <v>441</v>
      </c>
      <c r="B321" s="167" t="s">
        <v>165</v>
      </c>
      <c r="C321" s="167" t="s">
        <v>442</v>
      </c>
      <c r="D321" s="11">
        <v>15172397471</v>
      </c>
      <c r="E321" s="167" t="s">
        <v>156</v>
      </c>
      <c r="F321" s="167" t="s">
        <v>12</v>
      </c>
      <c r="G321" s="11">
        <v>202102010</v>
      </c>
      <c r="H321" s="167" t="s">
        <v>157</v>
      </c>
      <c r="I321" s="167" t="s">
        <v>444</v>
      </c>
      <c r="J321" s="167" t="s">
        <v>445</v>
      </c>
      <c r="K321" s="167" t="s">
        <v>160</v>
      </c>
      <c r="L321" s="167" t="s">
        <v>252</v>
      </c>
      <c r="M321" s="167" t="s">
        <v>446</v>
      </c>
      <c r="N321" s="167" t="s">
        <v>447</v>
      </c>
      <c r="O321" s="12" t="str">
        <f>_xlfn.DISPIMG("ID_8FDFD8CDACA94911BFEF3051E2235221",1)</f>
        <v>=DISPIMG("ID_8FDFD8CDACA94911BFEF3051E2235221",1)</v>
      </c>
      <c r="P321" s="11" t="s">
        <v>448</v>
      </c>
      <c r="Q321" s="11">
        <v>34</v>
      </c>
      <c r="R321" s="17" t="s">
        <v>4636</v>
      </c>
      <c r="S321" s="18" t="s">
        <v>56</v>
      </c>
      <c r="T321" s="25">
        <v>7</v>
      </c>
    </row>
    <row r="322" s="3" customFormat="1" customHeight="1" spans="1:20">
      <c r="A322" s="167" t="s">
        <v>906</v>
      </c>
      <c r="B322" s="167" t="s">
        <v>165</v>
      </c>
      <c r="C322" s="167" t="s">
        <v>907</v>
      </c>
      <c r="D322" s="11">
        <v>18872969481</v>
      </c>
      <c r="E322" s="167" t="s">
        <v>156</v>
      </c>
      <c r="F322" s="167" t="s">
        <v>12</v>
      </c>
      <c r="G322" s="11">
        <v>202102010</v>
      </c>
      <c r="H322" s="167" t="s">
        <v>157</v>
      </c>
      <c r="I322" s="167" t="s">
        <v>909</v>
      </c>
      <c r="J322" s="167" t="s">
        <v>445</v>
      </c>
      <c r="K322" s="167" t="s">
        <v>170</v>
      </c>
      <c r="L322" s="167" t="s">
        <v>910</v>
      </c>
      <c r="M322" s="167" t="s">
        <v>911</v>
      </c>
      <c r="N322" s="167" t="s">
        <v>912</v>
      </c>
      <c r="O322" s="12" t="str">
        <f>_xlfn.DISPIMG("ID_5478E78BEF25454AA0569457DA503AEE",1)</f>
        <v>=DISPIMG("ID_5478E78BEF25454AA0569457DA503AEE",1)</v>
      </c>
      <c r="P322" s="11" t="s">
        <v>913</v>
      </c>
      <c r="Q322" s="11">
        <v>91</v>
      </c>
      <c r="R322" s="17" t="s">
        <v>4637</v>
      </c>
      <c r="S322" s="18" t="s">
        <v>56</v>
      </c>
      <c r="T322" s="25">
        <v>8</v>
      </c>
    </row>
    <row r="323" s="3" customFormat="1" customHeight="1" spans="1:20">
      <c r="A323" s="167" t="s">
        <v>1034</v>
      </c>
      <c r="B323" s="167" t="s">
        <v>165</v>
      </c>
      <c r="C323" s="167" t="s">
        <v>1035</v>
      </c>
      <c r="D323" s="11">
        <v>18270651805</v>
      </c>
      <c r="E323" s="167" t="s">
        <v>156</v>
      </c>
      <c r="F323" s="167" t="s">
        <v>12</v>
      </c>
      <c r="G323" s="11">
        <v>202102010</v>
      </c>
      <c r="H323" s="167" t="s">
        <v>157</v>
      </c>
      <c r="I323" s="167" t="s">
        <v>178</v>
      </c>
      <c r="J323" s="167" t="s">
        <v>1037</v>
      </c>
      <c r="K323" s="167" t="s">
        <v>170</v>
      </c>
      <c r="L323" s="167" t="s">
        <v>161</v>
      </c>
      <c r="M323" s="167" t="s">
        <v>1038</v>
      </c>
      <c r="N323" s="167" t="s">
        <v>1039</v>
      </c>
      <c r="O323" s="12" t="str">
        <f>_xlfn.DISPIMG("ID_0FA5FFDB4D0442D5AB7C6CB6A0A51E2D",1)</f>
        <v>=DISPIMG("ID_0FA5FFDB4D0442D5AB7C6CB6A0A51E2D",1)</v>
      </c>
      <c r="P323" s="11" t="s">
        <v>1040</v>
      </c>
      <c r="Q323" s="20">
        <v>106</v>
      </c>
      <c r="R323" s="17" t="s">
        <v>4638</v>
      </c>
      <c r="S323" s="18" t="s">
        <v>56</v>
      </c>
      <c r="T323" s="25">
        <v>9</v>
      </c>
    </row>
    <row r="324" s="3" customFormat="1" customHeight="1" spans="1:20">
      <c r="A324" s="167" t="s">
        <v>1153</v>
      </c>
      <c r="B324" s="167" t="s">
        <v>165</v>
      </c>
      <c r="C324" s="167" t="s">
        <v>1154</v>
      </c>
      <c r="D324" s="11">
        <v>13803552587</v>
      </c>
      <c r="E324" s="167" t="s">
        <v>156</v>
      </c>
      <c r="F324" s="167" t="s">
        <v>12</v>
      </c>
      <c r="G324" s="11">
        <v>202102010</v>
      </c>
      <c r="H324" s="167" t="s">
        <v>157</v>
      </c>
      <c r="I324" s="167" t="s">
        <v>385</v>
      </c>
      <c r="J324" s="167" t="s">
        <v>445</v>
      </c>
      <c r="K324" s="167" t="s">
        <v>160</v>
      </c>
      <c r="L324" s="167" t="s">
        <v>261</v>
      </c>
      <c r="M324" s="167" t="s">
        <v>1156</v>
      </c>
      <c r="N324" s="167" t="s">
        <v>1157</v>
      </c>
      <c r="O324" s="12" t="str">
        <f>_xlfn.DISPIMG("ID_2A6402E44B2C4CB5B00B003CEEB85AA0",1)</f>
        <v>=DISPIMG("ID_2A6402E44B2C4CB5B00B003CEEB85AA0",1)</v>
      </c>
      <c r="P324" s="11" t="s">
        <v>1158</v>
      </c>
      <c r="Q324" s="11">
        <v>121</v>
      </c>
      <c r="R324" s="17" t="s">
        <v>4642</v>
      </c>
      <c r="S324" s="18" t="s">
        <v>56</v>
      </c>
      <c r="T324" s="25">
        <v>10</v>
      </c>
    </row>
    <row r="325" s="3" customFormat="1" customHeight="1" spans="1:20">
      <c r="A325" s="167" t="s">
        <v>1439</v>
      </c>
      <c r="B325" s="167" t="s">
        <v>165</v>
      </c>
      <c r="C325" s="167" t="s">
        <v>1440</v>
      </c>
      <c r="D325" s="11">
        <v>13687083396</v>
      </c>
      <c r="E325" s="167" t="s">
        <v>156</v>
      </c>
      <c r="F325" s="167" t="s">
        <v>12</v>
      </c>
      <c r="G325" s="11">
        <v>202102010</v>
      </c>
      <c r="H325" s="167" t="s">
        <v>157</v>
      </c>
      <c r="I325" s="167" t="s">
        <v>444</v>
      </c>
      <c r="J325" s="167" t="s">
        <v>1442</v>
      </c>
      <c r="K325" s="167" t="s">
        <v>160</v>
      </c>
      <c r="L325" s="167" t="s">
        <v>396</v>
      </c>
      <c r="M325" s="167" t="s">
        <v>24</v>
      </c>
      <c r="N325" s="11">
        <v>0</v>
      </c>
      <c r="O325" s="12" t="str">
        <f>_xlfn.DISPIMG("ID_4F7FAD79CF244D82AC4A116B39238E93",1)</f>
        <v>=DISPIMG("ID_4F7FAD79CF244D82AC4A116B39238E93",1)</v>
      </c>
      <c r="P325" s="11" t="s">
        <v>1443</v>
      </c>
      <c r="Q325" s="11">
        <v>159</v>
      </c>
      <c r="R325" s="17" t="s">
        <v>4643</v>
      </c>
      <c r="S325" s="18" t="s">
        <v>56</v>
      </c>
      <c r="T325" s="25">
        <v>15</v>
      </c>
    </row>
    <row r="326" s="3" customFormat="1" customHeight="1" spans="1:20">
      <c r="A326" s="167" t="s">
        <v>2240</v>
      </c>
      <c r="B326" s="167" t="s">
        <v>153</v>
      </c>
      <c r="C326" s="167" t="s">
        <v>2241</v>
      </c>
      <c r="D326" s="11">
        <v>18079253586</v>
      </c>
      <c r="E326" s="167" t="s">
        <v>156</v>
      </c>
      <c r="F326" s="167" t="s">
        <v>12</v>
      </c>
      <c r="G326" s="11">
        <v>202102010</v>
      </c>
      <c r="H326" s="167" t="s">
        <v>157</v>
      </c>
      <c r="I326" s="167" t="s">
        <v>2243</v>
      </c>
      <c r="J326" s="167" t="s">
        <v>445</v>
      </c>
      <c r="K326" s="167" t="s">
        <v>160</v>
      </c>
      <c r="L326" s="167" t="s">
        <v>368</v>
      </c>
      <c r="M326" s="167" t="s">
        <v>2244</v>
      </c>
      <c r="N326" s="167" t="s">
        <v>2245</v>
      </c>
      <c r="O326" s="12" t="str">
        <f>_xlfn.DISPIMG("ID_36DB22886E2542F0B08D8BC7EEC58760",1)</f>
        <v>=DISPIMG("ID_36DB22886E2542F0B08D8BC7EEC58760",1)</v>
      </c>
      <c r="P326" s="11" t="s">
        <v>2246</v>
      </c>
      <c r="Q326" s="20">
        <v>264</v>
      </c>
      <c r="R326" s="17" t="s">
        <v>4647</v>
      </c>
      <c r="S326" s="18" t="s">
        <v>56</v>
      </c>
      <c r="T326" s="25">
        <v>11</v>
      </c>
    </row>
    <row r="327" s="3" customFormat="1" customHeight="1" spans="1:20">
      <c r="A327" s="167" t="s">
        <v>3274</v>
      </c>
      <c r="B327" s="167" t="s">
        <v>165</v>
      </c>
      <c r="C327" s="167" t="s">
        <v>3275</v>
      </c>
      <c r="D327" s="11">
        <v>15870802185</v>
      </c>
      <c r="E327" s="167" t="s">
        <v>156</v>
      </c>
      <c r="F327" s="167" t="s">
        <v>12</v>
      </c>
      <c r="G327" s="11">
        <v>202102010</v>
      </c>
      <c r="H327" s="167" t="s">
        <v>157</v>
      </c>
      <c r="I327" s="167" t="s">
        <v>3276</v>
      </c>
      <c r="J327" s="167" t="s">
        <v>3277</v>
      </c>
      <c r="K327" s="167" t="s">
        <v>170</v>
      </c>
      <c r="L327" s="167" t="s">
        <v>516</v>
      </c>
      <c r="M327" s="167" t="s">
        <v>3278</v>
      </c>
      <c r="N327" s="167" t="s">
        <v>3279</v>
      </c>
      <c r="O327" s="12" t="str">
        <f>_xlfn.DISPIMG("ID_CA7F81D47ACB4FA38E0278F330AEC9F9",1)</f>
        <v>=DISPIMG("ID_CA7F81D47ACB4FA38E0278F330AEC9F9",1)</v>
      </c>
      <c r="P327" s="11" t="s">
        <v>3280</v>
      </c>
      <c r="Q327" s="20">
        <v>409</v>
      </c>
      <c r="R327" s="17" t="s">
        <v>4648</v>
      </c>
      <c r="S327" s="18" t="s">
        <v>56</v>
      </c>
      <c r="T327" s="25">
        <v>14</v>
      </c>
    </row>
    <row r="328" s="3" customFormat="1" customHeight="1" spans="1:20">
      <c r="A328" s="167" t="s">
        <v>4134</v>
      </c>
      <c r="B328" s="167" t="s">
        <v>165</v>
      </c>
      <c r="C328" s="167" t="s">
        <v>4135</v>
      </c>
      <c r="D328" s="11">
        <v>15207926555</v>
      </c>
      <c r="E328" s="167" t="s">
        <v>156</v>
      </c>
      <c r="F328" s="167" t="s">
        <v>12</v>
      </c>
      <c r="G328" s="11">
        <v>202102010</v>
      </c>
      <c r="H328" s="167" t="s">
        <v>157</v>
      </c>
      <c r="I328" s="167" t="s">
        <v>4137</v>
      </c>
      <c r="J328" s="167" t="s">
        <v>1442</v>
      </c>
      <c r="K328" s="167" t="s">
        <v>160</v>
      </c>
      <c r="L328" s="167" t="s">
        <v>368</v>
      </c>
      <c r="M328" s="167" t="s">
        <v>4138</v>
      </c>
      <c r="N328" s="11">
        <v>0</v>
      </c>
      <c r="O328" s="12" t="str">
        <f>_xlfn.DISPIMG("ID_911EFC838815489D872B9030D6735741",1)</f>
        <v>=DISPIMG("ID_911EFC838815489D872B9030D6735741",1)</v>
      </c>
      <c r="P328" s="11" t="s">
        <v>4139</v>
      </c>
      <c r="Q328" s="11">
        <v>529</v>
      </c>
      <c r="R328" s="17" t="s">
        <v>4652</v>
      </c>
      <c r="S328" s="18" t="s">
        <v>56</v>
      </c>
      <c r="T328" s="25">
        <v>12</v>
      </c>
    </row>
    <row r="329" s="3" customFormat="1" customHeight="1" spans="1:20">
      <c r="A329" s="167" t="s">
        <v>4198</v>
      </c>
      <c r="B329" s="167" t="s">
        <v>165</v>
      </c>
      <c r="C329" s="167" t="s">
        <v>4199</v>
      </c>
      <c r="D329" s="11">
        <v>18160796883</v>
      </c>
      <c r="E329" s="167" t="s">
        <v>156</v>
      </c>
      <c r="F329" s="167" t="s">
        <v>12</v>
      </c>
      <c r="G329" s="11">
        <v>202102010</v>
      </c>
      <c r="H329" s="167" t="s">
        <v>157</v>
      </c>
      <c r="I329" s="167" t="s">
        <v>4201</v>
      </c>
      <c r="J329" s="167" t="s">
        <v>445</v>
      </c>
      <c r="K329" s="167" t="s">
        <v>170</v>
      </c>
      <c r="L329" s="167" t="s">
        <v>199</v>
      </c>
      <c r="M329" s="167" t="s">
        <v>359</v>
      </c>
      <c r="N329" s="167" t="s">
        <v>4202</v>
      </c>
      <c r="O329" s="12" t="str">
        <f>_xlfn.DISPIMG("ID_85E134BF0AB1468FAAB0CB1A9F9C4F34",1)</f>
        <v>=DISPIMG("ID_85E134BF0AB1468FAAB0CB1A9F9C4F34",1)</v>
      </c>
      <c r="P329" s="11" t="s">
        <v>4203</v>
      </c>
      <c r="Q329" s="11">
        <v>537</v>
      </c>
      <c r="R329" s="17" t="s">
        <v>4653</v>
      </c>
      <c r="S329" s="18" t="s">
        <v>56</v>
      </c>
      <c r="T329" s="25">
        <v>13</v>
      </c>
    </row>
    <row r="330" s="3" customFormat="1" customHeight="1" spans="1:20">
      <c r="A330" s="167" t="s">
        <v>239</v>
      </c>
      <c r="B330" s="167" t="s">
        <v>165</v>
      </c>
      <c r="C330" s="167" t="s">
        <v>240</v>
      </c>
      <c r="D330" s="11">
        <v>13697988167</v>
      </c>
      <c r="E330" s="167" t="s">
        <v>156</v>
      </c>
      <c r="F330" s="167" t="s">
        <v>5</v>
      </c>
      <c r="G330" s="11">
        <v>202102008</v>
      </c>
      <c r="H330" s="167" t="s">
        <v>157</v>
      </c>
      <c r="I330" s="167" t="s">
        <v>242</v>
      </c>
      <c r="J330" s="167" t="s">
        <v>243</v>
      </c>
      <c r="K330" s="167" t="s">
        <v>160</v>
      </c>
      <c r="L330" s="167" t="s">
        <v>161</v>
      </c>
      <c r="M330" s="167" t="s">
        <v>5</v>
      </c>
      <c r="N330" s="11">
        <v>0</v>
      </c>
      <c r="O330" s="12" t="str">
        <f>_xlfn.DISPIMG("ID_9CBFB21D3F5B4658948522EF0C2AECE4",1)</f>
        <v>=DISPIMG("ID_9CBFB21D3F5B4658948522EF0C2AECE4",1)</v>
      </c>
      <c r="P330" s="11" t="s">
        <v>244</v>
      </c>
      <c r="Q330" s="20">
        <v>11</v>
      </c>
      <c r="R330" s="17" t="s">
        <v>4657</v>
      </c>
      <c r="S330" s="18" t="s">
        <v>56</v>
      </c>
      <c r="T330" s="25">
        <v>18</v>
      </c>
    </row>
    <row r="331" s="3" customFormat="1" customHeight="1" spans="1:20">
      <c r="A331" s="167" t="s">
        <v>286</v>
      </c>
      <c r="B331" s="167" t="s">
        <v>153</v>
      </c>
      <c r="C331" s="167" t="s">
        <v>287</v>
      </c>
      <c r="D331" s="11">
        <v>18755672832</v>
      </c>
      <c r="E331" s="167" t="s">
        <v>156</v>
      </c>
      <c r="F331" s="167" t="s">
        <v>5</v>
      </c>
      <c r="G331" s="11">
        <v>202102008</v>
      </c>
      <c r="H331" s="167" t="s">
        <v>157</v>
      </c>
      <c r="I331" s="167" t="s">
        <v>289</v>
      </c>
      <c r="J331" s="167" t="s">
        <v>290</v>
      </c>
      <c r="K331" s="167" t="s">
        <v>170</v>
      </c>
      <c r="L331" s="167" t="s">
        <v>261</v>
      </c>
      <c r="M331" s="167" t="s">
        <v>5</v>
      </c>
      <c r="N331" s="11">
        <v>0</v>
      </c>
      <c r="O331" s="12" t="str">
        <f>_xlfn.DISPIMG("ID_5BB4AA0F377240A584934BCE0D4B941B",1)</f>
        <v>=DISPIMG("ID_5BB4AA0F377240A584934BCE0D4B941B",1)</v>
      </c>
      <c r="P331" s="11" t="s">
        <v>291</v>
      </c>
      <c r="Q331" s="20">
        <v>16</v>
      </c>
      <c r="R331" s="17" t="s">
        <v>4658</v>
      </c>
      <c r="S331" s="18" t="s">
        <v>56</v>
      </c>
      <c r="T331" s="25">
        <v>19</v>
      </c>
    </row>
    <row r="332" s="3" customFormat="1" customHeight="1" spans="1:20">
      <c r="A332" s="167" t="s">
        <v>1630</v>
      </c>
      <c r="B332" s="167" t="s">
        <v>153</v>
      </c>
      <c r="C332" s="167" t="s">
        <v>1631</v>
      </c>
      <c r="D332" s="11">
        <v>18437922593</v>
      </c>
      <c r="E332" s="167" t="s">
        <v>156</v>
      </c>
      <c r="F332" s="167" t="s">
        <v>5</v>
      </c>
      <c r="G332" s="11">
        <v>202102008</v>
      </c>
      <c r="H332" s="167" t="s">
        <v>157</v>
      </c>
      <c r="I332" s="167" t="s">
        <v>1633</v>
      </c>
      <c r="J332" s="167" t="s">
        <v>280</v>
      </c>
      <c r="K332" s="167" t="s">
        <v>170</v>
      </c>
      <c r="L332" s="167" t="s">
        <v>199</v>
      </c>
      <c r="M332" s="167" t="s">
        <v>5</v>
      </c>
      <c r="N332" s="11">
        <v>0</v>
      </c>
      <c r="O332" s="12" t="str">
        <f>_xlfn.DISPIMG("ID_30389EE5D2254B4693F3D201E2C25479",1)</f>
        <v>=DISPIMG("ID_30389EE5D2254B4693F3D201E2C25479",1)</v>
      </c>
      <c r="P332" s="11" t="s">
        <v>1634</v>
      </c>
      <c r="Q332" s="20">
        <v>183</v>
      </c>
      <c r="R332" s="17" t="s">
        <v>4662</v>
      </c>
      <c r="S332" s="18" t="s">
        <v>56</v>
      </c>
      <c r="T332" s="25">
        <v>17</v>
      </c>
    </row>
    <row r="333" s="3" customFormat="1" customHeight="1" spans="1:20">
      <c r="A333" s="167" t="s">
        <v>1706</v>
      </c>
      <c r="B333" s="167" t="s">
        <v>153</v>
      </c>
      <c r="C333" s="167" t="s">
        <v>1707</v>
      </c>
      <c r="D333" s="11">
        <v>15070040825</v>
      </c>
      <c r="E333" s="167" t="s">
        <v>506</v>
      </c>
      <c r="F333" s="167" t="s">
        <v>5</v>
      </c>
      <c r="G333" s="11">
        <v>202102020</v>
      </c>
      <c r="H333" s="167" t="s">
        <v>157</v>
      </c>
      <c r="I333" s="167" t="s">
        <v>789</v>
      </c>
      <c r="J333" s="167" t="s">
        <v>1709</v>
      </c>
      <c r="K333" s="167" t="s">
        <v>160</v>
      </c>
      <c r="L333" s="167" t="s">
        <v>1346</v>
      </c>
      <c r="M333" s="167" t="s">
        <v>1710</v>
      </c>
      <c r="N333" s="167" t="s">
        <v>1711</v>
      </c>
      <c r="O333" s="12" t="str">
        <f>_xlfn.DISPIMG("ID_B3E8781AF7454377842FD7EC53A6E781",1)</f>
        <v>=DISPIMG("ID_B3E8781AF7454377842FD7EC53A6E781",1)</v>
      </c>
      <c r="P333" s="11" t="s">
        <v>1712</v>
      </c>
      <c r="Q333" s="20">
        <v>193</v>
      </c>
      <c r="R333" s="17" t="s">
        <v>4663</v>
      </c>
      <c r="S333" s="18" t="s">
        <v>56</v>
      </c>
      <c r="T333" s="25">
        <v>20</v>
      </c>
    </row>
    <row r="334" s="3" customFormat="1" customHeight="1" spans="1:20">
      <c r="A334" s="167" t="s">
        <v>1846</v>
      </c>
      <c r="B334" s="167" t="s">
        <v>165</v>
      </c>
      <c r="C334" s="167" t="s">
        <v>1847</v>
      </c>
      <c r="D334" s="11">
        <v>18879254089</v>
      </c>
      <c r="E334" s="167" t="s">
        <v>156</v>
      </c>
      <c r="F334" s="167" t="s">
        <v>5</v>
      </c>
      <c r="G334" s="11">
        <v>202102008</v>
      </c>
      <c r="H334" s="167" t="s">
        <v>279</v>
      </c>
      <c r="I334" s="167" t="s">
        <v>158</v>
      </c>
      <c r="J334" s="167" t="s">
        <v>1849</v>
      </c>
      <c r="K334" s="167" t="s">
        <v>170</v>
      </c>
      <c r="L334" s="167" t="s">
        <v>396</v>
      </c>
      <c r="M334" s="167" t="s">
        <v>1850</v>
      </c>
      <c r="N334" s="167" t="s">
        <v>1851</v>
      </c>
      <c r="O334" s="12" t="str">
        <f>_xlfn.DISPIMG("ID_19DBAF911A5F41D795A3B7585DA543D3",1)</f>
        <v>=DISPIMG("ID_19DBAF911A5F41D795A3B7585DA543D3",1)</v>
      </c>
      <c r="P334" s="11" t="s">
        <v>1852</v>
      </c>
      <c r="Q334" s="20">
        <v>211</v>
      </c>
      <c r="R334" s="17" t="s">
        <v>4664</v>
      </c>
      <c r="S334" s="18" t="s">
        <v>56</v>
      </c>
      <c r="T334" s="25">
        <v>16</v>
      </c>
    </row>
    <row r="335" s="3" customFormat="1" customHeight="1" spans="1:20">
      <c r="A335" s="167" t="s">
        <v>2294</v>
      </c>
      <c r="B335" s="167" t="s">
        <v>153</v>
      </c>
      <c r="C335" s="167" t="s">
        <v>2295</v>
      </c>
      <c r="D335" s="11">
        <v>18179457855</v>
      </c>
      <c r="E335" s="167" t="s">
        <v>156</v>
      </c>
      <c r="F335" s="167" t="s">
        <v>5</v>
      </c>
      <c r="G335" s="11">
        <v>202102008</v>
      </c>
      <c r="H335" s="167" t="s">
        <v>157</v>
      </c>
      <c r="I335" s="167" t="s">
        <v>1654</v>
      </c>
      <c r="J335" s="167" t="s">
        <v>2297</v>
      </c>
      <c r="K335" s="167" t="s">
        <v>160</v>
      </c>
      <c r="L335" s="167" t="s">
        <v>2298</v>
      </c>
      <c r="M335" s="167" t="s">
        <v>2299</v>
      </c>
      <c r="N335" s="11">
        <v>0</v>
      </c>
      <c r="O335" s="12" t="str">
        <f>_xlfn.DISPIMG("ID_2348B3C3CCB6443B92AD1A08F0A487FA",1)</f>
        <v>=DISPIMG("ID_2348B3C3CCB6443B92AD1A08F0A487FA",1)</v>
      </c>
      <c r="P335" s="11" t="s">
        <v>2300</v>
      </c>
      <c r="Q335" s="11">
        <v>271</v>
      </c>
      <c r="R335" s="17" t="s">
        <v>4639</v>
      </c>
      <c r="S335" s="18" t="s">
        <v>56</v>
      </c>
      <c r="T335" s="25">
        <v>21</v>
      </c>
    </row>
    <row r="336" s="3" customFormat="1" customHeight="1" spans="1:20">
      <c r="A336" s="167" t="s">
        <v>2459</v>
      </c>
      <c r="B336" s="167" t="s">
        <v>165</v>
      </c>
      <c r="C336" s="167" t="s">
        <v>2460</v>
      </c>
      <c r="D336" s="11">
        <v>18702519372</v>
      </c>
      <c r="E336" s="167" t="s">
        <v>156</v>
      </c>
      <c r="F336" s="167" t="s">
        <v>5</v>
      </c>
      <c r="G336" s="11">
        <v>202102008</v>
      </c>
      <c r="H336" s="167" t="s">
        <v>279</v>
      </c>
      <c r="I336" s="167" t="s">
        <v>662</v>
      </c>
      <c r="J336" s="167" t="s">
        <v>348</v>
      </c>
      <c r="K336" s="167" t="s">
        <v>170</v>
      </c>
      <c r="L336" s="167" t="s">
        <v>199</v>
      </c>
      <c r="M336" s="167" t="s">
        <v>2462</v>
      </c>
      <c r="N336" s="11">
        <v>0</v>
      </c>
      <c r="O336" s="12" t="str">
        <f>_xlfn.DISPIMG("ID_C162899F9DDD4F8CA771F69FFB2795AD",1)</f>
        <v>=DISPIMG("ID_C162899F9DDD4F8CA771F69FFB2795AD",1)</v>
      </c>
      <c r="P336" s="11" t="s">
        <v>2463</v>
      </c>
      <c r="Q336" s="20">
        <v>293</v>
      </c>
      <c r="R336" s="17" t="s">
        <v>4640</v>
      </c>
      <c r="S336" s="18" t="s">
        <v>56</v>
      </c>
      <c r="T336" s="25">
        <v>22</v>
      </c>
    </row>
    <row r="337" s="3" customFormat="1" customHeight="1" spans="1:20">
      <c r="A337" s="167" t="s">
        <v>3873</v>
      </c>
      <c r="B337" s="167" t="s">
        <v>153</v>
      </c>
      <c r="C337" s="167" t="s">
        <v>3874</v>
      </c>
      <c r="D337" s="11">
        <v>13317434772</v>
      </c>
      <c r="E337" s="167" t="s">
        <v>156</v>
      </c>
      <c r="F337" s="167" t="s">
        <v>5</v>
      </c>
      <c r="G337" s="11">
        <v>202102008</v>
      </c>
      <c r="H337" s="167" t="s">
        <v>157</v>
      </c>
      <c r="I337" s="167" t="s">
        <v>3876</v>
      </c>
      <c r="J337" s="167" t="s">
        <v>290</v>
      </c>
      <c r="K337" s="167" t="s">
        <v>170</v>
      </c>
      <c r="L337" s="167" t="s">
        <v>171</v>
      </c>
      <c r="M337" s="167" t="s">
        <v>1064</v>
      </c>
      <c r="N337" s="167" t="s">
        <v>3877</v>
      </c>
      <c r="O337" s="12" t="str">
        <f>_xlfn.DISPIMG("ID_707B86616C5E4D0A96852FA2ECC7652E",1)</f>
        <v>=DISPIMG("ID_707B86616C5E4D0A96852FA2ECC7652E",1)</v>
      </c>
      <c r="P337" s="11" t="s">
        <v>3878</v>
      </c>
      <c r="Q337" s="20">
        <v>494</v>
      </c>
      <c r="R337" s="17" t="s">
        <v>4644</v>
      </c>
      <c r="S337" s="18" t="s">
        <v>56</v>
      </c>
      <c r="T337" s="25">
        <v>23</v>
      </c>
    </row>
    <row r="338" s="3" customFormat="1" customHeight="1" spans="1:20">
      <c r="A338" s="167" t="s">
        <v>184</v>
      </c>
      <c r="B338" s="167" t="s">
        <v>153</v>
      </c>
      <c r="C338" s="167" t="s">
        <v>185</v>
      </c>
      <c r="D338" s="11">
        <v>18038082134</v>
      </c>
      <c r="E338" s="167" t="s">
        <v>156</v>
      </c>
      <c r="F338" s="167" t="s">
        <v>6</v>
      </c>
      <c r="G338" s="11">
        <v>202102012</v>
      </c>
      <c r="H338" s="167" t="s">
        <v>157</v>
      </c>
      <c r="I338" s="167" t="s">
        <v>187</v>
      </c>
      <c r="J338" s="167" t="s">
        <v>188</v>
      </c>
      <c r="K338" s="167" t="s">
        <v>160</v>
      </c>
      <c r="L338" s="167" t="s">
        <v>189</v>
      </c>
      <c r="M338" s="167" t="s">
        <v>190</v>
      </c>
      <c r="N338" s="11">
        <v>0</v>
      </c>
      <c r="O338" s="12" t="str">
        <f>_xlfn.DISPIMG("ID_F9EC90828AC344EC8EE9AB75C1318672",1)</f>
        <v>=DISPIMG("ID_F9EC90828AC344EC8EE9AB75C1318672",1)</v>
      </c>
      <c r="P338" s="11" t="s">
        <v>191</v>
      </c>
      <c r="Q338" s="11">
        <v>5</v>
      </c>
      <c r="R338" s="17" t="s">
        <v>4645</v>
      </c>
      <c r="S338" s="18" t="s">
        <v>60</v>
      </c>
      <c r="T338" s="11">
        <v>6</v>
      </c>
    </row>
    <row r="339" s="3" customFormat="1" customHeight="1" spans="1:20">
      <c r="A339" s="167" t="s">
        <v>203</v>
      </c>
      <c r="B339" s="167" t="s">
        <v>165</v>
      </c>
      <c r="C339" s="167" t="s">
        <v>204</v>
      </c>
      <c r="D339" s="11">
        <v>18451114131</v>
      </c>
      <c r="E339" s="167" t="s">
        <v>156</v>
      </c>
      <c r="F339" s="167" t="s">
        <v>6</v>
      </c>
      <c r="G339" s="11">
        <v>202102012</v>
      </c>
      <c r="H339" s="167" t="s">
        <v>157</v>
      </c>
      <c r="I339" s="167" t="s">
        <v>206</v>
      </c>
      <c r="J339" s="167" t="s">
        <v>207</v>
      </c>
      <c r="K339" s="167" t="s">
        <v>160</v>
      </c>
      <c r="L339" s="167" t="s">
        <v>199</v>
      </c>
      <c r="M339" s="167" t="s">
        <v>6</v>
      </c>
      <c r="N339" s="167" t="s">
        <v>208</v>
      </c>
      <c r="O339" s="12" t="str">
        <f>_xlfn.DISPIMG("ID_F7457C8055E845839E12BBC94DC0151A",1)</f>
        <v>=DISPIMG("ID_F7457C8055E845839E12BBC94DC0151A",1)</v>
      </c>
      <c r="P339" s="11" t="s">
        <v>209</v>
      </c>
      <c r="Q339" s="11">
        <v>7</v>
      </c>
      <c r="R339" s="17" t="s">
        <v>4649</v>
      </c>
      <c r="S339" s="18" t="s">
        <v>60</v>
      </c>
      <c r="T339" s="11">
        <v>7</v>
      </c>
    </row>
    <row r="340" s="3" customFormat="1" customHeight="1" spans="1:20">
      <c r="A340" s="167" t="s">
        <v>247</v>
      </c>
      <c r="B340" s="167" t="s">
        <v>165</v>
      </c>
      <c r="C340" s="167" t="s">
        <v>248</v>
      </c>
      <c r="D340" s="11">
        <v>18194294670</v>
      </c>
      <c r="E340" s="167" t="s">
        <v>156</v>
      </c>
      <c r="F340" s="167" t="s">
        <v>6</v>
      </c>
      <c r="G340" s="11">
        <v>202102012</v>
      </c>
      <c r="H340" s="167" t="s">
        <v>157</v>
      </c>
      <c r="I340" s="167" t="s">
        <v>250</v>
      </c>
      <c r="J340" s="167" t="s">
        <v>251</v>
      </c>
      <c r="K340" s="167" t="s">
        <v>160</v>
      </c>
      <c r="L340" s="167" t="s">
        <v>252</v>
      </c>
      <c r="M340" s="167" t="s">
        <v>253</v>
      </c>
      <c r="N340" s="167" t="s">
        <v>254</v>
      </c>
      <c r="O340" s="12" t="str">
        <f>_xlfn.DISPIMG("ID_75E1D16F2E6F48168F32947A4DF07EC3",1)</f>
        <v>=DISPIMG("ID_75E1D16F2E6F48168F32947A4DF07EC3",1)</v>
      </c>
      <c r="P340" s="11" t="s">
        <v>255</v>
      </c>
      <c r="Q340" s="11">
        <v>12</v>
      </c>
      <c r="R340" s="17" t="s">
        <v>4650</v>
      </c>
      <c r="S340" s="18" t="s">
        <v>60</v>
      </c>
      <c r="T340" s="11">
        <v>18</v>
      </c>
    </row>
    <row r="341" s="3" customFormat="1" customHeight="1" spans="1:20">
      <c r="A341" s="167" t="s">
        <v>319</v>
      </c>
      <c r="B341" s="167" t="s">
        <v>165</v>
      </c>
      <c r="C341" s="167" t="s">
        <v>320</v>
      </c>
      <c r="D341" s="11">
        <v>18679938518</v>
      </c>
      <c r="E341" s="167" t="s">
        <v>156</v>
      </c>
      <c r="F341" s="167" t="s">
        <v>6</v>
      </c>
      <c r="G341" s="11">
        <v>202102012</v>
      </c>
      <c r="H341" s="167" t="s">
        <v>157</v>
      </c>
      <c r="I341" s="167" t="s">
        <v>322</v>
      </c>
      <c r="J341" s="167" t="s">
        <v>323</v>
      </c>
      <c r="K341" s="167" t="s">
        <v>170</v>
      </c>
      <c r="L341" s="167" t="s">
        <v>180</v>
      </c>
      <c r="M341" s="167" t="s">
        <v>324</v>
      </c>
      <c r="N341" s="167" t="s">
        <v>325</v>
      </c>
      <c r="O341" s="12" t="str">
        <f>_xlfn.DISPIMG("ID_7D94F98EB3D041FA910044FDF5DF1027",1)</f>
        <v>=DISPIMG("ID_7D94F98EB3D041FA910044FDF5DF1027",1)</v>
      </c>
      <c r="P341" s="11" t="s">
        <v>326</v>
      </c>
      <c r="Q341" s="11">
        <v>20</v>
      </c>
      <c r="R341" s="17" t="s">
        <v>4654</v>
      </c>
      <c r="S341" s="18" t="s">
        <v>60</v>
      </c>
      <c r="T341" s="11">
        <v>19</v>
      </c>
    </row>
    <row r="342" s="3" customFormat="1" customHeight="1" spans="1:20">
      <c r="A342" s="167" t="s">
        <v>400</v>
      </c>
      <c r="B342" s="167" t="s">
        <v>165</v>
      </c>
      <c r="C342" s="167" t="s">
        <v>401</v>
      </c>
      <c r="D342" s="11">
        <v>18279242907</v>
      </c>
      <c r="E342" s="167" t="s">
        <v>156</v>
      </c>
      <c r="F342" s="167" t="s">
        <v>6</v>
      </c>
      <c r="G342" s="11">
        <v>202102012</v>
      </c>
      <c r="H342" s="167" t="s">
        <v>157</v>
      </c>
      <c r="I342" s="167" t="s">
        <v>403</v>
      </c>
      <c r="J342" s="167" t="s">
        <v>404</v>
      </c>
      <c r="K342" s="167" t="s">
        <v>160</v>
      </c>
      <c r="L342" s="167" t="s">
        <v>252</v>
      </c>
      <c r="M342" s="167" t="s">
        <v>6</v>
      </c>
      <c r="N342" s="167" t="s">
        <v>405</v>
      </c>
      <c r="O342" s="12" t="str">
        <f>_xlfn.DISPIMG("ID_CF4959AF4AC44C8391DB8D257F1D8B87",1)</f>
        <v>=DISPIMG("ID_CF4959AF4AC44C8391DB8D257F1D8B87",1)</v>
      </c>
      <c r="P342" s="11" t="s">
        <v>406</v>
      </c>
      <c r="Q342" s="11">
        <v>29</v>
      </c>
      <c r="R342" s="17" t="s">
        <v>4655</v>
      </c>
      <c r="S342" s="18" t="s">
        <v>60</v>
      </c>
      <c r="T342" s="11">
        <v>30</v>
      </c>
    </row>
    <row r="343" s="3" customFormat="1" customHeight="1" spans="1:20">
      <c r="A343" s="167" t="s">
        <v>409</v>
      </c>
      <c r="B343" s="167" t="s">
        <v>153</v>
      </c>
      <c r="C343" s="167" t="s">
        <v>410</v>
      </c>
      <c r="D343" s="11">
        <v>13177702893</v>
      </c>
      <c r="E343" s="167" t="s">
        <v>156</v>
      </c>
      <c r="F343" s="167" t="s">
        <v>6</v>
      </c>
      <c r="G343" s="11">
        <v>202102012</v>
      </c>
      <c r="H343" s="167" t="s">
        <v>157</v>
      </c>
      <c r="I343" s="167" t="s">
        <v>412</v>
      </c>
      <c r="J343" s="167" t="s">
        <v>323</v>
      </c>
      <c r="K343" s="167" t="s">
        <v>170</v>
      </c>
      <c r="L343" s="167" t="s">
        <v>252</v>
      </c>
      <c r="M343" s="167" t="s">
        <v>413</v>
      </c>
      <c r="N343" s="167" t="s">
        <v>414</v>
      </c>
      <c r="O343" s="12" t="str">
        <f>_xlfn.DISPIMG("ID_C929C0A6F3B54FF18F2B98BE28643203",1)</f>
        <v>=DISPIMG("ID_C929C0A6F3B54FF18F2B98BE28643203",1)</v>
      </c>
      <c r="P343" s="11" t="s">
        <v>415</v>
      </c>
      <c r="Q343" s="11">
        <v>30</v>
      </c>
      <c r="R343" s="17" t="s">
        <v>4659</v>
      </c>
      <c r="S343" s="18" t="s">
        <v>60</v>
      </c>
      <c r="T343" s="11">
        <v>5</v>
      </c>
    </row>
    <row r="344" s="3" customFormat="1" customHeight="1" spans="1:20">
      <c r="A344" s="167" t="s">
        <v>627</v>
      </c>
      <c r="B344" s="167" t="s">
        <v>165</v>
      </c>
      <c r="C344" s="167" t="s">
        <v>628</v>
      </c>
      <c r="D344" s="11">
        <v>18162269962</v>
      </c>
      <c r="E344" s="167" t="s">
        <v>156</v>
      </c>
      <c r="F344" s="167" t="s">
        <v>6</v>
      </c>
      <c r="G344" s="11">
        <v>202102012</v>
      </c>
      <c r="H344" s="167" t="s">
        <v>157</v>
      </c>
      <c r="I344" s="167" t="s">
        <v>630</v>
      </c>
      <c r="J344" s="167" t="s">
        <v>207</v>
      </c>
      <c r="K344" s="167" t="s">
        <v>160</v>
      </c>
      <c r="L344" s="167" t="s">
        <v>541</v>
      </c>
      <c r="M344" s="167" t="s">
        <v>18</v>
      </c>
      <c r="N344" s="167" t="s">
        <v>631</v>
      </c>
      <c r="O344" s="12" t="str">
        <f>_xlfn.DISPIMG("ID_50ADA4D0B38B42B786E2DD18C78CCC60",1)</f>
        <v>=DISPIMG("ID_50ADA4D0B38B42B786E2DD18C78CCC60",1)</v>
      </c>
      <c r="P344" s="11" t="s">
        <v>632</v>
      </c>
      <c r="Q344" s="11">
        <v>57</v>
      </c>
      <c r="R344" s="17" t="s">
        <v>4641</v>
      </c>
      <c r="S344" s="18" t="s">
        <v>60</v>
      </c>
      <c r="T344" s="11">
        <v>8</v>
      </c>
    </row>
    <row r="345" s="3" customFormat="1" customHeight="1" spans="1:20">
      <c r="A345" s="167" t="s">
        <v>746</v>
      </c>
      <c r="B345" s="167" t="s">
        <v>165</v>
      </c>
      <c r="C345" s="167" t="s">
        <v>747</v>
      </c>
      <c r="D345" s="11">
        <v>15641592275</v>
      </c>
      <c r="E345" s="167" t="s">
        <v>156</v>
      </c>
      <c r="F345" s="167" t="s">
        <v>6</v>
      </c>
      <c r="G345" s="11">
        <v>202102012</v>
      </c>
      <c r="H345" s="167" t="s">
        <v>157</v>
      </c>
      <c r="I345" s="167" t="s">
        <v>749</v>
      </c>
      <c r="J345" s="167" t="s">
        <v>750</v>
      </c>
      <c r="K345" s="167" t="s">
        <v>160</v>
      </c>
      <c r="L345" s="167" t="s">
        <v>252</v>
      </c>
      <c r="M345" s="167" t="s">
        <v>6</v>
      </c>
      <c r="N345" s="11">
        <v>0</v>
      </c>
      <c r="O345" s="12" t="str">
        <f>_xlfn.DISPIMG("ID_7B1FBC3D2E8F42D28CA9AC35B8C2D010",1)</f>
        <v>=DISPIMG("ID_7B1FBC3D2E8F42D28CA9AC35B8C2D010",1)</v>
      </c>
      <c r="P345" s="11" t="s">
        <v>751</v>
      </c>
      <c r="Q345" s="11">
        <v>71</v>
      </c>
      <c r="R345" s="17" t="s">
        <v>4646</v>
      </c>
      <c r="S345" s="18" t="s">
        <v>60</v>
      </c>
      <c r="T345" s="11">
        <v>17</v>
      </c>
    </row>
    <row r="346" s="3" customFormat="1" customHeight="1" spans="1:20">
      <c r="A346" s="167" t="s">
        <v>770</v>
      </c>
      <c r="B346" s="167" t="s">
        <v>165</v>
      </c>
      <c r="C346" s="167" t="s">
        <v>771</v>
      </c>
      <c r="D346" s="11">
        <v>13360075847</v>
      </c>
      <c r="E346" s="167" t="s">
        <v>156</v>
      </c>
      <c r="F346" s="167" t="s">
        <v>6</v>
      </c>
      <c r="G346" s="11">
        <v>202102012</v>
      </c>
      <c r="H346" s="167" t="s">
        <v>157</v>
      </c>
      <c r="I346" s="167" t="s">
        <v>773</v>
      </c>
      <c r="J346" s="167" t="s">
        <v>188</v>
      </c>
      <c r="K346" s="167" t="s">
        <v>160</v>
      </c>
      <c r="L346" s="167" t="s">
        <v>516</v>
      </c>
      <c r="M346" s="167" t="s">
        <v>774</v>
      </c>
      <c r="N346" s="167" t="s">
        <v>775</v>
      </c>
      <c r="O346" s="12" t="str">
        <f>_xlfn.DISPIMG("ID_F0D9772787374E2C95921274F505EDAD",1)</f>
        <v>=DISPIMG("ID_F0D9772787374E2C95921274F505EDAD",1)</v>
      </c>
      <c r="P346" s="11" t="s">
        <v>776</v>
      </c>
      <c r="Q346" s="11">
        <v>74</v>
      </c>
      <c r="R346" s="17" t="s">
        <v>4651</v>
      </c>
      <c r="S346" s="18" t="s">
        <v>60</v>
      </c>
      <c r="T346" s="11">
        <v>20</v>
      </c>
    </row>
    <row r="347" s="3" customFormat="1" customHeight="1" spans="1:20">
      <c r="A347" s="167" t="s">
        <v>1076</v>
      </c>
      <c r="B347" s="167" t="s">
        <v>165</v>
      </c>
      <c r="C347" s="167" t="s">
        <v>1077</v>
      </c>
      <c r="D347" s="11">
        <v>18870203440</v>
      </c>
      <c r="E347" s="167" t="s">
        <v>156</v>
      </c>
      <c r="F347" s="167" t="s">
        <v>6</v>
      </c>
      <c r="G347" s="11">
        <v>202102012</v>
      </c>
      <c r="H347" s="167" t="s">
        <v>157</v>
      </c>
      <c r="I347" s="167" t="s">
        <v>1079</v>
      </c>
      <c r="J347" s="167" t="s">
        <v>1080</v>
      </c>
      <c r="K347" s="167" t="s">
        <v>160</v>
      </c>
      <c r="L347" s="167" t="s">
        <v>235</v>
      </c>
      <c r="M347" s="167" t="s">
        <v>413</v>
      </c>
      <c r="N347" s="167" t="s">
        <v>1081</v>
      </c>
      <c r="O347" s="12" t="str">
        <f>_xlfn.DISPIMG("ID_78C412614C7B42A0AA2A4D942DD9F1A2",1)</f>
        <v>=DISPIMG("ID_78C412614C7B42A0AA2A4D942DD9F1A2",1)</v>
      </c>
      <c r="P347" s="11" t="s">
        <v>1082</v>
      </c>
      <c r="Q347" s="11">
        <v>112</v>
      </c>
      <c r="R347" s="17" t="s">
        <v>4656</v>
      </c>
      <c r="S347" s="18" t="s">
        <v>60</v>
      </c>
      <c r="T347" s="11">
        <v>29</v>
      </c>
    </row>
    <row r="348" s="3" customFormat="1" customHeight="1" spans="1:20">
      <c r="A348" s="167" t="s">
        <v>1135</v>
      </c>
      <c r="B348" s="167" t="s">
        <v>165</v>
      </c>
      <c r="C348" s="167" t="s">
        <v>1136</v>
      </c>
      <c r="D348" s="11">
        <v>13767277916</v>
      </c>
      <c r="E348" s="167" t="s">
        <v>506</v>
      </c>
      <c r="F348" s="167" t="s">
        <v>6</v>
      </c>
      <c r="G348" s="11">
        <v>202102021</v>
      </c>
      <c r="H348" s="167" t="s">
        <v>279</v>
      </c>
      <c r="I348" s="167" t="s">
        <v>158</v>
      </c>
      <c r="J348" s="167" t="s">
        <v>1138</v>
      </c>
      <c r="K348" s="167" t="s">
        <v>170</v>
      </c>
      <c r="L348" s="167" t="s">
        <v>673</v>
      </c>
      <c r="M348" s="167" t="s">
        <v>6</v>
      </c>
      <c r="N348" s="167" t="s">
        <v>1139</v>
      </c>
      <c r="O348" s="12" t="str">
        <f>_xlfn.DISPIMG("ID_18B5B97762B948069F50AE4DD03BA465",1)</f>
        <v>=DISPIMG("ID_18B5B97762B948069F50AE4DD03BA465",1)</v>
      </c>
      <c r="P348" s="11" t="s">
        <v>1140</v>
      </c>
      <c r="Q348" s="11">
        <v>119</v>
      </c>
      <c r="R348" s="17" t="s">
        <v>4660</v>
      </c>
      <c r="S348" s="18" t="s">
        <v>60</v>
      </c>
      <c r="T348" s="11">
        <v>4</v>
      </c>
    </row>
    <row r="349" s="3" customFormat="1" customHeight="1" spans="1:20">
      <c r="A349" s="167" t="s">
        <v>1227</v>
      </c>
      <c r="B349" s="167" t="s">
        <v>165</v>
      </c>
      <c r="C349" s="167" t="s">
        <v>1228</v>
      </c>
      <c r="D349" s="11">
        <v>18279868722</v>
      </c>
      <c r="E349" s="167" t="s">
        <v>156</v>
      </c>
      <c r="F349" s="167" t="s">
        <v>6</v>
      </c>
      <c r="G349" s="11">
        <v>202102012</v>
      </c>
      <c r="H349" s="167" t="s">
        <v>279</v>
      </c>
      <c r="I349" s="167" t="s">
        <v>168</v>
      </c>
      <c r="J349" s="167" t="s">
        <v>1138</v>
      </c>
      <c r="K349" s="167" t="s">
        <v>170</v>
      </c>
      <c r="L349" s="167" t="s">
        <v>368</v>
      </c>
      <c r="M349" s="167" t="s">
        <v>498</v>
      </c>
      <c r="N349" s="167" t="s">
        <v>1230</v>
      </c>
      <c r="O349" s="12" t="str">
        <f>_xlfn.DISPIMG("ID_F7BC6213D6E44840BB6BEB26E73F83E9",1)</f>
        <v>=DISPIMG("ID_F7BC6213D6E44840BB6BEB26E73F83E9",1)</v>
      </c>
      <c r="P349" s="11" t="s">
        <v>1231</v>
      </c>
      <c r="Q349" s="11">
        <v>130</v>
      </c>
      <c r="R349" s="17" t="s">
        <v>4661</v>
      </c>
      <c r="S349" s="18" t="s">
        <v>60</v>
      </c>
      <c r="T349" s="11">
        <v>9</v>
      </c>
    </row>
    <row r="350" s="3" customFormat="1" customHeight="1" spans="1:20">
      <c r="A350" s="167" t="s">
        <v>1068</v>
      </c>
      <c r="B350" s="167" t="s">
        <v>165</v>
      </c>
      <c r="C350" s="167" t="s">
        <v>1069</v>
      </c>
      <c r="D350" s="11">
        <v>18279237136</v>
      </c>
      <c r="E350" s="167" t="s">
        <v>506</v>
      </c>
      <c r="F350" s="167" t="s">
        <v>6</v>
      </c>
      <c r="G350" s="11">
        <v>202102021</v>
      </c>
      <c r="H350" s="167" t="s">
        <v>157</v>
      </c>
      <c r="I350" s="167" t="s">
        <v>1071</v>
      </c>
      <c r="J350" s="167" t="s">
        <v>454</v>
      </c>
      <c r="K350" s="167" t="s">
        <v>160</v>
      </c>
      <c r="L350" s="167" t="s">
        <v>161</v>
      </c>
      <c r="M350" s="167" t="s">
        <v>413</v>
      </c>
      <c r="N350" s="167" t="s">
        <v>1072</v>
      </c>
      <c r="O350" s="12" t="str">
        <f>_xlfn.DISPIMG("ID_4A5DEA3E498746E9A9AC483CF4ABDF91",1)</f>
        <v>=DISPIMG("ID_4A5DEA3E498746E9A9AC483CF4ABDF91",1)</v>
      </c>
      <c r="P350" s="11" t="s">
        <v>1073</v>
      </c>
      <c r="Q350" s="11">
        <v>137</v>
      </c>
      <c r="R350" s="17" t="s">
        <v>4665</v>
      </c>
      <c r="S350" s="18" t="s">
        <v>60</v>
      </c>
      <c r="T350" s="11">
        <v>16</v>
      </c>
    </row>
    <row r="351" s="3" customFormat="1" customHeight="1" spans="1:20">
      <c r="A351" s="167" t="s">
        <v>1336</v>
      </c>
      <c r="B351" s="167" t="s">
        <v>165</v>
      </c>
      <c r="C351" s="167" t="s">
        <v>1337</v>
      </c>
      <c r="D351" s="11">
        <v>15827758062</v>
      </c>
      <c r="E351" s="167" t="s">
        <v>506</v>
      </c>
      <c r="F351" s="167" t="s">
        <v>6</v>
      </c>
      <c r="G351" s="11">
        <v>202102021</v>
      </c>
      <c r="H351" s="167" t="s">
        <v>157</v>
      </c>
      <c r="I351" s="167" t="s">
        <v>909</v>
      </c>
      <c r="J351" s="167" t="s">
        <v>323</v>
      </c>
      <c r="K351" s="167" t="s">
        <v>170</v>
      </c>
      <c r="L351" s="167" t="s">
        <v>235</v>
      </c>
      <c r="M351" s="167" t="s">
        <v>1339</v>
      </c>
      <c r="N351" s="167" t="s">
        <v>1340</v>
      </c>
      <c r="O351" s="12" t="str">
        <f>_xlfn.DISPIMG("ID_59602C342648425A87CF8C12540A5579",1)</f>
        <v>=DISPIMG("ID_59602C342648425A87CF8C12540A5579",1)</v>
      </c>
      <c r="P351" s="11" t="s">
        <v>1341</v>
      </c>
      <c r="Q351" s="11">
        <v>145</v>
      </c>
      <c r="R351" s="17" t="s">
        <v>4666</v>
      </c>
      <c r="S351" s="18" t="s">
        <v>60</v>
      </c>
      <c r="T351" s="11">
        <v>21</v>
      </c>
    </row>
    <row r="352" s="3" customFormat="1" customHeight="1" spans="1:20">
      <c r="A352" s="167" t="s">
        <v>1622</v>
      </c>
      <c r="B352" s="167" t="s">
        <v>165</v>
      </c>
      <c r="C352" s="167" t="s">
        <v>1623</v>
      </c>
      <c r="D352" s="11">
        <v>15170969760</v>
      </c>
      <c r="E352" s="167" t="s">
        <v>506</v>
      </c>
      <c r="F352" s="167" t="s">
        <v>6</v>
      </c>
      <c r="G352" s="11">
        <v>202102021</v>
      </c>
      <c r="H352" s="167" t="s">
        <v>157</v>
      </c>
      <c r="I352" s="167" t="s">
        <v>1625</v>
      </c>
      <c r="J352" s="167" t="s">
        <v>750</v>
      </c>
      <c r="K352" s="167" t="s">
        <v>160</v>
      </c>
      <c r="L352" s="167" t="s">
        <v>1089</v>
      </c>
      <c r="M352" s="167" t="s">
        <v>6</v>
      </c>
      <c r="N352" s="167" t="s">
        <v>1626</v>
      </c>
      <c r="O352" s="12" t="str">
        <f>_xlfn.DISPIMG("ID_F5B5B7553FD14A38A3CEAB4A3171FC0C",1)</f>
        <v>=DISPIMG("ID_F5B5B7553FD14A38A3CEAB4A3171FC0C",1)</v>
      </c>
      <c r="P352" s="11" t="s">
        <v>1627</v>
      </c>
      <c r="Q352" s="11">
        <v>182</v>
      </c>
      <c r="R352" s="17" t="s">
        <v>4667</v>
      </c>
      <c r="S352" s="18" t="s">
        <v>60</v>
      </c>
      <c r="T352" s="11">
        <v>28</v>
      </c>
    </row>
    <row r="353" s="3" customFormat="1" customHeight="1" spans="1:20">
      <c r="A353" s="167" t="s">
        <v>1798</v>
      </c>
      <c r="B353" s="167" t="s">
        <v>165</v>
      </c>
      <c r="C353" s="167" t="s">
        <v>1799</v>
      </c>
      <c r="D353" s="11">
        <v>18070223507</v>
      </c>
      <c r="E353" s="167" t="s">
        <v>506</v>
      </c>
      <c r="F353" s="167" t="s">
        <v>6</v>
      </c>
      <c r="G353" s="11">
        <v>202102021</v>
      </c>
      <c r="H353" s="167" t="s">
        <v>157</v>
      </c>
      <c r="I353" s="167" t="s">
        <v>1801</v>
      </c>
      <c r="J353" s="167" t="s">
        <v>1802</v>
      </c>
      <c r="K353" s="167" t="s">
        <v>160</v>
      </c>
      <c r="L353" s="167" t="s">
        <v>161</v>
      </c>
      <c r="M353" s="167" t="s">
        <v>6</v>
      </c>
      <c r="N353" s="167" t="s">
        <v>1803</v>
      </c>
      <c r="O353" s="12" t="str">
        <f>_xlfn.DISPIMG("ID_054E9F37DEBB4C16973D352603A54499",1)</f>
        <v>=DISPIMG("ID_054E9F37DEBB4C16973D352603A54499",1)</v>
      </c>
      <c r="P353" s="11" t="s">
        <v>1804</v>
      </c>
      <c r="Q353" s="11">
        <v>205</v>
      </c>
      <c r="R353" s="17" t="s">
        <v>4668</v>
      </c>
      <c r="S353" s="18" t="s">
        <v>60</v>
      </c>
      <c r="T353" s="11">
        <v>3</v>
      </c>
    </row>
    <row r="354" s="3" customFormat="1" customHeight="1" spans="1:20">
      <c r="A354" s="167" t="s">
        <v>2233</v>
      </c>
      <c r="B354" s="167" t="s">
        <v>165</v>
      </c>
      <c r="C354" s="167" t="s">
        <v>2234</v>
      </c>
      <c r="D354" s="11">
        <v>18279238026</v>
      </c>
      <c r="E354" s="167" t="s">
        <v>156</v>
      </c>
      <c r="F354" s="167" t="s">
        <v>6</v>
      </c>
      <c r="G354" s="11">
        <v>202102012</v>
      </c>
      <c r="H354" s="167" t="s">
        <v>157</v>
      </c>
      <c r="I354" s="167" t="s">
        <v>2236</v>
      </c>
      <c r="J354" s="167" t="s">
        <v>188</v>
      </c>
      <c r="K354" s="167" t="s">
        <v>160</v>
      </c>
      <c r="L354" s="167" t="s">
        <v>516</v>
      </c>
      <c r="M354" s="167" t="s">
        <v>18</v>
      </c>
      <c r="N354" s="11">
        <v>0</v>
      </c>
      <c r="O354" s="12" t="str">
        <f>_xlfn.DISPIMG("ID_B83409D3E833484EAA2409A5675BAA5D",1)</f>
        <v>=DISPIMG("ID_B83409D3E833484EAA2409A5675BAA5D",1)</v>
      </c>
      <c r="P354" s="11" t="s">
        <v>2237</v>
      </c>
      <c r="Q354" s="11">
        <v>263</v>
      </c>
      <c r="R354" s="17" t="s">
        <v>4669</v>
      </c>
      <c r="S354" s="18" t="s">
        <v>60</v>
      </c>
      <c r="T354" s="11">
        <v>10</v>
      </c>
    </row>
    <row r="355" s="3" customFormat="1" customHeight="1" spans="1:20">
      <c r="A355" s="167" t="s">
        <v>2264</v>
      </c>
      <c r="B355" s="167" t="s">
        <v>153</v>
      </c>
      <c r="C355" s="167" t="s">
        <v>2265</v>
      </c>
      <c r="D355" s="11">
        <v>13755257750</v>
      </c>
      <c r="E355" s="167" t="s">
        <v>506</v>
      </c>
      <c r="F355" s="167" t="s">
        <v>6</v>
      </c>
      <c r="G355" s="11">
        <v>202102021</v>
      </c>
      <c r="H355" s="167" t="s">
        <v>157</v>
      </c>
      <c r="I355" s="167" t="s">
        <v>2267</v>
      </c>
      <c r="J355" s="167" t="s">
        <v>2268</v>
      </c>
      <c r="K355" s="167" t="s">
        <v>160</v>
      </c>
      <c r="L355" s="167" t="s">
        <v>161</v>
      </c>
      <c r="M355" s="167" t="s">
        <v>2269</v>
      </c>
      <c r="N355" s="11">
        <v>0</v>
      </c>
      <c r="O355" s="12" t="str">
        <f>_xlfn.DISPIMG("ID_73D56986F7DE44CDB5B00B7AF01CF017",1)</f>
        <v>=DISPIMG("ID_73D56986F7DE44CDB5B00B7AF01CF017",1)</v>
      </c>
      <c r="P355" s="11" t="s">
        <v>2270</v>
      </c>
      <c r="Q355" s="11">
        <v>267</v>
      </c>
      <c r="R355" s="17" t="s">
        <v>4670</v>
      </c>
      <c r="S355" s="18" t="s">
        <v>60</v>
      </c>
      <c r="T355" s="11">
        <v>15</v>
      </c>
    </row>
    <row r="356" s="3" customFormat="1" customHeight="1" spans="1:20">
      <c r="A356" s="167" t="s">
        <v>2316</v>
      </c>
      <c r="B356" s="167" t="s">
        <v>165</v>
      </c>
      <c r="C356" s="167" t="s">
        <v>2317</v>
      </c>
      <c r="D356" s="11">
        <v>18790256284</v>
      </c>
      <c r="E356" s="167" t="s">
        <v>156</v>
      </c>
      <c r="F356" s="167" t="s">
        <v>6</v>
      </c>
      <c r="G356" s="11">
        <v>202102012</v>
      </c>
      <c r="H356" s="167" t="s">
        <v>157</v>
      </c>
      <c r="I356" s="167" t="s">
        <v>403</v>
      </c>
      <c r="J356" s="167" t="s">
        <v>207</v>
      </c>
      <c r="K356" s="167" t="s">
        <v>160</v>
      </c>
      <c r="L356" s="167" t="s">
        <v>161</v>
      </c>
      <c r="M356" s="167" t="s">
        <v>1156</v>
      </c>
      <c r="N356" s="167" t="s">
        <v>2319</v>
      </c>
      <c r="O356" s="12" t="str">
        <f>_xlfn.DISPIMG("ID_CE4D4038789D4DF1AB53AB5B07B379E6",1)</f>
        <v>=DISPIMG("ID_CE4D4038789D4DF1AB53AB5B07B379E6",1)</v>
      </c>
      <c r="P356" s="11" t="s">
        <v>2320</v>
      </c>
      <c r="Q356" s="11">
        <v>274</v>
      </c>
      <c r="R356" s="17" t="s">
        <v>4671</v>
      </c>
      <c r="S356" s="18" t="s">
        <v>60</v>
      </c>
      <c r="T356" s="11">
        <v>22</v>
      </c>
    </row>
    <row r="357" s="3" customFormat="1" customHeight="1" spans="1:20">
      <c r="A357" s="167" t="s">
        <v>2643</v>
      </c>
      <c r="B357" s="167" t="s">
        <v>165</v>
      </c>
      <c r="C357" s="167" t="s">
        <v>2644</v>
      </c>
      <c r="D357" s="11">
        <v>15779267017</v>
      </c>
      <c r="E357" s="167" t="s">
        <v>156</v>
      </c>
      <c r="F357" s="167" t="s">
        <v>6</v>
      </c>
      <c r="G357" s="11">
        <v>202102012</v>
      </c>
      <c r="H357" s="167" t="s">
        <v>157</v>
      </c>
      <c r="I357" s="167" t="s">
        <v>2646</v>
      </c>
      <c r="J357" s="167" t="s">
        <v>2647</v>
      </c>
      <c r="K357" s="167" t="s">
        <v>160</v>
      </c>
      <c r="L357" s="167" t="s">
        <v>306</v>
      </c>
      <c r="M357" s="167" t="s">
        <v>18</v>
      </c>
      <c r="N357" s="167" t="s">
        <v>2648</v>
      </c>
      <c r="O357" s="12" t="str">
        <f>_xlfn.DISPIMG("ID_5444703683DB4591A53B76ECB3D8FAE4",1)</f>
        <v>=DISPIMG("ID_5444703683DB4591A53B76ECB3D8FAE4",1)</v>
      </c>
      <c r="P357" s="11" t="s">
        <v>2649</v>
      </c>
      <c r="Q357" s="11">
        <v>318</v>
      </c>
      <c r="R357" s="17" t="s">
        <v>4672</v>
      </c>
      <c r="S357" s="18" t="s">
        <v>60</v>
      </c>
      <c r="T357" s="11">
        <v>27</v>
      </c>
    </row>
    <row r="358" s="3" customFormat="1" customHeight="1" spans="1:20">
      <c r="A358" s="167" t="s">
        <v>2705</v>
      </c>
      <c r="B358" s="167" t="s">
        <v>165</v>
      </c>
      <c r="C358" s="167" t="s">
        <v>2706</v>
      </c>
      <c r="D358" s="11">
        <v>18879206969</v>
      </c>
      <c r="E358" s="167" t="s">
        <v>156</v>
      </c>
      <c r="F358" s="167" t="s">
        <v>6</v>
      </c>
      <c r="G358" s="11">
        <v>202102012</v>
      </c>
      <c r="H358" s="167" t="s">
        <v>157</v>
      </c>
      <c r="I358" s="167" t="s">
        <v>2708</v>
      </c>
      <c r="J358" s="167" t="s">
        <v>750</v>
      </c>
      <c r="K358" s="167" t="s">
        <v>160</v>
      </c>
      <c r="L358" s="167" t="s">
        <v>216</v>
      </c>
      <c r="M358" s="167" t="s">
        <v>18</v>
      </c>
      <c r="N358" s="11">
        <v>0</v>
      </c>
      <c r="O358" s="12" t="str">
        <f>_xlfn.DISPIMG("ID_4ECDECBC23404DF3A6E316268C69D43E",1)</f>
        <v>=DISPIMG("ID_4ECDECBC23404DF3A6E316268C69D43E",1)</v>
      </c>
      <c r="P358" s="11" t="s">
        <v>2709</v>
      </c>
      <c r="Q358" s="11">
        <v>326</v>
      </c>
      <c r="R358" s="17" t="s">
        <v>4673</v>
      </c>
      <c r="S358" s="18" t="s">
        <v>60</v>
      </c>
      <c r="T358" s="11">
        <v>2</v>
      </c>
    </row>
    <row r="359" s="3" customFormat="1" customHeight="1" spans="1:20">
      <c r="A359" s="167" t="s">
        <v>2718</v>
      </c>
      <c r="B359" s="167" t="s">
        <v>153</v>
      </c>
      <c r="C359" s="167" t="s">
        <v>2719</v>
      </c>
      <c r="D359" s="11">
        <v>15779215230</v>
      </c>
      <c r="E359" s="167" t="s">
        <v>156</v>
      </c>
      <c r="F359" s="167" t="s">
        <v>6</v>
      </c>
      <c r="G359" s="11">
        <v>202102012</v>
      </c>
      <c r="H359" s="167" t="s">
        <v>157</v>
      </c>
      <c r="I359" s="167" t="s">
        <v>168</v>
      </c>
      <c r="J359" s="167" t="s">
        <v>2721</v>
      </c>
      <c r="K359" s="167" t="s">
        <v>160</v>
      </c>
      <c r="L359" s="167" t="s">
        <v>455</v>
      </c>
      <c r="M359" s="167" t="s">
        <v>18</v>
      </c>
      <c r="N359" s="167" t="s">
        <v>2722</v>
      </c>
      <c r="O359" s="12" t="str">
        <f>_xlfn.DISPIMG("ID_2B62698B077F4147874AB6F7E19938E7",1)</f>
        <v>=DISPIMG("ID_2B62698B077F4147874AB6F7E19938E7",1)</v>
      </c>
      <c r="P359" s="11" t="s">
        <v>2723</v>
      </c>
      <c r="Q359" s="11">
        <v>328</v>
      </c>
      <c r="R359" s="17" t="s">
        <v>4674</v>
      </c>
      <c r="S359" s="18" t="s">
        <v>60</v>
      </c>
      <c r="T359" s="11">
        <v>11</v>
      </c>
    </row>
    <row r="360" s="3" customFormat="1" customHeight="1" spans="1:20">
      <c r="A360" s="167" t="s">
        <v>2922</v>
      </c>
      <c r="B360" s="167" t="s">
        <v>165</v>
      </c>
      <c r="C360" s="167" t="s">
        <v>2923</v>
      </c>
      <c r="D360" s="11">
        <v>18079240698</v>
      </c>
      <c r="E360" s="167" t="s">
        <v>156</v>
      </c>
      <c r="F360" s="167" t="s">
        <v>6</v>
      </c>
      <c r="G360" s="11">
        <v>202102012</v>
      </c>
      <c r="H360" s="167" t="s">
        <v>157</v>
      </c>
      <c r="I360" s="167" t="s">
        <v>322</v>
      </c>
      <c r="J360" s="167" t="s">
        <v>2268</v>
      </c>
      <c r="K360" s="167" t="s">
        <v>160</v>
      </c>
      <c r="L360" s="167" t="s">
        <v>455</v>
      </c>
      <c r="M360" s="167" t="s">
        <v>2925</v>
      </c>
      <c r="N360" s="11">
        <v>0</v>
      </c>
      <c r="O360" s="12" t="str">
        <f>_xlfn.DISPIMG("ID_40B4A1C67261465298C744E0F0D93767",1)</f>
        <v>=DISPIMG("ID_40B4A1C67261465298C744E0F0D93767",1)</v>
      </c>
      <c r="P360" s="11" t="s">
        <v>2926</v>
      </c>
      <c r="Q360" s="11">
        <v>356</v>
      </c>
      <c r="R360" s="17" t="s">
        <v>4675</v>
      </c>
      <c r="S360" s="18" t="s">
        <v>60</v>
      </c>
      <c r="T360" s="11">
        <v>14</v>
      </c>
    </row>
    <row r="361" s="3" customFormat="1" customHeight="1" spans="1:20">
      <c r="A361" s="167" t="s">
        <v>3091</v>
      </c>
      <c r="B361" s="167" t="s">
        <v>165</v>
      </c>
      <c r="C361" s="167" t="s">
        <v>3092</v>
      </c>
      <c r="D361" s="11">
        <v>18679162461</v>
      </c>
      <c r="E361" s="167" t="s">
        <v>156</v>
      </c>
      <c r="F361" s="167" t="s">
        <v>6</v>
      </c>
      <c r="G361" s="11">
        <v>202102012</v>
      </c>
      <c r="H361" s="167" t="s">
        <v>157</v>
      </c>
      <c r="I361" s="167" t="s">
        <v>3094</v>
      </c>
      <c r="J361" s="167" t="s">
        <v>3095</v>
      </c>
      <c r="K361" s="167" t="s">
        <v>160</v>
      </c>
      <c r="L361" s="167" t="s">
        <v>171</v>
      </c>
      <c r="M361" s="167" t="s">
        <v>18</v>
      </c>
      <c r="N361" s="167" t="s">
        <v>3096</v>
      </c>
      <c r="O361" s="12" t="str">
        <f>_xlfn.DISPIMG("ID_26230D3A7A254FB387523A67FAC705F7",1)</f>
        <v>=DISPIMG("ID_26230D3A7A254FB387523A67FAC705F7",1)</v>
      </c>
      <c r="P361" s="11" t="s">
        <v>3097</v>
      </c>
      <c r="Q361" s="11">
        <v>382</v>
      </c>
      <c r="R361" s="17" t="s">
        <v>4676</v>
      </c>
      <c r="S361" s="18" t="s">
        <v>60</v>
      </c>
      <c r="T361" s="11">
        <v>23</v>
      </c>
    </row>
    <row r="362" s="3" customFormat="1" customHeight="1" spans="1:20">
      <c r="A362" s="167" t="s">
        <v>3123</v>
      </c>
      <c r="B362" s="167" t="s">
        <v>165</v>
      </c>
      <c r="C362" s="167" t="s">
        <v>3124</v>
      </c>
      <c r="D362" s="11">
        <v>19979611731</v>
      </c>
      <c r="E362" s="167" t="s">
        <v>156</v>
      </c>
      <c r="F362" s="167" t="s">
        <v>6</v>
      </c>
      <c r="G362" s="11">
        <v>202102012</v>
      </c>
      <c r="H362" s="167" t="s">
        <v>157</v>
      </c>
      <c r="I362" s="167" t="s">
        <v>3126</v>
      </c>
      <c r="J362" s="167" t="s">
        <v>404</v>
      </c>
      <c r="K362" s="167" t="s">
        <v>160</v>
      </c>
      <c r="L362" s="167" t="s">
        <v>199</v>
      </c>
      <c r="M362" s="167" t="s">
        <v>18</v>
      </c>
      <c r="N362" s="11">
        <v>0</v>
      </c>
      <c r="O362" s="12" t="str">
        <f>_xlfn.DISPIMG("ID_A2488CA19AE844B4BBFD68619FFEAA1D",1)</f>
        <v>=DISPIMG("ID_A2488CA19AE844B4BBFD68619FFEAA1D",1)</v>
      </c>
      <c r="P362" s="11" t="s">
        <v>3127</v>
      </c>
      <c r="Q362" s="11">
        <v>386</v>
      </c>
      <c r="R362" s="17" t="s">
        <v>4677</v>
      </c>
      <c r="S362" s="18" t="s">
        <v>60</v>
      </c>
      <c r="T362" s="11">
        <v>26</v>
      </c>
    </row>
    <row r="363" s="3" customFormat="1" customHeight="1" spans="1:20">
      <c r="A363" s="167" t="s">
        <v>3366</v>
      </c>
      <c r="B363" s="167" t="s">
        <v>153</v>
      </c>
      <c r="C363" s="167" t="s">
        <v>3367</v>
      </c>
      <c r="D363" s="11">
        <v>13755682208</v>
      </c>
      <c r="E363" s="167" t="s">
        <v>506</v>
      </c>
      <c r="F363" s="167" t="s">
        <v>6</v>
      </c>
      <c r="G363" s="11">
        <v>202102021</v>
      </c>
      <c r="H363" s="167" t="s">
        <v>279</v>
      </c>
      <c r="I363" s="167" t="s">
        <v>178</v>
      </c>
      <c r="J363" s="167" t="s">
        <v>1138</v>
      </c>
      <c r="K363" s="167" t="s">
        <v>170</v>
      </c>
      <c r="L363" s="167" t="s">
        <v>216</v>
      </c>
      <c r="M363" s="167" t="s">
        <v>3369</v>
      </c>
      <c r="N363" s="167" t="s">
        <v>3370</v>
      </c>
      <c r="O363" s="12" t="str">
        <f>_xlfn.DISPIMG("ID_5C988A3540504C69ADD9A8ABF15446E0",1)</f>
        <v>=DISPIMG("ID_5C988A3540504C69ADD9A8ABF15446E0",1)</v>
      </c>
      <c r="P363" s="11" t="s">
        <v>3371</v>
      </c>
      <c r="Q363" s="11">
        <v>424</v>
      </c>
      <c r="R363" s="17" t="s">
        <v>4678</v>
      </c>
      <c r="S363" s="18" t="s">
        <v>60</v>
      </c>
      <c r="T363" s="11">
        <v>1</v>
      </c>
    </row>
    <row r="364" s="3" customFormat="1" customHeight="1" spans="1:20">
      <c r="A364" s="167" t="s">
        <v>3423</v>
      </c>
      <c r="B364" s="167" t="s">
        <v>165</v>
      </c>
      <c r="C364" s="167" t="s">
        <v>3424</v>
      </c>
      <c r="D364" s="11">
        <v>18720214779</v>
      </c>
      <c r="E364" s="167" t="s">
        <v>156</v>
      </c>
      <c r="F364" s="167" t="s">
        <v>6</v>
      </c>
      <c r="G364" s="11">
        <v>202102012</v>
      </c>
      <c r="H364" s="167" t="s">
        <v>157</v>
      </c>
      <c r="I364" s="167" t="s">
        <v>1424</v>
      </c>
      <c r="J364" s="167" t="s">
        <v>404</v>
      </c>
      <c r="K364" s="167" t="s">
        <v>160</v>
      </c>
      <c r="L364" s="167" t="s">
        <v>171</v>
      </c>
      <c r="M364" s="167" t="s">
        <v>18</v>
      </c>
      <c r="N364" s="167" t="s">
        <v>3425</v>
      </c>
      <c r="O364" s="12" t="str">
        <f>_xlfn.DISPIMG("ID_F35EB404C32C41B8B6B9DFFF6A73D9A8",1)</f>
        <v>=DISPIMG("ID_F35EB404C32C41B8B6B9DFFF6A73D9A8",1)</v>
      </c>
      <c r="P364" s="11" t="s">
        <v>3426</v>
      </c>
      <c r="Q364" s="11">
        <v>432</v>
      </c>
      <c r="R364" s="17" t="s">
        <v>4679</v>
      </c>
      <c r="S364" s="18" t="s">
        <v>60</v>
      </c>
      <c r="T364" s="11">
        <v>12</v>
      </c>
    </row>
    <row r="365" s="3" customFormat="1" customHeight="1" spans="1:20">
      <c r="A365" s="167" t="s">
        <v>3450</v>
      </c>
      <c r="B365" s="167" t="s">
        <v>165</v>
      </c>
      <c r="C365" s="167" t="s">
        <v>3451</v>
      </c>
      <c r="D365" s="11">
        <v>13122970585</v>
      </c>
      <c r="E365" s="167" t="s">
        <v>156</v>
      </c>
      <c r="F365" s="167" t="s">
        <v>6</v>
      </c>
      <c r="G365" s="11">
        <v>202102012</v>
      </c>
      <c r="H365" s="167" t="s">
        <v>157</v>
      </c>
      <c r="I365" s="167" t="s">
        <v>3453</v>
      </c>
      <c r="J365" s="167" t="s">
        <v>323</v>
      </c>
      <c r="K365" s="167" t="s">
        <v>170</v>
      </c>
      <c r="L365" s="167" t="s">
        <v>396</v>
      </c>
      <c r="M365" s="167" t="s">
        <v>2244</v>
      </c>
      <c r="N365" s="167" t="s">
        <v>3454</v>
      </c>
      <c r="O365" s="12" t="str">
        <f>_xlfn.DISPIMG("ID_75AF34168E0448D4A462EFA2E90CB632",1)</f>
        <v>=DISPIMG("ID_75AF34168E0448D4A462EFA2E90CB632",1)</v>
      </c>
      <c r="P365" s="11" t="s">
        <v>3455</v>
      </c>
      <c r="Q365" s="11">
        <v>436</v>
      </c>
      <c r="R365" s="17" t="s">
        <v>4680</v>
      </c>
      <c r="S365" s="18" t="s">
        <v>60</v>
      </c>
      <c r="T365" s="11">
        <v>13</v>
      </c>
    </row>
    <row r="366" s="3" customFormat="1" customHeight="1" spans="1:20">
      <c r="A366" s="167" t="s">
        <v>3466</v>
      </c>
      <c r="B366" s="167" t="s">
        <v>165</v>
      </c>
      <c r="C366" s="167" t="s">
        <v>3467</v>
      </c>
      <c r="D366" s="11">
        <v>15879126790</v>
      </c>
      <c r="E366" s="167" t="s">
        <v>156</v>
      </c>
      <c r="F366" s="167" t="s">
        <v>6</v>
      </c>
      <c r="G366" s="11">
        <v>202102012</v>
      </c>
      <c r="H366" s="167" t="s">
        <v>157</v>
      </c>
      <c r="I366" s="167" t="s">
        <v>901</v>
      </c>
      <c r="J366" s="167" t="s">
        <v>188</v>
      </c>
      <c r="K366" s="167" t="s">
        <v>160</v>
      </c>
      <c r="L366" s="167" t="s">
        <v>281</v>
      </c>
      <c r="M366" s="167" t="s">
        <v>1579</v>
      </c>
      <c r="N366" s="167" t="s">
        <v>3469</v>
      </c>
      <c r="O366" s="12" t="str">
        <f>_xlfn.DISPIMG("ID_F4E1B2AC46944606B0ACE14F8CC9918C",1)</f>
        <v>=DISPIMG("ID_F4E1B2AC46944606B0ACE14F8CC9918C",1)</v>
      </c>
      <c r="P366" s="11" t="s">
        <v>3470</v>
      </c>
      <c r="Q366" s="11">
        <v>438</v>
      </c>
      <c r="R366" s="17" t="s">
        <v>4681</v>
      </c>
      <c r="S366" s="18" t="s">
        <v>60</v>
      </c>
      <c r="T366" s="11">
        <v>24</v>
      </c>
    </row>
    <row r="367" s="3" customFormat="1" customHeight="1" spans="1:20">
      <c r="A367" s="167" t="s">
        <v>3630</v>
      </c>
      <c r="B367" s="167" t="s">
        <v>153</v>
      </c>
      <c r="C367" s="167" t="s">
        <v>3631</v>
      </c>
      <c r="D367" s="11">
        <v>19979468695</v>
      </c>
      <c r="E367" s="167" t="s">
        <v>506</v>
      </c>
      <c r="F367" s="167" t="s">
        <v>6</v>
      </c>
      <c r="G367" s="11">
        <v>202102021</v>
      </c>
      <c r="H367" s="167" t="s">
        <v>157</v>
      </c>
      <c r="I367" s="167" t="s">
        <v>3633</v>
      </c>
      <c r="J367" s="167" t="s">
        <v>323</v>
      </c>
      <c r="K367" s="167" t="s">
        <v>170</v>
      </c>
      <c r="L367" s="167" t="s">
        <v>171</v>
      </c>
      <c r="M367" s="167" t="s">
        <v>3634</v>
      </c>
      <c r="N367" s="167" t="s">
        <v>3635</v>
      </c>
      <c r="O367" s="12" t="str">
        <f>_xlfn.DISPIMG("ID_7CE83E02BD574BEF88ED6441327C41EF",1)</f>
        <v>=DISPIMG("ID_7CE83E02BD574BEF88ED6441327C41EF",1)</v>
      </c>
      <c r="P367" s="11" t="s">
        <v>3636</v>
      </c>
      <c r="Q367" s="11">
        <v>462</v>
      </c>
      <c r="R367" s="17" t="s">
        <v>4682</v>
      </c>
      <c r="S367" s="18" t="s">
        <v>60</v>
      </c>
      <c r="T367" s="11">
        <v>25</v>
      </c>
    </row>
    <row r="368" s="3" customFormat="1" customHeight="1" spans="1:20">
      <c r="A368" s="167" t="s">
        <v>3743</v>
      </c>
      <c r="B368" s="167" t="s">
        <v>165</v>
      </c>
      <c r="C368" s="167" t="s">
        <v>3744</v>
      </c>
      <c r="D368" s="11">
        <v>15679201300</v>
      </c>
      <c r="E368" s="167" t="s">
        <v>156</v>
      </c>
      <c r="F368" s="167" t="s">
        <v>6</v>
      </c>
      <c r="G368" s="11">
        <v>202102012</v>
      </c>
      <c r="H368" s="167" t="s">
        <v>157</v>
      </c>
      <c r="I368" s="167" t="s">
        <v>437</v>
      </c>
      <c r="J368" s="167" t="s">
        <v>3746</v>
      </c>
      <c r="K368" s="167" t="s">
        <v>160</v>
      </c>
      <c r="L368" s="167" t="s">
        <v>216</v>
      </c>
      <c r="M368" s="167" t="s">
        <v>18</v>
      </c>
      <c r="N368" s="167" t="s">
        <v>3747</v>
      </c>
      <c r="O368" s="12" t="str">
        <f>_xlfn.DISPIMG("ID_B41ADE81115D4115B428E62357BC8F70",1)</f>
        <v>=DISPIMG("ID_B41ADE81115D4115B428E62357BC8F70",1)</v>
      </c>
      <c r="P368" s="11" t="s">
        <v>3748</v>
      </c>
      <c r="Q368" s="20">
        <v>477</v>
      </c>
      <c r="R368" s="17" t="s">
        <v>4683</v>
      </c>
      <c r="S368" s="18" t="s">
        <v>62</v>
      </c>
      <c r="T368" s="25">
        <v>6</v>
      </c>
    </row>
    <row r="369" s="3" customFormat="1" customHeight="1" spans="1:20">
      <c r="A369" s="167" t="s">
        <v>3758</v>
      </c>
      <c r="B369" s="167" t="s">
        <v>165</v>
      </c>
      <c r="C369" s="167" t="s">
        <v>3759</v>
      </c>
      <c r="D369" s="11">
        <v>15946993908</v>
      </c>
      <c r="E369" s="167" t="s">
        <v>156</v>
      </c>
      <c r="F369" s="167" t="s">
        <v>6</v>
      </c>
      <c r="G369" s="11">
        <v>202102012</v>
      </c>
      <c r="H369" s="167" t="s">
        <v>157</v>
      </c>
      <c r="I369" s="167" t="s">
        <v>3761</v>
      </c>
      <c r="J369" s="167" t="s">
        <v>404</v>
      </c>
      <c r="K369" s="167" t="s">
        <v>160</v>
      </c>
      <c r="L369" s="167" t="s">
        <v>252</v>
      </c>
      <c r="M369" s="167" t="s">
        <v>6</v>
      </c>
      <c r="N369" s="167" t="s">
        <v>3762</v>
      </c>
      <c r="O369" s="12" t="str">
        <f>_xlfn.DISPIMG("ID_C2F02D4F7B2D4545A16075F83680F752",1)</f>
        <v>=DISPIMG("ID_C2F02D4F7B2D4545A16075F83680F752",1)</v>
      </c>
      <c r="P369" s="11" t="s">
        <v>3763</v>
      </c>
      <c r="Q369" s="11">
        <v>479</v>
      </c>
      <c r="R369" s="17" t="s">
        <v>4684</v>
      </c>
      <c r="S369" s="18" t="s">
        <v>62</v>
      </c>
      <c r="T369" s="25">
        <v>5</v>
      </c>
    </row>
    <row r="370" s="3" customFormat="1" customHeight="1" spans="1:20">
      <c r="A370" s="167" t="s">
        <v>3780</v>
      </c>
      <c r="B370" s="167" t="s">
        <v>165</v>
      </c>
      <c r="C370" s="167" t="s">
        <v>3781</v>
      </c>
      <c r="D370" s="11">
        <v>18372112404</v>
      </c>
      <c r="E370" s="167" t="s">
        <v>156</v>
      </c>
      <c r="F370" s="167" t="s">
        <v>6</v>
      </c>
      <c r="G370" s="11">
        <v>202102012</v>
      </c>
      <c r="H370" s="167" t="s">
        <v>157</v>
      </c>
      <c r="I370" s="167" t="s">
        <v>3783</v>
      </c>
      <c r="J370" s="167" t="s">
        <v>3784</v>
      </c>
      <c r="K370" s="167" t="s">
        <v>160</v>
      </c>
      <c r="L370" s="167" t="s">
        <v>252</v>
      </c>
      <c r="M370" s="167" t="s">
        <v>6</v>
      </c>
      <c r="N370" s="167" t="s">
        <v>3785</v>
      </c>
      <c r="O370" s="12" t="str">
        <f>_xlfn.DISPIMG("ID_D2BC3DB6B6B24D07A1729D0ECE731594",1)</f>
        <v>=DISPIMG("ID_D2BC3DB6B6B24D07A1729D0ECE731594",1)</v>
      </c>
      <c r="P370" s="11" t="s">
        <v>3786</v>
      </c>
      <c r="Q370" s="11">
        <v>482</v>
      </c>
      <c r="R370" s="17" t="s">
        <v>4685</v>
      </c>
      <c r="S370" s="18" t="s">
        <v>62</v>
      </c>
      <c r="T370" s="25">
        <v>4</v>
      </c>
    </row>
    <row r="371" s="3" customFormat="1" customHeight="1" spans="1:20">
      <c r="A371" s="167" t="s">
        <v>3797</v>
      </c>
      <c r="B371" s="167" t="s">
        <v>165</v>
      </c>
      <c r="C371" s="167" t="s">
        <v>3798</v>
      </c>
      <c r="D371" s="11">
        <v>15879245873</v>
      </c>
      <c r="E371" s="167" t="s">
        <v>506</v>
      </c>
      <c r="F371" s="167" t="s">
        <v>6</v>
      </c>
      <c r="G371" s="11">
        <v>202102021</v>
      </c>
      <c r="H371" s="167" t="s">
        <v>157</v>
      </c>
      <c r="I371" s="167" t="s">
        <v>158</v>
      </c>
      <c r="J371" s="167" t="s">
        <v>188</v>
      </c>
      <c r="K371" s="167" t="s">
        <v>160</v>
      </c>
      <c r="L371" s="167" t="s">
        <v>306</v>
      </c>
      <c r="M371" s="167" t="s">
        <v>3800</v>
      </c>
      <c r="N371" s="11">
        <v>0</v>
      </c>
      <c r="O371" s="12" t="str">
        <f>_xlfn.DISPIMG("ID_B80DCC3A028B4FB2A6977287EC2BFAD8",1)</f>
        <v>=DISPIMG("ID_B80DCC3A028B4FB2A6977287EC2BFAD8",1)</v>
      </c>
      <c r="P371" s="11" t="s">
        <v>3801</v>
      </c>
      <c r="Q371" s="11">
        <v>484</v>
      </c>
      <c r="R371" s="17" t="s">
        <v>4686</v>
      </c>
      <c r="S371" s="18" t="s">
        <v>62</v>
      </c>
      <c r="T371" s="25">
        <v>3</v>
      </c>
    </row>
    <row r="372" s="3" customFormat="1" customHeight="1" spans="1:20">
      <c r="A372" s="167" t="s">
        <v>3895</v>
      </c>
      <c r="B372" s="167" t="s">
        <v>165</v>
      </c>
      <c r="C372" s="167" t="s">
        <v>3896</v>
      </c>
      <c r="D372" s="11">
        <v>17859733350</v>
      </c>
      <c r="E372" s="167" t="s">
        <v>156</v>
      </c>
      <c r="F372" s="167" t="s">
        <v>6</v>
      </c>
      <c r="G372" s="11">
        <v>202102012</v>
      </c>
      <c r="H372" s="167" t="s">
        <v>157</v>
      </c>
      <c r="I372" s="167" t="s">
        <v>3898</v>
      </c>
      <c r="J372" s="167" t="s">
        <v>3784</v>
      </c>
      <c r="K372" s="167" t="s">
        <v>160</v>
      </c>
      <c r="L372" s="167" t="s">
        <v>235</v>
      </c>
      <c r="M372" s="167" t="s">
        <v>3899</v>
      </c>
      <c r="N372" s="167" t="s">
        <v>3900</v>
      </c>
      <c r="O372" s="12" t="str">
        <f>_xlfn.DISPIMG("ID_BC241117C250469C89F85CEC4B64E8AA",1)</f>
        <v>=DISPIMG("ID_BC241117C250469C89F85CEC4B64E8AA",1)</v>
      </c>
      <c r="P372" s="11" t="s">
        <v>3901</v>
      </c>
      <c r="Q372" s="20">
        <v>497</v>
      </c>
      <c r="R372" s="17" t="s">
        <v>4687</v>
      </c>
      <c r="S372" s="18" t="s">
        <v>62</v>
      </c>
      <c r="T372" s="25">
        <v>2</v>
      </c>
    </row>
    <row r="373" s="4" customFormat="1" customHeight="1" spans="1:20">
      <c r="A373" s="167" t="s">
        <v>4058</v>
      </c>
      <c r="B373" s="167" t="s">
        <v>165</v>
      </c>
      <c r="C373" s="167" t="s">
        <v>4059</v>
      </c>
      <c r="D373" s="11">
        <v>15679268911</v>
      </c>
      <c r="E373" s="167" t="s">
        <v>156</v>
      </c>
      <c r="F373" s="167" t="s">
        <v>6</v>
      </c>
      <c r="G373" s="11">
        <v>202102022</v>
      </c>
      <c r="H373" s="167" t="s">
        <v>157</v>
      </c>
      <c r="I373" s="167" t="s">
        <v>3054</v>
      </c>
      <c r="J373" s="167" t="s">
        <v>404</v>
      </c>
      <c r="K373" s="167" t="s">
        <v>160</v>
      </c>
      <c r="L373" s="167" t="s">
        <v>261</v>
      </c>
      <c r="M373" s="167" t="s">
        <v>4061</v>
      </c>
      <c r="N373" s="11">
        <v>0</v>
      </c>
      <c r="O373" s="12" t="str">
        <f>_xlfn.DISPIMG("ID_9ECCE1798899427AA809C16B6659E359",1)</f>
        <v>=DISPIMG("ID_9ECCE1798899427AA809C16B6659E359",1)</v>
      </c>
      <c r="P373" s="11" t="s">
        <v>4062</v>
      </c>
      <c r="Q373" s="11">
        <v>519</v>
      </c>
      <c r="R373" s="17" t="s">
        <v>4688</v>
      </c>
      <c r="S373" s="18" t="s">
        <v>62</v>
      </c>
      <c r="T373" s="25">
        <v>1</v>
      </c>
    </row>
    <row r="374" s="3" customFormat="1" customHeight="1" spans="1:20">
      <c r="A374" s="167" t="s">
        <v>164</v>
      </c>
      <c r="B374" s="167" t="s">
        <v>165</v>
      </c>
      <c r="C374" s="167" t="s">
        <v>166</v>
      </c>
      <c r="D374" s="11">
        <v>15879299279</v>
      </c>
      <c r="E374" s="167" t="s">
        <v>156</v>
      </c>
      <c r="F374" s="167" t="s">
        <v>4</v>
      </c>
      <c r="G374" s="11">
        <v>202102005</v>
      </c>
      <c r="H374" s="167" t="s">
        <v>157</v>
      </c>
      <c r="I374" s="167" t="s">
        <v>168</v>
      </c>
      <c r="J374" s="167" t="s">
        <v>169</v>
      </c>
      <c r="K374" s="167" t="s">
        <v>170</v>
      </c>
      <c r="L374" s="167" t="s">
        <v>171</v>
      </c>
      <c r="M374" s="167" t="s">
        <v>4</v>
      </c>
      <c r="N374" s="11">
        <v>0</v>
      </c>
      <c r="O374" s="12" t="str">
        <f>_xlfn.DISPIMG("ID_7D4B330FD7544FC19CF8CAA4A42A6F11",1)</f>
        <v>=DISPIMG("ID_7D4B330FD7544FC19CF8CAA4A42A6F11",1)</v>
      </c>
      <c r="P374" s="11" t="s">
        <v>172</v>
      </c>
      <c r="Q374" s="11">
        <v>3</v>
      </c>
      <c r="R374" s="17" t="s">
        <v>4689</v>
      </c>
      <c r="S374" s="18" t="s">
        <v>62</v>
      </c>
      <c r="T374" s="25">
        <v>7</v>
      </c>
    </row>
    <row r="375" s="3" customFormat="1" customHeight="1" spans="1:20">
      <c r="A375" s="167" t="s">
        <v>1085</v>
      </c>
      <c r="B375" s="167" t="s">
        <v>165</v>
      </c>
      <c r="C375" s="167" t="s">
        <v>1086</v>
      </c>
      <c r="D375" s="11">
        <v>15179282018</v>
      </c>
      <c r="E375" s="167" t="s">
        <v>156</v>
      </c>
      <c r="F375" s="167" t="s">
        <v>4</v>
      </c>
      <c r="G375" s="11">
        <v>202102005</v>
      </c>
      <c r="H375" s="167" t="s">
        <v>279</v>
      </c>
      <c r="I375" s="167" t="s">
        <v>158</v>
      </c>
      <c r="J375" s="167" t="s">
        <v>1088</v>
      </c>
      <c r="K375" s="167" t="s">
        <v>170</v>
      </c>
      <c r="L375" s="167" t="s">
        <v>1089</v>
      </c>
      <c r="M375" s="167" t="s">
        <v>4</v>
      </c>
      <c r="N375" s="167" t="s">
        <v>1090</v>
      </c>
      <c r="O375" s="12" t="str">
        <f>_xlfn.DISPIMG("ID_2B72C85721DF4DA8A46A71B57C490F39",1)</f>
        <v>=DISPIMG("ID_2B72C85721DF4DA8A46A71B57C490F39",1)</v>
      </c>
      <c r="P375" s="11" t="s">
        <v>1091</v>
      </c>
      <c r="Q375" s="11">
        <v>113</v>
      </c>
      <c r="R375" s="17" t="s">
        <v>4690</v>
      </c>
      <c r="S375" s="18" t="s">
        <v>62</v>
      </c>
      <c r="T375" s="25">
        <v>18</v>
      </c>
    </row>
    <row r="376" s="3" customFormat="1" customHeight="1" spans="1:20">
      <c r="A376" s="167" t="s">
        <v>1393</v>
      </c>
      <c r="B376" s="167" t="s">
        <v>165</v>
      </c>
      <c r="C376" s="167" t="s">
        <v>1394</v>
      </c>
      <c r="D376" s="11">
        <v>18807004721</v>
      </c>
      <c r="E376" s="167" t="s">
        <v>156</v>
      </c>
      <c r="F376" s="167" t="s">
        <v>4</v>
      </c>
      <c r="G376" s="11">
        <v>202102005</v>
      </c>
      <c r="H376" s="167" t="s">
        <v>157</v>
      </c>
      <c r="I376" s="167" t="s">
        <v>1396</v>
      </c>
      <c r="J376" s="167" t="s">
        <v>1397</v>
      </c>
      <c r="K376" s="167" t="s">
        <v>160</v>
      </c>
      <c r="L376" s="167" t="s">
        <v>548</v>
      </c>
      <c r="M376" s="167" t="s">
        <v>1398</v>
      </c>
      <c r="N376" s="167" t="s">
        <v>1399</v>
      </c>
      <c r="O376" s="12" t="str">
        <f>_xlfn.DISPIMG("ID_55E386EEE22A4F28AA3DFCB82607D0EC",1)</f>
        <v>=DISPIMG("ID_55E386EEE22A4F28AA3DFCB82607D0EC",1)</v>
      </c>
      <c r="P376" s="11" t="s">
        <v>1400</v>
      </c>
      <c r="Q376" s="11">
        <v>153</v>
      </c>
      <c r="R376" s="17" t="s">
        <v>4691</v>
      </c>
      <c r="S376" s="18" t="s">
        <v>62</v>
      </c>
      <c r="T376" s="25">
        <v>8</v>
      </c>
    </row>
    <row r="377" s="3" customFormat="1" customHeight="1" spans="1:20">
      <c r="A377" s="167" t="s">
        <v>1511</v>
      </c>
      <c r="B377" s="167" t="s">
        <v>165</v>
      </c>
      <c r="C377" s="167" t="s">
        <v>1512</v>
      </c>
      <c r="D377" s="11">
        <v>15179159428</v>
      </c>
      <c r="E377" s="167" t="s">
        <v>156</v>
      </c>
      <c r="F377" s="167" t="s">
        <v>4</v>
      </c>
      <c r="G377" s="11">
        <v>202102005</v>
      </c>
      <c r="H377" s="167" t="s">
        <v>157</v>
      </c>
      <c r="I377" s="167" t="s">
        <v>1513</v>
      </c>
      <c r="J377" s="167" t="s">
        <v>1514</v>
      </c>
      <c r="K377" s="167" t="s">
        <v>160</v>
      </c>
      <c r="L377" s="167" t="s">
        <v>396</v>
      </c>
      <c r="M377" s="167" t="s">
        <v>1515</v>
      </c>
      <c r="N377" s="167" t="s">
        <v>1516</v>
      </c>
      <c r="O377" s="12" t="str">
        <f>_xlfn.DISPIMG("ID_0409F7F95EEA403395B315D31E8491E7",1)</f>
        <v>=DISPIMG("ID_0409F7F95EEA403395B315D31E8491E7",1)</v>
      </c>
      <c r="P377" s="11" t="s">
        <v>1517</v>
      </c>
      <c r="Q377" s="20">
        <v>168</v>
      </c>
      <c r="R377" s="17" t="s">
        <v>4692</v>
      </c>
      <c r="S377" s="18" t="s">
        <v>62</v>
      </c>
      <c r="T377" s="25">
        <v>17</v>
      </c>
    </row>
    <row r="378" s="3" customFormat="1" customHeight="1" spans="1:20">
      <c r="A378" s="167" t="s">
        <v>1882</v>
      </c>
      <c r="B378" s="167" t="s">
        <v>165</v>
      </c>
      <c r="C378" s="167" t="s">
        <v>1883</v>
      </c>
      <c r="D378" s="11">
        <v>19807985498</v>
      </c>
      <c r="E378" s="167" t="s">
        <v>156</v>
      </c>
      <c r="F378" s="167" t="s">
        <v>4</v>
      </c>
      <c r="G378" s="11">
        <v>202102005</v>
      </c>
      <c r="H378" s="167" t="s">
        <v>279</v>
      </c>
      <c r="I378" s="167" t="s">
        <v>269</v>
      </c>
      <c r="J378" s="167" t="s">
        <v>1088</v>
      </c>
      <c r="K378" s="167" t="s">
        <v>170</v>
      </c>
      <c r="L378" s="167" t="s">
        <v>171</v>
      </c>
      <c r="M378" s="167" t="s">
        <v>1885</v>
      </c>
      <c r="N378" s="167" t="s">
        <v>1886</v>
      </c>
      <c r="O378" s="12" t="str">
        <f>_xlfn.DISPIMG("ID_D29EC84107E94871B7B70E677BC40AB8",1)</f>
        <v>=DISPIMG("ID_D29EC84107E94871B7B70E677BC40AB8",1)</v>
      </c>
      <c r="P378" s="11" t="s">
        <v>1887</v>
      </c>
      <c r="Q378" s="11">
        <v>216</v>
      </c>
      <c r="R378" s="17" t="s">
        <v>4693</v>
      </c>
      <c r="S378" s="18" t="s">
        <v>62</v>
      </c>
      <c r="T378" s="25">
        <v>9</v>
      </c>
    </row>
    <row r="379" s="3" customFormat="1" customHeight="1" spans="1:20">
      <c r="A379" s="167" t="s">
        <v>2878</v>
      </c>
      <c r="B379" s="167" t="s">
        <v>165</v>
      </c>
      <c r="C379" s="167" t="s">
        <v>2879</v>
      </c>
      <c r="D379" s="11">
        <v>17310085449</v>
      </c>
      <c r="E379" s="167" t="s">
        <v>156</v>
      </c>
      <c r="F379" s="167" t="s">
        <v>4</v>
      </c>
      <c r="G379" s="11">
        <v>202102005</v>
      </c>
      <c r="H379" s="167" t="s">
        <v>157</v>
      </c>
      <c r="I379" s="167" t="s">
        <v>385</v>
      </c>
      <c r="J379" s="167" t="s">
        <v>2881</v>
      </c>
      <c r="K379" s="167" t="s">
        <v>170</v>
      </c>
      <c r="L379" s="167" t="s">
        <v>306</v>
      </c>
      <c r="M379" s="167" t="s">
        <v>2882</v>
      </c>
      <c r="N379" s="167" t="s">
        <v>2883</v>
      </c>
      <c r="O379" s="12" t="str">
        <f>_xlfn.DISPIMG("ID_EC7DE1A270244013822D2AF30798D0D0",1)</f>
        <v>=DISPIMG("ID_EC7DE1A270244013822D2AF30798D0D0",1)</v>
      </c>
      <c r="P379" s="11" t="s">
        <v>2884</v>
      </c>
      <c r="Q379" s="11">
        <v>350</v>
      </c>
      <c r="R379" s="17" t="s">
        <v>4694</v>
      </c>
      <c r="S379" s="18" t="s">
        <v>62</v>
      </c>
      <c r="T379" s="25">
        <v>16</v>
      </c>
    </row>
    <row r="380" s="3" customFormat="1" customHeight="1" spans="1:20">
      <c r="A380" s="167" t="s">
        <v>3586</v>
      </c>
      <c r="B380" s="167" t="s">
        <v>165</v>
      </c>
      <c r="C380" s="167" t="s">
        <v>3587</v>
      </c>
      <c r="D380" s="11">
        <v>13970222797</v>
      </c>
      <c r="E380" s="167" t="s">
        <v>156</v>
      </c>
      <c r="F380" s="167" t="s">
        <v>4</v>
      </c>
      <c r="G380" s="11">
        <v>202102006</v>
      </c>
      <c r="H380" s="167" t="s">
        <v>157</v>
      </c>
      <c r="I380" s="167" t="s">
        <v>158</v>
      </c>
      <c r="J380" s="167" t="s">
        <v>3589</v>
      </c>
      <c r="K380" s="167" t="s">
        <v>160</v>
      </c>
      <c r="L380" s="167" t="s">
        <v>235</v>
      </c>
      <c r="M380" s="167" t="s">
        <v>4</v>
      </c>
      <c r="N380" s="167" t="s">
        <v>3590</v>
      </c>
      <c r="O380" s="12" t="str">
        <f>_xlfn.DISPIMG("ID_1E4E55AF2274433A8809E53B95627C78",1)</f>
        <v>=DISPIMG("ID_1E4E55AF2274433A8809E53B95627C78",1)</v>
      </c>
      <c r="P380" s="11" t="s">
        <v>3591</v>
      </c>
      <c r="Q380" s="11">
        <v>456</v>
      </c>
      <c r="R380" s="17" t="s">
        <v>4695</v>
      </c>
      <c r="S380" s="18" t="s">
        <v>62</v>
      </c>
      <c r="T380" s="25">
        <v>10</v>
      </c>
    </row>
    <row r="381" s="4" customFormat="1" customHeight="1" spans="1:20">
      <c r="A381" s="167" t="s">
        <v>3655</v>
      </c>
      <c r="B381" s="167" t="s">
        <v>153</v>
      </c>
      <c r="C381" s="167" t="s">
        <v>3656</v>
      </c>
      <c r="D381" s="11">
        <v>13177872440</v>
      </c>
      <c r="E381" s="167" t="s">
        <v>156</v>
      </c>
      <c r="F381" s="167" t="s">
        <v>4</v>
      </c>
      <c r="G381" s="11">
        <v>202102005</v>
      </c>
      <c r="H381" s="167" t="s">
        <v>157</v>
      </c>
      <c r="I381" s="167" t="s">
        <v>385</v>
      </c>
      <c r="J381" s="167" t="s">
        <v>179</v>
      </c>
      <c r="K381" s="167" t="s">
        <v>170</v>
      </c>
      <c r="L381" s="167" t="s">
        <v>368</v>
      </c>
      <c r="M381" s="167" t="s">
        <v>4</v>
      </c>
      <c r="N381" s="11">
        <v>0</v>
      </c>
      <c r="O381" s="12" t="str">
        <f>_xlfn.DISPIMG("ID_252B07FFDA0E4134A421E2449004C504",1)</f>
        <v>=DISPIMG("ID_252B07FFDA0E4134A421E2449004C504",1)</v>
      </c>
      <c r="P381" s="11" t="s">
        <v>3658</v>
      </c>
      <c r="Q381" s="11">
        <v>465</v>
      </c>
      <c r="R381" s="17" t="s">
        <v>4696</v>
      </c>
      <c r="S381" s="18" t="s">
        <v>62</v>
      </c>
      <c r="T381" s="25">
        <v>15</v>
      </c>
    </row>
    <row r="382" s="3" customFormat="1" customHeight="1" spans="1:20">
      <c r="A382" s="167" t="s">
        <v>3817</v>
      </c>
      <c r="B382" s="167" t="s">
        <v>165</v>
      </c>
      <c r="C382" s="167" t="s">
        <v>3818</v>
      </c>
      <c r="D382" s="11">
        <v>13002997695</v>
      </c>
      <c r="E382" s="167" t="s">
        <v>156</v>
      </c>
      <c r="F382" s="167" t="s">
        <v>4</v>
      </c>
      <c r="G382" s="11">
        <v>202102005</v>
      </c>
      <c r="H382" s="167" t="s">
        <v>157</v>
      </c>
      <c r="I382" s="167" t="s">
        <v>3820</v>
      </c>
      <c r="J382" s="167" t="s">
        <v>3821</v>
      </c>
      <c r="K382" s="167" t="s">
        <v>160</v>
      </c>
      <c r="L382" s="167" t="s">
        <v>199</v>
      </c>
      <c r="M382" s="167" t="s">
        <v>4</v>
      </c>
      <c r="N382" s="167" t="s">
        <v>3822</v>
      </c>
      <c r="O382" s="12" t="str">
        <f>_xlfn.DISPIMG("ID_F12BD6FEE7C74060A499738E5A967A51",1)</f>
        <v>=DISPIMG("ID_F12BD6FEE7C74060A499738E5A967A51",1)</v>
      </c>
      <c r="P382" s="11" t="s">
        <v>3823</v>
      </c>
      <c r="Q382" s="20">
        <v>487</v>
      </c>
      <c r="R382" s="17" t="s">
        <v>4697</v>
      </c>
      <c r="S382" s="18" t="s">
        <v>62</v>
      </c>
      <c r="T382" s="25">
        <v>11</v>
      </c>
    </row>
    <row r="383" s="3" customFormat="1" customHeight="1" spans="1:20">
      <c r="A383" s="167" t="s">
        <v>3940</v>
      </c>
      <c r="B383" s="167" t="s">
        <v>165</v>
      </c>
      <c r="C383" s="167" t="s">
        <v>3941</v>
      </c>
      <c r="D383" s="11">
        <v>13699503652</v>
      </c>
      <c r="E383" s="167" t="s">
        <v>156</v>
      </c>
      <c r="F383" s="167" t="s">
        <v>4</v>
      </c>
      <c r="G383" s="11">
        <v>202102005</v>
      </c>
      <c r="H383" s="167" t="s">
        <v>157</v>
      </c>
      <c r="I383" s="167" t="s">
        <v>385</v>
      </c>
      <c r="J383" s="167" t="s">
        <v>3943</v>
      </c>
      <c r="K383" s="167" t="s">
        <v>170</v>
      </c>
      <c r="L383" s="167" t="s">
        <v>180</v>
      </c>
      <c r="M383" s="167" t="s">
        <v>4</v>
      </c>
      <c r="N383" s="167" t="s">
        <v>3944</v>
      </c>
      <c r="O383" s="12" t="str">
        <f>_xlfn.DISPIMG("ID_5F49521312D540BAA0750C7E0D3B723B",1)</f>
        <v>=DISPIMG("ID_5F49521312D540BAA0750C7E0D3B723B",1)</v>
      </c>
      <c r="P383" s="11" t="s">
        <v>3945</v>
      </c>
      <c r="Q383" s="11">
        <v>503</v>
      </c>
      <c r="R383" s="17" t="s">
        <v>4701</v>
      </c>
      <c r="S383" s="18" t="s">
        <v>62</v>
      </c>
      <c r="T383" s="25">
        <v>14</v>
      </c>
    </row>
    <row r="384" s="3" customFormat="1" customHeight="1" spans="1:20">
      <c r="A384" s="167" t="s">
        <v>3962</v>
      </c>
      <c r="B384" s="167" t="s">
        <v>165</v>
      </c>
      <c r="C384" s="167" t="s">
        <v>3963</v>
      </c>
      <c r="D384" s="11">
        <v>18870866549</v>
      </c>
      <c r="E384" s="167" t="s">
        <v>156</v>
      </c>
      <c r="F384" s="167" t="s">
        <v>4</v>
      </c>
      <c r="G384" s="11">
        <v>202102005</v>
      </c>
      <c r="H384" s="167" t="s">
        <v>157</v>
      </c>
      <c r="I384" s="167" t="s">
        <v>3965</v>
      </c>
      <c r="J384" s="167" t="s">
        <v>3966</v>
      </c>
      <c r="K384" s="167" t="s">
        <v>160</v>
      </c>
      <c r="L384" s="167" t="s">
        <v>216</v>
      </c>
      <c r="M384" s="167" t="s">
        <v>4</v>
      </c>
      <c r="N384" s="11">
        <v>0</v>
      </c>
      <c r="O384" s="12" t="str">
        <f>_xlfn.DISPIMG("ID_B16A7073492C47F799EB61B1BAB98F3E",1)</f>
        <v>=DISPIMG("ID_B16A7073492C47F799EB61B1BAB98F3E",1)</v>
      </c>
      <c r="P384" s="11" t="s">
        <v>3967</v>
      </c>
      <c r="Q384" s="11">
        <v>506</v>
      </c>
      <c r="R384" s="17" t="s">
        <v>4706</v>
      </c>
      <c r="S384" s="18" t="s">
        <v>62</v>
      </c>
      <c r="T384" s="25">
        <v>12</v>
      </c>
    </row>
    <row r="385" s="3" customFormat="1" customHeight="1" spans="1:20">
      <c r="A385" s="167" t="s">
        <v>4267</v>
      </c>
      <c r="B385" s="167" t="s">
        <v>165</v>
      </c>
      <c r="C385" s="167" t="s">
        <v>4268</v>
      </c>
      <c r="D385" s="11">
        <v>15979953990</v>
      </c>
      <c r="E385" s="167" t="s">
        <v>156</v>
      </c>
      <c r="F385" s="167" t="s">
        <v>4</v>
      </c>
      <c r="G385" s="11">
        <v>202102005</v>
      </c>
      <c r="H385" s="167" t="s">
        <v>279</v>
      </c>
      <c r="I385" s="167" t="s">
        <v>269</v>
      </c>
      <c r="J385" s="167" t="s">
        <v>1088</v>
      </c>
      <c r="K385" s="167" t="s">
        <v>170</v>
      </c>
      <c r="L385" s="167" t="s">
        <v>235</v>
      </c>
      <c r="M385" s="167" t="s">
        <v>4</v>
      </c>
      <c r="N385" s="11">
        <v>0</v>
      </c>
      <c r="O385" s="12" t="str">
        <f>_xlfn.DISPIMG("ID_6B663AA29D5341758E4C0EAB0E013B9E",1)</f>
        <v>=DISPIMG("ID_6B663AA29D5341758E4C0EAB0E013B9E",1)</v>
      </c>
      <c r="P385" s="11" t="s">
        <v>4270</v>
      </c>
      <c r="Q385" s="11">
        <v>546</v>
      </c>
      <c r="R385" s="17" t="s">
        <v>4711</v>
      </c>
      <c r="S385" s="18" t="s">
        <v>62</v>
      </c>
      <c r="T385" s="25">
        <v>13</v>
      </c>
    </row>
    <row r="386" s="3" customFormat="1" customHeight="1" spans="1:20">
      <c r="A386" s="167" t="s">
        <v>212</v>
      </c>
      <c r="B386" s="167" t="s">
        <v>165</v>
      </c>
      <c r="C386" s="167" t="s">
        <v>213</v>
      </c>
      <c r="D386" s="11">
        <v>13197911998</v>
      </c>
      <c r="E386" s="167" t="s">
        <v>156</v>
      </c>
      <c r="F386" s="167" t="s">
        <v>15</v>
      </c>
      <c r="G386" s="11">
        <v>202102007</v>
      </c>
      <c r="H386" s="167" t="s">
        <v>157</v>
      </c>
      <c r="I386" s="167" t="s">
        <v>178</v>
      </c>
      <c r="J386" s="167" t="s">
        <v>215</v>
      </c>
      <c r="K386" s="167" t="s">
        <v>170</v>
      </c>
      <c r="L386" s="167" t="s">
        <v>216</v>
      </c>
      <c r="M386" s="167" t="s">
        <v>15</v>
      </c>
      <c r="N386" s="11">
        <v>0</v>
      </c>
      <c r="O386" s="12" t="str">
        <f>_xlfn.DISPIMG("ID_A8B2B34FEB1F4C29AD364FF328B946F1",1)</f>
        <v>=DISPIMG("ID_A8B2B34FEB1F4C29AD364FF328B946F1",1)</v>
      </c>
      <c r="P386" s="11" t="s">
        <v>217</v>
      </c>
      <c r="Q386" s="11">
        <v>8</v>
      </c>
      <c r="R386" s="17" t="s">
        <v>4716</v>
      </c>
      <c r="S386" s="18" t="s">
        <v>62</v>
      </c>
      <c r="T386" s="25">
        <v>19</v>
      </c>
    </row>
    <row r="387" s="3" customFormat="1" customHeight="1" spans="1:20">
      <c r="A387" s="167" t="s">
        <v>391</v>
      </c>
      <c r="B387" s="167" t="s">
        <v>165</v>
      </c>
      <c r="C387" s="167" t="s">
        <v>392</v>
      </c>
      <c r="D387" s="11">
        <v>17620119411</v>
      </c>
      <c r="E387" s="167" t="s">
        <v>156</v>
      </c>
      <c r="F387" s="167" t="s">
        <v>15</v>
      </c>
      <c r="G387" s="11">
        <v>202102007</v>
      </c>
      <c r="H387" s="167" t="s">
        <v>157</v>
      </c>
      <c r="I387" s="167" t="s">
        <v>394</v>
      </c>
      <c r="J387" s="167" t="s">
        <v>395</v>
      </c>
      <c r="K387" s="167" t="s">
        <v>160</v>
      </c>
      <c r="L387" s="167" t="s">
        <v>396</v>
      </c>
      <c r="M387" s="167" t="s">
        <v>15</v>
      </c>
      <c r="N387" s="11">
        <v>0</v>
      </c>
      <c r="O387" s="12" t="str">
        <f>_xlfn.DISPIMG("ID_EBB3EDBB16514C57957D178C829CE459",1)</f>
        <v>=DISPIMG("ID_EBB3EDBB16514C57957D178C829CE459",1)</v>
      </c>
      <c r="P387" s="11" t="s">
        <v>397</v>
      </c>
      <c r="Q387" s="20">
        <v>28</v>
      </c>
      <c r="R387" s="17" t="s">
        <v>4721</v>
      </c>
      <c r="S387" s="18" t="s">
        <v>62</v>
      </c>
      <c r="T387" s="25">
        <v>20</v>
      </c>
    </row>
    <row r="388" s="3" customFormat="1" customHeight="1" spans="1:20">
      <c r="A388" s="167" t="s">
        <v>856</v>
      </c>
      <c r="B388" s="167" t="s">
        <v>165</v>
      </c>
      <c r="C388" s="167" t="s">
        <v>857</v>
      </c>
      <c r="D388" s="11">
        <v>18296159294</v>
      </c>
      <c r="E388" s="167" t="s">
        <v>156</v>
      </c>
      <c r="F388" s="167" t="s">
        <v>15</v>
      </c>
      <c r="G388" s="11">
        <v>202102007</v>
      </c>
      <c r="H388" s="167" t="s">
        <v>279</v>
      </c>
      <c r="I388" s="167" t="s">
        <v>178</v>
      </c>
      <c r="J388" s="167" t="s">
        <v>215</v>
      </c>
      <c r="K388" s="167" t="s">
        <v>170</v>
      </c>
      <c r="L388" s="167" t="s">
        <v>216</v>
      </c>
      <c r="M388" s="167" t="s">
        <v>859</v>
      </c>
      <c r="N388" s="167" t="s">
        <v>860</v>
      </c>
      <c r="O388" s="12" t="str">
        <f>_xlfn.DISPIMG("ID_D74EFBEA1A81482A857D7A1473663067",1)</f>
        <v>=DISPIMG("ID_D74EFBEA1A81482A857D7A1473663067",1)</v>
      </c>
      <c r="P388" s="11" t="s">
        <v>861</v>
      </c>
      <c r="Q388" s="20">
        <v>85</v>
      </c>
      <c r="R388" s="17" t="s">
        <v>4698</v>
      </c>
      <c r="S388" s="18" t="s">
        <v>62</v>
      </c>
      <c r="T388" s="25">
        <v>21</v>
      </c>
    </row>
    <row r="389" s="3" customFormat="1" customHeight="1" spans="1:20">
      <c r="A389" s="167" t="s">
        <v>1658</v>
      </c>
      <c r="B389" s="167" t="s">
        <v>153</v>
      </c>
      <c r="C389" s="167" t="s">
        <v>1659</v>
      </c>
      <c r="D389" s="11">
        <v>15170625945</v>
      </c>
      <c r="E389" s="167" t="s">
        <v>506</v>
      </c>
      <c r="F389" s="167" t="s">
        <v>15</v>
      </c>
      <c r="G389" s="11">
        <v>202102019</v>
      </c>
      <c r="H389" s="167" t="s">
        <v>157</v>
      </c>
      <c r="I389" s="167" t="s">
        <v>611</v>
      </c>
      <c r="J389" s="167" t="s">
        <v>454</v>
      </c>
      <c r="K389" s="167" t="s">
        <v>160</v>
      </c>
      <c r="L389" s="167" t="s">
        <v>261</v>
      </c>
      <c r="M389" s="167" t="s">
        <v>1661</v>
      </c>
      <c r="N389" s="11">
        <v>0</v>
      </c>
      <c r="O389" s="12" t="str">
        <f>_xlfn.DISPIMG("ID_40EE23CAD6BE466D8A6330DBB5734F8E",1)</f>
        <v>=DISPIMG("ID_40EE23CAD6BE466D8A6330DBB5734F8E",1)</v>
      </c>
      <c r="P389" s="11" t="s">
        <v>1662</v>
      </c>
      <c r="Q389" s="20">
        <v>187</v>
      </c>
      <c r="R389" s="17" t="s">
        <v>4699</v>
      </c>
      <c r="S389" s="18" t="s">
        <v>62</v>
      </c>
      <c r="T389" s="25">
        <v>28</v>
      </c>
    </row>
    <row r="390" s="3" customFormat="1" customHeight="1" spans="1:20">
      <c r="A390" s="167" t="s">
        <v>1897</v>
      </c>
      <c r="B390" s="167" t="s">
        <v>165</v>
      </c>
      <c r="C390" s="167" t="s">
        <v>1898</v>
      </c>
      <c r="D390" s="11">
        <v>13588255405</v>
      </c>
      <c r="E390" s="167" t="s">
        <v>156</v>
      </c>
      <c r="F390" s="167" t="s">
        <v>15</v>
      </c>
      <c r="G390" s="11">
        <v>202102007</v>
      </c>
      <c r="H390" s="167" t="s">
        <v>157</v>
      </c>
      <c r="I390" s="167" t="s">
        <v>1900</v>
      </c>
      <c r="J390" s="167" t="s">
        <v>179</v>
      </c>
      <c r="K390" s="167" t="s">
        <v>160</v>
      </c>
      <c r="L390" s="167" t="s">
        <v>235</v>
      </c>
      <c r="M390" s="167" t="s">
        <v>15</v>
      </c>
      <c r="N390" s="11">
        <v>0</v>
      </c>
      <c r="O390" s="12" t="str">
        <f>_xlfn.DISPIMG("ID_427E6301FF984C74BA8E87820A04494C",1)</f>
        <v>=DISPIMG("ID_427E6301FF984C74BA8E87820A04494C",1)</v>
      </c>
      <c r="P390" s="11" t="s">
        <v>1901</v>
      </c>
      <c r="Q390" s="11">
        <v>218</v>
      </c>
      <c r="R390" s="17" t="s">
        <v>4702</v>
      </c>
      <c r="S390" s="18" t="s">
        <v>62</v>
      </c>
      <c r="T390" s="25">
        <v>22</v>
      </c>
    </row>
    <row r="391" s="3" customFormat="1" customHeight="1" spans="1:20">
      <c r="A391" s="167" t="s">
        <v>2407</v>
      </c>
      <c r="B391" s="167" t="s">
        <v>165</v>
      </c>
      <c r="C391" s="167" t="s">
        <v>2408</v>
      </c>
      <c r="D391" s="11">
        <v>15070401093</v>
      </c>
      <c r="E391" s="167" t="s">
        <v>156</v>
      </c>
      <c r="F391" s="167" t="s">
        <v>15</v>
      </c>
      <c r="G391" s="11">
        <v>202102007</v>
      </c>
      <c r="H391" s="167" t="s">
        <v>157</v>
      </c>
      <c r="I391" s="167" t="s">
        <v>827</v>
      </c>
      <c r="J391" s="167" t="s">
        <v>2394</v>
      </c>
      <c r="K391" s="167" t="s">
        <v>160</v>
      </c>
      <c r="L391" s="167" t="s">
        <v>171</v>
      </c>
      <c r="M391" s="167" t="s">
        <v>2410</v>
      </c>
      <c r="N391" s="167" t="s">
        <v>2411</v>
      </c>
      <c r="O391" s="12" t="str">
        <f>_xlfn.DISPIMG("ID_AC752CE0DFA24D83A60721AFA892E1C6",1)</f>
        <v>=DISPIMG("ID_AC752CE0DFA24D83A60721AFA892E1C6",1)</v>
      </c>
      <c r="P391" s="11" t="s">
        <v>2412</v>
      </c>
      <c r="Q391" s="11">
        <v>286</v>
      </c>
      <c r="R391" s="17" t="s">
        <v>4703</v>
      </c>
      <c r="S391" s="18" t="s">
        <v>62</v>
      </c>
      <c r="T391" s="25">
        <v>27</v>
      </c>
    </row>
    <row r="392" s="3" customFormat="1" customHeight="1" spans="1:20">
      <c r="A392" s="167" t="s">
        <v>2915</v>
      </c>
      <c r="B392" s="167" t="s">
        <v>165</v>
      </c>
      <c r="C392" s="167" t="s">
        <v>2916</v>
      </c>
      <c r="D392" s="11">
        <v>18779224246</v>
      </c>
      <c r="E392" s="167" t="s">
        <v>506</v>
      </c>
      <c r="F392" s="167" t="s">
        <v>15</v>
      </c>
      <c r="G392" s="11">
        <v>202102019</v>
      </c>
      <c r="H392" s="167" t="s">
        <v>279</v>
      </c>
      <c r="I392" s="167" t="s">
        <v>367</v>
      </c>
      <c r="J392" s="167" t="s">
        <v>348</v>
      </c>
      <c r="K392" s="167" t="s">
        <v>170</v>
      </c>
      <c r="L392" s="167" t="s">
        <v>180</v>
      </c>
      <c r="M392" s="167" t="s">
        <v>2918</v>
      </c>
      <c r="N392" s="11">
        <v>0</v>
      </c>
      <c r="O392" s="12" t="str">
        <f>_xlfn.DISPIMG("ID_0C4A3B774E384F888DCC2803C749C7F6",1)</f>
        <v>=DISPIMG("ID_0C4A3B774E384F888DCC2803C749C7F6",1)</v>
      </c>
      <c r="P392" s="11" t="s">
        <v>2919</v>
      </c>
      <c r="Q392" s="20">
        <v>355</v>
      </c>
      <c r="R392" s="17" t="s">
        <v>4707</v>
      </c>
      <c r="S392" s="18" t="s">
        <v>62</v>
      </c>
      <c r="T392" s="25">
        <v>23</v>
      </c>
    </row>
    <row r="393" s="3" customFormat="1" customHeight="1" spans="1:20">
      <c r="A393" s="167" t="s">
        <v>3570</v>
      </c>
      <c r="B393" s="167" t="s">
        <v>165</v>
      </c>
      <c r="C393" s="167" t="s">
        <v>3571</v>
      </c>
      <c r="D393" s="11">
        <v>13879176428</v>
      </c>
      <c r="E393" s="167" t="s">
        <v>156</v>
      </c>
      <c r="F393" s="167" t="s">
        <v>15</v>
      </c>
      <c r="G393" s="11">
        <v>202102007</v>
      </c>
      <c r="H393" s="167" t="s">
        <v>157</v>
      </c>
      <c r="I393" s="167" t="s">
        <v>233</v>
      </c>
      <c r="J393" s="167" t="s">
        <v>454</v>
      </c>
      <c r="K393" s="167" t="s">
        <v>170</v>
      </c>
      <c r="L393" s="167" t="s">
        <v>3573</v>
      </c>
      <c r="M393" s="167" t="s">
        <v>3574</v>
      </c>
      <c r="N393" s="167" t="s">
        <v>3575</v>
      </c>
      <c r="O393" s="12" t="str">
        <f>_xlfn.DISPIMG("ID_4E9B8A157E55446AAA9BAC9D6541DF67",1)</f>
        <v>=DISPIMG("ID_4E9B8A157E55446AAA9BAC9D6541DF67",1)</v>
      </c>
      <c r="P393" s="11" t="s">
        <v>3576</v>
      </c>
      <c r="Q393" s="20">
        <v>454</v>
      </c>
      <c r="R393" s="17" t="s">
        <v>4708</v>
      </c>
      <c r="S393" s="18" t="s">
        <v>62</v>
      </c>
      <c r="T393" s="25">
        <v>26</v>
      </c>
    </row>
    <row r="394" s="3" customFormat="1" customHeight="1" spans="1:20">
      <c r="A394" s="167" t="s">
        <v>3579</v>
      </c>
      <c r="B394" s="167" t="s">
        <v>153</v>
      </c>
      <c r="C394" s="167" t="s">
        <v>3580</v>
      </c>
      <c r="D394" s="11">
        <v>15179270292</v>
      </c>
      <c r="E394" s="167" t="s">
        <v>156</v>
      </c>
      <c r="F394" s="167" t="s">
        <v>15</v>
      </c>
      <c r="G394" s="11">
        <v>202102007</v>
      </c>
      <c r="H394" s="167" t="s">
        <v>157</v>
      </c>
      <c r="I394" s="167" t="s">
        <v>158</v>
      </c>
      <c r="J394" s="167" t="s">
        <v>1832</v>
      </c>
      <c r="K394" s="167" t="s">
        <v>160</v>
      </c>
      <c r="L394" s="167" t="s">
        <v>368</v>
      </c>
      <c r="M394" s="167" t="s">
        <v>3582</v>
      </c>
      <c r="N394" s="11">
        <v>0</v>
      </c>
      <c r="O394" s="12" t="str">
        <f>_xlfn.DISPIMG("ID_10B7637016814F53B0B0689821F0D756",1)</f>
        <v>=DISPIMG("ID_10B7637016814F53B0B0689821F0D756",1)</v>
      </c>
      <c r="P394" s="11" t="s">
        <v>3583</v>
      </c>
      <c r="Q394" s="11">
        <v>455</v>
      </c>
      <c r="R394" s="17" t="s">
        <v>4712</v>
      </c>
      <c r="S394" s="18" t="s">
        <v>62</v>
      </c>
      <c r="T394" s="25">
        <v>24</v>
      </c>
    </row>
    <row r="395" s="3" customFormat="1" customHeight="1" spans="1:20">
      <c r="A395" s="167" t="s">
        <v>3841</v>
      </c>
      <c r="B395" s="167" t="s">
        <v>165</v>
      </c>
      <c r="C395" s="167" t="s">
        <v>3842</v>
      </c>
      <c r="D395" s="11">
        <v>13177873876</v>
      </c>
      <c r="E395" s="167" t="s">
        <v>156</v>
      </c>
      <c r="F395" s="167" t="s">
        <v>15</v>
      </c>
      <c r="G395" s="11">
        <v>202102007</v>
      </c>
      <c r="H395" s="167" t="s">
        <v>157</v>
      </c>
      <c r="I395" s="167" t="s">
        <v>233</v>
      </c>
      <c r="J395" s="167" t="s">
        <v>169</v>
      </c>
      <c r="K395" s="167" t="s">
        <v>170</v>
      </c>
      <c r="L395" s="167" t="s">
        <v>3844</v>
      </c>
      <c r="M395" s="167" t="s">
        <v>3845</v>
      </c>
      <c r="N395" s="167" t="s">
        <v>3846</v>
      </c>
      <c r="O395" s="12" t="str">
        <f>_xlfn.DISPIMG("ID_0D39E07DE3FA4F1EAFE382357648332E",1)</f>
        <v>=DISPIMG("ID_0D39E07DE3FA4F1EAFE382357648332E",1)</v>
      </c>
      <c r="P395" s="11" t="s">
        <v>3847</v>
      </c>
      <c r="Q395" s="20">
        <v>490</v>
      </c>
      <c r="R395" s="17" t="s">
        <v>4713</v>
      </c>
      <c r="S395" s="18" t="s">
        <v>62</v>
      </c>
      <c r="T395" s="25">
        <v>25</v>
      </c>
    </row>
    <row r="396" s="3" customFormat="1" customHeight="1" spans="1:20">
      <c r="A396" s="167" t="s">
        <v>1671</v>
      </c>
      <c r="B396" s="167" t="s">
        <v>153</v>
      </c>
      <c r="C396" s="167" t="s">
        <v>1672</v>
      </c>
      <c r="D396" s="11">
        <v>13576944053</v>
      </c>
      <c r="E396" s="167" t="s">
        <v>156</v>
      </c>
      <c r="F396" s="167" t="s">
        <v>7</v>
      </c>
      <c r="G396" s="11">
        <v>202102006</v>
      </c>
      <c r="H396" s="167" t="s">
        <v>157</v>
      </c>
      <c r="I396" s="167" t="s">
        <v>1674</v>
      </c>
      <c r="J396" s="167" t="s">
        <v>1675</v>
      </c>
      <c r="K396" s="167" t="s">
        <v>170</v>
      </c>
      <c r="L396" s="167" t="s">
        <v>1676</v>
      </c>
      <c r="M396" s="167" t="s">
        <v>7</v>
      </c>
      <c r="N396" s="167" t="s">
        <v>1677</v>
      </c>
      <c r="O396" s="12" t="str">
        <f>_xlfn.DISPIMG("ID_834E256FE11F482DB22CD6E09A0E87FD",1)</f>
        <v>=DISPIMG("ID_834E256FE11F482DB22CD6E09A0E87FD",1)</v>
      </c>
      <c r="P396" s="11" t="s">
        <v>1678</v>
      </c>
      <c r="Q396" s="11">
        <v>189</v>
      </c>
      <c r="R396" s="17" t="s">
        <v>4717</v>
      </c>
      <c r="S396" s="18" t="s">
        <v>66</v>
      </c>
      <c r="T396" s="25">
        <v>6</v>
      </c>
    </row>
    <row r="397" s="3" customFormat="1" customHeight="1" spans="1:20">
      <c r="A397" s="167" t="s">
        <v>2004</v>
      </c>
      <c r="B397" s="167" t="s">
        <v>153</v>
      </c>
      <c r="C397" s="167" t="s">
        <v>2005</v>
      </c>
      <c r="D397" s="11">
        <v>18296155146</v>
      </c>
      <c r="E397" s="167" t="s">
        <v>156</v>
      </c>
      <c r="F397" s="167" t="s">
        <v>7</v>
      </c>
      <c r="G397" s="11">
        <v>202102006</v>
      </c>
      <c r="H397" s="167" t="s">
        <v>157</v>
      </c>
      <c r="I397" s="167" t="s">
        <v>1112</v>
      </c>
      <c r="J397" s="167" t="s">
        <v>159</v>
      </c>
      <c r="K397" s="167" t="s">
        <v>160</v>
      </c>
      <c r="L397" s="167" t="s">
        <v>368</v>
      </c>
      <c r="M397" s="167" t="s">
        <v>2007</v>
      </c>
      <c r="N397" s="167" t="s">
        <v>2008</v>
      </c>
      <c r="O397" s="12" t="str">
        <f>_xlfn.DISPIMG("ID_56BCD58120C9403E8AA33B4C6EF6927A",1)</f>
        <v>=DISPIMG("ID_56BCD58120C9403E8AA33B4C6EF6927A",1)</v>
      </c>
      <c r="P397" s="11" t="s">
        <v>2009</v>
      </c>
      <c r="Q397" s="11">
        <v>233</v>
      </c>
      <c r="R397" s="17" t="s">
        <v>4718</v>
      </c>
      <c r="S397" s="18" t="s">
        <v>66</v>
      </c>
      <c r="T397" s="25">
        <v>5</v>
      </c>
    </row>
    <row r="398" s="3" customFormat="1" customHeight="1" spans="1:20">
      <c r="A398" s="167" t="s">
        <v>2732</v>
      </c>
      <c r="B398" s="167" t="s">
        <v>165</v>
      </c>
      <c r="C398" s="167" t="s">
        <v>2733</v>
      </c>
      <c r="D398" s="11">
        <v>15079218024</v>
      </c>
      <c r="E398" s="167" t="s">
        <v>156</v>
      </c>
      <c r="F398" s="167" t="s">
        <v>7</v>
      </c>
      <c r="G398" s="11">
        <v>202102006</v>
      </c>
      <c r="H398" s="167" t="s">
        <v>157</v>
      </c>
      <c r="I398" s="167" t="s">
        <v>1112</v>
      </c>
      <c r="J398" s="167" t="s">
        <v>159</v>
      </c>
      <c r="K398" s="167" t="s">
        <v>160</v>
      </c>
      <c r="L398" s="167" t="s">
        <v>199</v>
      </c>
      <c r="M398" s="167" t="s">
        <v>19</v>
      </c>
      <c r="N398" s="167" t="s">
        <v>2735</v>
      </c>
      <c r="O398" s="12" t="str">
        <f>_xlfn.DISPIMG("ID_8B921756A8224507AE26B26EA7A47E29",1)</f>
        <v>=DISPIMG("ID_8B921756A8224507AE26B26EA7A47E29",1)</v>
      </c>
      <c r="P398" s="11" t="s">
        <v>2736</v>
      </c>
      <c r="Q398" s="11">
        <v>330</v>
      </c>
      <c r="R398" s="17" t="s">
        <v>4722</v>
      </c>
      <c r="S398" s="18" t="s">
        <v>66</v>
      </c>
      <c r="T398" s="25">
        <v>4</v>
      </c>
    </row>
    <row r="399" s="3" customFormat="1" customHeight="1" spans="1:20">
      <c r="A399" s="167" t="s">
        <v>2774</v>
      </c>
      <c r="B399" s="167" t="s">
        <v>165</v>
      </c>
      <c r="C399" s="167" t="s">
        <v>2775</v>
      </c>
      <c r="D399" s="11">
        <v>18720298910</v>
      </c>
      <c r="E399" s="167" t="s">
        <v>156</v>
      </c>
      <c r="F399" s="167" t="s">
        <v>7</v>
      </c>
      <c r="G399" s="11">
        <v>202102006</v>
      </c>
      <c r="H399" s="167" t="s">
        <v>157</v>
      </c>
      <c r="I399" s="167" t="s">
        <v>158</v>
      </c>
      <c r="J399" s="167" t="s">
        <v>1639</v>
      </c>
      <c r="K399" s="167" t="s">
        <v>170</v>
      </c>
      <c r="L399" s="167" t="s">
        <v>306</v>
      </c>
      <c r="M399" s="167" t="s">
        <v>19</v>
      </c>
      <c r="N399" s="167" t="s">
        <v>2777</v>
      </c>
      <c r="O399" s="12" t="str">
        <f>_xlfn.DISPIMG("ID_DC860A7FCB384FE48AFC2F135021FF6F",1)</f>
        <v>=DISPIMG("ID_DC860A7FCB384FE48AFC2F135021FF6F",1)</v>
      </c>
      <c r="P399" s="11" t="s">
        <v>2778</v>
      </c>
      <c r="Q399" s="11">
        <v>336</v>
      </c>
      <c r="R399" s="17" t="s">
        <v>4723</v>
      </c>
      <c r="S399" s="18" t="s">
        <v>66</v>
      </c>
      <c r="T399" s="25">
        <v>3</v>
      </c>
    </row>
    <row r="400" s="3" customFormat="1" customHeight="1" spans="1:20">
      <c r="A400" s="167" t="s">
        <v>3263</v>
      </c>
      <c r="B400" s="167" t="s">
        <v>165</v>
      </c>
      <c r="C400" s="167" t="s">
        <v>3264</v>
      </c>
      <c r="D400" s="11">
        <v>15297923055</v>
      </c>
      <c r="E400" s="167" t="s">
        <v>156</v>
      </c>
      <c r="F400" s="167" t="s">
        <v>7</v>
      </c>
      <c r="G400" s="11">
        <v>202102006</v>
      </c>
      <c r="H400" s="167" t="s">
        <v>157</v>
      </c>
      <c r="I400" s="167" t="s">
        <v>507</v>
      </c>
      <c r="J400" s="167" t="s">
        <v>243</v>
      </c>
      <c r="K400" s="167" t="s">
        <v>160</v>
      </c>
      <c r="L400" s="167" t="s">
        <v>1089</v>
      </c>
      <c r="M400" s="167" t="s">
        <v>13</v>
      </c>
      <c r="N400" s="11">
        <v>0</v>
      </c>
      <c r="O400" s="12" t="str">
        <f>_xlfn.DISPIMG("ID_E2A16755D9294F19AC6C5724406D1776",1)</f>
        <v>=DISPIMG("ID_E2A16755D9294F19AC6C5724406D1776",1)</v>
      </c>
      <c r="P400" s="11" t="s">
        <v>3265</v>
      </c>
      <c r="Q400" s="11">
        <v>407</v>
      </c>
      <c r="R400" s="17" t="s">
        <v>4700</v>
      </c>
      <c r="S400" s="18" t="s">
        <v>66</v>
      </c>
      <c r="T400" s="25">
        <v>2</v>
      </c>
    </row>
    <row r="401" s="3" customFormat="1" customHeight="1" spans="1:20">
      <c r="A401" s="167" t="s">
        <v>3685</v>
      </c>
      <c r="B401" s="167" t="s">
        <v>165</v>
      </c>
      <c r="C401" s="167" t="s">
        <v>3686</v>
      </c>
      <c r="D401" s="11">
        <v>18270929326</v>
      </c>
      <c r="E401" s="167" t="s">
        <v>156</v>
      </c>
      <c r="F401" s="167" t="s">
        <v>7</v>
      </c>
      <c r="G401" s="11">
        <v>202102006</v>
      </c>
      <c r="H401" s="167" t="s">
        <v>157</v>
      </c>
      <c r="I401" s="167" t="s">
        <v>884</v>
      </c>
      <c r="J401" s="167" t="s">
        <v>454</v>
      </c>
      <c r="K401" s="167" t="s">
        <v>170</v>
      </c>
      <c r="L401" s="167" t="s">
        <v>3687</v>
      </c>
      <c r="M401" s="167" t="s">
        <v>7</v>
      </c>
      <c r="N401" s="167" t="s">
        <v>3688</v>
      </c>
      <c r="O401" s="12" t="str">
        <f>_xlfn.DISPIMG("ID_E15A59AE3AB3482DA375DB6FC21D8F4C",1)</f>
        <v>=DISPIMG("ID_E15A59AE3AB3482DA375DB6FC21D8F4C",1)</v>
      </c>
      <c r="P401" s="11" t="s">
        <v>3689</v>
      </c>
      <c r="Q401" s="11">
        <v>469</v>
      </c>
      <c r="R401" s="17" t="s">
        <v>4704</v>
      </c>
      <c r="S401" s="18" t="s">
        <v>66</v>
      </c>
      <c r="T401" s="25">
        <v>1</v>
      </c>
    </row>
    <row r="402" s="3" customFormat="1" customHeight="1" spans="1:20">
      <c r="A402" s="167" t="s">
        <v>459</v>
      </c>
      <c r="B402" s="167" t="s">
        <v>153</v>
      </c>
      <c r="C402" s="167" t="s">
        <v>460</v>
      </c>
      <c r="D402" s="11">
        <v>13265072773</v>
      </c>
      <c r="E402" s="167" t="s">
        <v>156</v>
      </c>
      <c r="F402" s="167" t="s">
        <v>9</v>
      </c>
      <c r="G402" s="11">
        <v>202102011</v>
      </c>
      <c r="H402" s="167" t="s">
        <v>157</v>
      </c>
      <c r="I402" s="167" t="s">
        <v>462</v>
      </c>
      <c r="J402" s="167" t="s">
        <v>463</v>
      </c>
      <c r="K402" s="167" t="s">
        <v>160</v>
      </c>
      <c r="L402" s="167" t="s">
        <v>161</v>
      </c>
      <c r="M402" s="167" t="s">
        <v>464</v>
      </c>
      <c r="N402" s="11">
        <v>0</v>
      </c>
      <c r="O402" s="12" t="str">
        <f>_xlfn.DISPIMG("ID_DCCAD4E9E505474E946107D340C03662",1)</f>
        <v>=DISPIMG("ID_DCCAD4E9E505474E946107D340C03662",1)</v>
      </c>
      <c r="P402" s="11" t="s">
        <v>465</v>
      </c>
      <c r="Q402" s="11">
        <v>36</v>
      </c>
      <c r="R402" s="17" t="s">
        <v>4705</v>
      </c>
      <c r="S402" s="18" t="s">
        <v>66</v>
      </c>
      <c r="T402" s="25">
        <v>7</v>
      </c>
    </row>
    <row r="403" s="3" customFormat="1" customHeight="1" spans="1:20">
      <c r="A403" s="167" t="s">
        <v>1167</v>
      </c>
      <c r="B403" s="167" t="s">
        <v>153</v>
      </c>
      <c r="C403" s="167" t="s">
        <v>1168</v>
      </c>
      <c r="D403" s="11">
        <v>18370130888</v>
      </c>
      <c r="E403" s="167" t="s">
        <v>156</v>
      </c>
      <c r="F403" s="167" t="s">
        <v>9</v>
      </c>
      <c r="G403" s="11">
        <v>202102011</v>
      </c>
      <c r="H403" s="167" t="s">
        <v>279</v>
      </c>
      <c r="I403" s="167" t="s">
        <v>158</v>
      </c>
      <c r="J403" s="167" t="s">
        <v>682</v>
      </c>
      <c r="K403" s="167" t="s">
        <v>170</v>
      </c>
      <c r="L403" s="167" t="s">
        <v>1170</v>
      </c>
      <c r="M403" s="167" t="s">
        <v>1171</v>
      </c>
      <c r="N403" s="167" t="s">
        <v>1172</v>
      </c>
      <c r="O403" s="12" t="str">
        <f>_xlfn.DISPIMG("ID_A11E1242B6CE401EA988641535D09239",1)</f>
        <v>=DISPIMG("ID_A11E1242B6CE401EA988641535D09239",1)</v>
      </c>
      <c r="P403" s="11" t="s">
        <v>1173</v>
      </c>
      <c r="Q403" s="11">
        <v>123</v>
      </c>
      <c r="R403" s="17" t="s">
        <v>4709</v>
      </c>
      <c r="S403" s="18" t="s">
        <v>66</v>
      </c>
      <c r="T403" s="25">
        <v>8</v>
      </c>
    </row>
    <row r="404" s="3" customFormat="1" customHeight="1" spans="1:20">
      <c r="A404" s="167" t="s">
        <v>1403</v>
      </c>
      <c r="B404" s="167" t="s">
        <v>153</v>
      </c>
      <c r="C404" s="167" t="s">
        <v>1404</v>
      </c>
      <c r="D404" s="11">
        <v>15779981835</v>
      </c>
      <c r="E404" s="167" t="s">
        <v>156</v>
      </c>
      <c r="F404" s="167" t="s">
        <v>9</v>
      </c>
      <c r="G404" s="11">
        <v>202102011</v>
      </c>
      <c r="H404" s="167" t="s">
        <v>157</v>
      </c>
      <c r="I404" s="167" t="s">
        <v>827</v>
      </c>
      <c r="J404" s="167" t="s">
        <v>682</v>
      </c>
      <c r="K404" s="167" t="s">
        <v>170</v>
      </c>
      <c r="L404" s="167" t="s">
        <v>261</v>
      </c>
      <c r="M404" s="167" t="s">
        <v>1406</v>
      </c>
      <c r="N404" s="11">
        <v>0</v>
      </c>
      <c r="O404" s="12" t="str">
        <f>_xlfn.DISPIMG("ID_FA69E1E4EF8743A583B1A39075AAAF21",1)</f>
        <v>=DISPIMG("ID_FA69E1E4EF8743A583B1A39075AAAF21",1)</v>
      </c>
      <c r="P404" s="11" t="s">
        <v>1407</v>
      </c>
      <c r="Q404" s="11">
        <v>154</v>
      </c>
      <c r="R404" s="17" t="s">
        <v>4710</v>
      </c>
      <c r="S404" s="18" t="s">
        <v>66</v>
      </c>
      <c r="T404" s="25">
        <v>17</v>
      </c>
    </row>
    <row r="405" s="4" customFormat="1" customHeight="1" spans="1:20">
      <c r="A405" s="167" t="s">
        <v>1821</v>
      </c>
      <c r="B405" s="167" t="s">
        <v>153</v>
      </c>
      <c r="C405" s="167" t="s">
        <v>1822</v>
      </c>
      <c r="D405" s="11">
        <v>15083520312</v>
      </c>
      <c r="E405" s="167" t="s">
        <v>156</v>
      </c>
      <c r="F405" s="167" t="s">
        <v>9</v>
      </c>
      <c r="G405" s="11">
        <v>202102011</v>
      </c>
      <c r="H405" s="167" t="s">
        <v>157</v>
      </c>
      <c r="I405" s="167" t="s">
        <v>437</v>
      </c>
      <c r="J405" s="167" t="s">
        <v>682</v>
      </c>
      <c r="K405" s="167" t="s">
        <v>170</v>
      </c>
      <c r="L405" s="167" t="s">
        <v>455</v>
      </c>
      <c r="M405" s="167" t="s">
        <v>1824</v>
      </c>
      <c r="N405" s="11">
        <v>0</v>
      </c>
      <c r="O405" s="12" t="str">
        <f>_xlfn.DISPIMG("ID_DDBA99C80B934FEAA0E6DE75BE0B792D",1)</f>
        <v>=DISPIMG("ID_DDBA99C80B934FEAA0E6DE75BE0B792D",1)</v>
      </c>
      <c r="P405" s="11" t="s">
        <v>1825</v>
      </c>
      <c r="Q405" s="11">
        <v>208</v>
      </c>
      <c r="R405" s="17" t="s">
        <v>4714</v>
      </c>
      <c r="S405" s="18" t="s">
        <v>66</v>
      </c>
      <c r="T405" s="25">
        <v>9</v>
      </c>
    </row>
    <row r="406" s="4" customFormat="1" customHeight="1" spans="1:20">
      <c r="A406" s="167" t="s">
        <v>2330</v>
      </c>
      <c r="B406" s="167" t="s">
        <v>165</v>
      </c>
      <c r="C406" s="167" t="s">
        <v>2331</v>
      </c>
      <c r="D406" s="11">
        <v>13627002257</v>
      </c>
      <c r="E406" s="167" t="s">
        <v>156</v>
      </c>
      <c r="F406" s="167" t="s">
        <v>9</v>
      </c>
      <c r="G406" s="11">
        <v>202102011</v>
      </c>
      <c r="H406" s="167" t="s">
        <v>157</v>
      </c>
      <c r="I406" s="167" t="s">
        <v>233</v>
      </c>
      <c r="J406" s="167" t="s">
        <v>2333</v>
      </c>
      <c r="K406" s="167" t="s">
        <v>160</v>
      </c>
      <c r="L406" s="167" t="s">
        <v>455</v>
      </c>
      <c r="M406" s="167" t="s">
        <v>9</v>
      </c>
      <c r="N406" s="11">
        <v>0</v>
      </c>
      <c r="O406" s="12" t="str">
        <f>_xlfn.DISPIMG("ID_1491B19669C14541B371C6C8BBB97425",1)</f>
        <v>=DISPIMG("ID_1491B19669C14541B371C6C8BBB97425",1)</v>
      </c>
      <c r="P406" s="11" t="s">
        <v>2334</v>
      </c>
      <c r="Q406" s="11">
        <v>276</v>
      </c>
      <c r="R406" s="17" t="s">
        <v>4715</v>
      </c>
      <c r="S406" s="18" t="s">
        <v>66</v>
      </c>
      <c r="T406" s="25">
        <v>16</v>
      </c>
    </row>
    <row r="407" s="5" customFormat="1" customHeight="1" spans="1:20">
      <c r="A407" s="167" t="s">
        <v>2598</v>
      </c>
      <c r="B407" s="167" t="s">
        <v>153</v>
      </c>
      <c r="C407" s="167" t="s">
        <v>2599</v>
      </c>
      <c r="D407" s="11">
        <v>15979967100</v>
      </c>
      <c r="E407" s="167" t="s">
        <v>156</v>
      </c>
      <c r="F407" s="167" t="s">
        <v>9</v>
      </c>
      <c r="G407" s="11">
        <v>202102011</v>
      </c>
      <c r="H407" s="167" t="s">
        <v>157</v>
      </c>
      <c r="I407" s="167" t="s">
        <v>2601</v>
      </c>
      <c r="J407" s="167" t="s">
        <v>463</v>
      </c>
      <c r="K407" s="167" t="s">
        <v>160</v>
      </c>
      <c r="L407" s="167" t="s">
        <v>368</v>
      </c>
      <c r="M407" s="167" t="s">
        <v>1406</v>
      </c>
      <c r="N407" s="167" t="s">
        <v>2602</v>
      </c>
      <c r="O407" s="12" t="str">
        <f>_xlfn.DISPIMG("ID_6E5E26FD0608404987009AB35A215594",1)</f>
        <v>=DISPIMG("ID_6E5E26FD0608404987009AB35A215594",1)</v>
      </c>
      <c r="P407" s="11" t="s">
        <v>2603</v>
      </c>
      <c r="Q407" s="11">
        <v>312</v>
      </c>
      <c r="R407" s="17" t="s">
        <v>4719</v>
      </c>
      <c r="S407" s="18" t="s">
        <v>66</v>
      </c>
      <c r="T407" s="25">
        <v>10</v>
      </c>
    </row>
    <row r="408" s="3" customFormat="1" customHeight="1" spans="1:20">
      <c r="A408" s="167" t="s">
        <v>3538</v>
      </c>
      <c r="B408" s="167" t="s">
        <v>153</v>
      </c>
      <c r="C408" s="167" t="s">
        <v>3539</v>
      </c>
      <c r="D408" s="11">
        <v>15770899535</v>
      </c>
      <c r="E408" s="167" t="s">
        <v>156</v>
      </c>
      <c r="F408" s="167" t="s">
        <v>9</v>
      </c>
      <c r="G408" s="11">
        <v>202102011</v>
      </c>
      <c r="H408" s="167" t="s">
        <v>157</v>
      </c>
      <c r="I408" s="167" t="s">
        <v>3518</v>
      </c>
      <c r="J408" s="167" t="s">
        <v>472</v>
      </c>
      <c r="K408" s="167" t="s">
        <v>160</v>
      </c>
      <c r="L408" s="167" t="s">
        <v>455</v>
      </c>
      <c r="M408" s="167" t="s">
        <v>3519</v>
      </c>
      <c r="N408" s="167" t="s">
        <v>3519</v>
      </c>
      <c r="O408" s="12" t="str">
        <f>_xlfn.DISPIMG("ID_0BCC1778ACA14DBF957E729E6605C713",1)</f>
        <v>=DISPIMG("ID_0BCC1778ACA14DBF957E729E6605C713",1)</v>
      </c>
      <c r="P408" s="11" t="s">
        <v>3541</v>
      </c>
      <c r="Q408" s="11">
        <v>449</v>
      </c>
      <c r="R408" s="17" t="s">
        <v>4720</v>
      </c>
      <c r="S408" s="18" t="s">
        <v>66</v>
      </c>
      <c r="T408" s="25">
        <v>15</v>
      </c>
    </row>
    <row r="409" s="3" customFormat="1" customHeight="1" spans="1:20">
      <c r="A409" s="167" t="s">
        <v>3543</v>
      </c>
      <c r="B409" s="167" t="s">
        <v>153</v>
      </c>
      <c r="C409" s="167" t="s">
        <v>3544</v>
      </c>
      <c r="D409" s="11">
        <v>17683950767</v>
      </c>
      <c r="E409" s="167" t="s">
        <v>156</v>
      </c>
      <c r="F409" s="167" t="s">
        <v>9</v>
      </c>
      <c r="G409" s="11">
        <v>202102011</v>
      </c>
      <c r="H409" s="167" t="s">
        <v>157</v>
      </c>
      <c r="I409" s="167" t="s">
        <v>3518</v>
      </c>
      <c r="J409" s="167" t="s">
        <v>472</v>
      </c>
      <c r="K409" s="167" t="s">
        <v>160</v>
      </c>
      <c r="L409" s="167" t="s">
        <v>455</v>
      </c>
      <c r="M409" s="167" t="s">
        <v>3519</v>
      </c>
      <c r="N409" s="11">
        <v>0</v>
      </c>
      <c r="O409" s="12" t="str">
        <f>_xlfn.DISPIMG("ID_2D99CEE979EF4ECAAD8A877BAF74FBA6",1)</f>
        <v>=DISPIMG("ID_2D99CEE979EF4ECAAD8A877BAF74FBA6",1)</v>
      </c>
      <c r="P409" s="11" t="s">
        <v>3546</v>
      </c>
      <c r="Q409" s="11">
        <v>450</v>
      </c>
      <c r="R409" s="17" t="s">
        <v>4724</v>
      </c>
      <c r="S409" s="18" t="s">
        <v>66</v>
      </c>
      <c r="T409" s="25">
        <v>11</v>
      </c>
    </row>
    <row r="410" s="3" customFormat="1" customHeight="1" spans="1:20">
      <c r="A410" s="167" t="s">
        <v>3549</v>
      </c>
      <c r="B410" s="167" t="s">
        <v>153</v>
      </c>
      <c r="C410" s="167" t="s">
        <v>3550</v>
      </c>
      <c r="D410" s="11">
        <v>15879724111</v>
      </c>
      <c r="E410" s="167" t="s">
        <v>156</v>
      </c>
      <c r="F410" s="167" t="s">
        <v>9</v>
      </c>
      <c r="G410" s="11">
        <v>202102011</v>
      </c>
      <c r="H410" s="167" t="s">
        <v>157</v>
      </c>
      <c r="I410" s="167" t="s">
        <v>1413</v>
      </c>
      <c r="J410" s="167" t="s">
        <v>682</v>
      </c>
      <c r="K410" s="167" t="s">
        <v>170</v>
      </c>
      <c r="L410" s="167" t="s">
        <v>261</v>
      </c>
      <c r="M410" s="167" t="s">
        <v>3552</v>
      </c>
      <c r="N410" s="11">
        <v>0</v>
      </c>
      <c r="O410" s="12" t="str">
        <f>_xlfn.DISPIMG("ID_DB61A8C4A58C4CD3A7E5339498EDC8D8",1)</f>
        <v>=DISPIMG("ID_DB61A8C4A58C4CD3A7E5339498EDC8D8",1)</v>
      </c>
      <c r="P410" s="11" t="s">
        <v>3553</v>
      </c>
      <c r="Q410" s="11">
        <v>451</v>
      </c>
      <c r="R410" s="17" t="s">
        <v>4725</v>
      </c>
      <c r="S410" s="18" t="s">
        <v>66</v>
      </c>
      <c r="T410" s="25">
        <v>14</v>
      </c>
    </row>
    <row r="411" s="4" customFormat="1" customHeight="1" spans="1:20">
      <c r="A411" s="167" t="s">
        <v>3556</v>
      </c>
      <c r="B411" s="167" t="s">
        <v>153</v>
      </c>
      <c r="C411" s="167" t="s">
        <v>3557</v>
      </c>
      <c r="D411" s="11">
        <v>17346719580</v>
      </c>
      <c r="E411" s="167" t="s">
        <v>156</v>
      </c>
      <c r="F411" s="167" t="s">
        <v>9</v>
      </c>
      <c r="G411" s="11">
        <v>202102011</v>
      </c>
      <c r="H411" s="167" t="s">
        <v>157</v>
      </c>
      <c r="I411" s="167" t="s">
        <v>3518</v>
      </c>
      <c r="J411" s="167" t="s">
        <v>3559</v>
      </c>
      <c r="K411" s="167" t="s">
        <v>160</v>
      </c>
      <c r="L411" s="167" t="s">
        <v>455</v>
      </c>
      <c r="M411" s="167" t="s">
        <v>3519</v>
      </c>
      <c r="N411" s="11">
        <v>0</v>
      </c>
      <c r="O411" s="12" t="str">
        <f>_xlfn.DISPIMG("ID_21EB11AFC3FB431C8DEC9B4C05162E66",1)</f>
        <v>=DISPIMG("ID_21EB11AFC3FB431C8DEC9B4C05162E66",1)</v>
      </c>
      <c r="P411" s="11" t="s">
        <v>3560</v>
      </c>
      <c r="Q411" s="11">
        <v>452</v>
      </c>
      <c r="R411" s="17" t="s">
        <v>4726</v>
      </c>
      <c r="S411" s="18" t="s">
        <v>66</v>
      </c>
      <c r="T411" s="25">
        <v>12</v>
      </c>
    </row>
    <row r="412" s="3" customFormat="1" customHeight="1" spans="1:20">
      <c r="A412" s="167" t="s">
        <v>3563</v>
      </c>
      <c r="B412" s="167" t="s">
        <v>153</v>
      </c>
      <c r="C412" s="167" t="s">
        <v>3564</v>
      </c>
      <c r="D412" s="11">
        <v>15907977787</v>
      </c>
      <c r="E412" s="167" t="s">
        <v>156</v>
      </c>
      <c r="F412" s="167" t="s">
        <v>9</v>
      </c>
      <c r="G412" s="11">
        <v>202102011</v>
      </c>
      <c r="H412" s="167" t="s">
        <v>157</v>
      </c>
      <c r="I412" s="167" t="s">
        <v>233</v>
      </c>
      <c r="J412" s="167" t="s">
        <v>3566</v>
      </c>
      <c r="K412" s="167" t="s">
        <v>170</v>
      </c>
      <c r="L412" s="167" t="s">
        <v>261</v>
      </c>
      <c r="M412" s="167" t="s">
        <v>1579</v>
      </c>
      <c r="N412" s="11">
        <v>0</v>
      </c>
      <c r="O412" s="12" t="str">
        <f>_xlfn.DISPIMG("ID_3C6447D057EF4BF7AE9ECFE35CBC5ECF",1)</f>
        <v>=DISPIMG("ID_3C6447D057EF4BF7AE9ECFE35CBC5ECF",1)</v>
      </c>
      <c r="P412" s="11" t="s">
        <v>3567</v>
      </c>
      <c r="Q412" s="11">
        <v>453</v>
      </c>
      <c r="R412" s="17" t="s">
        <v>4730</v>
      </c>
      <c r="S412" s="18" t="s">
        <v>66</v>
      </c>
      <c r="T412" s="25">
        <v>13</v>
      </c>
    </row>
    <row r="413" s="3" customFormat="1" customHeight="1" spans="1:20">
      <c r="A413" s="167" t="s">
        <v>3248</v>
      </c>
      <c r="B413" s="167" t="s">
        <v>153</v>
      </c>
      <c r="C413" s="167" t="s">
        <v>3249</v>
      </c>
      <c r="D413" s="11">
        <v>15180608216</v>
      </c>
      <c r="E413" s="167" t="s">
        <v>156</v>
      </c>
      <c r="F413" s="167" t="s">
        <v>11</v>
      </c>
      <c r="G413" s="11">
        <v>202102013</v>
      </c>
      <c r="H413" s="167" t="s">
        <v>157</v>
      </c>
      <c r="I413" s="167" t="s">
        <v>827</v>
      </c>
      <c r="J413" s="167" t="s">
        <v>3251</v>
      </c>
      <c r="K413" s="167" t="s">
        <v>160</v>
      </c>
      <c r="L413" s="167" t="s">
        <v>161</v>
      </c>
      <c r="M413" s="167" t="s">
        <v>8</v>
      </c>
      <c r="N413" s="11">
        <v>0</v>
      </c>
      <c r="O413" s="12" t="str">
        <f>_xlfn.DISPIMG("ID_80F22CEDB358451BB7235F67F99FD33D",1)</f>
        <v>=DISPIMG("ID_80F22CEDB358451BB7235F67F99FD33D",1)</v>
      </c>
      <c r="P413" s="11" t="s">
        <v>3252</v>
      </c>
      <c r="Q413" s="11">
        <v>405</v>
      </c>
      <c r="R413" s="17" t="s">
        <v>4734</v>
      </c>
      <c r="S413" s="18" t="s">
        <v>66</v>
      </c>
      <c r="T413" s="25">
        <v>18</v>
      </c>
    </row>
    <row r="414" s="3" customFormat="1" customHeight="1" spans="1:20">
      <c r="A414" s="167" t="s">
        <v>3335</v>
      </c>
      <c r="B414" s="167" t="s">
        <v>165</v>
      </c>
      <c r="C414" s="167" t="s">
        <v>3336</v>
      </c>
      <c r="D414" s="11">
        <v>15170662594</v>
      </c>
      <c r="E414" s="167" t="s">
        <v>156</v>
      </c>
      <c r="F414" s="167" t="s">
        <v>11</v>
      </c>
      <c r="G414" s="11">
        <v>202102013</v>
      </c>
      <c r="H414" s="167" t="s">
        <v>157</v>
      </c>
      <c r="I414" s="167" t="s">
        <v>3070</v>
      </c>
      <c r="J414" s="167" t="s">
        <v>1147</v>
      </c>
      <c r="K414" s="167" t="s">
        <v>170</v>
      </c>
      <c r="L414" s="167" t="s">
        <v>306</v>
      </c>
      <c r="M414" s="167" t="s">
        <v>23</v>
      </c>
      <c r="N414" s="167" t="s">
        <v>3338</v>
      </c>
      <c r="O414" s="12" t="str">
        <f>_xlfn.DISPIMG("ID_1086188647994FC4A050F44FE33ED3AF",1)</f>
        <v>=DISPIMG("ID_1086188647994FC4A050F44FE33ED3AF",1)</v>
      </c>
      <c r="P414" s="11" t="s">
        <v>3339</v>
      </c>
      <c r="Q414" s="11">
        <v>420</v>
      </c>
      <c r="R414" s="17" t="s">
        <v>4738</v>
      </c>
      <c r="S414" s="18" t="s">
        <v>66</v>
      </c>
      <c r="T414" s="25">
        <v>19</v>
      </c>
    </row>
    <row r="415" s="3" customFormat="1" customHeight="1" spans="1:20">
      <c r="A415" s="167" t="s">
        <v>294</v>
      </c>
      <c r="B415" s="167" t="s">
        <v>165</v>
      </c>
      <c r="C415" s="167" t="s">
        <v>295</v>
      </c>
      <c r="D415" s="11">
        <v>18214938323</v>
      </c>
      <c r="E415" s="167" t="s">
        <v>297</v>
      </c>
      <c r="F415" s="167" t="s">
        <v>25</v>
      </c>
      <c r="G415" s="11">
        <v>202101008</v>
      </c>
      <c r="H415" s="167" t="s">
        <v>157</v>
      </c>
      <c r="I415" s="167" t="s">
        <v>178</v>
      </c>
      <c r="J415" s="167" t="s">
        <v>298</v>
      </c>
      <c r="K415" s="167" t="s">
        <v>160</v>
      </c>
      <c r="L415" s="167" t="s">
        <v>261</v>
      </c>
      <c r="M415" s="167" t="s">
        <v>25</v>
      </c>
      <c r="N415" s="11">
        <v>0</v>
      </c>
      <c r="O415" s="12" t="str">
        <f>_xlfn.DISPIMG("ID_60CDE70AF1564D1B99D89BFC637EF6FF",1)</f>
        <v>=DISPIMG("ID_60CDE70AF1564D1B99D89BFC637EF6FF",1)</v>
      </c>
      <c r="P415" s="11" t="s">
        <v>299</v>
      </c>
      <c r="Q415" s="11">
        <v>17</v>
      </c>
      <c r="R415" s="17" t="s">
        <v>4742</v>
      </c>
      <c r="S415" s="18" t="s">
        <v>70</v>
      </c>
      <c r="T415" s="11">
        <v>6</v>
      </c>
    </row>
    <row r="416" s="3" customFormat="1" customHeight="1" spans="1:20">
      <c r="A416" s="167" t="s">
        <v>312</v>
      </c>
      <c r="B416" s="167" t="s">
        <v>165</v>
      </c>
      <c r="C416" s="167" t="s">
        <v>313</v>
      </c>
      <c r="D416" s="11">
        <v>13479263942</v>
      </c>
      <c r="E416" s="167" t="s">
        <v>297</v>
      </c>
      <c r="F416" s="167" t="s">
        <v>25</v>
      </c>
      <c r="G416" s="11">
        <v>202101008</v>
      </c>
      <c r="H416" s="167" t="s">
        <v>157</v>
      </c>
      <c r="I416" s="167" t="s">
        <v>158</v>
      </c>
      <c r="J416" s="167" t="s">
        <v>223</v>
      </c>
      <c r="K416" s="167" t="s">
        <v>170</v>
      </c>
      <c r="L416" s="167" t="s">
        <v>306</v>
      </c>
      <c r="M416" s="167" t="s">
        <v>315</v>
      </c>
      <c r="N416" s="167" t="s">
        <v>316</v>
      </c>
      <c r="O416" s="12" t="str">
        <f>_xlfn.DISPIMG("ID_70953AC2E42945A88FA3E573D09D6D1B",1)</f>
        <v>=DISPIMG("ID_70953AC2E42945A88FA3E573D09D6D1B",1)</v>
      </c>
      <c r="P416" s="11" t="s">
        <v>317</v>
      </c>
      <c r="Q416" s="11">
        <v>19</v>
      </c>
      <c r="R416" s="17" t="s">
        <v>4745</v>
      </c>
      <c r="S416" s="18" t="s">
        <v>70</v>
      </c>
      <c r="T416" s="11">
        <v>7</v>
      </c>
    </row>
    <row r="417" s="3" customFormat="1" customHeight="1" spans="1:20">
      <c r="A417" s="167" t="s">
        <v>381</v>
      </c>
      <c r="B417" s="167" t="s">
        <v>165</v>
      </c>
      <c r="C417" s="167" t="s">
        <v>382</v>
      </c>
      <c r="D417" s="11">
        <v>15180106412</v>
      </c>
      <c r="E417" s="167" t="s">
        <v>384</v>
      </c>
      <c r="F417" s="167" t="s">
        <v>25</v>
      </c>
      <c r="G417" s="11">
        <v>202101007</v>
      </c>
      <c r="H417" s="167" t="s">
        <v>157</v>
      </c>
      <c r="I417" s="167" t="s">
        <v>385</v>
      </c>
      <c r="J417" s="167" t="s">
        <v>386</v>
      </c>
      <c r="K417" s="167" t="s">
        <v>170</v>
      </c>
      <c r="L417" s="167" t="s">
        <v>216</v>
      </c>
      <c r="M417" s="167" t="s">
        <v>25</v>
      </c>
      <c r="N417" s="167" t="s">
        <v>387</v>
      </c>
      <c r="O417" s="12" t="str">
        <f>_xlfn.DISPIMG("ID_66D69597049F4F76B0A0201065CACE75",1)</f>
        <v>=DISPIMG("ID_66D69597049F4F76B0A0201065CACE75",1)</v>
      </c>
      <c r="P417" s="11" t="s">
        <v>388</v>
      </c>
      <c r="Q417" s="11">
        <v>27</v>
      </c>
      <c r="R417" s="17" t="s">
        <v>4727</v>
      </c>
      <c r="S417" s="18" t="s">
        <v>70</v>
      </c>
      <c r="T417" s="11">
        <v>18</v>
      </c>
    </row>
    <row r="418" s="3" customFormat="1" customHeight="1" spans="1:20">
      <c r="A418" s="167" t="s">
        <v>545</v>
      </c>
      <c r="B418" s="167" t="s">
        <v>165</v>
      </c>
      <c r="C418" s="167" t="s">
        <v>546</v>
      </c>
      <c r="D418" s="11">
        <v>13282964470</v>
      </c>
      <c r="E418" s="167" t="s">
        <v>384</v>
      </c>
      <c r="F418" s="167" t="s">
        <v>25</v>
      </c>
      <c r="G418" s="11">
        <v>202101007</v>
      </c>
      <c r="H418" s="167" t="s">
        <v>157</v>
      </c>
      <c r="I418" s="167" t="s">
        <v>158</v>
      </c>
      <c r="J418" s="167" t="s">
        <v>223</v>
      </c>
      <c r="K418" s="167" t="s">
        <v>170</v>
      </c>
      <c r="L418" s="167" t="s">
        <v>548</v>
      </c>
      <c r="M418" s="167" t="s">
        <v>549</v>
      </c>
      <c r="N418" s="167" t="s">
        <v>550</v>
      </c>
      <c r="O418" s="12" t="str">
        <f>_xlfn.DISPIMG("ID_815DB3FDB9924FE5A27318CA3E9A763D",1)</f>
        <v>=DISPIMG("ID_815DB3FDB9924FE5A27318CA3E9A763D",1)</v>
      </c>
      <c r="P418" s="11" t="s">
        <v>551</v>
      </c>
      <c r="Q418" s="11">
        <v>47</v>
      </c>
      <c r="R418" s="17" t="s">
        <v>4728</v>
      </c>
      <c r="S418" s="18" t="s">
        <v>70</v>
      </c>
      <c r="T418" s="11">
        <v>19</v>
      </c>
    </row>
    <row r="419" s="3" customFormat="1" customHeight="1" spans="1:20">
      <c r="A419" s="167" t="s">
        <v>554</v>
      </c>
      <c r="B419" s="167" t="s">
        <v>165</v>
      </c>
      <c r="C419" s="167" t="s">
        <v>555</v>
      </c>
      <c r="D419" s="11">
        <v>15508941977</v>
      </c>
      <c r="E419" s="167" t="s">
        <v>384</v>
      </c>
      <c r="F419" s="167" t="s">
        <v>25</v>
      </c>
      <c r="G419" s="11">
        <v>202101007</v>
      </c>
      <c r="H419" s="167" t="s">
        <v>157</v>
      </c>
      <c r="I419" s="167" t="s">
        <v>557</v>
      </c>
      <c r="J419" s="167" t="s">
        <v>558</v>
      </c>
      <c r="K419" s="167" t="s">
        <v>170</v>
      </c>
      <c r="L419" s="167" t="s">
        <v>559</v>
      </c>
      <c r="M419" s="167" t="s">
        <v>560</v>
      </c>
      <c r="N419" s="167" t="s">
        <v>561</v>
      </c>
      <c r="O419" s="12" t="str">
        <f>_xlfn.DISPIMG("ID_ED037D5B8E7D49BEA8FD0DBFF3A4827B",1)</f>
        <v>=DISPIMG("ID_ED037D5B8E7D49BEA8FD0DBFF3A4827B",1)</v>
      </c>
      <c r="P419" s="11" t="s">
        <v>562</v>
      </c>
      <c r="Q419" s="11">
        <v>48</v>
      </c>
      <c r="R419" s="17" t="s">
        <v>4729</v>
      </c>
      <c r="S419" s="18" t="s">
        <v>70</v>
      </c>
      <c r="T419" s="11">
        <v>30</v>
      </c>
    </row>
    <row r="420" s="3" customFormat="1" customHeight="1" spans="1:20">
      <c r="A420" s="167" t="s">
        <v>720</v>
      </c>
      <c r="B420" s="167" t="s">
        <v>165</v>
      </c>
      <c r="C420" s="167" t="s">
        <v>721</v>
      </c>
      <c r="D420" s="11">
        <v>18070248182</v>
      </c>
      <c r="E420" s="167" t="s">
        <v>384</v>
      </c>
      <c r="F420" s="167" t="s">
        <v>25</v>
      </c>
      <c r="G420" s="11">
        <v>202101007</v>
      </c>
      <c r="H420" s="167" t="s">
        <v>157</v>
      </c>
      <c r="I420" s="167" t="s">
        <v>723</v>
      </c>
      <c r="J420" s="167" t="s">
        <v>223</v>
      </c>
      <c r="K420" s="167" t="s">
        <v>170</v>
      </c>
      <c r="L420" s="167" t="s">
        <v>252</v>
      </c>
      <c r="M420" s="167" t="s">
        <v>724</v>
      </c>
      <c r="N420" s="167" t="s">
        <v>725</v>
      </c>
      <c r="O420" s="12" t="str">
        <f>_xlfn.DISPIMG("ID_18752421A8044E9999D06F0B98A5B3A9",1)</f>
        <v>=DISPIMG("ID_18752421A8044E9999D06F0B98A5B3A9",1)</v>
      </c>
      <c r="P420" s="11" t="s">
        <v>726</v>
      </c>
      <c r="Q420" s="11">
        <v>68</v>
      </c>
      <c r="R420" s="17" t="s">
        <v>4731</v>
      </c>
      <c r="S420" s="18" t="s">
        <v>70</v>
      </c>
      <c r="T420" s="11">
        <v>5</v>
      </c>
    </row>
    <row r="421" s="3" customFormat="1" customHeight="1" spans="1:20">
      <c r="A421" s="167" t="s">
        <v>786</v>
      </c>
      <c r="B421" s="167" t="s">
        <v>165</v>
      </c>
      <c r="C421" s="167" t="s">
        <v>787</v>
      </c>
      <c r="D421" s="11">
        <v>15870883510</v>
      </c>
      <c r="E421" s="167" t="s">
        <v>384</v>
      </c>
      <c r="F421" s="167" t="s">
        <v>25</v>
      </c>
      <c r="G421" s="11">
        <v>202101007</v>
      </c>
      <c r="H421" s="167" t="s">
        <v>705</v>
      </c>
      <c r="I421" s="167" t="s">
        <v>789</v>
      </c>
      <c r="J421" s="167" t="s">
        <v>790</v>
      </c>
      <c r="K421" s="167" t="s">
        <v>160</v>
      </c>
      <c r="L421" s="167" t="s">
        <v>455</v>
      </c>
      <c r="M421" s="167" t="s">
        <v>307</v>
      </c>
      <c r="N421" s="167" t="s">
        <v>791</v>
      </c>
      <c r="O421" s="12" t="str">
        <f>_xlfn.DISPIMG("ID_81CFC0148DBF4084ADB804B82E5E7200",1)</f>
        <v>=DISPIMG("ID_81CFC0148DBF4084ADB804B82E5E7200",1)</v>
      </c>
      <c r="P421" s="11" t="s">
        <v>792</v>
      </c>
      <c r="Q421" s="11">
        <v>76</v>
      </c>
      <c r="R421" s="17" t="s">
        <v>4732</v>
      </c>
      <c r="S421" s="18" t="s">
        <v>70</v>
      </c>
      <c r="T421" s="11">
        <v>8</v>
      </c>
    </row>
    <row r="422" s="3" customFormat="1" customHeight="1" spans="1:20">
      <c r="A422" s="167" t="s">
        <v>824</v>
      </c>
      <c r="B422" s="167" t="s">
        <v>165</v>
      </c>
      <c r="C422" s="167" t="s">
        <v>825</v>
      </c>
      <c r="D422" s="11">
        <v>18870036528</v>
      </c>
      <c r="E422" s="167" t="s">
        <v>297</v>
      </c>
      <c r="F422" s="167" t="s">
        <v>25</v>
      </c>
      <c r="G422" s="11">
        <v>202101008</v>
      </c>
      <c r="H422" s="167" t="s">
        <v>157</v>
      </c>
      <c r="I422" s="167" t="s">
        <v>827</v>
      </c>
      <c r="J422" s="167" t="s">
        <v>828</v>
      </c>
      <c r="K422" s="167" t="s">
        <v>170</v>
      </c>
      <c r="L422" s="167" t="s">
        <v>396</v>
      </c>
      <c r="M422" s="167" t="s">
        <v>25</v>
      </c>
      <c r="N422" s="167" t="s">
        <v>829</v>
      </c>
      <c r="O422" s="12" t="str">
        <f>_xlfn.DISPIMG("ID_8A1A22938F334E1D900FC8311DB2BE9A",1)</f>
        <v>=DISPIMG("ID_8A1A22938F334E1D900FC8311DB2BE9A",1)</v>
      </c>
      <c r="P422" s="11" t="s">
        <v>830</v>
      </c>
      <c r="Q422" s="11">
        <v>81</v>
      </c>
      <c r="R422" s="17" t="s">
        <v>4733</v>
      </c>
      <c r="S422" s="18" t="s">
        <v>70</v>
      </c>
      <c r="T422" s="11">
        <v>17</v>
      </c>
    </row>
    <row r="423" s="3" customFormat="1" customHeight="1" spans="1:20">
      <c r="A423" s="167" t="s">
        <v>949</v>
      </c>
      <c r="B423" s="167" t="s">
        <v>165</v>
      </c>
      <c r="C423" s="167" t="s">
        <v>950</v>
      </c>
      <c r="D423" s="11">
        <v>15720934889</v>
      </c>
      <c r="E423" s="167" t="s">
        <v>384</v>
      </c>
      <c r="F423" s="167" t="s">
        <v>25</v>
      </c>
      <c r="G423" s="11">
        <v>202101007</v>
      </c>
      <c r="H423" s="167" t="s">
        <v>157</v>
      </c>
      <c r="I423" s="167" t="s">
        <v>269</v>
      </c>
      <c r="J423" s="167" t="s">
        <v>179</v>
      </c>
      <c r="K423" s="167" t="s">
        <v>170</v>
      </c>
      <c r="L423" s="167" t="s">
        <v>171</v>
      </c>
      <c r="M423" s="167" t="s">
        <v>952</v>
      </c>
      <c r="N423" s="167" t="s">
        <v>953</v>
      </c>
      <c r="O423" s="12" t="str">
        <f>_xlfn.DISPIMG("ID_7778BC47A591458DA9EA33FB1000B681",1)</f>
        <v>=DISPIMG("ID_7778BC47A591458DA9EA33FB1000B681",1)</v>
      </c>
      <c r="P423" s="11" t="s">
        <v>954</v>
      </c>
      <c r="Q423" s="11">
        <v>96</v>
      </c>
      <c r="R423" s="17" t="s">
        <v>4735</v>
      </c>
      <c r="S423" s="18" t="s">
        <v>70</v>
      </c>
      <c r="T423" s="11">
        <v>20</v>
      </c>
    </row>
    <row r="424" s="3" customFormat="1" customHeight="1" spans="1:20">
      <c r="A424" s="167" t="s">
        <v>1373</v>
      </c>
      <c r="B424" s="167" t="s">
        <v>165</v>
      </c>
      <c r="C424" s="167" t="s">
        <v>1374</v>
      </c>
      <c r="D424" s="11">
        <v>15070130599</v>
      </c>
      <c r="E424" s="167" t="s">
        <v>384</v>
      </c>
      <c r="F424" s="167" t="s">
        <v>25</v>
      </c>
      <c r="G424" s="11">
        <v>202101007</v>
      </c>
      <c r="H424" s="167" t="s">
        <v>705</v>
      </c>
      <c r="I424" s="167" t="s">
        <v>1376</v>
      </c>
      <c r="J424" s="167" t="s">
        <v>790</v>
      </c>
      <c r="K424" s="167" t="s">
        <v>160</v>
      </c>
      <c r="L424" s="167" t="s">
        <v>455</v>
      </c>
      <c r="M424" s="167" t="s">
        <v>1156</v>
      </c>
      <c r="N424" s="11">
        <v>0</v>
      </c>
      <c r="O424" s="12" t="str">
        <f>_xlfn.DISPIMG("ID_ECF84772EBB248C2BC2BD56C2C168331",1)</f>
        <v>=DISPIMG("ID_ECF84772EBB248C2BC2BD56C2C168331",1)</v>
      </c>
      <c r="P424" s="11" t="s">
        <v>1377</v>
      </c>
      <c r="Q424" s="11">
        <v>150</v>
      </c>
      <c r="R424" s="17" t="s">
        <v>4736</v>
      </c>
      <c r="S424" s="18" t="s">
        <v>70</v>
      </c>
      <c r="T424" s="11">
        <v>29</v>
      </c>
    </row>
    <row r="425" s="3" customFormat="1" customHeight="1" spans="1:20">
      <c r="A425" s="167" t="s">
        <v>1552</v>
      </c>
      <c r="B425" s="167" t="s">
        <v>165</v>
      </c>
      <c r="C425" s="167" t="s">
        <v>1553</v>
      </c>
      <c r="D425" s="11">
        <v>18795899857</v>
      </c>
      <c r="E425" s="167" t="s">
        <v>384</v>
      </c>
      <c r="F425" s="167" t="s">
        <v>25</v>
      </c>
      <c r="G425" s="11">
        <v>202101007</v>
      </c>
      <c r="H425" s="167" t="s">
        <v>157</v>
      </c>
      <c r="I425" s="167" t="s">
        <v>385</v>
      </c>
      <c r="J425" s="167" t="s">
        <v>828</v>
      </c>
      <c r="K425" s="167" t="s">
        <v>170</v>
      </c>
      <c r="L425" s="167" t="s">
        <v>548</v>
      </c>
      <c r="M425" s="167" t="s">
        <v>25</v>
      </c>
      <c r="N425" s="167" t="s">
        <v>1555</v>
      </c>
      <c r="O425" s="12" t="str">
        <f>_xlfn.DISPIMG("ID_3244697DE8F74EF1A671D4FB148CF806",1)</f>
        <v>=DISPIMG("ID_3244697DE8F74EF1A671D4FB148CF806",1)</v>
      </c>
      <c r="P425" s="11" t="s">
        <v>1556</v>
      </c>
      <c r="Q425" s="11">
        <v>173</v>
      </c>
      <c r="R425" s="17" t="s">
        <v>4737</v>
      </c>
      <c r="S425" s="18" t="s">
        <v>70</v>
      </c>
      <c r="T425" s="11">
        <v>4</v>
      </c>
    </row>
    <row r="426" s="5" customFormat="1" customHeight="1" spans="1:20">
      <c r="A426" s="167" t="s">
        <v>1597</v>
      </c>
      <c r="B426" s="167" t="s">
        <v>153</v>
      </c>
      <c r="C426" s="167" t="s">
        <v>1598</v>
      </c>
      <c r="D426" s="11">
        <v>13979287846</v>
      </c>
      <c r="E426" s="167" t="s">
        <v>384</v>
      </c>
      <c r="F426" s="167" t="s">
        <v>25</v>
      </c>
      <c r="G426" s="11">
        <v>202101007</v>
      </c>
      <c r="H426" s="167" t="s">
        <v>157</v>
      </c>
      <c r="I426" s="167" t="s">
        <v>1600</v>
      </c>
      <c r="J426" s="167" t="s">
        <v>1601</v>
      </c>
      <c r="K426" s="167" t="s">
        <v>170</v>
      </c>
      <c r="L426" s="167" t="s">
        <v>252</v>
      </c>
      <c r="M426" s="167" t="s">
        <v>25</v>
      </c>
      <c r="N426" s="167" t="s">
        <v>1602</v>
      </c>
      <c r="O426" s="12" t="str">
        <f>_xlfn.DISPIMG("ID_E78F3BF41C5D43B8884910B23D8EE46A",1)</f>
        <v>=DISPIMG("ID_E78F3BF41C5D43B8884910B23D8EE46A",1)</v>
      </c>
      <c r="P426" s="11" t="s">
        <v>1603</v>
      </c>
      <c r="Q426" s="11">
        <v>179</v>
      </c>
      <c r="R426" s="17" t="s">
        <v>4739</v>
      </c>
      <c r="S426" s="18" t="s">
        <v>70</v>
      </c>
      <c r="T426" s="11">
        <v>9</v>
      </c>
    </row>
    <row r="427" s="3" customFormat="1" customHeight="1" spans="1:20">
      <c r="A427" s="167" t="s">
        <v>1689</v>
      </c>
      <c r="B427" s="167" t="s">
        <v>165</v>
      </c>
      <c r="C427" s="167" t="s">
        <v>1690</v>
      </c>
      <c r="D427" s="11">
        <v>13677055035</v>
      </c>
      <c r="E427" s="167" t="s">
        <v>384</v>
      </c>
      <c r="F427" s="167" t="s">
        <v>25</v>
      </c>
      <c r="G427" s="11">
        <v>202101007</v>
      </c>
      <c r="H427" s="167" t="s">
        <v>157</v>
      </c>
      <c r="I427" s="167" t="s">
        <v>1258</v>
      </c>
      <c r="J427" s="167" t="s">
        <v>179</v>
      </c>
      <c r="K427" s="167" t="s">
        <v>170</v>
      </c>
      <c r="L427" s="167" t="s">
        <v>180</v>
      </c>
      <c r="M427" s="167" t="s">
        <v>1692</v>
      </c>
      <c r="N427" s="167" t="s">
        <v>1693</v>
      </c>
      <c r="O427" s="12" t="str">
        <f>_xlfn.DISPIMG("ID_43885BD9A06C404291EA89276C573B8A",1)</f>
        <v>=DISPIMG("ID_43885BD9A06C404291EA89276C573B8A",1)</v>
      </c>
      <c r="P427" s="11" t="s">
        <v>1694</v>
      </c>
      <c r="Q427" s="11">
        <v>191</v>
      </c>
      <c r="R427" s="17" t="s">
        <v>4740</v>
      </c>
      <c r="S427" s="18" t="s">
        <v>70</v>
      </c>
      <c r="T427" s="11">
        <v>16</v>
      </c>
    </row>
    <row r="428" s="3" customFormat="1" customHeight="1" spans="1:20">
      <c r="A428" s="167" t="s">
        <v>1807</v>
      </c>
      <c r="B428" s="167" t="s">
        <v>165</v>
      </c>
      <c r="C428" s="167" t="s">
        <v>1808</v>
      </c>
      <c r="D428" s="11">
        <v>18279208598</v>
      </c>
      <c r="E428" s="167" t="s">
        <v>384</v>
      </c>
      <c r="F428" s="167" t="s">
        <v>25</v>
      </c>
      <c r="G428" s="11">
        <v>202101007</v>
      </c>
      <c r="H428" s="167" t="s">
        <v>157</v>
      </c>
      <c r="I428" s="167" t="s">
        <v>1413</v>
      </c>
      <c r="J428" s="167" t="s">
        <v>179</v>
      </c>
      <c r="K428" s="167" t="s">
        <v>170</v>
      </c>
      <c r="L428" s="167" t="s">
        <v>235</v>
      </c>
      <c r="M428" s="167" t="s">
        <v>1692</v>
      </c>
      <c r="N428" s="167" t="s">
        <v>1810</v>
      </c>
      <c r="O428" s="12" t="str">
        <f>_xlfn.DISPIMG("ID_CF289AF208E247F38051A435A278D00A",1)</f>
        <v>=DISPIMG("ID_CF289AF208E247F38051A435A278D00A",1)</v>
      </c>
      <c r="P428" s="11" t="s">
        <v>1811</v>
      </c>
      <c r="Q428" s="11">
        <v>206</v>
      </c>
      <c r="R428" s="17" t="s">
        <v>4741</v>
      </c>
      <c r="S428" s="18" t="s">
        <v>70</v>
      </c>
      <c r="T428" s="11">
        <v>21</v>
      </c>
    </row>
    <row r="429" s="3" customFormat="1" customHeight="1" spans="1:20">
      <c r="A429" s="167" t="s">
        <v>1912</v>
      </c>
      <c r="B429" s="167" t="s">
        <v>165</v>
      </c>
      <c r="C429" s="167" t="s">
        <v>1913</v>
      </c>
      <c r="D429" s="11">
        <v>15079288765</v>
      </c>
      <c r="E429" s="167" t="s">
        <v>297</v>
      </c>
      <c r="F429" s="167" t="s">
        <v>25</v>
      </c>
      <c r="G429" s="11">
        <v>202101008</v>
      </c>
      <c r="H429" s="167" t="s">
        <v>157</v>
      </c>
      <c r="I429" s="167" t="s">
        <v>233</v>
      </c>
      <c r="J429" s="167" t="s">
        <v>298</v>
      </c>
      <c r="K429" s="167" t="s">
        <v>160</v>
      </c>
      <c r="L429" s="167" t="s">
        <v>587</v>
      </c>
      <c r="M429" s="167" t="s">
        <v>25</v>
      </c>
      <c r="N429" s="167" t="s">
        <v>1915</v>
      </c>
      <c r="O429" s="12" t="str">
        <f>_xlfn.DISPIMG("ID_845D85CFFC3A4B2FB996A756749DD1B9",1)</f>
        <v>=DISPIMG("ID_845D85CFFC3A4B2FB996A756749DD1B9",1)</v>
      </c>
      <c r="P429" s="11" t="s">
        <v>1916</v>
      </c>
      <c r="Q429" s="11">
        <v>220</v>
      </c>
      <c r="R429" s="17" t="s">
        <v>4743</v>
      </c>
      <c r="S429" s="18" t="s">
        <v>70</v>
      </c>
      <c r="T429" s="11">
        <v>28</v>
      </c>
    </row>
    <row r="430" s="4" customFormat="1" customHeight="1" spans="1:20">
      <c r="A430" s="167" t="s">
        <v>2069</v>
      </c>
      <c r="B430" s="167" t="s">
        <v>165</v>
      </c>
      <c r="C430" s="167" t="s">
        <v>2070</v>
      </c>
      <c r="D430" s="11">
        <v>18970492528</v>
      </c>
      <c r="E430" s="167" t="s">
        <v>384</v>
      </c>
      <c r="F430" s="167" t="s">
        <v>25</v>
      </c>
      <c r="G430" s="11">
        <v>202101007</v>
      </c>
      <c r="H430" s="167" t="s">
        <v>157</v>
      </c>
      <c r="I430" s="167" t="s">
        <v>233</v>
      </c>
      <c r="J430" s="167" t="s">
        <v>179</v>
      </c>
      <c r="K430" s="167" t="s">
        <v>170</v>
      </c>
      <c r="L430" s="167" t="s">
        <v>1346</v>
      </c>
      <c r="M430" s="167" t="s">
        <v>25</v>
      </c>
      <c r="N430" s="167" t="s">
        <v>2072</v>
      </c>
      <c r="O430" s="12" t="str">
        <f>_xlfn.DISPIMG("ID_AE7BFEF114344F24954EA3AA4FC71BD8",1)</f>
        <v>=DISPIMG("ID_AE7BFEF114344F24954EA3AA4FC71BD8",1)</v>
      </c>
      <c r="P430" s="11" t="s">
        <v>2073</v>
      </c>
      <c r="Q430" s="11">
        <v>241</v>
      </c>
      <c r="R430" s="17" t="s">
        <v>4744</v>
      </c>
      <c r="S430" s="18" t="s">
        <v>70</v>
      </c>
      <c r="T430" s="11">
        <v>3</v>
      </c>
    </row>
    <row r="431" s="4" customFormat="1" customHeight="1" spans="1:20">
      <c r="A431" s="167" t="s">
        <v>2360</v>
      </c>
      <c r="B431" s="167" t="s">
        <v>165</v>
      </c>
      <c r="C431" s="167" t="s">
        <v>2361</v>
      </c>
      <c r="D431" s="11">
        <v>18070140896</v>
      </c>
      <c r="E431" s="167" t="s">
        <v>384</v>
      </c>
      <c r="F431" s="167" t="s">
        <v>25</v>
      </c>
      <c r="G431" s="11">
        <v>202101007</v>
      </c>
      <c r="H431" s="167" t="s">
        <v>157</v>
      </c>
      <c r="I431" s="167" t="s">
        <v>2363</v>
      </c>
      <c r="J431" s="167" t="s">
        <v>179</v>
      </c>
      <c r="K431" s="167" t="s">
        <v>170</v>
      </c>
      <c r="L431" s="167" t="s">
        <v>577</v>
      </c>
      <c r="M431" s="167" t="s">
        <v>25</v>
      </c>
      <c r="N431" s="167" t="s">
        <v>2364</v>
      </c>
      <c r="O431" s="12" t="str">
        <f>_xlfn.DISPIMG("ID_9FF2F7CED6DC40CB89E306847985BA44",1)</f>
        <v>=DISPIMG("ID_9FF2F7CED6DC40CB89E306847985BA44",1)</v>
      </c>
      <c r="P431" s="11" t="s">
        <v>2365</v>
      </c>
      <c r="Q431" s="11">
        <v>280</v>
      </c>
      <c r="R431" s="17" t="s">
        <v>4746</v>
      </c>
      <c r="S431" s="18" t="s">
        <v>70</v>
      </c>
      <c r="T431" s="11">
        <v>10</v>
      </c>
    </row>
    <row r="432" s="3" customFormat="1" customHeight="1" spans="1:20">
      <c r="A432" s="167" t="s">
        <v>2415</v>
      </c>
      <c r="B432" s="167" t="s">
        <v>165</v>
      </c>
      <c r="C432" s="167" t="s">
        <v>2416</v>
      </c>
      <c r="D432" s="11">
        <v>18179591146</v>
      </c>
      <c r="E432" s="167" t="s">
        <v>384</v>
      </c>
      <c r="F432" s="167" t="s">
        <v>25</v>
      </c>
      <c r="G432" s="11">
        <v>202101007</v>
      </c>
      <c r="H432" s="167" t="s">
        <v>157</v>
      </c>
      <c r="I432" s="167" t="s">
        <v>1258</v>
      </c>
      <c r="J432" s="167" t="s">
        <v>828</v>
      </c>
      <c r="K432" s="167" t="s">
        <v>170</v>
      </c>
      <c r="L432" s="167" t="s">
        <v>171</v>
      </c>
      <c r="M432" s="167" t="s">
        <v>25</v>
      </c>
      <c r="N432" s="167" t="s">
        <v>2418</v>
      </c>
      <c r="O432" s="12" t="str">
        <f>_xlfn.DISPIMG("ID_CD5C977DBB8D404E885C56F791C17D27",1)</f>
        <v>=DISPIMG("ID_CD5C977DBB8D404E885C56F791C17D27",1)</v>
      </c>
      <c r="P432" s="11" t="s">
        <v>2419</v>
      </c>
      <c r="Q432" s="11">
        <v>287</v>
      </c>
      <c r="R432" s="17" t="s">
        <v>4747</v>
      </c>
      <c r="S432" s="18" t="s">
        <v>70</v>
      </c>
      <c r="T432" s="11">
        <v>15</v>
      </c>
    </row>
    <row r="433" s="3" customFormat="1" customHeight="1" spans="1:20">
      <c r="A433" s="167" t="s">
        <v>2495</v>
      </c>
      <c r="B433" s="167" t="s">
        <v>165</v>
      </c>
      <c r="C433" s="167" t="s">
        <v>2496</v>
      </c>
      <c r="D433" s="11">
        <v>15170284980</v>
      </c>
      <c r="E433" s="167" t="s">
        <v>384</v>
      </c>
      <c r="F433" s="167" t="s">
        <v>25</v>
      </c>
      <c r="G433" s="11">
        <v>202101007</v>
      </c>
      <c r="H433" s="167" t="s">
        <v>157</v>
      </c>
      <c r="I433" s="167" t="s">
        <v>662</v>
      </c>
      <c r="J433" s="167" t="s">
        <v>179</v>
      </c>
      <c r="K433" s="167" t="s">
        <v>170</v>
      </c>
      <c r="L433" s="167" t="s">
        <v>261</v>
      </c>
      <c r="M433" s="167" t="s">
        <v>25</v>
      </c>
      <c r="N433" s="11">
        <v>0</v>
      </c>
      <c r="O433" s="12" t="str">
        <f>_xlfn.DISPIMG("ID_9517FA682BDD4A72AC67B046C0A956F9",1)</f>
        <v>=DISPIMG("ID_9517FA682BDD4A72AC67B046C0A956F9",1)</v>
      </c>
      <c r="P433" s="11" t="s">
        <v>2498</v>
      </c>
      <c r="Q433" s="11">
        <v>298</v>
      </c>
      <c r="R433" s="17" t="s">
        <v>4748</v>
      </c>
      <c r="S433" s="18" t="s">
        <v>70</v>
      </c>
      <c r="T433" s="11">
        <v>22</v>
      </c>
    </row>
    <row r="434" s="3" customFormat="1" customHeight="1" spans="1:20">
      <c r="A434" s="167" t="s">
        <v>2606</v>
      </c>
      <c r="B434" s="167" t="s">
        <v>165</v>
      </c>
      <c r="C434" s="167" t="s">
        <v>2607</v>
      </c>
      <c r="D434" s="11">
        <v>18720995920</v>
      </c>
      <c r="E434" s="167" t="s">
        <v>297</v>
      </c>
      <c r="F434" s="167" t="s">
        <v>25</v>
      </c>
      <c r="G434" s="11">
        <v>202101008</v>
      </c>
      <c r="H434" s="167" t="s">
        <v>157</v>
      </c>
      <c r="I434" s="167" t="s">
        <v>1654</v>
      </c>
      <c r="J434" s="167" t="s">
        <v>2609</v>
      </c>
      <c r="K434" s="167" t="s">
        <v>160</v>
      </c>
      <c r="L434" s="167" t="s">
        <v>281</v>
      </c>
      <c r="M434" s="167" t="s">
        <v>2610</v>
      </c>
      <c r="N434" s="167" t="s">
        <v>2611</v>
      </c>
      <c r="O434" s="12" t="str">
        <f>_xlfn.DISPIMG("ID_1DA33C1DACDA463582C160858194DE2A",1)</f>
        <v>=DISPIMG("ID_1DA33C1DACDA463582C160858194DE2A",1)</v>
      </c>
      <c r="P434" s="11" t="s">
        <v>2612</v>
      </c>
      <c r="Q434" s="11">
        <v>313</v>
      </c>
      <c r="R434" s="17" t="s">
        <v>4749</v>
      </c>
      <c r="S434" s="18" t="s">
        <v>70</v>
      </c>
      <c r="T434" s="11">
        <v>27</v>
      </c>
    </row>
    <row r="435" s="6" customFormat="1" customHeight="1" spans="1:20">
      <c r="A435" s="167" t="s">
        <v>2674</v>
      </c>
      <c r="B435" s="167" t="s">
        <v>165</v>
      </c>
      <c r="C435" s="167" t="s">
        <v>2675</v>
      </c>
      <c r="D435" s="11">
        <v>18000227120</v>
      </c>
      <c r="E435" s="167" t="s">
        <v>297</v>
      </c>
      <c r="F435" s="167" t="s">
        <v>25</v>
      </c>
      <c r="G435" s="11">
        <v>202101008</v>
      </c>
      <c r="H435" s="167" t="s">
        <v>157</v>
      </c>
      <c r="I435" s="167" t="s">
        <v>269</v>
      </c>
      <c r="J435" s="167" t="s">
        <v>2677</v>
      </c>
      <c r="K435" s="167" t="s">
        <v>160</v>
      </c>
      <c r="L435" s="167" t="s">
        <v>224</v>
      </c>
      <c r="M435" s="167" t="s">
        <v>25</v>
      </c>
      <c r="N435" s="167" t="s">
        <v>2678</v>
      </c>
      <c r="O435" s="12" t="str">
        <f>_xlfn.DISPIMG("ID_03E1DAA8D63B4AFF99883CCD0E6E65E6",1)</f>
        <v>=DISPIMG("ID_03E1DAA8D63B4AFF99883CCD0E6E65E6",1)</v>
      </c>
      <c r="P435" s="11" t="s">
        <v>2679</v>
      </c>
      <c r="Q435" s="11">
        <v>359</v>
      </c>
      <c r="R435" s="17" t="s">
        <v>4750</v>
      </c>
      <c r="S435" s="18" t="s">
        <v>70</v>
      </c>
      <c r="T435" s="11">
        <v>2</v>
      </c>
    </row>
    <row r="436" s="3" customFormat="1" customHeight="1" spans="1:20">
      <c r="A436" s="167" t="s">
        <v>3002</v>
      </c>
      <c r="B436" s="167" t="s">
        <v>165</v>
      </c>
      <c r="C436" s="167" t="s">
        <v>3003</v>
      </c>
      <c r="D436" s="11">
        <v>15798074733</v>
      </c>
      <c r="E436" s="167" t="s">
        <v>297</v>
      </c>
      <c r="F436" s="167" t="s">
        <v>25</v>
      </c>
      <c r="G436" s="11">
        <v>202101008</v>
      </c>
      <c r="H436" s="167" t="s">
        <v>157</v>
      </c>
      <c r="I436" s="167" t="s">
        <v>540</v>
      </c>
      <c r="J436" s="167" t="s">
        <v>179</v>
      </c>
      <c r="K436" s="167" t="s">
        <v>160</v>
      </c>
      <c r="L436" s="167" t="s">
        <v>2047</v>
      </c>
      <c r="M436" s="167" t="s">
        <v>3005</v>
      </c>
      <c r="N436" s="11">
        <v>0</v>
      </c>
      <c r="O436" s="12" t="str">
        <f>_xlfn.DISPIMG("ID_4E0EBDB804BA45EB8B4195F5A93DFBBD",1)</f>
        <v>=DISPIMG("ID_4E0EBDB804BA45EB8B4195F5A93DFBBD",1)</v>
      </c>
      <c r="P436" s="11" t="s">
        <v>3006</v>
      </c>
      <c r="Q436" s="11">
        <v>370</v>
      </c>
      <c r="R436" s="17" t="s">
        <v>4751</v>
      </c>
      <c r="S436" s="18" t="s">
        <v>70</v>
      </c>
      <c r="T436" s="11">
        <v>11</v>
      </c>
    </row>
    <row r="437" s="3" customFormat="1" customHeight="1" spans="1:20">
      <c r="A437" s="167" t="s">
        <v>3130</v>
      </c>
      <c r="B437" s="167" t="s">
        <v>165</v>
      </c>
      <c r="C437" s="167" t="s">
        <v>3131</v>
      </c>
      <c r="D437" s="11">
        <v>13510703252</v>
      </c>
      <c r="E437" s="167" t="s">
        <v>384</v>
      </c>
      <c r="F437" s="167" t="s">
        <v>25</v>
      </c>
      <c r="G437" s="11">
        <v>202101007</v>
      </c>
      <c r="H437" s="167" t="s">
        <v>157</v>
      </c>
      <c r="I437" s="167" t="s">
        <v>1203</v>
      </c>
      <c r="J437" s="167" t="s">
        <v>223</v>
      </c>
      <c r="K437" s="167" t="s">
        <v>170</v>
      </c>
      <c r="L437" s="167" t="s">
        <v>224</v>
      </c>
      <c r="M437" s="167" t="s">
        <v>25</v>
      </c>
      <c r="N437" s="167" t="s">
        <v>3132</v>
      </c>
      <c r="O437" s="12" t="str">
        <f>_xlfn.DISPIMG("ID_DD2B22793A5D42C5A4C202130135D188",1)</f>
        <v>=DISPIMG("ID_DD2B22793A5D42C5A4C202130135D188",1)</v>
      </c>
      <c r="P437" s="11" t="s">
        <v>3133</v>
      </c>
      <c r="Q437" s="11">
        <v>387</v>
      </c>
      <c r="R437" s="17" t="s">
        <v>4752</v>
      </c>
      <c r="S437" s="18" t="s">
        <v>70</v>
      </c>
      <c r="T437" s="11">
        <v>14</v>
      </c>
    </row>
    <row r="438" s="3" customFormat="1" customHeight="1" spans="1:20">
      <c r="A438" s="167" t="s">
        <v>3185</v>
      </c>
      <c r="B438" s="167" t="s">
        <v>165</v>
      </c>
      <c r="C438" s="167" t="s">
        <v>3186</v>
      </c>
      <c r="D438" s="11">
        <v>15070259733</v>
      </c>
      <c r="E438" s="167" t="s">
        <v>297</v>
      </c>
      <c r="F438" s="167" t="s">
        <v>25</v>
      </c>
      <c r="G438" s="11">
        <v>202101008</v>
      </c>
      <c r="H438" s="167" t="s">
        <v>157</v>
      </c>
      <c r="I438" s="167" t="s">
        <v>646</v>
      </c>
      <c r="J438" s="167" t="s">
        <v>179</v>
      </c>
      <c r="K438" s="167" t="s">
        <v>170</v>
      </c>
      <c r="L438" s="167" t="s">
        <v>161</v>
      </c>
      <c r="M438" s="167" t="s">
        <v>3188</v>
      </c>
      <c r="N438" s="11">
        <v>0</v>
      </c>
      <c r="O438" s="12" t="str">
        <f>_xlfn.DISPIMG("ID_76C776A08E8241118AA436F440F434C8",1)</f>
        <v>=DISPIMG("ID_76C776A08E8241118AA436F440F434C8",1)</v>
      </c>
      <c r="P438" s="11" t="s">
        <v>3189</v>
      </c>
      <c r="Q438" s="11">
        <v>396</v>
      </c>
      <c r="R438" s="17" t="s">
        <v>4753</v>
      </c>
      <c r="S438" s="18" t="s">
        <v>70</v>
      </c>
      <c r="T438" s="11">
        <v>23</v>
      </c>
    </row>
    <row r="439" s="4" customFormat="1" customHeight="1" spans="1:20">
      <c r="A439" s="167" t="s">
        <v>3219</v>
      </c>
      <c r="B439" s="167" t="s">
        <v>165</v>
      </c>
      <c r="C439" s="167" t="s">
        <v>3220</v>
      </c>
      <c r="D439" s="11">
        <v>18279832090</v>
      </c>
      <c r="E439" s="167" t="s">
        <v>384</v>
      </c>
      <c r="F439" s="167" t="s">
        <v>25</v>
      </c>
      <c r="G439" s="11">
        <v>202101007</v>
      </c>
      <c r="H439" s="167" t="s">
        <v>157</v>
      </c>
      <c r="I439" s="167" t="s">
        <v>507</v>
      </c>
      <c r="J439" s="167" t="s">
        <v>828</v>
      </c>
      <c r="K439" s="167" t="s">
        <v>170</v>
      </c>
      <c r="L439" s="167" t="s">
        <v>161</v>
      </c>
      <c r="M439" s="167" t="s">
        <v>25</v>
      </c>
      <c r="N439" s="167" t="s">
        <v>3222</v>
      </c>
      <c r="O439" s="12" t="str">
        <f>_xlfn.DISPIMG("ID_31DA0D5E67EC49E4A7DA2145DC608874",1)</f>
        <v>=DISPIMG("ID_31DA0D5E67EC49E4A7DA2145DC608874",1)</v>
      </c>
      <c r="P439" s="11" t="s">
        <v>3223</v>
      </c>
      <c r="Q439" s="11">
        <v>401</v>
      </c>
      <c r="R439" s="17" t="s">
        <v>4754</v>
      </c>
      <c r="S439" s="18" t="s">
        <v>70</v>
      </c>
      <c r="T439" s="11">
        <v>26</v>
      </c>
    </row>
    <row r="440" s="3" customFormat="1" customHeight="1" spans="1:20">
      <c r="A440" s="167" t="s">
        <v>3386</v>
      </c>
      <c r="B440" s="167" t="s">
        <v>165</v>
      </c>
      <c r="C440" s="167" t="s">
        <v>3387</v>
      </c>
      <c r="D440" s="11">
        <v>15070657835</v>
      </c>
      <c r="E440" s="167" t="s">
        <v>384</v>
      </c>
      <c r="F440" s="167" t="s">
        <v>25</v>
      </c>
      <c r="G440" s="11">
        <v>202101007</v>
      </c>
      <c r="H440" s="167" t="s">
        <v>705</v>
      </c>
      <c r="I440" s="167" t="s">
        <v>233</v>
      </c>
      <c r="J440" s="167" t="s">
        <v>3389</v>
      </c>
      <c r="K440" s="167" t="s">
        <v>160</v>
      </c>
      <c r="L440" s="167" t="s">
        <v>261</v>
      </c>
      <c r="M440" s="167" t="s">
        <v>1506</v>
      </c>
      <c r="N440" s="11">
        <v>0</v>
      </c>
      <c r="O440" s="12" t="str">
        <f>_xlfn.DISPIMG("ID_E7900D53DC2C42DFA545534A1C33490B",1)</f>
        <v>=DISPIMG("ID_E7900D53DC2C42DFA545534A1C33490B",1)</v>
      </c>
      <c r="P440" s="11" t="s">
        <v>3390</v>
      </c>
      <c r="Q440" s="11">
        <v>427</v>
      </c>
      <c r="R440" s="17" t="s">
        <v>4755</v>
      </c>
      <c r="S440" s="18" t="s">
        <v>70</v>
      </c>
      <c r="T440" s="11">
        <v>1</v>
      </c>
    </row>
    <row r="441" s="3" customFormat="1" customHeight="1" spans="1:20">
      <c r="A441" s="167" t="s">
        <v>3789</v>
      </c>
      <c r="B441" s="167" t="s">
        <v>165</v>
      </c>
      <c r="C441" s="167" t="s">
        <v>3790</v>
      </c>
      <c r="D441" s="11">
        <v>15979943806</v>
      </c>
      <c r="E441" s="167" t="s">
        <v>384</v>
      </c>
      <c r="F441" s="167" t="s">
        <v>25</v>
      </c>
      <c r="G441" s="11">
        <v>202101007</v>
      </c>
      <c r="H441" s="167" t="s">
        <v>157</v>
      </c>
      <c r="I441" s="167" t="s">
        <v>2874</v>
      </c>
      <c r="J441" s="167" t="s">
        <v>3792</v>
      </c>
      <c r="K441" s="167" t="s">
        <v>170</v>
      </c>
      <c r="L441" s="167" t="s">
        <v>216</v>
      </c>
      <c r="M441" s="167" t="s">
        <v>25</v>
      </c>
      <c r="N441" s="167" t="s">
        <v>3793</v>
      </c>
      <c r="O441" s="12" t="str">
        <f>_xlfn.DISPIMG("ID_7E3A3C48C46B4922B18A5C2AD1587AC0",1)</f>
        <v>=DISPIMG("ID_7E3A3C48C46B4922B18A5C2AD1587AC0",1)</v>
      </c>
      <c r="P441" s="11" t="s">
        <v>3794</v>
      </c>
      <c r="Q441" s="20">
        <v>483</v>
      </c>
      <c r="R441" s="17" t="s">
        <v>4756</v>
      </c>
      <c r="S441" s="18" t="s">
        <v>70</v>
      </c>
      <c r="T441" s="11">
        <v>12</v>
      </c>
    </row>
    <row r="442" s="3" customFormat="1" customHeight="1" spans="1:20">
      <c r="A442" s="167" t="s">
        <v>3918</v>
      </c>
      <c r="B442" s="167" t="s">
        <v>165</v>
      </c>
      <c r="C442" s="167" t="s">
        <v>3919</v>
      </c>
      <c r="D442" s="11">
        <v>18979261626</v>
      </c>
      <c r="E442" s="167" t="s">
        <v>384</v>
      </c>
      <c r="F442" s="167" t="s">
        <v>25</v>
      </c>
      <c r="G442" s="11">
        <v>202101007</v>
      </c>
      <c r="H442" s="167" t="s">
        <v>157</v>
      </c>
      <c r="I442" s="167" t="s">
        <v>178</v>
      </c>
      <c r="J442" s="167" t="s">
        <v>179</v>
      </c>
      <c r="K442" s="167" t="s">
        <v>170</v>
      </c>
      <c r="L442" s="167" t="s">
        <v>161</v>
      </c>
      <c r="M442" s="167" t="s">
        <v>952</v>
      </c>
      <c r="N442" s="167" t="s">
        <v>3920</v>
      </c>
      <c r="O442" s="12" t="str">
        <f>_xlfn.DISPIMG("ID_64C458B5785C4AE8B3EB4D932C0866CC",1)</f>
        <v>=DISPIMG("ID_64C458B5785C4AE8B3EB4D932C0866CC",1)</v>
      </c>
      <c r="P442" s="11" t="s">
        <v>3921</v>
      </c>
      <c r="Q442" s="20">
        <v>500</v>
      </c>
      <c r="R442" s="17" t="s">
        <v>4757</v>
      </c>
      <c r="S442" s="18" t="s">
        <v>70</v>
      </c>
      <c r="T442" s="11">
        <v>13</v>
      </c>
    </row>
    <row r="443" s="3" customFormat="1" customHeight="1" spans="1:20">
      <c r="A443" s="167" t="s">
        <v>4006</v>
      </c>
      <c r="B443" s="167" t="s">
        <v>165</v>
      </c>
      <c r="C443" s="167" t="s">
        <v>4007</v>
      </c>
      <c r="D443" s="11">
        <v>15979112724</v>
      </c>
      <c r="E443" s="167" t="s">
        <v>297</v>
      </c>
      <c r="F443" s="167" t="s">
        <v>25</v>
      </c>
      <c r="G443" s="11">
        <v>202101008</v>
      </c>
      <c r="H443" s="167" t="s">
        <v>157</v>
      </c>
      <c r="I443" s="167" t="s">
        <v>3070</v>
      </c>
      <c r="J443" s="167" t="s">
        <v>179</v>
      </c>
      <c r="K443" s="167" t="s">
        <v>170</v>
      </c>
      <c r="L443" s="167" t="s">
        <v>306</v>
      </c>
      <c r="M443" s="167" t="s">
        <v>1692</v>
      </c>
      <c r="N443" s="167" t="s">
        <v>4009</v>
      </c>
      <c r="O443" s="12" t="str">
        <f>_xlfn.DISPIMG("ID_410BA329CDB34577BE3D2E13C6D8589F",1)</f>
        <v>=DISPIMG("ID_410BA329CDB34577BE3D2E13C6D8589F",1)</v>
      </c>
      <c r="P443" s="11" t="s">
        <v>4010</v>
      </c>
      <c r="Q443" s="20">
        <v>512</v>
      </c>
      <c r="R443" s="17" t="s">
        <v>4758</v>
      </c>
      <c r="S443" s="18" t="s">
        <v>70</v>
      </c>
      <c r="T443" s="11">
        <v>24</v>
      </c>
    </row>
    <row r="444" s="3" customFormat="1" customHeight="1" spans="1:20">
      <c r="A444" s="167" t="s">
        <v>4073</v>
      </c>
      <c r="B444" s="167" t="s">
        <v>165</v>
      </c>
      <c r="C444" s="167" t="s">
        <v>4074</v>
      </c>
      <c r="D444" s="11">
        <v>18379233389</v>
      </c>
      <c r="E444" s="167" t="s">
        <v>297</v>
      </c>
      <c r="F444" s="167" t="s">
        <v>25</v>
      </c>
      <c r="G444" s="11">
        <v>202101008</v>
      </c>
      <c r="H444" s="167" t="s">
        <v>157</v>
      </c>
      <c r="I444" s="167" t="s">
        <v>4076</v>
      </c>
      <c r="J444" s="167" t="s">
        <v>179</v>
      </c>
      <c r="K444" s="167" t="s">
        <v>160</v>
      </c>
      <c r="L444" s="167" t="s">
        <v>919</v>
      </c>
      <c r="M444" s="167" t="s">
        <v>4077</v>
      </c>
      <c r="N444" s="167" t="s">
        <v>4078</v>
      </c>
      <c r="O444" s="12" t="str">
        <f>_xlfn.DISPIMG("ID_5240EB7A8E6D4B1A8B52378BBD0117F8",1)</f>
        <v>=DISPIMG("ID_5240EB7A8E6D4B1A8B52378BBD0117F8",1)</v>
      </c>
      <c r="P444" s="11" t="s">
        <v>4079</v>
      </c>
      <c r="Q444" s="20">
        <v>521</v>
      </c>
      <c r="R444" s="17" t="s">
        <v>4759</v>
      </c>
      <c r="S444" s="18" t="s">
        <v>70</v>
      </c>
      <c r="T444" s="11">
        <v>25</v>
      </c>
    </row>
    <row r="445" s="3" customFormat="1" customHeight="1" spans="1:20">
      <c r="A445" s="167" t="s">
        <v>265</v>
      </c>
      <c r="B445" s="167" t="s">
        <v>153</v>
      </c>
      <c r="C445" s="167" t="s">
        <v>266</v>
      </c>
      <c r="D445" s="11">
        <v>15720975163</v>
      </c>
      <c r="E445" s="167" t="s">
        <v>268</v>
      </c>
      <c r="F445" s="167" t="s">
        <v>20</v>
      </c>
      <c r="G445" s="11">
        <v>202101004</v>
      </c>
      <c r="H445" s="167" t="s">
        <v>157</v>
      </c>
      <c r="I445" s="167" t="s">
        <v>269</v>
      </c>
      <c r="J445" s="167" t="s">
        <v>270</v>
      </c>
      <c r="K445" s="167" t="s">
        <v>170</v>
      </c>
      <c r="L445" s="167" t="s">
        <v>261</v>
      </c>
      <c r="M445" s="167" t="s">
        <v>20</v>
      </c>
      <c r="N445" s="167" t="s">
        <v>271</v>
      </c>
      <c r="O445" s="12" t="str">
        <f>_xlfn.DISPIMG("ID_E6B64D542CF24756B648DE72B52C0790",1)</f>
        <v>=DISPIMG("ID_E6B64D542CF24756B648DE72B52C0790",1)</v>
      </c>
      <c r="P445" s="11" t="s">
        <v>272</v>
      </c>
      <c r="Q445" s="11">
        <v>14</v>
      </c>
      <c r="R445" s="17" t="s">
        <v>4760</v>
      </c>
      <c r="S445" s="18" t="s">
        <v>72</v>
      </c>
      <c r="T445" s="25">
        <v>6</v>
      </c>
    </row>
    <row r="446" s="3" customFormat="1" customHeight="1" spans="1:20">
      <c r="A446" s="167" t="s">
        <v>522</v>
      </c>
      <c r="B446" s="167" t="s">
        <v>165</v>
      </c>
      <c r="C446" s="167" t="s">
        <v>523</v>
      </c>
      <c r="D446" s="11">
        <v>18779278905</v>
      </c>
      <c r="E446" s="167" t="s">
        <v>268</v>
      </c>
      <c r="F446" s="167" t="s">
        <v>20</v>
      </c>
      <c r="G446" s="11">
        <v>202101004</v>
      </c>
      <c r="H446" s="167" t="s">
        <v>157</v>
      </c>
      <c r="I446" s="167" t="s">
        <v>233</v>
      </c>
      <c r="J446" s="167" t="s">
        <v>525</v>
      </c>
      <c r="K446" s="167" t="s">
        <v>170</v>
      </c>
      <c r="L446" s="167" t="s">
        <v>161</v>
      </c>
      <c r="M446" s="167" t="s">
        <v>20</v>
      </c>
      <c r="N446" s="11">
        <v>0</v>
      </c>
      <c r="O446" s="12" t="str">
        <f>_xlfn.DISPIMG("ID_71DE12F1CD59449693F0263DC215D27B",1)</f>
        <v>=DISPIMG("ID_71DE12F1CD59449693F0263DC215D27B",1)</v>
      </c>
      <c r="P446" s="11" t="s">
        <v>526</v>
      </c>
      <c r="Q446" s="11">
        <v>44</v>
      </c>
      <c r="R446" s="17" t="s">
        <v>4761</v>
      </c>
      <c r="S446" s="18" t="s">
        <v>72</v>
      </c>
      <c r="T446" s="25">
        <v>7</v>
      </c>
    </row>
    <row r="447" s="3" customFormat="1" customHeight="1" spans="1:20">
      <c r="A447" s="167" t="s">
        <v>1050</v>
      </c>
      <c r="B447" s="167" t="s">
        <v>165</v>
      </c>
      <c r="C447" s="167" t="s">
        <v>1051</v>
      </c>
      <c r="D447" s="11">
        <v>15180471768</v>
      </c>
      <c r="E447" s="167" t="s">
        <v>384</v>
      </c>
      <c r="F447" s="167" t="s">
        <v>20</v>
      </c>
      <c r="G447" s="11">
        <v>202101005</v>
      </c>
      <c r="H447" s="167" t="s">
        <v>157</v>
      </c>
      <c r="I447" s="167" t="s">
        <v>178</v>
      </c>
      <c r="J447" s="167" t="s">
        <v>270</v>
      </c>
      <c r="K447" s="167" t="s">
        <v>170</v>
      </c>
      <c r="L447" s="167" t="s">
        <v>261</v>
      </c>
      <c r="M447" s="167" t="s">
        <v>20</v>
      </c>
      <c r="N447" s="11">
        <v>0</v>
      </c>
      <c r="O447" s="12" t="str">
        <f>_xlfn.DISPIMG("ID_296B75901486490E98D040532231AC8D",1)</f>
        <v>=DISPIMG("ID_296B75901486490E98D040532231AC8D",1)</v>
      </c>
      <c r="P447" s="11" t="s">
        <v>1052</v>
      </c>
      <c r="Q447" s="11">
        <v>108</v>
      </c>
      <c r="R447" s="17" t="s">
        <v>4762</v>
      </c>
      <c r="S447" s="18" t="s">
        <v>72</v>
      </c>
      <c r="T447" s="25">
        <v>5</v>
      </c>
    </row>
    <row r="448" s="3" customFormat="1" customHeight="1" spans="1:20">
      <c r="A448" s="167" t="s">
        <v>1055</v>
      </c>
      <c r="B448" s="167" t="s">
        <v>165</v>
      </c>
      <c r="C448" s="167" t="s">
        <v>1056</v>
      </c>
      <c r="D448" s="11">
        <v>15279286807</v>
      </c>
      <c r="E448" s="167" t="s">
        <v>384</v>
      </c>
      <c r="F448" s="167" t="s">
        <v>20</v>
      </c>
      <c r="G448" s="11">
        <v>202101005</v>
      </c>
      <c r="H448" s="167" t="s">
        <v>157</v>
      </c>
      <c r="I448" s="167" t="s">
        <v>178</v>
      </c>
      <c r="J448" s="167" t="s">
        <v>270</v>
      </c>
      <c r="K448" s="167" t="s">
        <v>170</v>
      </c>
      <c r="L448" s="167" t="s">
        <v>261</v>
      </c>
      <c r="M448" s="167" t="s">
        <v>20</v>
      </c>
      <c r="N448" s="11">
        <v>0</v>
      </c>
      <c r="O448" s="12" t="str">
        <f>_xlfn.DISPIMG("ID_1261702926BF4B91B3BBC8CF57D7C930",1)</f>
        <v>=DISPIMG("ID_1261702926BF4B91B3BBC8CF57D7C930",1)</v>
      </c>
      <c r="P448" s="11" t="s">
        <v>1058</v>
      </c>
      <c r="Q448" s="11">
        <v>109</v>
      </c>
      <c r="R448" s="17" t="s">
        <v>4763</v>
      </c>
      <c r="S448" s="18" t="s">
        <v>72</v>
      </c>
      <c r="T448" s="25">
        <v>8</v>
      </c>
    </row>
    <row r="449" s="3" customFormat="1" customHeight="1" spans="1:20">
      <c r="A449" s="167" t="s">
        <v>1729</v>
      </c>
      <c r="B449" s="167" t="s">
        <v>153</v>
      </c>
      <c r="C449" s="167" t="s">
        <v>1730</v>
      </c>
      <c r="D449" s="11">
        <v>18720253839</v>
      </c>
      <c r="E449" s="167" t="s">
        <v>384</v>
      </c>
      <c r="F449" s="167" t="s">
        <v>20</v>
      </c>
      <c r="G449" s="11">
        <v>202101005</v>
      </c>
      <c r="H449" s="167" t="s">
        <v>157</v>
      </c>
      <c r="I449" s="167" t="s">
        <v>1258</v>
      </c>
      <c r="J449" s="167" t="s">
        <v>270</v>
      </c>
      <c r="K449" s="167" t="s">
        <v>170</v>
      </c>
      <c r="L449" s="167" t="s">
        <v>349</v>
      </c>
      <c r="M449" s="167" t="s">
        <v>1732</v>
      </c>
      <c r="N449" s="167" t="s">
        <v>1733</v>
      </c>
      <c r="O449" s="12" t="str">
        <f>_xlfn.DISPIMG("ID_677AC12F255C494892F34EE0AF9DED02",1)</f>
        <v>=DISPIMG("ID_677AC12F255C494892F34EE0AF9DED02",1)</v>
      </c>
      <c r="P449" s="11" t="s">
        <v>1734</v>
      </c>
      <c r="Q449" s="11">
        <v>196</v>
      </c>
      <c r="R449" s="17" t="s">
        <v>4764</v>
      </c>
      <c r="S449" s="18" t="s">
        <v>72</v>
      </c>
      <c r="T449" s="25">
        <v>4</v>
      </c>
    </row>
    <row r="450" s="3" customFormat="1" customHeight="1" spans="1:20">
      <c r="A450" s="167" t="s">
        <v>2044</v>
      </c>
      <c r="B450" s="167" t="s">
        <v>153</v>
      </c>
      <c r="C450" s="167" t="s">
        <v>2045</v>
      </c>
      <c r="D450" s="11">
        <v>15949584388</v>
      </c>
      <c r="E450" s="167" t="s">
        <v>384</v>
      </c>
      <c r="F450" s="167" t="s">
        <v>20</v>
      </c>
      <c r="G450" s="11">
        <v>202101005</v>
      </c>
      <c r="H450" s="167" t="s">
        <v>157</v>
      </c>
      <c r="I450" s="167" t="s">
        <v>158</v>
      </c>
      <c r="J450" s="167" t="s">
        <v>270</v>
      </c>
      <c r="K450" s="167" t="s">
        <v>170</v>
      </c>
      <c r="L450" s="167" t="s">
        <v>2047</v>
      </c>
      <c r="M450" s="167" t="s">
        <v>2048</v>
      </c>
      <c r="N450" s="167" t="s">
        <v>2049</v>
      </c>
      <c r="O450" s="12" t="str">
        <f>_xlfn.DISPIMG("ID_AA05B8B9BBB64A2C8B2DEFAC2B7912C3",1)</f>
        <v>=DISPIMG("ID_AA05B8B9BBB64A2C8B2DEFAC2B7912C3",1)</v>
      </c>
      <c r="P450" s="11" t="s">
        <v>2050</v>
      </c>
      <c r="Q450" s="11">
        <v>238</v>
      </c>
      <c r="R450" s="17" t="s">
        <v>4765</v>
      </c>
      <c r="S450" s="18" t="s">
        <v>72</v>
      </c>
      <c r="T450" s="25">
        <v>9</v>
      </c>
    </row>
    <row r="451" s="3" customFormat="1" customHeight="1" spans="1:20">
      <c r="A451" s="167" t="s">
        <v>2172</v>
      </c>
      <c r="B451" s="167" t="s">
        <v>153</v>
      </c>
      <c r="C451" s="167" t="s">
        <v>2173</v>
      </c>
      <c r="D451" s="11">
        <v>18370791182</v>
      </c>
      <c r="E451" s="167" t="s">
        <v>297</v>
      </c>
      <c r="F451" s="167" t="s">
        <v>20</v>
      </c>
      <c r="G451" s="11">
        <v>202101006</v>
      </c>
      <c r="H451" s="167" t="s">
        <v>157</v>
      </c>
      <c r="I451" s="167" t="s">
        <v>1413</v>
      </c>
      <c r="J451" s="167" t="s">
        <v>243</v>
      </c>
      <c r="K451" s="167" t="s">
        <v>160</v>
      </c>
      <c r="L451" s="167" t="s">
        <v>199</v>
      </c>
      <c r="M451" s="167" t="s">
        <v>2175</v>
      </c>
      <c r="N451" s="167" t="s">
        <v>2176</v>
      </c>
      <c r="O451" s="12" t="str">
        <f>_xlfn.DISPIMG("ID_164BFB36FB944A6B8D1C179D10EFE455",1)</f>
        <v>=DISPIMG("ID_164BFB36FB944A6B8D1C179D10EFE455",1)</v>
      </c>
      <c r="P451" s="11" t="s">
        <v>2177</v>
      </c>
      <c r="Q451" s="11">
        <v>255</v>
      </c>
      <c r="R451" s="17" t="s">
        <v>4766</v>
      </c>
      <c r="S451" s="18" t="s">
        <v>72</v>
      </c>
      <c r="T451" s="25">
        <v>3</v>
      </c>
    </row>
    <row r="452" s="3" customFormat="1" customHeight="1" spans="1:20">
      <c r="A452" s="167" t="s">
        <v>3473</v>
      </c>
      <c r="B452" s="167" t="s">
        <v>165</v>
      </c>
      <c r="C452" s="167" t="s">
        <v>3474</v>
      </c>
      <c r="D452" s="11">
        <v>16605630524</v>
      </c>
      <c r="E452" s="167" t="s">
        <v>384</v>
      </c>
      <c r="F452" s="167" t="s">
        <v>20</v>
      </c>
      <c r="G452" s="11">
        <v>202101005</v>
      </c>
      <c r="H452" s="167" t="s">
        <v>705</v>
      </c>
      <c r="I452" s="167" t="s">
        <v>1112</v>
      </c>
      <c r="J452" s="167" t="s">
        <v>3476</v>
      </c>
      <c r="K452" s="167" t="s">
        <v>160</v>
      </c>
      <c r="L452" s="167" t="s">
        <v>455</v>
      </c>
      <c r="M452" s="167" t="s">
        <v>3477</v>
      </c>
      <c r="N452" s="11">
        <v>0</v>
      </c>
      <c r="O452" s="12" t="str">
        <f>_xlfn.DISPIMG("ID_BFF35F7767BD4AFE8B2C782755AFDE14",1)</f>
        <v>=DISPIMG("ID_BFF35F7767BD4AFE8B2C782755AFDE14",1)</v>
      </c>
      <c r="P452" s="11" t="s">
        <v>3478</v>
      </c>
      <c r="Q452" s="11">
        <v>439</v>
      </c>
      <c r="R452" s="17" t="s">
        <v>4767</v>
      </c>
      <c r="S452" s="18" t="s">
        <v>72</v>
      </c>
      <c r="T452" s="25">
        <v>10</v>
      </c>
    </row>
    <row r="453" s="3" customFormat="1" customHeight="1" spans="1:20">
      <c r="A453" s="167" t="s">
        <v>3661</v>
      </c>
      <c r="B453" s="167" t="s">
        <v>165</v>
      </c>
      <c r="C453" s="167" t="s">
        <v>3662</v>
      </c>
      <c r="D453" s="11">
        <v>15623206169</v>
      </c>
      <c r="E453" s="167" t="s">
        <v>297</v>
      </c>
      <c r="F453" s="167" t="s">
        <v>20</v>
      </c>
      <c r="G453" s="11">
        <v>202101006</v>
      </c>
      <c r="H453" s="167" t="s">
        <v>157</v>
      </c>
      <c r="I453" s="167" t="s">
        <v>3663</v>
      </c>
      <c r="J453" s="167" t="s">
        <v>1832</v>
      </c>
      <c r="K453" s="167" t="s">
        <v>160</v>
      </c>
      <c r="L453" s="167" t="s">
        <v>455</v>
      </c>
      <c r="M453" s="167" t="s">
        <v>20</v>
      </c>
      <c r="N453" s="11">
        <v>0</v>
      </c>
      <c r="O453" s="12" t="str">
        <f>_xlfn.DISPIMG("ID_2A9E22A9ABC949F8A9FA9AA3239D48CC",1)</f>
        <v>=DISPIMG("ID_2A9E22A9ABC949F8A9FA9AA3239D48CC",1)</v>
      </c>
      <c r="P453" s="11" t="s">
        <v>3664</v>
      </c>
      <c r="Q453" s="11">
        <v>466</v>
      </c>
      <c r="R453" s="17" t="s">
        <v>4768</v>
      </c>
      <c r="S453" s="18" t="s">
        <v>72</v>
      </c>
      <c r="T453" s="25">
        <v>2</v>
      </c>
    </row>
    <row r="454" s="3" customFormat="1" customHeight="1" spans="1:20">
      <c r="A454" s="167" t="s">
        <v>3955</v>
      </c>
      <c r="B454" s="167" t="s">
        <v>153</v>
      </c>
      <c r="C454" s="167" t="s">
        <v>3956</v>
      </c>
      <c r="D454" s="11">
        <v>18379670015</v>
      </c>
      <c r="E454" s="167" t="s">
        <v>384</v>
      </c>
      <c r="F454" s="167" t="s">
        <v>20</v>
      </c>
      <c r="G454" s="11">
        <v>202101005</v>
      </c>
      <c r="H454" s="167" t="s">
        <v>157</v>
      </c>
      <c r="I454" s="167" t="s">
        <v>507</v>
      </c>
      <c r="J454" s="167" t="s">
        <v>270</v>
      </c>
      <c r="K454" s="167" t="s">
        <v>170</v>
      </c>
      <c r="L454" s="167" t="s">
        <v>235</v>
      </c>
      <c r="M454" s="167" t="s">
        <v>1322</v>
      </c>
      <c r="N454" s="167" t="s">
        <v>3958</v>
      </c>
      <c r="O454" s="12" t="str">
        <f>_xlfn.DISPIMG("ID_C25C6B154C2847C9934F6981B40FCD0C",1)</f>
        <v>=DISPIMG("ID_C25C6B154C2847C9934F6981B40FCD0C",1)</v>
      </c>
      <c r="P454" s="11" t="s">
        <v>3959</v>
      </c>
      <c r="Q454" s="11">
        <v>505</v>
      </c>
      <c r="R454" s="17" t="s">
        <v>4769</v>
      </c>
      <c r="S454" s="18" t="s">
        <v>72</v>
      </c>
      <c r="T454" s="25">
        <v>11</v>
      </c>
    </row>
    <row r="455" s="3" customFormat="1" customHeight="1" spans="1:20">
      <c r="A455" s="167" t="s">
        <v>3978</v>
      </c>
      <c r="B455" s="167" t="s">
        <v>165</v>
      </c>
      <c r="C455" s="167" t="s">
        <v>3979</v>
      </c>
      <c r="D455" s="11">
        <v>15070298026</v>
      </c>
      <c r="E455" s="167" t="s">
        <v>268</v>
      </c>
      <c r="F455" s="167" t="s">
        <v>20</v>
      </c>
      <c r="G455" s="11">
        <v>202101004</v>
      </c>
      <c r="H455" s="167" t="s">
        <v>157</v>
      </c>
      <c r="I455" s="167" t="s">
        <v>178</v>
      </c>
      <c r="J455" s="167" t="s">
        <v>270</v>
      </c>
      <c r="K455" s="167" t="s">
        <v>170</v>
      </c>
      <c r="L455" s="167" t="s">
        <v>261</v>
      </c>
      <c r="M455" s="167" t="s">
        <v>20</v>
      </c>
      <c r="N455" s="11">
        <v>0</v>
      </c>
      <c r="O455" s="12" t="str">
        <f>_xlfn.DISPIMG("ID_41FDB18DF8F04859BBDC981BC12AE5F4",1)</f>
        <v>=DISPIMG("ID_41FDB18DF8F04859BBDC981BC12AE5F4",1)</v>
      </c>
      <c r="P455" s="11" t="s">
        <v>3981</v>
      </c>
      <c r="Q455" s="11">
        <v>508</v>
      </c>
      <c r="R455" s="17" t="s">
        <v>4770</v>
      </c>
      <c r="S455" s="18" t="s">
        <v>72</v>
      </c>
      <c r="T455" s="25">
        <v>1</v>
      </c>
    </row>
    <row r="456" s="5" customFormat="1" customHeight="1" spans="1:20">
      <c r="A456" s="167" t="s">
        <v>4161</v>
      </c>
      <c r="B456" s="167" t="s">
        <v>165</v>
      </c>
      <c r="C456" s="167" t="s">
        <v>4162</v>
      </c>
      <c r="D456" s="11">
        <v>15999192756</v>
      </c>
      <c r="E456" s="167" t="s">
        <v>297</v>
      </c>
      <c r="F456" s="167" t="s">
        <v>20</v>
      </c>
      <c r="G456" s="11">
        <v>202101006</v>
      </c>
      <c r="H456" s="167" t="s">
        <v>157</v>
      </c>
      <c r="I456" s="167" t="s">
        <v>4164</v>
      </c>
      <c r="J456" s="167" t="s">
        <v>4165</v>
      </c>
      <c r="K456" s="167" t="s">
        <v>160</v>
      </c>
      <c r="L456" s="167" t="s">
        <v>1089</v>
      </c>
      <c r="M456" s="167" t="s">
        <v>20</v>
      </c>
      <c r="N456" s="167" t="s">
        <v>4166</v>
      </c>
      <c r="O456" s="12" t="str">
        <f>_xlfn.DISPIMG("ID_0FB1CC236BB0441E8D7B28856D597318",1)</f>
        <v>=DISPIMG("ID_0FB1CC236BB0441E8D7B28856D597318",1)</v>
      </c>
      <c r="P456" s="11" t="s">
        <v>4167</v>
      </c>
      <c r="Q456" s="11">
        <v>532</v>
      </c>
      <c r="R456" s="17" t="s">
        <v>4771</v>
      </c>
      <c r="S456" s="18" t="s">
        <v>72</v>
      </c>
      <c r="T456" s="25">
        <v>12</v>
      </c>
    </row>
    <row r="457" s="3" customFormat="1" customHeight="1" spans="1:20">
      <c r="A457" s="167" t="s">
        <v>833</v>
      </c>
      <c r="B457" s="167" t="s">
        <v>165</v>
      </c>
      <c r="C457" s="167" t="s">
        <v>1302</v>
      </c>
      <c r="D457" s="11">
        <v>15770803797</v>
      </c>
      <c r="E457" s="167" t="s">
        <v>384</v>
      </c>
      <c r="F457" s="167" t="s">
        <v>19</v>
      </c>
      <c r="G457" s="11">
        <v>202101014</v>
      </c>
      <c r="H457" s="167" t="s">
        <v>705</v>
      </c>
      <c r="I457" s="167" t="s">
        <v>1304</v>
      </c>
      <c r="J457" s="167" t="s">
        <v>1305</v>
      </c>
      <c r="K457" s="167" t="s">
        <v>160</v>
      </c>
      <c r="L457" s="167" t="s">
        <v>516</v>
      </c>
      <c r="M457" s="167" t="s">
        <v>1306</v>
      </c>
      <c r="N457" s="167" t="s">
        <v>1307</v>
      </c>
      <c r="O457" s="12" t="str">
        <f>_xlfn.DISPIMG("ID_2E0E8C97ADBC44CDA9BEA81CC587B750",1)</f>
        <v>=DISPIMG("ID_2E0E8C97ADBC44CDA9BEA81CC587B750",1)</v>
      </c>
      <c r="P457" s="11" t="s">
        <v>1308</v>
      </c>
      <c r="Q457" s="11">
        <v>141</v>
      </c>
      <c r="R457" s="17" t="s">
        <v>4772</v>
      </c>
      <c r="S457" s="18" t="s">
        <v>72</v>
      </c>
      <c r="T457" s="25">
        <v>17</v>
      </c>
    </row>
    <row r="458" s="3" customFormat="1" customHeight="1" spans="1:20">
      <c r="A458" s="167" t="s">
        <v>1637</v>
      </c>
      <c r="B458" s="167" t="s">
        <v>165</v>
      </c>
      <c r="C458" s="167" t="s">
        <v>1638</v>
      </c>
      <c r="D458" s="11">
        <v>18279206250</v>
      </c>
      <c r="E458" s="167" t="s">
        <v>384</v>
      </c>
      <c r="F458" s="167" t="s">
        <v>19</v>
      </c>
      <c r="G458" s="11">
        <v>202101014</v>
      </c>
      <c r="H458" s="167" t="s">
        <v>157</v>
      </c>
      <c r="I458" s="167" t="s">
        <v>178</v>
      </c>
      <c r="J458" s="167" t="s">
        <v>1639</v>
      </c>
      <c r="K458" s="167" t="s">
        <v>170</v>
      </c>
      <c r="L458" s="167" t="s">
        <v>455</v>
      </c>
      <c r="M458" s="167" t="s">
        <v>19</v>
      </c>
      <c r="N458" s="11">
        <v>0</v>
      </c>
      <c r="O458" s="12" t="str">
        <f>_xlfn.DISPIMG("ID_74FDF0D5FA0548BCA212C8D2C43783F4",1)</f>
        <v>=DISPIMG("ID_74FDF0D5FA0548BCA212C8D2C43783F4",1)</v>
      </c>
      <c r="P458" s="11" t="s">
        <v>1640</v>
      </c>
      <c r="Q458" s="11">
        <v>184</v>
      </c>
      <c r="R458" s="17" t="s">
        <v>4773</v>
      </c>
      <c r="S458" s="18" t="s">
        <v>72</v>
      </c>
      <c r="T458" s="25">
        <v>16</v>
      </c>
    </row>
    <row r="459" s="3" customFormat="1" customHeight="1" spans="1:20">
      <c r="A459" s="167" t="s">
        <v>2104</v>
      </c>
      <c r="B459" s="167" t="s">
        <v>165</v>
      </c>
      <c r="C459" s="167" t="s">
        <v>2105</v>
      </c>
      <c r="D459" s="11">
        <v>13817884693</v>
      </c>
      <c r="E459" s="167" t="s">
        <v>384</v>
      </c>
      <c r="F459" s="167" t="s">
        <v>19</v>
      </c>
      <c r="G459" s="11">
        <v>202101014</v>
      </c>
      <c r="H459" s="167" t="s">
        <v>705</v>
      </c>
      <c r="I459" s="167" t="s">
        <v>2063</v>
      </c>
      <c r="J459" s="167" t="s">
        <v>2107</v>
      </c>
      <c r="K459" s="167" t="s">
        <v>160</v>
      </c>
      <c r="L459" s="167" t="s">
        <v>396</v>
      </c>
      <c r="M459" s="167" t="s">
        <v>2108</v>
      </c>
      <c r="N459" s="167" t="s">
        <v>2109</v>
      </c>
      <c r="O459" s="12" t="str">
        <f>_xlfn.DISPIMG("ID_21FE4349EE994987AC614A279458E356",1)</f>
        <v>=DISPIMG("ID_21FE4349EE994987AC614A279458E356",1)</v>
      </c>
      <c r="P459" s="11" t="s">
        <v>2110</v>
      </c>
      <c r="Q459" s="11">
        <v>246</v>
      </c>
      <c r="R459" s="17" t="s">
        <v>4774</v>
      </c>
      <c r="S459" s="18" t="s">
        <v>72</v>
      </c>
      <c r="T459" s="25">
        <v>15</v>
      </c>
    </row>
    <row r="460" s="3" customFormat="1" customHeight="1" spans="1:20">
      <c r="A460" s="167" t="s">
        <v>152</v>
      </c>
      <c r="B460" s="167" t="s">
        <v>153</v>
      </c>
      <c r="C460" s="167" t="s">
        <v>154</v>
      </c>
      <c r="D460" s="11">
        <v>18807023240</v>
      </c>
      <c r="E460" s="167" t="s">
        <v>156</v>
      </c>
      <c r="F460" s="167" t="s">
        <v>10</v>
      </c>
      <c r="G460" s="11">
        <v>202102004</v>
      </c>
      <c r="H460" s="167" t="s">
        <v>157</v>
      </c>
      <c r="I460" s="167" t="s">
        <v>158</v>
      </c>
      <c r="J460" s="167" t="s">
        <v>159</v>
      </c>
      <c r="K460" s="167" t="s">
        <v>160</v>
      </c>
      <c r="L460" s="167" t="s">
        <v>161</v>
      </c>
      <c r="M460" s="167" t="s">
        <v>10</v>
      </c>
      <c r="N460" s="11">
        <v>0</v>
      </c>
      <c r="O460" s="12" t="str">
        <f>_xlfn.DISPIMG("ID_1BBFB8252D30496F95F71593A2B76AF5",1)</f>
        <v>=DISPIMG("ID_1BBFB8252D30496F95F71593A2B76AF5",1)</v>
      </c>
      <c r="P460" s="11" t="s">
        <v>162</v>
      </c>
      <c r="Q460" s="11">
        <v>2</v>
      </c>
      <c r="R460" s="17" t="s">
        <v>4775</v>
      </c>
      <c r="S460" s="18" t="s">
        <v>72</v>
      </c>
      <c r="T460" s="25">
        <v>14</v>
      </c>
    </row>
    <row r="461" s="3" customFormat="1" customHeight="1" spans="1:20">
      <c r="A461" s="175" t="s">
        <v>2940</v>
      </c>
      <c r="B461" s="175" t="s">
        <v>153</v>
      </c>
      <c r="C461" s="175" t="s">
        <v>2941</v>
      </c>
      <c r="D461" s="11">
        <v>18679635856</v>
      </c>
      <c r="E461" s="175" t="s">
        <v>156</v>
      </c>
      <c r="F461" s="175" t="s">
        <v>10</v>
      </c>
      <c r="G461" s="25">
        <v>202102004</v>
      </c>
      <c r="H461" s="175" t="s">
        <v>157</v>
      </c>
      <c r="I461" s="175" t="s">
        <v>2943</v>
      </c>
      <c r="J461" s="175" t="s">
        <v>2093</v>
      </c>
      <c r="K461" s="175" t="s">
        <v>160</v>
      </c>
      <c r="L461" s="175" t="s">
        <v>587</v>
      </c>
      <c r="M461" s="175" t="s">
        <v>10</v>
      </c>
      <c r="N461" s="25">
        <v>0</v>
      </c>
      <c r="O461" s="26" t="str">
        <f>_xlfn.DISPIMG("ID_5CF4EBD7502F4485844CA64AA4EECF8E",1)</f>
        <v>=DISPIMG("ID_5CF4EBD7502F4485844CA64AA4EECF8E",1)</v>
      </c>
      <c r="P461" s="25" t="s">
        <v>2944</v>
      </c>
      <c r="Q461" s="25">
        <v>361</v>
      </c>
      <c r="R461" s="17" t="s">
        <v>4776</v>
      </c>
      <c r="S461" s="18" t="s">
        <v>72</v>
      </c>
      <c r="T461" s="25">
        <v>13</v>
      </c>
    </row>
    <row r="462" s="3" customFormat="1" customHeight="1" spans="1:20">
      <c r="A462" s="167" t="s">
        <v>974</v>
      </c>
      <c r="B462" s="167" t="s">
        <v>153</v>
      </c>
      <c r="C462" s="167" t="s">
        <v>975</v>
      </c>
      <c r="D462" s="11">
        <v>14796380079</v>
      </c>
      <c r="E462" s="167" t="s">
        <v>268</v>
      </c>
      <c r="F462" s="167" t="s">
        <v>16</v>
      </c>
      <c r="G462" s="11">
        <v>202101011</v>
      </c>
      <c r="H462" s="167" t="s">
        <v>157</v>
      </c>
      <c r="I462" s="167" t="s">
        <v>233</v>
      </c>
      <c r="J462" s="167" t="s">
        <v>977</v>
      </c>
      <c r="K462" s="167" t="s">
        <v>170</v>
      </c>
      <c r="L462" s="167" t="s">
        <v>235</v>
      </c>
      <c r="M462" s="167" t="s">
        <v>978</v>
      </c>
      <c r="N462" s="167" t="s">
        <v>979</v>
      </c>
      <c r="O462" s="12" t="str">
        <f>_xlfn.DISPIMG("ID_9AC6BD34E9E244F89B50B29F8EA156DD",1)</f>
        <v>=DISPIMG("ID_9AC6BD34E9E244F89B50B29F8EA156DD",1)</v>
      </c>
      <c r="P462" s="11" t="s">
        <v>980</v>
      </c>
      <c r="Q462" s="11">
        <v>99</v>
      </c>
      <c r="R462" s="17" t="s">
        <v>4777</v>
      </c>
      <c r="S462" s="18" t="s">
        <v>76</v>
      </c>
      <c r="T462" s="25">
        <v>6</v>
      </c>
    </row>
    <row r="463" s="3" customFormat="1" customHeight="1" spans="1:20">
      <c r="A463" s="167" t="s">
        <v>2831</v>
      </c>
      <c r="B463" s="167" t="s">
        <v>165</v>
      </c>
      <c r="C463" s="167" t="s">
        <v>2832</v>
      </c>
      <c r="D463" s="11">
        <v>17794516178</v>
      </c>
      <c r="E463" s="167" t="s">
        <v>268</v>
      </c>
      <c r="F463" s="167" t="s">
        <v>16</v>
      </c>
      <c r="G463" s="11">
        <v>202101011</v>
      </c>
      <c r="H463" s="167" t="s">
        <v>705</v>
      </c>
      <c r="I463" s="167" t="s">
        <v>2834</v>
      </c>
      <c r="J463" s="167" t="s">
        <v>1397</v>
      </c>
      <c r="K463" s="167" t="s">
        <v>160</v>
      </c>
      <c r="L463" s="167" t="s">
        <v>261</v>
      </c>
      <c r="M463" s="167" t="s">
        <v>2835</v>
      </c>
      <c r="N463" s="11">
        <v>0</v>
      </c>
      <c r="O463" s="12" t="str">
        <f>_xlfn.DISPIMG("ID_012851E191D54E319B75F7300CFFD208",1)</f>
        <v>=DISPIMG("ID_012851E191D54E319B75F7300CFFD208",1)</v>
      </c>
      <c r="P463" s="11" t="s">
        <v>2836</v>
      </c>
      <c r="Q463" s="11">
        <v>344</v>
      </c>
      <c r="R463" s="17" t="s">
        <v>4793</v>
      </c>
      <c r="S463" s="18" t="s">
        <v>76</v>
      </c>
      <c r="T463" s="25">
        <v>7</v>
      </c>
    </row>
    <row r="464" s="3" customFormat="1" customHeight="1" spans="1:20">
      <c r="A464" s="167" t="s">
        <v>2961</v>
      </c>
      <c r="B464" s="167" t="s">
        <v>153</v>
      </c>
      <c r="C464" s="167" t="s">
        <v>2962</v>
      </c>
      <c r="D464" s="11">
        <v>15180672774</v>
      </c>
      <c r="E464" s="167" t="s">
        <v>268</v>
      </c>
      <c r="F464" s="167" t="s">
        <v>16</v>
      </c>
      <c r="G464" s="11">
        <v>202101011</v>
      </c>
      <c r="H464" s="167" t="s">
        <v>157</v>
      </c>
      <c r="I464" s="167" t="s">
        <v>385</v>
      </c>
      <c r="J464" s="167" t="s">
        <v>2964</v>
      </c>
      <c r="K464" s="167" t="s">
        <v>170</v>
      </c>
      <c r="L464" s="167" t="s">
        <v>161</v>
      </c>
      <c r="M464" s="167" t="s">
        <v>1156</v>
      </c>
      <c r="N464" s="167" t="s">
        <v>2965</v>
      </c>
      <c r="O464" s="12" t="str">
        <f>_xlfn.DISPIMG("ID_7E33BA02CEC345A989E0186D8EADFECF",1)</f>
        <v>=DISPIMG("ID_7E33BA02CEC345A989E0186D8EADFECF",1)</v>
      </c>
      <c r="P464" s="11" t="s">
        <v>2966</v>
      </c>
      <c r="Q464" s="11">
        <v>364</v>
      </c>
      <c r="R464" s="17" t="s">
        <v>4798</v>
      </c>
      <c r="S464" s="18" t="s">
        <v>76</v>
      </c>
      <c r="T464" s="25">
        <v>5</v>
      </c>
    </row>
    <row r="465" s="3" customFormat="1" customHeight="1" spans="1:20">
      <c r="A465" s="167" t="s">
        <v>3116</v>
      </c>
      <c r="B465" s="167" t="s">
        <v>165</v>
      </c>
      <c r="C465" s="167" t="s">
        <v>3117</v>
      </c>
      <c r="D465" s="11">
        <v>15279286337</v>
      </c>
      <c r="E465" s="167" t="s">
        <v>268</v>
      </c>
      <c r="F465" s="167" t="s">
        <v>16</v>
      </c>
      <c r="G465" s="11">
        <v>202101011</v>
      </c>
      <c r="H465" s="167" t="s">
        <v>157</v>
      </c>
      <c r="I465" s="167" t="s">
        <v>385</v>
      </c>
      <c r="J465" s="167" t="s">
        <v>3119</v>
      </c>
      <c r="K465" s="167" t="s">
        <v>170</v>
      </c>
      <c r="L465" s="167" t="s">
        <v>161</v>
      </c>
      <c r="M465" s="167" t="s">
        <v>190</v>
      </c>
      <c r="N465" s="11">
        <v>0</v>
      </c>
      <c r="O465" s="12" t="str">
        <f>_xlfn.DISPIMG("ID_BC4D6E67EBDF472A876E1598CD3DE965",1)</f>
        <v>=DISPIMG("ID_BC4D6E67EBDF472A876E1598CD3DE965",1)</v>
      </c>
      <c r="P465" s="11" t="s">
        <v>3120</v>
      </c>
      <c r="Q465" s="11">
        <v>385</v>
      </c>
      <c r="R465" s="17" t="s">
        <v>4803</v>
      </c>
      <c r="S465" s="18" t="s">
        <v>76</v>
      </c>
      <c r="T465" s="25">
        <v>8</v>
      </c>
    </row>
    <row r="466" s="3" customFormat="1" customHeight="1" spans="1:20">
      <c r="A466" s="167" t="s">
        <v>3022</v>
      </c>
      <c r="B466" s="167" t="s">
        <v>165</v>
      </c>
      <c r="C466" s="167" t="s">
        <v>3023</v>
      </c>
      <c r="D466" s="11">
        <v>15870035090</v>
      </c>
      <c r="E466" s="167" t="s">
        <v>268</v>
      </c>
      <c r="F466" s="167" t="s">
        <v>16</v>
      </c>
      <c r="G466" s="11">
        <v>202101011</v>
      </c>
      <c r="H466" s="167" t="s">
        <v>157</v>
      </c>
      <c r="I466" s="167" t="s">
        <v>233</v>
      </c>
      <c r="J466" s="167" t="s">
        <v>1088</v>
      </c>
      <c r="K466" s="167" t="s">
        <v>170</v>
      </c>
      <c r="L466" s="167" t="s">
        <v>548</v>
      </c>
      <c r="M466" s="167" t="s">
        <v>1579</v>
      </c>
      <c r="N466" s="167" t="s">
        <v>3025</v>
      </c>
      <c r="O466" s="12" t="str">
        <f>_xlfn.DISPIMG("ID_B71153A1EE7A48CF8E15967732B6C043",1)</f>
        <v>=DISPIMG("ID_B71153A1EE7A48CF8E15967732B6C043",1)</v>
      </c>
      <c r="P466" s="11" t="s">
        <v>3026</v>
      </c>
      <c r="Q466" s="11">
        <v>412</v>
      </c>
      <c r="R466" s="17" t="s">
        <v>4778</v>
      </c>
      <c r="S466" s="18" t="s">
        <v>76</v>
      </c>
      <c r="T466" s="25">
        <v>4</v>
      </c>
    </row>
    <row r="467" s="3" customFormat="1" customHeight="1" spans="1:20">
      <c r="A467" s="167" t="s">
        <v>3507</v>
      </c>
      <c r="B467" s="167" t="s">
        <v>165</v>
      </c>
      <c r="C467" s="167" t="s">
        <v>3508</v>
      </c>
      <c r="D467" s="11">
        <v>15179282402</v>
      </c>
      <c r="E467" s="167" t="s">
        <v>384</v>
      </c>
      <c r="F467" s="167" t="s">
        <v>16</v>
      </c>
      <c r="G467" s="11">
        <v>202101012</v>
      </c>
      <c r="H467" s="167" t="s">
        <v>157</v>
      </c>
      <c r="I467" s="167" t="s">
        <v>158</v>
      </c>
      <c r="J467" s="167" t="s">
        <v>2742</v>
      </c>
      <c r="K467" s="167" t="s">
        <v>160</v>
      </c>
      <c r="L467" s="167" t="s">
        <v>281</v>
      </c>
      <c r="M467" s="167" t="s">
        <v>3510</v>
      </c>
      <c r="N467" s="11">
        <v>0</v>
      </c>
      <c r="O467" s="12" t="str">
        <f>_xlfn.DISPIMG("ID_F203C9D79BED4D608F3184BA9064F545",1)</f>
        <v>=DISPIMG("ID_F203C9D79BED4D608F3184BA9064F545",1)</v>
      </c>
      <c r="P467" s="11" t="s">
        <v>3511</v>
      </c>
      <c r="Q467" s="11">
        <v>445</v>
      </c>
      <c r="R467" s="17" t="s">
        <v>4779</v>
      </c>
      <c r="S467" s="18" t="s">
        <v>76</v>
      </c>
      <c r="T467" s="25">
        <v>9</v>
      </c>
    </row>
    <row r="468" s="3" customFormat="1" customHeight="1" spans="1:20">
      <c r="A468" s="167" t="s">
        <v>3833</v>
      </c>
      <c r="B468" s="167" t="s">
        <v>153</v>
      </c>
      <c r="C468" s="167" t="s">
        <v>3834</v>
      </c>
      <c r="D468" s="11">
        <v>15970472554</v>
      </c>
      <c r="E468" s="167" t="s">
        <v>268</v>
      </c>
      <c r="F468" s="167" t="s">
        <v>16</v>
      </c>
      <c r="G468" s="11">
        <v>202101011</v>
      </c>
      <c r="H468" s="167" t="s">
        <v>705</v>
      </c>
      <c r="I468" s="167" t="s">
        <v>1654</v>
      </c>
      <c r="J468" s="167" t="s">
        <v>3836</v>
      </c>
      <c r="K468" s="167" t="s">
        <v>160</v>
      </c>
      <c r="L468" s="167" t="s">
        <v>235</v>
      </c>
      <c r="M468" s="167" t="s">
        <v>16</v>
      </c>
      <c r="N468" s="167" t="s">
        <v>3837</v>
      </c>
      <c r="O468" s="12" t="str">
        <f>_xlfn.DISPIMG("ID_34928AEB616641BE854DC3D58FC2EECD",1)</f>
        <v>=DISPIMG("ID_34928AEB616641BE854DC3D58FC2EECD",1)</v>
      </c>
      <c r="P468" s="11" t="s">
        <v>3838</v>
      </c>
      <c r="Q468" s="11">
        <v>489</v>
      </c>
      <c r="R468" s="17" t="s">
        <v>4783</v>
      </c>
      <c r="S468" s="18" t="s">
        <v>76</v>
      </c>
      <c r="T468" s="25">
        <v>3</v>
      </c>
    </row>
    <row r="469" s="3" customFormat="1" customHeight="1" spans="1:20">
      <c r="A469" s="167" t="s">
        <v>4111</v>
      </c>
      <c r="B469" s="167" t="s">
        <v>153</v>
      </c>
      <c r="C469" s="167" t="s">
        <v>4112</v>
      </c>
      <c r="D469" s="11">
        <v>15155149842</v>
      </c>
      <c r="E469" s="167" t="s">
        <v>268</v>
      </c>
      <c r="F469" s="167" t="s">
        <v>16</v>
      </c>
      <c r="G469" s="11">
        <v>202101011</v>
      </c>
      <c r="H469" s="167" t="s">
        <v>705</v>
      </c>
      <c r="I469" s="167" t="s">
        <v>4114</v>
      </c>
      <c r="J469" s="167" t="s">
        <v>4115</v>
      </c>
      <c r="K469" s="167" t="s">
        <v>160</v>
      </c>
      <c r="L469" s="167" t="s">
        <v>161</v>
      </c>
      <c r="M469" s="167" t="s">
        <v>16</v>
      </c>
      <c r="N469" s="167" t="s">
        <v>4116</v>
      </c>
      <c r="O469" s="12" t="str">
        <f>_xlfn.DISPIMG("ID_AB3A7CA2D44F41A18DEECB4F4C161234",1)</f>
        <v>=DISPIMG("ID_AB3A7CA2D44F41A18DEECB4F4C161234",1)</v>
      </c>
      <c r="P469" s="11" t="s">
        <v>4117</v>
      </c>
      <c r="Q469" s="11">
        <v>526</v>
      </c>
      <c r="R469" s="17" t="s">
        <v>4784</v>
      </c>
      <c r="S469" s="18" t="s">
        <v>76</v>
      </c>
      <c r="T469" s="25">
        <v>10</v>
      </c>
    </row>
    <row r="470" s="3" customFormat="1" customHeight="1" spans="1:20">
      <c r="A470" s="167" t="s">
        <v>4184</v>
      </c>
      <c r="B470" s="167" t="s">
        <v>153</v>
      </c>
      <c r="C470" s="167" t="s">
        <v>4185</v>
      </c>
      <c r="D470" s="11">
        <v>15779857764</v>
      </c>
      <c r="E470" s="167" t="s">
        <v>384</v>
      </c>
      <c r="F470" s="167" t="s">
        <v>16</v>
      </c>
      <c r="G470" s="11">
        <v>202101012</v>
      </c>
      <c r="H470" s="167" t="s">
        <v>157</v>
      </c>
      <c r="I470" s="167" t="s">
        <v>507</v>
      </c>
      <c r="J470" s="167" t="s">
        <v>977</v>
      </c>
      <c r="K470" s="167" t="s">
        <v>170</v>
      </c>
      <c r="L470" s="167" t="s">
        <v>281</v>
      </c>
      <c r="M470" s="167" t="s">
        <v>16</v>
      </c>
      <c r="N470" s="167" t="s">
        <v>4187</v>
      </c>
      <c r="O470" s="12" t="str">
        <f>_xlfn.DISPIMG("ID_CB7789B563324522805F1ED9D1BFD221",1)</f>
        <v>=DISPIMG("ID_CB7789B563324522805F1ED9D1BFD221",1)</v>
      </c>
      <c r="P470" s="11" t="s">
        <v>4188</v>
      </c>
      <c r="Q470" s="11">
        <v>535</v>
      </c>
      <c r="R470" s="17" t="s">
        <v>4788</v>
      </c>
      <c r="S470" s="18" t="s">
        <v>76</v>
      </c>
      <c r="T470" s="25">
        <v>2</v>
      </c>
    </row>
    <row r="471" s="3" customFormat="1" customHeight="1" spans="1:20">
      <c r="A471" s="167" t="s">
        <v>4222</v>
      </c>
      <c r="B471" s="167" t="s">
        <v>165</v>
      </c>
      <c r="C471" s="167" t="s">
        <v>4223</v>
      </c>
      <c r="D471" s="11">
        <v>18170013045</v>
      </c>
      <c r="E471" s="167" t="s">
        <v>268</v>
      </c>
      <c r="F471" s="167" t="s">
        <v>16</v>
      </c>
      <c r="G471" s="11">
        <v>202101011</v>
      </c>
      <c r="H471" s="167" t="s">
        <v>157</v>
      </c>
      <c r="I471" s="167" t="s">
        <v>385</v>
      </c>
      <c r="J471" s="167" t="s">
        <v>4225</v>
      </c>
      <c r="K471" s="167" t="s">
        <v>170</v>
      </c>
      <c r="L471" s="167" t="s">
        <v>224</v>
      </c>
      <c r="M471" s="167" t="s">
        <v>16</v>
      </c>
      <c r="N471" s="167" t="s">
        <v>4226</v>
      </c>
      <c r="O471" s="12" t="str">
        <f>_xlfn.DISPIMG("ID_6A583EA485744871AED4CEE0D95D9DC4",1)</f>
        <v>=DISPIMG("ID_6A583EA485744871AED4CEE0D95D9DC4",1)</v>
      </c>
      <c r="P471" s="11" t="s">
        <v>4227</v>
      </c>
      <c r="Q471" s="11">
        <v>540</v>
      </c>
      <c r="R471" s="17" t="s">
        <v>4789</v>
      </c>
      <c r="S471" s="18" t="s">
        <v>76</v>
      </c>
      <c r="T471" s="25">
        <v>11</v>
      </c>
    </row>
    <row r="472" s="3" customFormat="1" customHeight="1" spans="1:20">
      <c r="A472" s="167" t="s">
        <v>4251</v>
      </c>
      <c r="B472" s="167" t="s">
        <v>153</v>
      </c>
      <c r="C472" s="167" t="s">
        <v>4252</v>
      </c>
      <c r="D472" s="11">
        <v>13340012018</v>
      </c>
      <c r="E472" s="167" t="s">
        <v>268</v>
      </c>
      <c r="F472" s="167" t="s">
        <v>16</v>
      </c>
      <c r="G472" s="11">
        <v>202101011</v>
      </c>
      <c r="H472" s="167" t="s">
        <v>705</v>
      </c>
      <c r="I472" s="167" t="s">
        <v>233</v>
      </c>
      <c r="J472" s="167" t="s">
        <v>4254</v>
      </c>
      <c r="K472" s="167" t="s">
        <v>160</v>
      </c>
      <c r="L472" s="167" t="s">
        <v>455</v>
      </c>
      <c r="M472" s="167" t="s">
        <v>16</v>
      </c>
      <c r="N472" s="167" t="s">
        <v>4255</v>
      </c>
      <c r="O472" s="12" t="str">
        <f>_xlfn.DISPIMG("ID_7B994A5EE1894E46909466AD8B994299",1)</f>
        <v>=DISPIMG("ID_7B994A5EE1894E46909466AD8B994299",1)</v>
      </c>
      <c r="P472" s="11" t="s">
        <v>4256</v>
      </c>
      <c r="Q472" s="11">
        <v>544</v>
      </c>
      <c r="R472" s="17" t="s">
        <v>4794</v>
      </c>
      <c r="S472" s="18" t="s">
        <v>76</v>
      </c>
      <c r="T472" s="25">
        <v>1</v>
      </c>
    </row>
    <row r="473" s="3" customFormat="1" customHeight="1" spans="1:20">
      <c r="A473" s="167" t="s">
        <v>1061</v>
      </c>
      <c r="B473" s="167" t="s">
        <v>165</v>
      </c>
      <c r="C473" s="167" t="s">
        <v>1062</v>
      </c>
      <c r="D473" s="11">
        <v>18370272213</v>
      </c>
      <c r="E473" s="167" t="s">
        <v>268</v>
      </c>
      <c r="F473" s="167" t="s">
        <v>17</v>
      </c>
      <c r="G473" s="11">
        <v>202101017</v>
      </c>
      <c r="H473" s="167" t="s">
        <v>157</v>
      </c>
      <c r="I473" s="167" t="s">
        <v>269</v>
      </c>
      <c r="J473" s="167" t="s">
        <v>290</v>
      </c>
      <c r="K473" s="167" t="s">
        <v>170</v>
      </c>
      <c r="L473" s="167" t="s">
        <v>261</v>
      </c>
      <c r="M473" s="167" t="s">
        <v>1064</v>
      </c>
      <c r="N473" s="11">
        <v>0</v>
      </c>
      <c r="O473" s="12" t="str">
        <f>_xlfn.DISPIMG("ID_9916007E0F6C44BAA2C2DFDD815EDF7E",1)</f>
        <v>=DISPIMG("ID_9916007E0F6C44BAA2C2DFDD815EDF7E",1)</v>
      </c>
      <c r="P473" s="11" t="s">
        <v>1065</v>
      </c>
      <c r="Q473" s="20">
        <v>110</v>
      </c>
      <c r="R473" s="17" t="s">
        <v>4795</v>
      </c>
      <c r="S473" s="18" t="s">
        <v>76</v>
      </c>
      <c r="T473" s="25">
        <v>16</v>
      </c>
    </row>
    <row r="474" s="3" customFormat="1" customHeight="1" spans="1:20">
      <c r="A474" s="167" t="s">
        <v>1365</v>
      </c>
      <c r="B474" s="167" t="s">
        <v>153</v>
      </c>
      <c r="C474" s="167" t="s">
        <v>1366</v>
      </c>
      <c r="D474" s="11">
        <v>15720964071</v>
      </c>
      <c r="E474" s="167" t="s">
        <v>268</v>
      </c>
      <c r="F474" s="167" t="s">
        <v>17</v>
      </c>
      <c r="G474" s="11">
        <v>202101017</v>
      </c>
      <c r="H474" s="167" t="s">
        <v>157</v>
      </c>
      <c r="I474" s="167" t="s">
        <v>1368</v>
      </c>
      <c r="J474" s="167" t="s">
        <v>290</v>
      </c>
      <c r="K474" s="167" t="s">
        <v>170</v>
      </c>
      <c r="L474" s="167" t="s">
        <v>455</v>
      </c>
      <c r="M474" s="167" t="s">
        <v>1369</v>
      </c>
      <c r="N474" s="11">
        <v>0</v>
      </c>
      <c r="O474" s="12" t="str">
        <f>_xlfn.DISPIMG("ID_EB5AC667C054437CBFE2486B339F8A77",1)</f>
        <v>=DISPIMG("ID_EB5AC667C054437CBFE2486B339F8A77",1)</v>
      </c>
      <c r="P474" s="11" t="s">
        <v>1370</v>
      </c>
      <c r="Q474" s="20">
        <v>149</v>
      </c>
      <c r="R474" s="17" t="s">
        <v>4799</v>
      </c>
      <c r="S474" s="18" t="s">
        <v>76</v>
      </c>
      <c r="T474" s="25">
        <v>15</v>
      </c>
    </row>
    <row r="475" s="3" customFormat="1" customHeight="1" spans="1:20">
      <c r="A475" s="167" t="s">
        <v>2805</v>
      </c>
      <c r="B475" s="167" t="s">
        <v>153</v>
      </c>
      <c r="C475" s="167" t="s">
        <v>2806</v>
      </c>
      <c r="D475" s="11">
        <v>15350253333</v>
      </c>
      <c r="E475" s="167" t="s">
        <v>268</v>
      </c>
      <c r="F475" s="167" t="s">
        <v>17</v>
      </c>
      <c r="G475" s="11">
        <v>202101007</v>
      </c>
      <c r="H475" s="167" t="s">
        <v>157</v>
      </c>
      <c r="I475" s="167" t="s">
        <v>269</v>
      </c>
      <c r="J475" s="167" t="s">
        <v>290</v>
      </c>
      <c r="K475" s="167" t="s">
        <v>170</v>
      </c>
      <c r="L475" s="167" t="s">
        <v>368</v>
      </c>
      <c r="M475" s="167" t="s">
        <v>17</v>
      </c>
      <c r="N475" s="167" t="s">
        <v>2808</v>
      </c>
      <c r="O475" s="12" t="str">
        <f>_xlfn.DISPIMG("ID_7C47A0694F0147EB860DAA1E2F9E87A3",1)</f>
        <v>=DISPIMG("ID_7C47A0694F0147EB860DAA1E2F9E87A3",1)</v>
      </c>
      <c r="P475" s="11" t="s">
        <v>2809</v>
      </c>
      <c r="Q475" s="11">
        <v>340</v>
      </c>
      <c r="R475" s="17" t="s">
        <v>4800</v>
      </c>
      <c r="S475" s="18" t="s">
        <v>76</v>
      </c>
      <c r="T475" s="25">
        <v>14</v>
      </c>
    </row>
    <row r="476" s="3" customFormat="1" customHeight="1" spans="1:20">
      <c r="A476" s="167" t="s">
        <v>3099</v>
      </c>
      <c r="B476" s="167" t="s">
        <v>165</v>
      </c>
      <c r="C476" s="167" t="s">
        <v>3100</v>
      </c>
      <c r="D476" s="11">
        <v>15720976892</v>
      </c>
      <c r="E476" s="167" t="s">
        <v>384</v>
      </c>
      <c r="F476" s="167" t="s">
        <v>17</v>
      </c>
      <c r="G476" s="11">
        <v>202101018</v>
      </c>
      <c r="H476" s="167" t="s">
        <v>157</v>
      </c>
      <c r="I476" s="167" t="s">
        <v>385</v>
      </c>
      <c r="J476" s="167" t="s">
        <v>290</v>
      </c>
      <c r="K476" s="167" t="s">
        <v>170</v>
      </c>
      <c r="L476" s="167" t="s">
        <v>577</v>
      </c>
      <c r="M476" s="167" t="s">
        <v>3102</v>
      </c>
      <c r="N476" s="167" t="s">
        <v>3103</v>
      </c>
      <c r="O476" s="12" t="str">
        <f>_xlfn.DISPIMG("ID_FEEAA5237B6C4B708D314FC0E0560DA3",1)</f>
        <v>=DISPIMG("ID_FEEAA5237B6C4B708D314FC0E0560DA3",1)</v>
      </c>
      <c r="P476" s="11" t="s">
        <v>3104</v>
      </c>
      <c r="Q476" s="20">
        <v>383</v>
      </c>
      <c r="R476" s="17" t="s">
        <v>4804</v>
      </c>
      <c r="S476" s="18" t="s">
        <v>76</v>
      </c>
      <c r="T476" s="25">
        <v>12</v>
      </c>
    </row>
    <row r="477" s="3" customFormat="1" customHeight="1" spans="1:20">
      <c r="A477" s="167" t="s">
        <v>3192</v>
      </c>
      <c r="B477" s="167" t="s">
        <v>165</v>
      </c>
      <c r="C477" s="167" t="s">
        <v>3193</v>
      </c>
      <c r="D477" s="11">
        <v>13361729367</v>
      </c>
      <c r="E477" s="167" t="s">
        <v>268</v>
      </c>
      <c r="F477" s="167" t="s">
        <v>17</v>
      </c>
      <c r="G477" s="11">
        <v>202101017</v>
      </c>
      <c r="H477" s="167" t="s">
        <v>157</v>
      </c>
      <c r="I477" s="167" t="s">
        <v>1258</v>
      </c>
      <c r="J477" s="167" t="s">
        <v>3195</v>
      </c>
      <c r="K477" s="167" t="s">
        <v>170</v>
      </c>
      <c r="L477" s="167" t="s">
        <v>216</v>
      </c>
      <c r="M477" s="167" t="s">
        <v>17</v>
      </c>
      <c r="N477" s="167" t="s">
        <v>3196</v>
      </c>
      <c r="O477" s="12" t="str">
        <f>_xlfn.DISPIMG("ID_F0B384F7F2BD4ECB81B75D08A62A8621",1)</f>
        <v>=DISPIMG("ID_F0B384F7F2BD4ECB81B75D08A62A8621",1)</v>
      </c>
      <c r="P477" s="11" t="s">
        <v>3197</v>
      </c>
      <c r="Q477" s="20">
        <v>397</v>
      </c>
      <c r="R477" s="17" t="s">
        <v>4805</v>
      </c>
      <c r="S477" s="18" t="s">
        <v>76</v>
      </c>
      <c r="T477" s="25">
        <v>13</v>
      </c>
    </row>
    <row r="478" s="3" customFormat="1" customHeight="1" spans="1:20">
      <c r="A478" s="167" t="s">
        <v>1294</v>
      </c>
      <c r="B478" s="167" t="s">
        <v>165</v>
      </c>
      <c r="C478" s="167" t="s">
        <v>1295</v>
      </c>
      <c r="D478" s="11">
        <v>16607139534</v>
      </c>
      <c r="E478" s="167" t="s">
        <v>384</v>
      </c>
      <c r="F478" s="167" t="s">
        <v>18</v>
      </c>
      <c r="G478" s="11">
        <v>202101024</v>
      </c>
      <c r="H478" s="167" t="s">
        <v>705</v>
      </c>
      <c r="I478" s="167" t="s">
        <v>1297</v>
      </c>
      <c r="J478" s="167" t="s">
        <v>323</v>
      </c>
      <c r="K478" s="167" t="s">
        <v>160</v>
      </c>
      <c r="L478" s="167" t="s">
        <v>455</v>
      </c>
      <c r="M478" s="167" t="s">
        <v>18</v>
      </c>
      <c r="N478" s="167" t="s">
        <v>1298</v>
      </c>
      <c r="O478" s="12" t="str">
        <f>_xlfn.DISPIMG("ID_0467DD9C16B84F62946A6DA8763F5DB1",1)</f>
        <v>=DISPIMG("ID_0467DD9C16B84F62946A6DA8763F5DB1",1)</v>
      </c>
      <c r="P478" s="11" t="s">
        <v>1299</v>
      </c>
      <c r="Q478" s="11">
        <v>140</v>
      </c>
      <c r="R478" s="17" t="s">
        <v>4780</v>
      </c>
      <c r="S478" s="18" t="s">
        <v>76</v>
      </c>
      <c r="T478" s="25">
        <v>18</v>
      </c>
    </row>
    <row r="479" s="3" customFormat="1" customHeight="1" spans="1:20">
      <c r="A479" s="167" t="s">
        <v>1387</v>
      </c>
      <c r="B479" s="167" t="s">
        <v>165</v>
      </c>
      <c r="C479" s="167" t="s">
        <v>1388</v>
      </c>
      <c r="D479" s="11">
        <v>15079175259</v>
      </c>
      <c r="E479" s="167" t="s">
        <v>156</v>
      </c>
      <c r="F479" s="167" t="s">
        <v>18</v>
      </c>
      <c r="G479" s="11">
        <v>202101012</v>
      </c>
      <c r="H479" s="167" t="s">
        <v>157</v>
      </c>
      <c r="I479" s="167" t="s">
        <v>827</v>
      </c>
      <c r="J479" s="167" t="s">
        <v>1390</v>
      </c>
      <c r="K479" s="167" t="s">
        <v>170</v>
      </c>
      <c r="L479" s="167" t="s">
        <v>261</v>
      </c>
      <c r="M479" s="167" t="s">
        <v>18</v>
      </c>
      <c r="N479" s="11">
        <v>0</v>
      </c>
      <c r="O479" s="12" t="str">
        <f>_xlfn.DISPIMG("ID_22A5305EF7CD44458C8E85EF1B5003E3",1)</f>
        <v>=DISPIMG("ID_22A5305EF7CD44458C8E85EF1B5003E3",1)</v>
      </c>
      <c r="P479" s="11" t="s">
        <v>1391</v>
      </c>
      <c r="Q479" s="20">
        <v>152</v>
      </c>
      <c r="R479" s="17" t="s">
        <v>4781</v>
      </c>
      <c r="S479" s="18" t="s">
        <v>76</v>
      </c>
      <c r="T479" s="25">
        <v>19</v>
      </c>
    </row>
    <row r="480" s="3" customFormat="1" customHeight="1" spans="1:20">
      <c r="A480" s="167" t="s">
        <v>1789</v>
      </c>
      <c r="B480" s="167" t="s">
        <v>165</v>
      </c>
      <c r="C480" s="167" t="s">
        <v>1790</v>
      </c>
      <c r="D480" s="11">
        <v>15350130023</v>
      </c>
      <c r="E480" s="167" t="s">
        <v>384</v>
      </c>
      <c r="F480" s="167" t="s">
        <v>18</v>
      </c>
      <c r="G480" s="11">
        <v>202101023</v>
      </c>
      <c r="H480" s="167" t="s">
        <v>157</v>
      </c>
      <c r="I480" s="167" t="s">
        <v>1792</v>
      </c>
      <c r="J480" s="167" t="s">
        <v>1793</v>
      </c>
      <c r="K480" s="167" t="s">
        <v>160</v>
      </c>
      <c r="L480" s="167" t="s">
        <v>455</v>
      </c>
      <c r="M480" s="167" t="s">
        <v>1794</v>
      </c>
      <c r="N480" s="11">
        <v>0</v>
      </c>
      <c r="O480" s="12" t="str">
        <f>_xlfn.DISPIMG("ID_F2D31DD52A09466996724F8ACF5386A0",1)</f>
        <v>=DISPIMG("ID_F2D31DD52A09466996724F8ACF5386A0",1)</v>
      </c>
      <c r="P480" s="11" t="s">
        <v>1795</v>
      </c>
      <c r="Q480" s="11">
        <v>204</v>
      </c>
      <c r="R480" s="17" t="s">
        <v>4782</v>
      </c>
      <c r="S480" s="18" t="s">
        <v>76</v>
      </c>
      <c r="T480" s="25">
        <v>17</v>
      </c>
    </row>
    <row r="481" s="3" customFormat="1" customHeight="1" spans="1:20">
      <c r="A481" s="167" t="s">
        <v>3051</v>
      </c>
      <c r="B481" s="167" t="s">
        <v>165</v>
      </c>
      <c r="C481" s="167" t="s">
        <v>3052</v>
      </c>
      <c r="D481" s="11">
        <v>18779104869</v>
      </c>
      <c r="E481" s="167" t="s">
        <v>384</v>
      </c>
      <c r="F481" s="167" t="s">
        <v>18</v>
      </c>
      <c r="G481" s="11">
        <v>202101024</v>
      </c>
      <c r="H481" s="167" t="s">
        <v>157</v>
      </c>
      <c r="I481" s="167" t="s">
        <v>3054</v>
      </c>
      <c r="J481" s="167" t="s">
        <v>404</v>
      </c>
      <c r="K481" s="167" t="s">
        <v>160</v>
      </c>
      <c r="L481" s="167" t="s">
        <v>455</v>
      </c>
      <c r="M481" s="167" t="s">
        <v>18</v>
      </c>
      <c r="N481" s="11">
        <v>0</v>
      </c>
      <c r="O481" s="12" t="str">
        <f>_xlfn.DISPIMG("ID_030DD5A3CEBA48E5AA84D6300BCE898E",1)</f>
        <v>=DISPIMG("ID_030DD5A3CEBA48E5AA84D6300BCE898E",1)</v>
      </c>
      <c r="P481" s="11" t="s">
        <v>3055</v>
      </c>
      <c r="Q481" s="11">
        <v>377</v>
      </c>
      <c r="R481" s="17" t="s">
        <v>4785</v>
      </c>
      <c r="S481" s="18" t="s">
        <v>76</v>
      </c>
      <c r="T481" s="25">
        <v>20</v>
      </c>
    </row>
    <row r="482" s="3" customFormat="1" customHeight="1" spans="1:20">
      <c r="A482" s="167" t="s">
        <v>702</v>
      </c>
      <c r="B482" s="167" t="s">
        <v>165</v>
      </c>
      <c r="C482" s="167" t="s">
        <v>703</v>
      </c>
      <c r="D482" s="11">
        <v>18720956827</v>
      </c>
      <c r="E482" s="167" t="s">
        <v>384</v>
      </c>
      <c r="F482" s="167" t="s">
        <v>26</v>
      </c>
      <c r="G482" s="11">
        <v>202101002</v>
      </c>
      <c r="H482" s="167" t="s">
        <v>705</v>
      </c>
      <c r="I482" s="167" t="s">
        <v>233</v>
      </c>
      <c r="J482" s="167" t="s">
        <v>706</v>
      </c>
      <c r="K482" s="167" t="s">
        <v>170</v>
      </c>
      <c r="L482" s="167" t="s">
        <v>161</v>
      </c>
      <c r="M482" s="167" t="s">
        <v>707</v>
      </c>
      <c r="N482" s="167" t="s">
        <v>708</v>
      </c>
      <c r="O482" s="12" t="str">
        <f>_xlfn.DISPIMG("ID_0553F27943C1489A99AB032B2AD0761A",1)</f>
        <v>=DISPIMG("ID_0553F27943C1489A99AB032B2AD0761A",1)</v>
      </c>
      <c r="P482" s="11" t="s">
        <v>709</v>
      </c>
      <c r="Q482" s="11">
        <v>66</v>
      </c>
      <c r="R482" s="17" t="s">
        <v>4786</v>
      </c>
      <c r="S482" s="18" t="s">
        <v>80</v>
      </c>
      <c r="T482" s="25">
        <v>6</v>
      </c>
    </row>
    <row r="483" s="3" customFormat="1" customHeight="1" spans="1:20">
      <c r="A483" s="167" t="s">
        <v>817</v>
      </c>
      <c r="B483" s="167" t="s">
        <v>165</v>
      </c>
      <c r="C483" s="167" t="s">
        <v>818</v>
      </c>
      <c r="D483" s="11">
        <v>15270286273</v>
      </c>
      <c r="E483" s="167" t="s">
        <v>297</v>
      </c>
      <c r="F483" s="167" t="s">
        <v>26</v>
      </c>
      <c r="G483" s="11">
        <v>202101003</v>
      </c>
      <c r="H483" s="167" t="s">
        <v>157</v>
      </c>
      <c r="I483" s="167" t="s">
        <v>820</v>
      </c>
      <c r="J483" s="167" t="s">
        <v>454</v>
      </c>
      <c r="K483" s="167" t="s">
        <v>160</v>
      </c>
      <c r="L483" s="167" t="s">
        <v>252</v>
      </c>
      <c r="M483" s="167" t="s">
        <v>26</v>
      </c>
      <c r="N483" s="11">
        <v>0</v>
      </c>
      <c r="O483" s="12" t="str">
        <f>_xlfn.DISPIMG("ID_D94148DE170D425EB66AE2DFFF655A13",1)</f>
        <v>=DISPIMG("ID_D94148DE170D425EB66AE2DFFF655A13",1)</v>
      </c>
      <c r="P483" s="11" t="s">
        <v>821</v>
      </c>
      <c r="Q483" s="11">
        <v>80</v>
      </c>
      <c r="R483" s="17" t="s">
        <v>4787</v>
      </c>
      <c r="S483" s="18" t="s">
        <v>80</v>
      </c>
      <c r="T483" s="25">
        <v>7</v>
      </c>
    </row>
    <row r="484" s="3" customFormat="1" customHeight="1" spans="1:20">
      <c r="A484" s="167" t="s">
        <v>898</v>
      </c>
      <c r="B484" s="167" t="s">
        <v>165</v>
      </c>
      <c r="C484" s="167" t="s">
        <v>899</v>
      </c>
      <c r="D484" s="11">
        <v>18970287322</v>
      </c>
      <c r="E484" s="167" t="s">
        <v>268</v>
      </c>
      <c r="F484" s="167" t="s">
        <v>26</v>
      </c>
      <c r="G484" s="11">
        <v>202101001</v>
      </c>
      <c r="H484" s="167" t="s">
        <v>157</v>
      </c>
      <c r="I484" s="167" t="s">
        <v>901</v>
      </c>
      <c r="J484" s="167" t="s">
        <v>454</v>
      </c>
      <c r="K484" s="167" t="s">
        <v>170</v>
      </c>
      <c r="L484" s="167" t="s">
        <v>235</v>
      </c>
      <c r="M484" s="167" t="s">
        <v>26</v>
      </c>
      <c r="N484" s="167" t="s">
        <v>902</v>
      </c>
      <c r="O484" s="12" t="str">
        <f>_xlfn.DISPIMG("ID_1BFE84DC97BC469ABB3506659F95FD8E",1)</f>
        <v>=DISPIMG("ID_1BFE84DC97BC469ABB3506659F95FD8E",1)</v>
      </c>
      <c r="P484" s="11" t="s">
        <v>903</v>
      </c>
      <c r="Q484" s="11">
        <v>90</v>
      </c>
      <c r="R484" s="17" t="s">
        <v>4790</v>
      </c>
      <c r="S484" s="18" t="s">
        <v>80</v>
      </c>
      <c r="T484" s="25">
        <v>5</v>
      </c>
    </row>
    <row r="485" s="3" customFormat="1" customHeight="1" spans="1:20">
      <c r="A485" s="167" t="s">
        <v>932</v>
      </c>
      <c r="B485" s="167" t="s">
        <v>165</v>
      </c>
      <c r="C485" s="167" t="s">
        <v>933</v>
      </c>
      <c r="D485" s="11">
        <v>15373854743</v>
      </c>
      <c r="E485" s="167" t="s">
        <v>268</v>
      </c>
      <c r="F485" s="167" t="s">
        <v>26</v>
      </c>
      <c r="G485" s="11">
        <v>202101001</v>
      </c>
      <c r="H485" s="167" t="s">
        <v>157</v>
      </c>
      <c r="I485" s="167" t="s">
        <v>935</v>
      </c>
      <c r="J485" s="167" t="s">
        <v>936</v>
      </c>
      <c r="K485" s="167" t="s">
        <v>170</v>
      </c>
      <c r="L485" s="167" t="s">
        <v>252</v>
      </c>
      <c r="M485" s="167" t="s">
        <v>26</v>
      </c>
      <c r="N485" s="167" t="s">
        <v>937</v>
      </c>
      <c r="O485" s="12" t="str">
        <f>_xlfn.DISPIMG("ID_B0F72DE4E87649C28924E4AA265BAF06",1)</f>
        <v>=DISPIMG("ID_B0F72DE4E87649C28924E4AA265BAF06",1)</v>
      </c>
      <c r="P485" s="11" t="s">
        <v>938</v>
      </c>
      <c r="Q485" s="11">
        <v>94</v>
      </c>
      <c r="R485" s="17" t="s">
        <v>4791</v>
      </c>
      <c r="S485" s="18" t="s">
        <v>80</v>
      </c>
      <c r="T485" s="25">
        <v>8</v>
      </c>
    </row>
    <row r="486" s="3" customFormat="1" customHeight="1" spans="1:20">
      <c r="A486" s="167" t="s">
        <v>1566</v>
      </c>
      <c r="B486" s="167" t="s">
        <v>165</v>
      </c>
      <c r="C486" s="167" t="s">
        <v>1567</v>
      </c>
      <c r="D486" s="11">
        <v>13535561771</v>
      </c>
      <c r="E486" s="167" t="s">
        <v>268</v>
      </c>
      <c r="F486" s="167" t="s">
        <v>26</v>
      </c>
      <c r="G486" s="11">
        <v>202101001</v>
      </c>
      <c r="H486" s="167" t="s">
        <v>705</v>
      </c>
      <c r="I486" s="167" t="s">
        <v>1569</v>
      </c>
      <c r="J486" s="167" t="s">
        <v>1570</v>
      </c>
      <c r="K486" s="167" t="s">
        <v>160</v>
      </c>
      <c r="L486" s="167" t="s">
        <v>171</v>
      </c>
      <c r="M486" s="167" t="s">
        <v>1571</v>
      </c>
      <c r="N486" s="11">
        <v>0</v>
      </c>
      <c r="O486" s="12" t="str">
        <f>_xlfn.DISPIMG("ID_F9DBEEB152DD4F6D9E9954F28F8B48D4",1)</f>
        <v>=DISPIMG("ID_F9DBEEB152DD4F6D9E9954F28F8B48D4",1)</v>
      </c>
      <c r="P486" s="11" t="s">
        <v>1572</v>
      </c>
      <c r="Q486" s="11">
        <v>175</v>
      </c>
      <c r="R486" s="17" t="s">
        <v>4792</v>
      </c>
      <c r="S486" s="18" t="s">
        <v>80</v>
      </c>
      <c r="T486" s="25">
        <v>4</v>
      </c>
    </row>
    <row r="487" s="3" customFormat="1" customHeight="1" spans="1:20">
      <c r="A487" s="167" t="s">
        <v>1606</v>
      </c>
      <c r="B487" s="167" t="s">
        <v>165</v>
      </c>
      <c r="C487" s="167" t="s">
        <v>1607</v>
      </c>
      <c r="D487" s="11">
        <v>15180623635</v>
      </c>
      <c r="E487" s="167" t="s">
        <v>384</v>
      </c>
      <c r="F487" s="167" t="s">
        <v>26</v>
      </c>
      <c r="G487" s="11">
        <v>202101002</v>
      </c>
      <c r="H487" s="167" t="s">
        <v>705</v>
      </c>
      <c r="I487" s="167" t="s">
        <v>1112</v>
      </c>
      <c r="J487" s="167" t="s">
        <v>1489</v>
      </c>
      <c r="K487" s="167" t="s">
        <v>170</v>
      </c>
      <c r="L487" s="167" t="s">
        <v>261</v>
      </c>
      <c r="M487" s="167" t="s">
        <v>26</v>
      </c>
      <c r="N487" s="167" t="s">
        <v>1609</v>
      </c>
      <c r="O487" s="12" t="str">
        <f>_xlfn.DISPIMG("ID_D4D81D5180FB4698ABF9FADCA15E9025",1)</f>
        <v>=DISPIMG("ID_D4D81D5180FB4698ABF9FADCA15E9025",1)</v>
      </c>
      <c r="P487" s="11" t="s">
        <v>1610</v>
      </c>
      <c r="Q487" s="11">
        <v>180</v>
      </c>
      <c r="R487" s="17" t="s">
        <v>4796</v>
      </c>
      <c r="S487" s="18" t="s">
        <v>80</v>
      </c>
      <c r="T487" s="25">
        <v>9</v>
      </c>
    </row>
    <row r="488" s="3" customFormat="1" customHeight="1" spans="1:20">
      <c r="A488" s="167" t="s">
        <v>1932</v>
      </c>
      <c r="B488" s="167" t="s">
        <v>165</v>
      </c>
      <c r="C488" s="167" t="s">
        <v>1933</v>
      </c>
      <c r="D488" s="11">
        <v>13507099496</v>
      </c>
      <c r="E488" s="167" t="s">
        <v>384</v>
      </c>
      <c r="F488" s="167" t="s">
        <v>26</v>
      </c>
      <c r="G488" s="11">
        <v>202101002</v>
      </c>
      <c r="H488" s="167" t="s">
        <v>157</v>
      </c>
      <c r="I488" s="167" t="s">
        <v>827</v>
      </c>
      <c r="J488" s="167" t="s">
        <v>454</v>
      </c>
      <c r="K488" s="167" t="s">
        <v>170</v>
      </c>
      <c r="L488" s="167" t="s">
        <v>199</v>
      </c>
      <c r="M488" s="167" t="s">
        <v>324</v>
      </c>
      <c r="N488" s="167" t="s">
        <v>1935</v>
      </c>
      <c r="O488" s="12" t="str">
        <f>_xlfn.DISPIMG("ID_4ED50304A31443EC8E946100C168F137",1)</f>
        <v>=DISPIMG("ID_4ED50304A31443EC8E946100C168F137",1)</v>
      </c>
      <c r="P488" s="11" t="s">
        <v>1936</v>
      </c>
      <c r="Q488" s="11">
        <v>223</v>
      </c>
      <c r="R488" s="17" t="s">
        <v>4797</v>
      </c>
      <c r="S488" s="18" t="s">
        <v>80</v>
      </c>
      <c r="T488" s="25">
        <v>3</v>
      </c>
    </row>
    <row r="489" s="3" customFormat="1" customHeight="1" spans="1:20">
      <c r="A489" s="167" t="s">
        <v>3359</v>
      </c>
      <c r="B489" s="167" t="s">
        <v>165</v>
      </c>
      <c r="C489" s="167" t="s">
        <v>3360</v>
      </c>
      <c r="D489" s="11">
        <v>18970285935</v>
      </c>
      <c r="E489" s="167" t="s">
        <v>297</v>
      </c>
      <c r="F489" s="167" t="s">
        <v>26</v>
      </c>
      <c r="G489" s="11">
        <v>202101003</v>
      </c>
      <c r="H489" s="167" t="s">
        <v>157</v>
      </c>
      <c r="I489" s="167" t="s">
        <v>1213</v>
      </c>
      <c r="J489" s="167" t="s">
        <v>3362</v>
      </c>
      <c r="K489" s="167" t="s">
        <v>160</v>
      </c>
      <c r="L489" s="167" t="s">
        <v>224</v>
      </c>
      <c r="M489" s="167" t="s">
        <v>26</v>
      </c>
      <c r="N489" s="11">
        <v>0</v>
      </c>
      <c r="O489" s="12" t="str">
        <f>_xlfn.DISPIMG("ID_8997E37C597A4A678DEC3DE2B773630A",1)</f>
        <v>=DISPIMG("ID_8997E37C597A4A678DEC3DE2B773630A",1)</v>
      </c>
      <c r="P489" s="11" t="s">
        <v>3363</v>
      </c>
      <c r="Q489" s="11">
        <v>423</v>
      </c>
      <c r="R489" s="17" t="s">
        <v>4801</v>
      </c>
      <c r="S489" s="18" t="s">
        <v>80</v>
      </c>
      <c r="T489" s="25">
        <v>2</v>
      </c>
    </row>
    <row r="490" s="3" customFormat="1" customHeight="1" spans="1:20">
      <c r="A490" s="167" t="s">
        <v>4127</v>
      </c>
      <c r="B490" s="167" t="s">
        <v>165</v>
      </c>
      <c r="C490" s="167" t="s">
        <v>4128</v>
      </c>
      <c r="D490" s="11">
        <v>18779230962</v>
      </c>
      <c r="E490" s="167" t="s">
        <v>268</v>
      </c>
      <c r="F490" s="167" t="s">
        <v>26</v>
      </c>
      <c r="G490" s="11">
        <v>202101001</v>
      </c>
      <c r="H490" s="167" t="s">
        <v>157</v>
      </c>
      <c r="I490" s="167" t="s">
        <v>233</v>
      </c>
      <c r="J490" s="167" t="s">
        <v>454</v>
      </c>
      <c r="K490" s="167" t="s">
        <v>170</v>
      </c>
      <c r="L490" s="167" t="s">
        <v>252</v>
      </c>
      <c r="M490" s="167" t="s">
        <v>26</v>
      </c>
      <c r="N490" s="167" t="s">
        <v>4130</v>
      </c>
      <c r="O490" s="12" t="str">
        <f>_xlfn.DISPIMG("ID_135AA7394FE044C981CB1DCD13A764A0",1)</f>
        <v>=DISPIMG("ID_135AA7394FE044C981CB1DCD13A764A0",1)</v>
      </c>
      <c r="P490" s="11" t="s">
        <v>4131</v>
      </c>
      <c r="Q490" s="11">
        <v>528</v>
      </c>
      <c r="R490" s="17" t="s">
        <v>4802</v>
      </c>
      <c r="S490" s="18" t="s">
        <v>80</v>
      </c>
      <c r="T490" s="25">
        <v>1</v>
      </c>
    </row>
    <row r="491" s="3" customFormat="1" customHeight="1" spans="1:20">
      <c r="A491" s="167" t="s">
        <v>329</v>
      </c>
      <c r="B491" s="167" t="s">
        <v>165</v>
      </c>
      <c r="C491" s="167" t="s">
        <v>330</v>
      </c>
      <c r="D491" s="11">
        <v>13635987780</v>
      </c>
      <c r="E491" s="167" t="s">
        <v>156</v>
      </c>
      <c r="F491" s="167" t="s">
        <v>3</v>
      </c>
      <c r="G491" s="11">
        <v>202102009</v>
      </c>
      <c r="H491" s="167" t="s">
        <v>157</v>
      </c>
      <c r="I491" s="167" t="s">
        <v>332</v>
      </c>
      <c r="J491" s="167" t="s">
        <v>333</v>
      </c>
      <c r="K491" s="167" t="s">
        <v>160</v>
      </c>
      <c r="L491" s="167" t="s">
        <v>199</v>
      </c>
      <c r="M491" s="167" t="s">
        <v>3</v>
      </c>
      <c r="N491" s="11">
        <v>0</v>
      </c>
      <c r="O491" s="12" t="str">
        <f>_xlfn.DISPIMG("ID_66E2A8C103C040BCBC4789F49E6E9C74",1)</f>
        <v>=DISPIMG("ID_66E2A8C103C040BCBC4789F49E6E9C74",1)</v>
      </c>
      <c r="P491" s="11" t="s">
        <v>334</v>
      </c>
      <c r="Q491" s="11">
        <v>21</v>
      </c>
      <c r="R491" s="17" t="s">
        <v>4806</v>
      </c>
      <c r="S491" s="18" t="s">
        <v>80</v>
      </c>
      <c r="T491" s="25">
        <v>10</v>
      </c>
    </row>
    <row r="492" s="3" customFormat="1" customHeight="1" spans="1:20">
      <c r="A492" s="167" t="s">
        <v>965</v>
      </c>
      <c r="B492" s="167" t="s">
        <v>165</v>
      </c>
      <c r="C492" s="167" t="s">
        <v>966</v>
      </c>
      <c r="D492" s="11">
        <v>18379223080</v>
      </c>
      <c r="E492" s="167" t="s">
        <v>156</v>
      </c>
      <c r="F492" s="167" t="s">
        <v>3</v>
      </c>
      <c r="G492" s="11">
        <v>202102009</v>
      </c>
      <c r="H492" s="167" t="s">
        <v>157</v>
      </c>
      <c r="I492" s="167" t="s">
        <v>158</v>
      </c>
      <c r="J492" s="167" t="s">
        <v>968</v>
      </c>
      <c r="K492" s="167" t="s">
        <v>160</v>
      </c>
      <c r="L492" s="167" t="s">
        <v>368</v>
      </c>
      <c r="M492" s="167" t="s">
        <v>969</v>
      </c>
      <c r="N492" s="167" t="s">
        <v>970</v>
      </c>
      <c r="O492" s="12" t="str">
        <f>_xlfn.DISPIMG("ID_25A1371DB5D24E7E87AED819AD313075",1)</f>
        <v>=DISPIMG("ID_25A1371DB5D24E7E87AED819AD313075",1)</v>
      </c>
      <c r="P492" s="11" t="s">
        <v>971</v>
      </c>
      <c r="Q492" s="11">
        <v>98</v>
      </c>
      <c r="R492" s="17" t="s">
        <v>4807</v>
      </c>
      <c r="S492" s="18" t="s">
        <v>80</v>
      </c>
      <c r="T492" s="25">
        <v>15</v>
      </c>
    </row>
    <row r="493" s="3" customFormat="1" customHeight="1" spans="1:20">
      <c r="A493" s="167" t="s">
        <v>1161</v>
      </c>
      <c r="B493" s="167" t="s">
        <v>165</v>
      </c>
      <c r="C493" s="167" t="s">
        <v>1162</v>
      </c>
      <c r="D493" s="11">
        <v>15879899835</v>
      </c>
      <c r="E493" s="167" t="s">
        <v>156</v>
      </c>
      <c r="F493" s="167" t="s">
        <v>3</v>
      </c>
      <c r="G493" s="11">
        <v>202102009</v>
      </c>
      <c r="H493" s="167" t="s">
        <v>157</v>
      </c>
      <c r="I493" s="167" t="s">
        <v>1146</v>
      </c>
      <c r="J493" s="167" t="s">
        <v>1164</v>
      </c>
      <c r="K493" s="167" t="s">
        <v>160</v>
      </c>
      <c r="L493" s="167" t="s">
        <v>252</v>
      </c>
      <c r="M493" s="167" t="s">
        <v>3</v>
      </c>
      <c r="N493" s="11">
        <v>0</v>
      </c>
      <c r="O493" s="12" t="str">
        <f>_xlfn.DISPIMG("ID_AF5F9594083C4D63A9C12F6DBB9E6CAE",1)</f>
        <v>=DISPIMG("ID_AF5F9594083C4D63A9C12F6DBB9E6CAE",1)</v>
      </c>
      <c r="P493" s="11" t="s">
        <v>1165</v>
      </c>
      <c r="Q493" s="11">
        <v>122</v>
      </c>
      <c r="R493" s="17" t="s">
        <v>4808</v>
      </c>
      <c r="S493" s="18" t="s">
        <v>80</v>
      </c>
      <c r="T493" s="25">
        <v>11</v>
      </c>
    </row>
    <row r="494" s="3" customFormat="1" customHeight="1" spans="1:20">
      <c r="A494" s="167" t="s">
        <v>1421</v>
      </c>
      <c r="B494" s="167" t="s">
        <v>165</v>
      </c>
      <c r="C494" s="167" t="s">
        <v>1422</v>
      </c>
      <c r="D494" s="11">
        <v>15179266183</v>
      </c>
      <c r="E494" s="167" t="s">
        <v>156</v>
      </c>
      <c r="F494" s="167" t="s">
        <v>3</v>
      </c>
      <c r="G494" s="11">
        <v>202102009</v>
      </c>
      <c r="H494" s="167" t="s">
        <v>157</v>
      </c>
      <c r="I494" s="167" t="s">
        <v>1424</v>
      </c>
      <c r="J494" s="167" t="s">
        <v>298</v>
      </c>
      <c r="K494" s="167" t="s">
        <v>160</v>
      </c>
      <c r="L494" s="167" t="s">
        <v>252</v>
      </c>
      <c r="M494" s="167" t="s">
        <v>1425</v>
      </c>
      <c r="N494" s="11">
        <v>0</v>
      </c>
      <c r="O494" s="12" t="str">
        <f>_xlfn.DISPIMG("ID_9A5193B60E294BCB8EBBC32356364290",1)</f>
        <v>=DISPIMG("ID_9A5193B60E294BCB8EBBC32356364290",1)</v>
      </c>
      <c r="P494" s="11" t="s">
        <v>1426</v>
      </c>
      <c r="Q494" s="11">
        <v>157</v>
      </c>
      <c r="R494" s="17" t="s">
        <v>4809</v>
      </c>
      <c r="S494" s="18" t="s">
        <v>80</v>
      </c>
      <c r="T494" s="25">
        <v>14</v>
      </c>
    </row>
    <row r="495" s="3" customFormat="1" customHeight="1" spans="1:20">
      <c r="A495" s="167" t="s">
        <v>2871</v>
      </c>
      <c r="B495" s="167" t="s">
        <v>165</v>
      </c>
      <c r="C495" s="167" t="s">
        <v>2872</v>
      </c>
      <c r="D495" s="11">
        <v>15135136743</v>
      </c>
      <c r="E495" s="167" t="s">
        <v>156</v>
      </c>
      <c r="F495" s="167" t="s">
        <v>3</v>
      </c>
      <c r="G495" s="11">
        <v>202102009</v>
      </c>
      <c r="H495" s="167" t="s">
        <v>157</v>
      </c>
      <c r="I495" s="167" t="s">
        <v>2874</v>
      </c>
      <c r="J495" s="167" t="s">
        <v>169</v>
      </c>
      <c r="K495" s="167" t="s">
        <v>170</v>
      </c>
      <c r="L495" s="167" t="s">
        <v>171</v>
      </c>
      <c r="M495" s="167" t="s">
        <v>1425</v>
      </c>
      <c r="N495" s="11">
        <v>0</v>
      </c>
      <c r="O495" s="12" t="str">
        <f>_xlfn.DISPIMG("ID_16C7080DFBEB4260AD8944B9B8A16C63",1)</f>
        <v>=DISPIMG("ID_16C7080DFBEB4260AD8944B9B8A16C63",1)</v>
      </c>
      <c r="P495" s="11" t="s">
        <v>2875</v>
      </c>
      <c r="Q495" s="20">
        <v>349</v>
      </c>
      <c r="R495" s="17" t="s">
        <v>4812</v>
      </c>
      <c r="S495" s="18" t="s">
        <v>80</v>
      </c>
      <c r="T495" s="25">
        <v>12</v>
      </c>
    </row>
    <row r="496" s="3" customFormat="1" customHeight="1" spans="1:20">
      <c r="A496" s="167" t="s">
        <v>3301</v>
      </c>
      <c r="B496" s="167" t="s">
        <v>165</v>
      </c>
      <c r="C496" s="167" t="s">
        <v>3302</v>
      </c>
      <c r="D496" s="11">
        <v>13870479934</v>
      </c>
      <c r="E496" s="167" t="s">
        <v>156</v>
      </c>
      <c r="F496" s="167" t="s">
        <v>3</v>
      </c>
      <c r="G496" s="11">
        <v>202102009</v>
      </c>
      <c r="H496" s="167" t="s">
        <v>157</v>
      </c>
      <c r="I496" s="167" t="s">
        <v>178</v>
      </c>
      <c r="J496" s="167" t="s">
        <v>454</v>
      </c>
      <c r="K496" s="167" t="s">
        <v>170</v>
      </c>
      <c r="L496" s="167" t="s">
        <v>261</v>
      </c>
      <c r="M496" s="167" t="s">
        <v>1425</v>
      </c>
      <c r="N496" s="11">
        <v>0</v>
      </c>
      <c r="O496" s="12" t="str">
        <f>_xlfn.DISPIMG("ID_DD8D706699DA435AABD3242B003A06E3",1)</f>
        <v>=DISPIMG("ID_DD8D706699DA435AABD3242B003A06E3",1)</v>
      </c>
      <c r="P496" s="11" t="s">
        <v>3304</v>
      </c>
      <c r="Q496" s="11">
        <v>414</v>
      </c>
      <c r="R496" s="17" t="s">
        <v>4813</v>
      </c>
      <c r="S496" s="18" t="s">
        <v>80</v>
      </c>
      <c r="T496" s="25">
        <v>13</v>
      </c>
    </row>
    <row r="497" s="3" customFormat="1" customHeight="1" spans="1:20">
      <c r="A497" s="167" t="s">
        <v>1410</v>
      </c>
      <c r="B497" s="167" t="s">
        <v>165</v>
      </c>
      <c r="C497" s="167" t="s">
        <v>1411</v>
      </c>
      <c r="D497" s="11">
        <v>19979027323</v>
      </c>
      <c r="E497" s="167" t="s">
        <v>268</v>
      </c>
      <c r="F497" s="167" t="s">
        <v>22</v>
      </c>
      <c r="G497" s="11">
        <v>202101009</v>
      </c>
      <c r="H497" s="167" t="s">
        <v>157</v>
      </c>
      <c r="I497" s="167" t="s">
        <v>1413</v>
      </c>
      <c r="J497" s="167" t="s">
        <v>944</v>
      </c>
      <c r="K497" s="167" t="s">
        <v>170</v>
      </c>
      <c r="L497" s="167" t="s">
        <v>396</v>
      </c>
      <c r="M497" s="167" t="s">
        <v>1414</v>
      </c>
      <c r="N497" s="167" t="s">
        <v>1415</v>
      </c>
      <c r="O497" s="12" t="str">
        <f>_xlfn.DISPIMG("ID_7AA3981AEA4B4044958F80E226B55196",1)</f>
        <v>=DISPIMG("ID_7AA3981AEA4B4044958F80E226B55196",1)</v>
      </c>
      <c r="P497" s="11" t="s">
        <v>1416</v>
      </c>
      <c r="Q497" s="11">
        <v>155</v>
      </c>
      <c r="R497" s="17" t="s">
        <v>4816</v>
      </c>
      <c r="S497" s="18" t="s">
        <v>80</v>
      </c>
      <c r="T497" s="25">
        <v>16</v>
      </c>
    </row>
    <row r="498" s="3" customFormat="1" customHeight="1" spans="1:20">
      <c r="A498" s="167" t="s">
        <v>679</v>
      </c>
      <c r="B498" s="167" t="s">
        <v>165</v>
      </c>
      <c r="C498" s="167" t="s">
        <v>680</v>
      </c>
      <c r="D498" s="11">
        <v>15079252278</v>
      </c>
      <c r="E498" s="167" t="s">
        <v>384</v>
      </c>
      <c r="F498" s="167" t="s">
        <v>21</v>
      </c>
      <c r="G498" s="11">
        <v>202101023</v>
      </c>
      <c r="H498" s="167" t="s">
        <v>157</v>
      </c>
      <c r="I498" s="167" t="s">
        <v>233</v>
      </c>
      <c r="J498" s="167" t="s">
        <v>682</v>
      </c>
      <c r="K498" s="167" t="s">
        <v>170</v>
      </c>
      <c r="L498" s="167" t="s">
        <v>261</v>
      </c>
      <c r="M498" s="167" t="s">
        <v>683</v>
      </c>
      <c r="N498" s="11">
        <v>0</v>
      </c>
      <c r="O498" s="12" t="str">
        <f>_xlfn.DISPIMG("ID_6F0A1E5B97CE4F0C8967B602A8189E7F",1)</f>
        <v>=DISPIMG("ID_6F0A1E5B97CE4F0C8967B602A8189E7F",1)</v>
      </c>
      <c r="P498" s="11" t="s">
        <v>684</v>
      </c>
      <c r="Q498" s="11">
        <v>63</v>
      </c>
      <c r="R498" s="17" t="s">
        <v>4817</v>
      </c>
      <c r="S498" s="18" t="s">
        <v>84</v>
      </c>
      <c r="T498" s="25">
        <v>6</v>
      </c>
    </row>
    <row r="499" s="3" customFormat="1" customHeight="1" spans="1:20">
      <c r="A499" s="167" t="s">
        <v>1584</v>
      </c>
      <c r="B499" s="167" t="s">
        <v>153</v>
      </c>
      <c r="C499" s="167" t="s">
        <v>1585</v>
      </c>
      <c r="D499" s="11">
        <v>18460003044</v>
      </c>
      <c r="E499" s="167" t="s">
        <v>268</v>
      </c>
      <c r="F499" s="167" t="s">
        <v>21</v>
      </c>
      <c r="G499" s="11">
        <v>202101022</v>
      </c>
      <c r="H499" s="167" t="s">
        <v>157</v>
      </c>
      <c r="I499" s="167" t="s">
        <v>827</v>
      </c>
      <c r="J499" s="167" t="s">
        <v>682</v>
      </c>
      <c r="K499" s="167" t="s">
        <v>170</v>
      </c>
      <c r="L499" s="167" t="s">
        <v>455</v>
      </c>
      <c r="M499" s="167" t="s">
        <v>1587</v>
      </c>
      <c r="N499" s="11">
        <v>0</v>
      </c>
      <c r="O499" s="12" t="str">
        <f>_xlfn.DISPIMG("ID_E364C79C5CB74A97A356C87CFF697310",1)</f>
        <v>=DISPIMG("ID_E364C79C5CB74A97A356C87CFF697310",1)</v>
      </c>
      <c r="P499" s="11" t="s">
        <v>1588</v>
      </c>
      <c r="Q499" s="11">
        <v>177</v>
      </c>
      <c r="R499" s="17" t="s">
        <v>4819</v>
      </c>
      <c r="S499" s="18" t="s">
        <v>84</v>
      </c>
      <c r="T499" s="25">
        <v>7</v>
      </c>
    </row>
    <row r="500" s="3" customFormat="1" customHeight="1" spans="1:20">
      <c r="A500" s="167" t="s">
        <v>1590</v>
      </c>
      <c r="B500" s="167" t="s">
        <v>153</v>
      </c>
      <c r="C500" s="167" t="s">
        <v>1591</v>
      </c>
      <c r="D500" s="11">
        <v>19165078910</v>
      </c>
      <c r="E500" s="167" t="s">
        <v>268</v>
      </c>
      <c r="F500" s="167" t="s">
        <v>21</v>
      </c>
      <c r="G500" s="11">
        <v>202101022</v>
      </c>
      <c r="H500" s="167" t="s">
        <v>157</v>
      </c>
      <c r="I500" s="167" t="s">
        <v>827</v>
      </c>
      <c r="J500" s="167" t="s">
        <v>682</v>
      </c>
      <c r="K500" s="167" t="s">
        <v>170</v>
      </c>
      <c r="L500" s="167" t="s">
        <v>455</v>
      </c>
      <c r="M500" s="167" t="s">
        <v>1593</v>
      </c>
      <c r="N500" s="11">
        <v>0</v>
      </c>
      <c r="O500" s="12" t="str">
        <f>_xlfn.DISPIMG("ID_A40AE5361B8D44C884FA7CDADC74343E",1)</f>
        <v>=DISPIMG("ID_A40AE5361B8D44C884FA7CDADC74343E",1)</v>
      </c>
      <c r="P500" s="11" t="s">
        <v>1594</v>
      </c>
      <c r="Q500" s="11">
        <v>178</v>
      </c>
      <c r="R500" s="17" t="s">
        <v>4820</v>
      </c>
      <c r="S500" s="18" t="s">
        <v>84</v>
      </c>
      <c r="T500" s="25">
        <v>5</v>
      </c>
    </row>
    <row r="501" s="3" customFormat="1" customHeight="1" spans="1:20">
      <c r="A501" s="167" t="s">
        <v>1737</v>
      </c>
      <c r="B501" s="167" t="s">
        <v>153</v>
      </c>
      <c r="C501" s="167" t="s">
        <v>1738</v>
      </c>
      <c r="D501" s="11">
        <v>19815092923</v>
      </c>
      <c r="E501" s="167" t="s">
        <v>384</v>
      </c>
      <c r="F501" s="167" t="s">
        <v>21</v>
      </c>
      <c r="G501" s="11">
        <v>202101023</v>
      </c>
      <c r="H501" s="167" t="s">
        <v>157</v>
      </c>
      <c r="I501" s="167" t="s">
        <v>1740</v>
      </c>
      <c r="J501" s="167" t="s">
        <v>682</v>
      </c>
      <c r="K501" s="167" t="s">
        <v>170</v>
      </c>
      <c r="L501" s="167" t="s">
        <v>281</v>
      </c>
      <c r="M501" s="167" t="s">
        <v>21</v>
      </c>
      <c r="N501" s="11">
        <v>0</v>
      </c>
      <c r="O501" s="12" t="str">
        <f>_xlfn.DISPIMG("ID_5626D0773278487D84DF299D01619D61",1)</f>
        <v>=DISPIMG("ID_5626D0773278487D84DF299D01619D61",1)</v>
      </c>
      <c r="P501" s="11" t="s">
        <v>1741</v>
      </c>
      <c r="Q501" s="11">
        <v>197</v>
      </c>
      <c r="R501" s="17" t="s">
        <v>4822</v>
      </c>
      <c r="S501" s="18" t="s">
        <v>84</v>
      </c>
      <c r="T501" s="25">
        <v>8</v>
      </c>
    </row>
    <row r="502" s="3" customFormat="1" customHeight="1" spans="1:20">
      <c r="A502" s="167" t="s">
        <v>2524</v>
      </c>
      <c r="B502" s="167" t="s">
        <v>153</v>
      </c>
      <c r="C502" s="167" t="s">
        <v>2525</v>
      </c>
      <c r="D502" s="11">
        <v>13133668154</v>
      </c>
      <c r="E502" s="167" t="s">
        <v>268</v>
      </c>
      <c r="F502" s="167" t="s">
        <v>21</v>
      </c>
      <c r="G502" s="11">
        <v>202101022</v>
      </c>
      <c r="H502" s="167" t="s">
        <v>157</v>
      </c>
      <c r="I502" s="167" t="s">
        <v>876</v>
      </c>
      <c r="J502" s="167" t="s">
        <v>682</v>
      </c>
      <c r="K502" s="167" t="s">
        <v>170</v>
      </c>
      <c r="L502" s="167" t="s">
        <v>180</v>
      </c>
      <c r="M502" s="167" t="s">
        <v>2527</v>
      </c>
      <c r="N502" s="167" t="s">
        <v>2528</v>
      </c>
      <c r="O502" s="12" t="str">
        <f>_xlfn.DISPIMG("ID_C8BB1148198145FCA2837FAC9D925FDE",1)</f>
        <v>=DISPIMG("ID_C8BB1148198145FCA2837FAC9D925FDE",1)</v>
      </c>
      <c r="P502" s="11" t="s">
        <v>2529</v>
      </c>
      <c r="Q502" s="11">
        <v>302</v>
      </c>
      <c r="R502" s="17" t="s">
        <v>4823</v>
      </c>
      <c r="S502" s="18" t="s">
        <v>84</v>
      </c>
      <c r="T502" s="25">
        <v>4</v>
      </c>
    </row>
    <row r="503" s="3" customFormat="1" customHeight="1" spans="1:20">
      <c r="A503" s="167" t="s">
        <v>2539</v>
      </c>
      <c r="B503" s="167" t="s">
        <v>153</v>
      </c>
      <c r="C503" s="167" t="s">
        <v>2540</v>
      </c>
      <c r="D503" s="11">
        <v>18507928899</v>
      </c>
      <c r="E503" s="167" t="s">
        <v>384</v>
      </c>
      <c r="F503" s="167" t="s">
        <v>21</v>
      </c>
      <c r="G503" s="11">
        <v>202101023</v>
      </c>
      <c r="H503" s="167" t="s">
        <v>157</v>
      </c>
      <c r="I503" s="167" t="s">
        <v>876</v>
      </c>
      <c r="J503" s="167" t="s">
        <v>682</v>
      </c>
      <c r="K503" s="167" t="s">
        <v>170</v>
      </c>
      <c r="L503" s="167" t="s">
        <v>180</v>
      </c>
      <c r="M503" s="167" t="s">
        <v>2542</v>
      </c>
      <c r="N503" s="167" t="s">
        <v>2543</v>
      </c>
      <c r="O503" s="12" t="str">
        <f>_xlfn.DISPIMG("ID_718ACAD550894B0696EED0DE65C7554F",1)</f>
        <v>=DISPIMG("ID_718ACAD550894B0696EED0DE65C7554F",1)</v>
      </c>
      <c r="P503" s="11" t="s">
        <v>2544</v>
      </c>
      <c r="Q503" s="11">
        <v>304</v>
      </c>
      <c r="R503" s="17" t="s">
        <v>4825</v>
      </c>
      <c r="S503" s="18" t="s">
        <v>84</v>
      </c>
      <c r="T503" s="25">
        <v>9</v>
      </c>
    </row>
    <row r="504" s="3" customFormat="1" customHeight="1" spans="1:20">
      <c r="A504" s="167" t="s">
        <v>2969</v>
      </c>
      <c r="B504" s="167" t="s">
        <v>153</v>
      </c>
      <c r="C504" s="167" t="s">
        <v>2970</v>
      </c>
      <c r="D504" s="11">
        <v>18579193689</v>
      </c>
      <c r="E504" s="167" t="s">
        <v>268</v>
      </c>
      <c r="F504" s="167" t="s">
        <v>21</v>
      </c>
      <c r="G504" s="11">
        <v>202101022</v>
      </c>
      <c r="H504" s="167" t="s">
        <v>157</v>
      </c>
      <c r="I504" s="167" t="s">
        <v>827</v>
      </c>
      <c r="J504" s="167" t="s">
        <v>682</v>
      </c>
      <c r="K504" s="167" t="s">
        <v>170</v>
      </c>
      <c r="L504" s="167" t="s">
        <v>252</v>
      </c>
      <c r="M504" s="167" t="s">
        <v>2972</v>
      </c>
      <c r="N504" s="11">
        <v>0</v>
      </c>
      <c r="O504" s="12" t="str">
        <f>_xlfn.DISPIMG("ID_99E38CC0E4B2437A8E74F9D976F948B9",1)</f>
        <v>=DISPIMG("ID_99E38CC0E4B2437A8E74F9D976F948B9",1)</v>
      </c>
      <c r="P504" s="11" t="s">
        <v>2973</v>
      </c>
      <c r="Q504" s="11">
        <v>365</v>
      </c>
      <c r="R504" s="17" t="s">
        <v>4818</v>
      </c>
      <c r="S504" s="18" t="s">
        <v>84</v>
      </c>
      <c r="T504" s="25">
        <v>3</v>
      </c>
    </row>
    <row r="505" s="3" customFormat="1" customHeight="1" spans="1:20">
      <c r="A505" s="167" t="s">
        <v>3107</v>
      </c>
      <c r="B505" s="167" t="s">
        <v>165</v>
      </c>
      <c r="C505" s="167" t="s">
        <v>3108</v>
      </c>
      <c r="D505" s="11">
        <v>15070251262</v>
      </c>
      <c r="E505" s="167" t="s">
        <v>384</v>
      </c>
      <c r="F505" s="167" t="s">
        <v>21</v>
      </c>
      <c r="G505" s="11">
        <v>202101023</v>
      </c>
      <c r="H505" s="167" t="s">
        <v>157</v>
      </c>
      <c r="I505" s="167" t="s">
        <v>1203</v>
      </c>
      <c r="J505" s="167" t="s">
        <v>682</v>
      </c>
      <c r="K505" s="167" t="s">
        <v>170</v>
      </c>
      <c r="L505" s="167" t="s">
        <v>3110</v>
      </c>
      <c r="M505" s="167" t="s">
        <v>3111</v>
      </c>
      <c r="N505" s="167" t="s">
        <v>3112</v>
      </c>
      <c r="O505" s="12" t="str">
        <f>_xlfn.DISPIMG("ID_865FFCD2F6414202A972206BA39BAB94",1)</f>
        <v>=DISPIMG("ID_865FFCD2F6414202A972206BA39BAB94",1)</v>
      </c>
      <c r="P505" s="11" t="s">
        <v>3113</v>
      </c>
      <c r="Q505" s="11">
        <v>384</v>
      </c>
      <c r="R505" s="17" t="s">
        <v>4821</v>
      </c>
      <c r="S505" s="18" t="s">
        <v>84</v>
      </c>
      <c r="T505" s="25">
        <v>10</v>
      </c>
    </row>
    <row r="506" s="3" customFormat="1" customHeight="1" spans="1:20">
      <c r="A506" s="167" t="s">
        <v>3159</v>
      </c>
      <c r="B506" s="167" t="s">
        <v>153</v>
      </c>
      <c r="C506" s="167" t="s">
        <v>3160</v>
      </c>
      <c r="D506" s="11">
        <v>15070024256</v>
      </c>
      <c r="E506" s="167" t="s">
        <v>268</v>
      </c>
      <c r="F506" s="167" t="s">
        <v>21</v>
      </c>
      <c r="G506" s="11">
        <v>202101022</v>
      </c>
      <c r="H506" s="167" t="s">
        <v>157</v>
      </c>
      <c r="I506" s="167" t="s">
        <v>827</v>
      </c>
      <c r="J506" s="167" t="s">
        <v>682</v>
      </c>
      <c r="K506" s="167" t="s">
        <v>170</v>
      </c>
      <c r="L506" s="167" t="s">
        <v>281</v>
      </c>
      <c r="M506" s="167" t="s">
        <v>2244</v>
      </c>
      <c r="N506" s="167" t="s">
        <v>3162</v>
      </c>
      <c r="O506" s="12" t="str">
        <f>_xlfn.DISPIMG("ID_2F448B7CE8524D1AA48554771DC3D4AB",1)</f>
        <v>=DISPIMG("ID_2F448B7CE8524D1AA48554771DC3D4AB",1)</v>
      </c>
      <c r="P506" s="11" t="s">
        <v>3163</v>
      </c>
      <c r="Q506" s="11">
        <v>392</v>
      </c>
      <c r="R506" s="17" t="s">
        <v>4824</v>
      </c>
      <c r="S506" s="18" t="s">
        <v>84</v>
      </c>
      <c r="T506" s="25">
        <v>2</v>
      </c>
    </row>
    <row r="507" s="3" customFormat="1" customHeight="1" spans="1:20">
      <c r="A507" s="167" t="s">
        <v>3178</v>
      </c>
      <c r="B507" s="167" t="s">
        <v>153</v>
      </c>
      <c r="C507" s="167" t="s">
        <v>3179</v>
      </c>
      <c r="D507" s="11">
        <v>15257934004</v>
      </c>
      <c r="E507" s="167" t="s">
        <v>384</v>
      </c>
      <c r="F507" s="167" t="s">
        <v>21</v>
      </c>
      <c r="G507" s="11">
        <v>202101023</v>
      </c>
      <c r="H507" s="167" t="s">
        <v>157</v>
      </c>
      <c r="I507" s="167" t="s">
        <v>1258</v>
      </c>
      <c r="J507" s="167" t="s">
        <v>682</v>
      </c>
      <c r="K507" s="167" t="s">
        <v>170</v>
      </c>
      <c r="L507" s="167" t="s">
        <v>587</v>
      </c>
      <c r="M507" s="167" t="s">
        <v>1824</v>
      </c>
      <c r="N507" s="167" t="s">
        <v>3181</v>
      </c>
      <c r="O507" s="12" t="str">
        <f>_xlfn.DISPIMG("ID_D70CF13D201844A6B6408BAB9F88D034",1)</f>
        <v>=DISPIMG("ID_D70CF13D201844A6B6408BAB9F88D034",1)</v>
      </c>
      <c r="P507" s="11" t="s">
        <v>3182</v>
      </c>
      <c r="Q507" s="11">
        <v>395</v>
      </c>
      <c r="R507" s="17" t="s">
        <v>4826</v>
      </c>
      <c r="S507" s="18" t="s">
        <v>84</v>
      </c>
      <c r="T507" s="25">
        <v>11</v>
      </c>
    </row>
    <row r="508" s="3" customFormat="1" customHeight="1" spans="1:20">
      <c r="A508" s="167" t="s">
        <v>2831</v>
      </c>
      <c r="B508" s="167" t="s">
        <v>165</v>
      </c>
      <c r="C508" s="167" t="s">
        <v>3200</v>
      </c>
      <c r="D508" s="11">
        <v>15079253920</v>
      </c>
      <c r="E508" s="167" t="s">
        <v>384</v>
      </c>
      <c r="F508" s="167" t="s">
        <v>21</v>
      </c>
      <c r="G508" s="11">
        <v>202101023</v>
      </c>
      <c r="H508" s="167" t="s">
        <v>157</v>
      </c>
      <c r="I508" s="167" t="s">
        <v>1413</v>
      </c>
      <c r="J508" s="167" t="s">
        <v>682</v>
      </c>
      <c r="K508" s="167" t="s">
        <v>170</v>
      </c>
      <c r="L508" s="167" t="s">
        <v>261</v>
      </c>
      <c r="M508" s="167" t="s">
        <v>1824</v>
      </c>
      <c r="N508" s="11">
        <v>0</v>
      </c>
      <c r="O508" s="12" t="str">
        <f>_xlfn.DISPIMG("ID_6FA15DDD4AA745CAA44305EB8A7C29E0",1)</f>
        <v>=DISPIMG("ID_6FA15DDD4AA745CAA44305EB8A7C29E0",1)</v>
      </c>
      <c r="P508" s="11" t="s">
        <v>4312</v>
      </c>
      <c r="Q508" s="20">
        <v>398</v>
      </c>
      <c r="R508" s="17" t="s">
        <v>4827</v>
      </c>
      <c r="S508" s="18" t="s">
        <v>84</v>
      </c>
      <c r="T508" s="25">
        <v>14</v>
      </c>
    </row>
    <row r="509" s="3" customFormat="1" customHeight="1" spans="1:20">
      <c r="A509" s="167" t="s">
        <v>3531</v>
      </c>
      <c r="B509" s="167" t="s">
        <v>153</v>
      </c>
      <c r="C509" s="167" t="s">
        <v>3532</v>
      </c>
      <c r="D509" s="11">
        <v>17687910769</v>
      </c>
      <c r="E509" s="167" t="s">
        <v>384</v>
      </c>
      <c r="F509" s="167" t="s">
        <v>21</v>
      </c>
      <c r="G509" s="11">
        <v>202101023</v>
      </c>
      <c r="H509" s="167" t="s">
        <v>157</v>
      </c>
      <c r="I509" s="167" t="s">
        <v>3518</v>
      </c>
      <c r="J509" s="167" t="s">
        <v>3534</v>
      </c>
      <c r="K509" s="167" t="s">
        <v>160</v>
      </c>
      <c r="L509" s="167" t="s">
        <v>455</v>
      </c>
      <c r="M509" s="167" t="s">
        <v>2462</v>
      </c>
      <c r="N509" s="11">
        <v>0</v>
      </c>
      <c r="O509" s="12" t="str">
        <f>_xlfn.DISPIMG("ID_B9B540B424394A6290A83DEC0AB8F385",1)</f>
        <v>=DISPIMG("ID_B9B540B424394A6290A83DEC0AB8F385",1)</v>
      </c>
      <c r="P509" s="11" t="s">
        <v>3535</v>
      </c>
      <c r="Q509" s="20">
        <v>448</v>
      </c>
      <c r="R509" s="17" t="s">
        <v>4810</v>
      </c>
      <c r="S509" s="18" t="s">
        <v>84</v>
      </c>
      <c r="T509" s="25">
        <v>1</v>
      </c>
    </row>
    <row r="510" s="3" customFormat="1" customHeight="1" spans="1:20">
      <c r="A510" s="167" t="s">
        <v>3699</v>
      </c>
      <c r="B510" s="167" t="s">
        <v>153</v>
      </c>
      <c r="C510" s="167" t="s">
        <v>3700</v>
      </c>
      <c r="D510" s="11">
        <v>18046710217</v>
      </c>
      <c r="E510" s="167" t="s">
        <v>384</v>
      </c>
      <c r="F510" s="167" t="s">
        <v>21</v>
      </c>
      <c r="G510" s="11">
        <v>202101023</v>
      </c>
      <c r="H510" s="167" t="s">
        <v>157</v>
      </c>
      <c r="I510" s="167" t="s">
        <v>233</v>
      </c>
      <c r="J510" s="167" t="s">
        <v>682</v>
      </c>
      <c r="K510" s="167" t="s">
        <v>170</v>
      </c>
      <c r="L510" s="167" t="s">
        <v>306</v>
      </c>
      <c r="M510" s="167" t="s">
        <v>1579</v>
      </c>
      <c r="N510" s="167" t="s">
        <v>3702</v>
      </c>
      <c r="O510" s="12" t="str">
        <f>_xlfn.DISPIMG("ID_E2F022B7DBF04DECBE980BB970833FC7",1)</f>
        <v>=DISPIMG("ID_E2F022B7DBF04DECBE980BB970833FC7",1)</v>
      </c>
      <c r="P510" s="11" t="s">
        <v>3703</v>
      </c>
      <c r="Q510" s="20">
        <v>471</v>
      </c>
      <c r="R510" s="17" t="s">
        <v>4811</v>
      </c>
      <c r="S510" s="18" t="s">
        <v>84</v>
      </c>
      <c r="T510" s="25">
        <v>12</v>
      </c>
    </row>
    <row r="511" s="3" customFormat="1" customHeight="1" spans="1:20">
      <c r="A511" s="167" t="s">
        <v>3751</v>
      </c>
      <c r="B511" s="167" t="s">
        <v>153</v>
      </c>
      <c r="C511" s="167" t="s">
        <v>3752</v>
      </c>
      <c r="D511" s="11">
        <v>15180696881</v>
      </c>
      <c r="E511" s="167" t="s">
        <v>384</v>
      </c>
      <c r="F511" s="167" t="s">
        <v>21</v>
      </c>
      <c r="G511" s="11">
        <v>202101023</v>
      </c>
      <c r="H511" s="167" t="s">
        <v>157</v>
      </c>
      <c r="I511" s="167" t="s">
        <v>827</v>
      </c>
      <c r="J511" s="167" t="s">
        <v>682</v>
      </c>
      <c r="K511" s="167" t="s">
        <v>170</v>
      </c>
      <c r="L511" s="167" t="s">
        <v>161</v>
      </c>
      <c r="M511" s="167" t="s">
        <v>3754</v>
      </c>
      <c r="N511" s="11">
        <v>0</v>
      </c>
      <c r="O511" s="12" t="str">
        <f>_xlfn.DISPIMG("ID_0C4C873C986C4E8A8DE913748576F208",1)</f>
        <v>=DISPIMG("ID_0C4C873C986C4E8A8DE913748576F208",1)</v>
      </c>
      <c r="P511" s="11" t="s">
        <v>3755</v>
      </c>
      <c r="Q511" s="20">
        <v>478</v>
      </c>
      <c r="R511" s="17" t="s">
        <v>4814</v>
      </c>
      <c r="S511" s="18" t="s">
        <v>84</v>
      </c>
      <c r="T511" s="25">
        <v>13</v>
      </c>
    </row>
    <row r="512" s="3" customFormat="1" customHeight="1" spans="1:20">
      <c r="A512" s="167" t="s">
        <v>1143</v>
      </c>
      <c r="B512" s="167" t="s">
        <v>165</v>
      </c>
      <c r="C512" s="167" t="s">
        <v>1144</v>
      </c>
      <c r="D512" s="11">
        <v>15777198130</v>
      </c>
      <c r="E512" s="167" t="s">
        <v>384</v>
      </c>
      <c r="F512" s="167" t="s">
        <v>23</v>
      </c>
      <c r="G512" s="11">
        <v>202101025</v>
      </c>
      <c r="H512" s="167" t="s">
        <v>157</v>
      </c>
      <c r="I512" s="167" t="s">
        <v>1146</v>
      </c>
      <c r="J512" s="167" t="s">
        <v>1147</v>
      </c>
      <c r="K512" s="167" t="s">
        <v>170</v>
      </c>
      <c r="L512" s="167" t="s">
        <v>455</v>
      </c>
      <c r="M512" s="167" t="s">
        <v>1148</v>
      </c>
      <c r="N512" s="167" t="s">
        <v>1149</v>
      </c>
      <c r="O512" s="12" t="str">
        <f>_xlfn.DISPIMG("ID_0415E10C85C94C988A22FA5D4842DE09",1)</f>
        <v>=DISPIMG("ID_0415E10C85C94C988A22FA5D4842DE09",1)</v>
      </c>
      <c r="P512" s="11" t="s">
        <v>1150</v>
      </c>
      <c r="Q512" s="11">
        <v>120</v>
      </c>
      <c r="R512" s="17" t="s">
        <v>4815</v>
      </c>
      <c r="S512" s="18" t="s">
        <v>84</v>
      </c>
      <c r="T512" s="25">
        <v>18</v>
      </c>
    </row>
    <row r="513" s="3" customFormat="1" customHeight="1" spans="1:20">
      <c r="A513" s="167" t="s">
        <v>2036</v>
      </c>
      <c r="B513" s="167" t="s">
        <v>165</v>
      </c>
      <c r="C513" s="167" t="s">
        <v>2037</v>
      </c>
      <c r="D513" s="11">
        <v>17770040821</v>
      </c>
      <c r="E513" s="167" t="s">
        <v>297</v>
      </c>
      <c r="F513" s="167" t="s">
        <v>23</v>
      </c>
      <c r="G513" s="11">
        <v>202101031</v>
      </c>
      <c r="H513" s="167" t="s">
        <v>157</v>
      </c>
      <c r="I513" s="167" t="s">
        <v>2039</v>
      </c>
      <c r="J513" s="167" t="s">
        <v>1147</v>
      </c>
      <c r="K513" s="167" t="s">
        <v>170</v>
      </c>
      <c r="L513" s="167" t="s">
        <v>368</v>
      </c>
      <c r="M513" s="167" t="s">
        <v>23</v>
      </c>
      <c r="N513" s="167" t="s">
        <v>2040</v>
      </c>
      <c r="O513" s="12" t="str">
        <f>_xlfn.DISPIMG("ID_99E16B0934D843998C9152B322CD2339",1)</f>
        <v>=DISPIMG("ID_99E16B0934D843998C9152B322CD2339",1)</v>
      </c>
      <c r="P513" s="11" t="s">
        <v>2041</v>
      </c>
      <c r="Q513" s="11">
        <v>237</v>
      </c>
      <c r="R513" s="17" t="s">
        <v>4828</v>
      </c>
      <c r="S513" s="18" t="s">
        <v>84</v>
      </c>
      <c r="T513" s="25">
        <v>17</v>
      </c>
    </row>
    <row r="514" s="3" customFormat="1" customHeight="1" spans="1:20">
      <c r="A514" s="167" t="s">
        <v>4028</v>
      </c>
      <c r="B514" s="167" t="s">
        <v>165</v>
      </c>
      <c r="C514" s="167" t="s">
        <v>4029</v>
      </c>
      <c r="D514" s="11">
        <v>13820505031</v>
      </c>
      <c r="E514" s="167" t="s">
        <v>384</v>
      </c>
      <c r="F514" s="167" t="s">
        <v>23</v>
      </c>
      <c r="G514" s="11">
        <v>202101025</v>
      </c>
      <c r="H514" s="167" t="s">
        <v>157</v>
      </c>
      <c r="I514" s="167" t="s">
        <v>3737</v>
      </c>
      <c r="J514" s="167" t="s">
        <v>1616</v>
      </c>
      <c r="K514" s="167" t="s">
        <v>170</v>
      </c>
      <c r="L514" s="167" t="s">
        <v>235</v>
      </c>
      <c r="M514" s="167" t="s">
        <v>4031</v>
      </c>
      <c r="N514" s="167" t="s">
        <v>4032</v>
      </c>
      <c r="O514" s="12" t="str">
        <f>_xlfn.DISPIMG("ID_4D845800D3864A2B99D106DDD9FD3F5D",1)</f>
        <v>=DISPIMG("ID_4D845800D3864A2B99D106DDD9FD3F5D",1)</v>
      </c>
      <c r="P514" s="11" t="s">
        <v>4033</v>
      </c>
      <c r="Q514" s="20">
        <v>515</v>
      </c>
      <c r="R514" s="17" t="s">
        <v>4829</v>
      </c>
      <c r="S514" s="18" t="s">
        <v>84</v>
      </c>
      <c r="T514" s="25">
        <v>16</v>
      </c>
    </row>
    <row r="515" s="3" customFormat="1" customHeight="1" spans="1:20">
      <c r="A515" s="167" t="s">
        <v>4051</v>
      </c>
      <c r="B515" s="167" t="s">
        <v>153</v>
      </c>
      <c r="C515" s="167" t="s">
        <v>4052</v>
      </c>
      <c r="D515" s="11">
        <v>15170932237</v>
      </c>
      <c r="E515" s="167" t="s">
        <v>384</v>
      </c>
      <c r="F515" s="167" t="s">
        <v>23</v>
      </c>
      <c r="G515" s="11">
        <v>202101025</v>
      </c>
      <c r="H515" s="167" t="s">
        <v>157</v>
      </c>
      <c r="I515" s="167" t="s">
        <v>269</v>
      </c>
      <c r="J515" s="167" t="s">
        <v>1147</v>
      </c>
      <c r="K515" s="167" t="s">
        <v>170</v>
      </c>
      <c r="L515" s="167" t="s">
        <v>235</v>
      </c>
      <c r="M515" s="167" t="s">
        <v>4053</v>
      </c>
      <c r="N515" s="167" t="s">
        <v>4054</v>
      </c>
      <c r="O515" s="12" t="str">
        <f>_xlfn.DISPIMG("ID_D924765B597248FDA57FB5DFF006BD17",1)</f>
        <v>=DISPIMG("ID_D924765B597248FDA57FB5DFF006BD17",1)</v>
      </c>
      <c r="P515" s="11" t="s">
        <v>4055</v>
      </c>
      <c r="Q515" s="11">
        <v>518</v>
      </c>
      <c r="R515" s="17" t="s">
        <v>4830</v>
      </c>
      <c r="S515" s="18" t="s">
        <v>84</v>
      </c>
      <c r="T515" s="25">
        <v>15</v>
      </c>
    </row>
    <row r="516" s="3" customFormat="1" customHeight="1" spans="1:20">
      <c r="A516" s="167" t="s">
        <v>4142</v>
      </c>
      <c r="B516" s="167" t="s">
        <v>153</v>
      </c>
      <c r="C516" s="167" t="s">
        <v>4143</v>
      </c>
      <c r="D516" s="11">
        <v>13330123354</v>
      </c>
      <c r="E516" s="167" t="s">
        <v>297</v>
      </c>
      <c r="F516" s="162" t="s">
        <v>30</v>
      </c>
      <c r="G516" s="11">
        <v>202101032</v>
      </c>
      <c r="H516" s="167" t="s">
        <v>705</v>
      </c>
      <c r="I516" s="167" t="s">
        <v>4145</v>
      </c>
      <c r="J516" s="167" t="s">
        <v>4146</v>
      </c>
      <c r="K516" s="167" t="s">
        <v>160</v>
      </c>
      <c r="L516" s="167" t="s">
        <v>235</v>
      </c>
      <c r="M516" s="167" t="s">
        <v>4147</v>
      </c>
      <c r="N516" s="167" t="s">
        <v>4148</v>
      </c>
      <c r="O516" s="12" t="str">
        <f>_xlfn.DISPIMG("ID_28A32B60C96343E48DA79AC0817DB8B2",1)</f>
        <v>=DISPIMG("ID_28A32B60C96343E48DA79AC0817DB8B2",1)</v>
      </c>
      <c r="P516" s="11" t="s">
        <v>4149</v>
      </c>
      <c r="Q516" s="11">
        <v>530</v>
      </c>
      <c r="R516" s="17" t="s">
        <v>4831</v>
      </c>
      <c r="S516" s="18" t="s">
        <v>84</v>
      </c>
      <c r="T516" s="25">
        <v>19</v>
      </c>
    </row>
  </sheetData>
  <sheetProtection formatCells="0" insertHyperlinks="0" autoFilter="0"/>
  <autoFilter ref="A1:XFD516">
    <extLst/>
  </autoFilter>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16"/>
  <sheetViews>
    <sheetView workbookViewId="0">
      <pane xSplit="1" ySplit="1" topLeftCell="B358" activePane="bottomRight" state="frozen"/>
      <selection/>
      <selection pane="topRight"/>
      <selection pane="bottomLeft"/>
      <selection pane="bottomRight" activeCell="AB375" sqref="AB375"/>
    </sheetView>
  </sheetViews>
  <sheetFormatPr defaultColWidth="9" defaultRowHeight="25" customHeight="1"/>
  <cols>
    <col min="1" max="1" width="11.1296296296296" style="36" customWidth="1"/>
    <col min="2" max="2" width="7.37962962962963" style="36" customWidth="1"/>
    <col min="3" max="3" width="21.5" style="36" hidden="1" customWidth="1"/>
    <col min="4" max="4" width="14.3796296296296" style="36" hidden="1" customWidth="1"/>
    <col min="5" max="5" width="13" style="36" hidden="1" customWidth="1"/>
    <col min="6" max="6" width="16.6296296296296" style="36" customWidth="1"/>
    <col min="7" max="7" width="13" style="36" customWidth="1"/>
    <col min="8" max="17" width="13" style="36" hidden="1" customWidth="1"/>
    <col min="18" max="18" width="13" style="36" customWidth="1"/>
    <col min="19" max="19" width="13" style="36" hidden="1" customWidth="1"/>
    <col min="20" max="20" width="9.25" style="36" hidden="1" customWidth="1"/>
    <col min="21" max="16384" width="9" style="81"/>
  </cols>
  <sheetData>
    <row r="1" s="3" customFormat="1" customHeight="1" spans="1:20">
      <c r="A1" s="11" t="s">
        <v>133</v>
      </c>
      <c r="B1" s="11" t="s">
        <v>134</v>
      </c>
      <c r="C1" s="11" t="s">
        <v>135</v>
      </c>
      <c r="D1" s="34" t="s">
        <v>136</v>
      </c>
      <c r="E1" s="11" t="s">
        <v>138</v>
      </c>
      <c r="F1" s="11" t="s">
        <v>1</v>
      </c>
      <c r="G1" s="11" t="s">
        <v>139</v>
      </c>
      <c r="H1" s="11" t="s">
        <v>140</v>
      </c>
      <c r="I1" s="11" t="s">
        <v>141</v>
      </c>
      <c r="J1" s="11" t="s">
        <v>142</v>
      </c>
      <c r="K1" s="11" t="s">
        <v>143</v>
      </c>
      <c r="L1" s="11" t="s">
        <v>144</v>
      </c>
      <c r="M1" s="11" t="s">
        <v>145</v>
      </c>
      <c r="N1" s="11" t="s">
        <v>146</v>
      </c>
      <c r="O1" s="11" t="s">
        <v>147</v>
      </c>
      <c r="P1" s="11" t="s">
        <v>148</v>
      </c>
      <c r="Q1" s="97" t="s">
        <v>149</v>
      </c>
      <c r="R1" s="25" t="s">
        <v>4313</v>
      </c>
      <c r="S1" s="25" t="s">
        <v>32</v>
      </c>
      <c r="T1" s="25" t="s">
        <v>4314</v>
      </c>
    </row>
    <row r="2" s="3" customFormat="1" customHeight="1" spans="1:20">
      <c r="A2" s="167" t="s">
        <v>275</v>
      </c>
      <c r="B2" s="167" t="s">
        <v>165</v>
      </c>
      <c r="C2" s="167" t="s">
        <v>276</v>
      </c>
      <c r="D2" s="11">
        <v>15180601470</v>
      </c>
      <c r="E2" s="167" t="s">
        <v>278</v>
      </c>
      <c r="F2" s="167" t="s">
        <v>28</v>
      </c>
      <c r="G2" s="11">
        <v>202103001</v>
      </c>
      <c r="H2" s="167" t="s">
        <v>279</v>
      </c>
      <c r="I2" s="167" t="s">
        <v>233</v>
      </c>
      <c r="J2" s="167" t="s">
        <v>280</v>
      </c>
      <c r="K2" s="167" t="s">
        <v>170</v>
      </c>
      <c r="L2" s="167" t="s">
        <v>281</v>
      </c>
      <c r="M2" s="167" t="s">
        <v>280</v>
      </c>
      <c r="N2" s="167" t="s">
        <v>282</v>
      </c>
      <c r="O2" s="12" t="str">
        <f>_xlfn.DISPIMG("ID_B65C52FC26C14A83A9F7B47ADDC75EF7",1)</f>
        <v>=DISPIMG("ID_B65C52FC26C14A83A9F7B47ADDC75EF7",1)</v>
      </c>
      <c r="P2" s="11" t="s">
        <v>283</v>
      </c>
      <c r="Q2" s="11">
        <v>15</v>
      </c>
      <c r="R2" s="17" t="s">
        <v>4315</v>
      </c>
      <c r="S2" s="94" t="s">
        <v>36</v>
      </c>
      <c r="T2" s="11">
        <v>6</v>
      </c>
    </row>
    <row r="3" s="3" customFormat="1" customHeight="1" spans="1:20">
      <c r="A3" s="167" t="s">
        <v>336</v>
      </c>
      <c r="B3" s="167" t="s">
        <v>165</v>
      </c>
      <c r="C3" s="167" t="s">
        <v>337</v>
      </c>
      <c r="D3" s="11">
        <v>18397927213</v>
      </c>
      <c r="E3" s="167" t="s">
        <v>278</v>
      </c>
      <c r="F3" s="167" t="s">
        <v>28</v>
      </c>
      <c r="G3" s="11">
        <v>202103001</v>
      </c>
      <c r="H3" s="167" t="s">
        <v>279</v>
      </c>
      <c r="I3" s="167" t="s">
        <v>339</v>
      </c>
      <c r="J3" s="167" t="s">
        <v>280</v>
      </c>
      <c r="K3" s="167" t="s">
        <v>170</v>
      </c>
      <c r="L3" s="167" t="s">
        <v>180</v>
      </c>
      <c r="M3" s="167" t="s">
        <v>340</v>
      </c>
      <c r="N3" s="167" t="s">
        <v>341</v>
      </c>
      <c r="O3" s="12" t="str">
        <f>_xlfn.DISPIMG("ID_FA546082303144F6A5FD61F335F92D18",1)</f>
        <v>=DISPIMG("ID_FA546082303144F6A5FD61F335F92D18",1)</v>
      </c>
      <c r="P3" s="11" t="s">
        <v>342</v>
      </c>
      <c r="Q3" s="11">
        <v>22</v>
      </c>
      <c r="R3" s="17" t="s">
        <v>4316</v>
      </c>
      <c r="S3" s="94" t="s">
        <v>36</v>
      </c>
      <c r="T3" s="11">
        <v>7</v>
      </c>
    </row>
    <row r="4" s="3" customFormat="1" customHeight="1" spans="1:20">
      <c r="A4" s="167" t="s">
        <v>373</v>
      </c>
      <c r="B4" s="167" t="s">
        <v>165</v>
      </c>
      <c r="C4" s="167" t="s">
        <v>374</v>
      </c>
      <c r="D4" s="11">
        <v>15170964571</v>
      </c>
      <c r="E4" s="167" t="s">
        <v>278</v>
      </c>
      <c r="F4" s="167" t="s">
        <v>28</v>
      </c>
      <c r="G4" s="11">
        <v>202103001</v>
      </c>
      <c r="H4" s="167" t="s">
        <v>279</v>
      </c>
      <c r="I4" s="167" t="s">
        <v>367</v>
      </c>
      <c r="J4" s="167" t="s">
        <v>280</v>
      </c>
      <c r="K4" s="167" t="s">
        <v>170</v>
      </c>
      <c r="L4" s="167" t="s">
        <v>224</v>
      </c>
      <c r="M4" s="167" t="s">
        <v>376</v>
      </c>
      <c r="N4" s="167" t="s">
        <v>377</v>
      </c>
      <c r="O4" s="12" t="str">
        <f>_xlfn.DISPIMG("ID_C8327FEC732A4CC39200F90994F97069",1)</f>
        <v>=DISPIMG("ID_C8327FEC732A4CC39200F90994F97069",1)</v>
      </c>
      <c r="P4" s="11" t="s">
        <v>378</v>
      </c>
      <c r="Q4" s="11">
        <v>26</v>
      </c>
      <c r="R4" s="17" t="s">
        <v>4317</v>
      </c>
      <c r="S4" s="94" t="s">
        <v>36</v>
      </c>
      <c r="T4" s="11">
        <v>18</v>
      </c>
    </row>
    <row r="5" s="3" customFormat="1" customHeight="1" spans="1:20">
      <c r="A5" s="167" t="s">
        <v>418</v>
      </c>
      <c r="B5" s="167" t="s">
        <v>165</v>
      </c>
      <c r="C5" s="167" t="s">
        <v>419</v>
      </c>
      <c r="D5" s="11">
        <v>13870260927</v>
      </c>
      <c r="E5" s="167" t="s">
        <v>278</v>
      </c>
      <c r="F5" s="167" t="s">
        <v>28</v>
      </c>
      <c r="G5" s="11">
        <v>202103001</v>
      </c>
      <c r="H5" s="167" t="s">
        <v>279</v>
      </c>
      <c r="I5" s="167" t="s">
        <v>367</v>
      </c>
      <c r="J5" s="167" t="s">
        <v>280</v>
      </c>
      <c r="K5" s="167" t="s">
        <v>170</v>
      </c>
      <c r="L5" s="167" t="s">
        <v>224</v>
      </c>
      <c r="M5" s="167" t="s">
        <v>28</v>
      </c>
      <c r="N5" s="167" t="s">
        <v>421</v>
      </c>
      <c r="O5" s="12" t="str">
        <f>_xlfn.DISPIMG("ID_37FC201A56874EEA918314432BBE8D22",1)</f>
        <v>=DISPIMG("ID_37FC201A56874EEA918314432BBE8D22",1)</v>
      </c>
      <c r="P5" s="11" t="s">
        <v>422</v>
      </c>
      <c r="Q5" s="11">
        <v>31</v>
      </c>
      <c r="R5" s="17" t="s">
        <v>4318</v>
      </c>
      <c r="S5" s="94" t="s">
        <v>36</v>
      </c>
      <c r="T5" s="11">
        <v>19</v>
      </c>
    </row>
    <row r="6" s="3" customFormat="1" customHeight="1" spans="1:20">
      <c r="A6" s="167" t="s">
        <v>477</v>
      </c>
      <c r="B6" s="167" t="s">
        <v>165</v>
      </c>
      <c r="C6" s="167" t="s">
        <v>478</v>
      </c>
      <c r="D6" s="11">
        <v>18770282894</v>
      </c>
      <c r="E6" s="167" t="s">
        <v>278</v>
      </c>
      <c r="F6" s="167" t="s">
        <v>28</v>
      </c>
      <c r="G6" s="11">
        <v>202103001</v>
      </c>
      <c r="H6" s="167" t="s">
        <v>279</v>
      </c>
      <c r="I6" s="167" t="s">
        <v>367</v>
      </c>
      <c r="J6" s="167" t="s">
        <v>280</v>
      </c>
      <c r="K6" s="167" t="s">
        <v>170</v>
      </c>
      <c r="L6" s="167" t="s">
        <v>216</v>
      </c>
      <c r="M6" s="167" t="s">
        <v>340</v>
      </c>
      <c r="N6" s="167" t="s">
        <v>480</v>
      </c>
      <c r="O6" s="12" t="str">
        <f>_xlfn.DISPIMG("ID_CA960935E07F423087EFDE1A92D5AFE3",1)</f>
        <v>=DISPIMG("ID_CA960935E07F423087EFDE1A92D5AFE3",1)</v>
      </c>
      <c r="P6" s="11" t="s">
        <v>481</v>
      </c>
      <c r="Q6" s="11">
        <v>38</v>
      </c>
      <c r="R6" s="17" t="s">
        <v>4319</v>
      </c>
      <c r="S6" s="94" t="s">
        <v>36</v>
      </c>
      <c r="T6" s="11">
        <v>30</v>
      </c>
    </row>
    <row r="7" s="3" customFormat="1" customHeight="1" spans="1:20">
      <c r="A7" s="167" t="s">
        <v>512</v>
      </c>
      <c r="B7" s="167" t="s">
        <v>165</v>
      </c>
      <c r="C7" s="167" t="s">
        <v>513</v>
      </c>
      <c r="D7" s="11">
        <v>15007008219</v>
      </c>
      <c r="E7" s="167" t="s">
        <v>278</v>
      </c>
      <c r="F7" s="167" t="s">
        <v>28</v>
      </c>
      <c r="G7" s="11">
        <v>202103001</v>
      </c>
      <c r="H7" s="167" t="s">
        <v>279</v>
      </c>
      <c r="I7" s="167" t="s">
        <v>515</v>
      </c>
      <c r="J7" s="167" t="s">
        <v>280</v>
      </c>
      <c r="K7" s="167" t="s">
        <v>170</v>
      </c>
      <c r="L7" s="167" t="s">
        <v>516</v>
      </c>
      <c r="M7" s="167" t="s">
        <v>517</v>
      </c>
      <c r="N7" s="167" t="s">
        <v>518</v>
      </c>
      <c r="O7" s="12" t="str">
        <f>_xlfn.DISPIMG("ID_07A071EC50BE4110A9ABC6B339CCBE2D",1)</f>
        <v>=DISPIMG("ID_07A071EC50BE4110A9ABC6B339CCBE2D",1)</v>
      </c>
      <c r="P7" s="11" t="s">
        <v>519</v>
      </c>
      <c r="Q7" s="11">
        <v>43</v>
      </c>
      <c r="R7" s="17" t="s">
        <v>4320</v>
      </c>
      <c r="S7" s="94" t="s">
        <v>36</v>
      </c>
      <c r="T7" s="11">
        <v>5</v>
      </c>
    </row>
    <row r="8" s="3" customFormat="1" customHeight="1" spans="1:20">
      <c r="A8" s="167" t="s">
        <v>573</v>
      </c>
      <c r="B8" s="167" t="s">
        <v>165</v>
      </c>
      <c r="C8" s="167" t="s">
        <v>574</v>
      </c>
      <c r="D8" s="11">
        <v>13387029092</v>
      </c>
      <c r="E8" s="167" t="s">
        <v>278</v>
      </c>
      <c r="F8" s="167" t="s">
        <v>28</v>
      </c>
      <c r="G8" s="11">
        <v>202103001</v>
      </c>
      <c r="H8" s="167" t="s">
        <v>279</v>
      </c>
      <c r="I8" s="167" t="s">
        <v>576</v>
      </c>
      <c r="J8" s="167" t="s">
        <v>280</v>
      </c>
      <c r="K8" s="167" t="s">
        <v>170</v>
      </c>
      <c r="L8" s="167" t="s">
        <v>577</v>
      </c>
      <c r="M8" s="167" t="s">
        <v>280</v>
      </c>
      <c r="N8" s="167" t="s">
        <v>578</v>
      </c>
      <c r="O8" s="12" t="str">
        <f>_xlfn.DISPIMG("ID_82D3A4866E584D37A328F1F75C226980",1)</f>
        <v>=DISPIMG("ID_82D3A4866E584D37A328F1F75C226980",1)</v>
      </c>
      <c r="P8" s="11" t="s">
        <v>579</v>
      </c>
      <c r="Q8" s="11">
        <v>50</v>
      </c>
      <c r="R8" s="17" t="s">
        <v>4321</v>
      </c>
      <c r="S8" s="94" t="s">
        <v>36</v>
      </c>
      <c r="T8" s="11">
        <v>8</v>
      </c>
    </row>
    <row r="9" s="4" customFormat="1" customHeight="1" spans="1:20">
      <c r="A9" s="167" t="s">
        <v>582</v>
      </c>
      <c r="B9" s="167" t="s">
        <v>165</v>
      </c>
      <c r="C9" s="167" t="s">
        <v>583</v>
      </c>
      <c r="D9" s="11">
        <v>18879297924</v>
      </c>
      <c r="E9" s="167" t="s">
        <v>278</v>
      </c>
      <c r="F9" s="167" t="s">
        <v>28</v>
      </c>
      <c r="G9" s="11">
        <v>202103001</v>
      </c>
      <c r="H9" s="167" t="s">
        <v>585</v>
      </c>
      <c r="I9" s="167" t="s">
        <v>367</v>
      </c>
      <c r="J9" s="167" t="s">
        <v>586</v>
      </c>
      <c r="K9" s="167" t="s">
        <v>170</v>
      </c>
      <c r="L9" s="167" t="s">
        <v>587</v>
      </c>
      <c r="M9" s="167" t="s">
        <v>588</v>
      </c>
      <c r="N9" s="167" t="s">
        <v>589</v>
      </c>
      <c r="O9" s="12" t="str">
        <f>_xlfn.DISPIMG("ID_6DA92F60F38D4176A8885E139DCAD5AE",1)</f>
        <v>=DISPIMG("ID_6DA92F60F38D4176A8885E139DCAD5AE",1)</v>
      </c>
      <c r="P9" s="11" t="s">
        <v>590</v>
      </c>
      <c r="Q9" s="11">
        <v>51</v>
      </c>
      <c r="R9" s="17" t="s">
        <v>4322</v>
      </c>
      <c r="S9" s="94" t="s">
        <v>36</v>
      </c>
      <c r="T9" s="11">
        <v>17</v>
      </c>
    </row>
    <row r="10" s="3" customFormat="1" customHeight="1" spans="1:20">
      <c r="A10" s="167" t="s">
        <v>592</v>
      </c>
      <c r="B10" s="167" t="s">
        <v>165</v>
      </c>
      <c r="C10" s="167" t="s">
        <v>593</v>
      </c>
      <c r="D10" s="11">
        <v>13177706682</v>
      </c>
      <c r="E10" s="167" t="s">
        <v>278</v>
      </c>
      <c r="F10" s="167" t="s">
        <v>28</v>
      </c>
      <c r="G10" s="11">
        <v>202103001</v>
      </c>
      <c r="H10" s="167" t="s">
        <v>279</v>
      </c>
      <c r="I10" s="167" t="s">
        <v>595</v>
      </c>
      <c r="J10" s="167" t="s">
        <v>280</v>
      </c>
      <c r="K10" s="167" t="s">
        <v>170</v>
      </c>
      <c r="L10" s="167" t="s">
        <v>281</v>
      </c>
      <c r="M10" s="167" t="s">
        <v>28</v>
      </c>
      <c r="N10" s="167" t="s">
        <v>596</v>
      </c>
      <c r="O10" s="12" t="str">
        <f>_xlfn.DISPIMG("ID_4A2B45245E6541EDAAF502188C295214",1)</f>
        <v>=DISPIMG("ID_4A2B45245E6541EDAAF502188C295214",1)</v>
      </c>
      <c r="P10" s="11" t="s">
        <v>597</v>
      </c>
      <c r="Q10" s="11">
        <v>52</v>
      </c>
      <c r="R10" s="17" t="s">
        <v>4323</v>
      </c>
      <c r="S10" s="94" t="s">
        <v>36</v>
      </c>
      <c r="T10" s="11">
        <v>20</v>
      </c>
    </row>
    <row r="11" s="3" customFormat="1" customHeight="1" spans="1:20">
      <c r="A11" s="167" t="s">
        <v>614</v>
      </c>
      <c r="B11" s="167" t="s">
        <v>165</v>
      </c>
      <c r="C11" s="167" t="s">
        <v>615</v>
      </c>
      <c r="D11" s="11">
        <v>13755265925</v>
      </c>
      <c r="E11" s="167" t="s">
        <v>278</v>
      </c>
      <c r="F11" s="167" t="s">
        <v>28</v>
      </c>
      <c r="G11" s="11">
        <v>202103001</v>
      </c>
      <c r="H11" s="167" t="s">
        <v>585</v>
      </c>
      <c r="I11" s="167" t="s">
        <v>595</v>
      </c>
      <c r="J11" s="167" t="s">
        <v>280</v>
      </c>
      <c r="K11" s="167" t="s">
        <v>170</v>
      </c>
      <c r="L11" s="167" t="s">
        <v>281</v>
      </c>
      <c r="M11" s="167" t="s">
        <v>28</v>
      </c>
      <c r="N11" s="167" t="s">
        <v>617</v>
      </c>
      <c r="O11" s="12" t="str">
        <f>_xlfn.DISPIMG("ID_85355BEE288D4456A9F8FBBF22F43B44",1)</f>
        <v>=DISPIMG("ID_85355BEE288D4456A9F8FBBF22F43B44",1)</v>
      </c>
      <c r="P11" s="11" t="s">
        <v>618</v>
      </c>
      <c r="Q11" s="11">
        <v>55</v>
      </c>
      <c r="R11" s="17" t="s">
        <v>4324</v>
      </c>
      <c r="S11" s="94" t="s">
        <v>36</v>
      </c>
      <c r="T11" s="11">
        <v>29</v>
      </c>
    </row>
    <row r="12" s="3" customFormat="1" customHeight="1" spans="1:20">
      <c r="A12" s="167" t="s">
        <v>620</v>
      </c>
      <c r="B12" s="167" t="s">
        <v>165</v>
      </c>
      <c r="C12" s="167" t="s">
        <v>621</v>
      </c>
      <c r="D12" s="11">
        <v>18370123772</v>
      </c>
      <c r="E12" s="167" t="s">
        <v>278</v>
      </c>
      <c r="F12" s="167" t="s">
        <v>28</v>
      </c>
      <c r="G12" s="11">
        <v>202103001</v>
      </c>
      <c r="H12" s="167" t="s">
        <v>585</v>
      </c>
      <c r="I12" s="167" t="s">
        <v>595</v>
      </c>
      <c r="J12" s="167" t="s">
        <v>280</v>
      </c>
      <c r="K12" s="167" t="s">
        <v>170</v>
      </c>
      <c r="L12" s="167" t="s">
        <v>368</v>
      </c>
      <c r="M12" s="167" t="s">
        <v>28</v>
      </c>
      <c r="N12" s="167" t="s">
        <v>623</v>
      </c>
      <c r="O12" s="12" t="str">
        <f>_xlfn.DISPIMG("ID_109F9871D9934FD3B362EB8D2EAFD060",1)</f>
        <v>=DISPIMG("ID_109F9871D9934FD3B362EB8D2EAFD060",1)</v>
      </c>
      <c r="P12" s="11" t="s">
        <v>624</v>
      </c>
      <c r="Q12" s="11">
        <v>56</v>
      </c>
      <c r="R12" s="17" t="s">
        <v>4325</v>
      </c>
      <c r="S12" s="94" t="s">
        <v>36</v>
      </c>
      <c r="T12" s="11">
        <v>4</v>
      </c>
    </row>
    <row r="13" s="3" customFormat="1" customHeight="1" spans="1:20">
      <c r="A13" s="167" t="s">
        <v>659</v>
      </c>
      <c r="B13" s="167" t="s">
        <v>165</v>
      </c>
      <c r="C13" s="167" t="s">
        <v>660</v>
      </c>
      <c r="D13" s="11">
        <v>18370120304</v>
      </c>
      <c r="E13" s="167" t="s">
        <v>278</v>
      </c>
      <c r="F13" s="167" t="s">
        <v>28</v>
      </c>
      <c r="G13" s="11">
        <v>202103001</v>
      </c>
      <c r="H13" s="167" t="s">
        <v>279</v>
      </c>
      <c r="I13" s="167" t="s">
        <v>662</v>
      </c>
      <c r="J13" s="167" t="s">
        <v>280</v>
      </c>
      <c r="K13" s="167" t="s">
        <v>170</v>
      </c>
      <c r="L13" s="167" t="s">
        <v>368</v>
      </c>
      <c r="M13" s="167" t="s">
        <v>663</v>
      </c>
      <c r="N13" s="167" t="s">
        <v>664</v>
      </c>
      <c r="O13" s="12" t="str">
        <f>_xlfn.DISPIMG("ID_4AE3C77D21184B118F491A1655043931",1)</f>
        <v>=DISPIMG("ID_4AE3C77D21184B118F491A1655043931",1)</v>
      </c>
      <c r="P13" s="11" t="s">
        <v>665</v>
      </c>
      <c r="Q13" s="11">
        <v>61</v>
      </c>
      <c r="R13" s="17" t="s">
        <v>4326</v>
      </c>
      <c r="S13" s="94" t="s">
        <v>36</v>
      </c>
      <c r="T13" s="11">
        <v>9</v>
      </c>
    </row>
    <row r="14" s="3" customFormat="1" customHeight="1" spans="1:20">
      <c r="A14" s="167" t="s">
        <v>694</v>
      </c>
      <c r="B14" s="167" t="s">
        <v>165</v>
      </c>
      <c r="C14" s="167" t="s">
        <v>695</v>
      </c>
      <c r="D14" s="11">
        <v>15779270127</v>
      </c>
      <c r="E14" s="167" t="s">
        <v>278</v>
      </c>
      <c r="F14" s="167" t="s">
        <v>28</v>
      </c>
      <c r="G14" s="11">
        <v>202103001</v>
      </c>
      <c r="H14" s="167" t="s">
        <v>279</v>
      </c>
      <c r="I14" s="167" t="s">
        <v>697</v>
      </c>
      <c r="J14" s="167" t="s">
        <v>280</v>
      </c>
      <c r="K14" s="167" t="s">
        <v>160</v>
      </c>
      <c r="L14" s="167" t="s">
        <v>180</v>
      </c>
      <c r="M14" s="167" t="s">
        <v>28</v>
      </c>
      <c r="N14" s="167" t="s">
        <v>698</v>
      </c>
      <c r="O14" s="12" t="str">
        <f>_xlfn.DISPIMG("ID_E6AFBB076E18415F8E4E8CB1E3BFC1A0",1)</f>
        <v>=DISPIMG("ID_E6AFBB076E18415F8E4E8CB1E3BFC1A0",1)</v>
      </c>
      <c r="P14" s="11" t="s">
        <v>699</v>
      </c>
      <c r="Q14" s="11">
        <v>65</v>
      </c>
      <c r="R14" s="17" t="s">
        <v>4327</v>
      </c>
      <c r="S14" s="94" t="s">
        <v>36</v>
      </c>
      <c r="T14" s="11">
        <v>16</v>
      </c>
    </row>
    <row r="15" s="3" customFormat="1" customHeight="1" spans="1:20">
      <c r="A15" s="167" t="s">
        <v>712</v>
      </c>
      <c r="B15" s="167" t="s">
        <v>165</v>
      </c>
      <c r="C15" s="167" t="s">
        <v>713</v>
      </c>
      <c r="D15" s="11">
        <v>18379282600</v>
      </c>
      <c r="E15" s="167" t="s">
        <v>278</v>
      </c>
      <c r="F15" s="167" t="s">
        <v>28</v>
      </c>
      <c r="G15" s="11">
        <v>202103001</v>
      </c>
      <c r="H15" s="167" t="s">
        <v>279</v>
      </c>
      <c r="I15" s="167" t="s">
        <v>168</v>
      </c>
      <c r="J15" s="167" t="s">
        <v>280</v>
      </c>
      <c r="K15" s="167" t="s">
        <v>170</v>
      </c>
      <c r="L15" s="167" t="s">
        <v>199</v>
      </c>
      <c r="M15" s="167" t="s">
        <v>715</v>
      </c>
      <c r="N15" s="167" t="s">
        <v>716</v>
      </c>
      <c r="O15" s="12" t="str">
        <f>_xlfn.DISPIMG("ID_CF0B9D1514D24BCEBECEF1FC59445AFE",1)</f>
        <v>=DISPIMG("ID_CF0B9D1514D24BCEBECEF1FC59445AFE",1)</v>
      </c>
      <c r="P15" s="11" t="s">
        <v>717</v>
      </c>
      <c r="Q15" s="11">
        <v>67</v>
      </c>
      <c r="R15" s="17" t="s">
        <v>4328</v>
      </c>
      <c r="S15" s="94" t="s">
        <v>36</v>
      </c>
      <c r="T15" s="11">
        <v>21</v>
      </c>
    </row>
    <row r="16" s="3" customFormat="1" customHeight="1" spans="1:20">
      <c r="A16" s="167" t="s">
        <v>729</v>
      </c>
      <c r="B16" s="167" t="s">
        <v>165</v>
      </c>
      <c r="C16" s="167" t="s">
        <v>730</v>
      </c>
      <c r="D16" s="11">
        <v>18270279001</v>
      </c>
      <c r="E16" s="167" t="s">
        <v>278</v>
      </c>
      <c r="F16" s="167" t="s">
        <v>28</v>
      </c>
      <c r="G16" s="11">
        <v>202103001</v>
      </c>
      <c r="H16" s="167" t="s">
        <v>279</v>
      </c>
      <c r="I16" s="167" t="s">
        <v>732</v>
      </c>
      <c r="J16" s="167" t="s">
        <v>280</v>
      </c>
      <c r="K16" s="167" t="s">
        <v>170</v>
      </c>
      <c r="L16" s="167" t="s">
        <v>733</v>
      </c>
      <c r="M16" s="167" t="s">
        <v>517</v>
      </c>
      <c r="N16" s="167" t="s">
        <v>734</v>
      </c>
      <c r="O16" s="12" t="str">
        <f>_xlfn.DISPIMG("ID_9786F64DF5E04D0EBFF7257960884627",1)</f>
        <v>=DISPIMG("ID_9786F64DF5E04D0EBFF7257960884627",1)</v>
      </c>
      <c r="P16" s="11" t="s">
        <v>735</v>
      </c>
      <c r="Q16" s="11">
        <v>69</v>
      </c>
      <c r="R16" s="17" t="s">
        <v>4329</v>
      </c>
      <c r="S16" s="94" t="s">
        <v>36</v>
      </c>
      <c r="T16" s="11">
        <v>28</v>
      </c>
    </row>
    <row r="17" s="3" customFormat="1" customHeight="1" spans="1:20">
      <c r="A17" s="167" t="s">
        <v>754</v>
      </c>
      <c r="B17" s="167" t="s">
        <v>165</v>
      </c>
      <c r="C17" s="167" t="s">
        <v>755</v>
      </c>
      <c r="D17" s="11">
        <v>18679201139</v>
      </c>
      <c r="E17" s="167" t="s">
        <v>278</v>
      </c>
      <c r="F17" s="167" t="s">
        <v>28</v>
      </c>
      <c r="G17" s="11">
        <v>202103001</v>
      </c>
      <c r="H17" s="167" t="s">
        <v>585</v>
      </c>
      <c r="I17" s="167" t="s">
        <v>576</v>
      </c>
      <c r="J17" s="167" t="s">
        <v>757</v>
      </c>
      <c r="K17" s="167" t="s">
        <v>170</v>
      </c>
      <c r="L17" s="167" t="s">
        <v>224</v>
      </c>
      <c r="M17" s="167" t="s">
        <v>376</v>
      </c>
      <c r="N17" s="167" t="s">
        <v>758</v>
      </c>
      <c r="O17" s="12" t="str">
        <f>_xlfn.DISPIMG("ID_7BB67F893C7640E3B6FEA6424D027990",1)</f>
        <v>=DISPIMG("ID_7BB67F893C7640E3B6FEA6424D027990",1)</v>
      </c>
      <c r="P17" s="11" t="s">
        <v>759</v>
      </c>
      <c r="Q17" s="11">
        <v>72</v>
      </c>
      <c r="R17" s="17" t="s">
        <v>4330</v>
      </c>
      <c r="S17" s="94" t="s">
        <v>36</v>
      </c>
      <c r="T17" s="11">
        <v>3</v>
      </c>
    </row>
    <row r="18" s="3" customFormat="1" customHeight="1" spans="1:20">
      <c r="A18" s="167" t="s">
        <v>762</v>
      </c>
      <c r="B18" s="167" t="s">
        <v>165</v>
      </c>
      <c r="C18" s="167" t="s">
        <v>763</v>
      </c>
      <c r="D18" s="11">
        <v>13697921659</v>
      </c>
      <c r="E18" s="167" t="s">
        <v>278</v>
      </c>
      <c r="F18" s="167" t="s">
        <v>28</v>
      </c>
      <c r="G18" s="11">
        <v>202103001</v>
      </c>
      <c r="H18" s="167" t="s">
        <v>279</v>
      </c>
      <c r="I18" s="167" t="s">
        <v>765</v>
      </c>
      <c r="J18" s="167" t="s">
        <v>280</v>
      </c>
      <c r="K18" s="167" t="s">
        <v>170</v>
      </c>
      <c r="L18" s="167" t="s">
        <v>235</v>
      </c>
      <c r="M18" s="167" t="s">
        <v>340</v>
      </c>
      <c r="N18" s="167" t="s">
        <v>766</v>
      </c>
      <c r="O18" s="12" t="str">
        <f>_xlfn.DISPIMG("ID_4E1CCA66E504445CA5B7AB8D0FB70FB1",1)</f>
        <v>=DISPIMG("ID_4E1CCA66E504445CA5B7AB8D0FB70FB1",1)</v>
      </c>
      <c r="P18" s="11" t="s">
        <v>767</v>
      </c>
      <c r="Q18" s="11">
        <v>73</v>
      </c>
      <c r="R18" s="17" t="s">
        <v>4331</v>
      </c>
      <c r="S18" s="94" t="s">
        <v>36</v>
      </c>
      <c r="T18" s="11">
        <v>10</v>
      </c>
    </row>
    <row r="19" s="3" customFormat="1" customHeight="1" spans="1:20">
      <c r="A19" s="167" t="s">
        <v>794</v>
      </c>
      <c r="B19" s="167" t="s">
        <v>165</v>
      </c>
      <c r="C19" s="167" t="s">
        <v>795</v>
      </c>
      <c r="D19" s="11">
        <v>18707021672</v>
      </c>
      <c r="E19" s="167" t="s">
        <v>278</v>
      </c>
      <c r="F19" s="167" t="s">
        <v>28</v>
      </c>
      <c r="G19" s="11">
        <v>202103001</v>
      </c>
      <c r="H19" s="167" t="s">
        <v>279</v>
      </c>
      <c r="I19" s="167" t="s">
        <v>367</v>
      </c>
      <c r="J19" s="167" t="s">
        <v>280</v>
      </c>
      <c r="K19" s="167" t="s">
        <v>170</v>
      </c>
      <c r="L19" s="167" t="s">
        <v>306</v>
      </c>
      <c r="M19" s="167" t="s">
        <v>376</v>
      </c>
      <c r="N19" s="167" t="s">
        <v>797</v>
      </c>
      <c r="O19" s="12" t="str">
        <f>_xlfn.DISPIMG("ID_639B898E1B304FC0A6FA0E13C551BEC4",1)</f>
        <v>=DISPIMG("ID_639B898E1B304FC0A6FA0E13C551BEC4",1)</v>
      </c>
      <c r="P19" s="11" t="s">
        <v>798</v>
      </c>
      <c r="Q19" s="11">
        <v>77</v>
      </c>
      <c r="R19" s="17" t="s">
        <v>4332</v>
      </c>
      <c r="S19" s="94" t="s">
        <v>36</v>
      </c>
      <c r="T19" s="11">
        <v>15</v>
      </c>
    </row>
    <row r="20" s="3" customFormat="1" customHeight="1" spans="1:20">
      <c r="A20" s="167" t="s">
        <v>801</v>
      </c>
      <c r="B20" s="167" t="s">
        <v>165</v>
      </c>
      <c r="C20" s="167" t="s">
        <v>802</v>
      </c>
      <c r="D20" s="11">
        <v>13698021995</v>
      </c>
      <c r="E20" s="167" t="s">
        <v>278</v>
      </c>
      <c r="F20" s="167" t="s">
        <v>28</v>
      </c>
      <c r="G20" s="11">
        <v>202103001</v>
      </c>
      <c r="H20" s="167" t="s">
        <v>585</v>
      </c>
      <c r="I20" s="167" t="s">
        <v>804</v>
      </c>
      <c r="J20" s="167" t="s">
        <v>280</v>
      </c>
      <c r="K20" s="167" t="s">
        <v>170</v>
      </c>
      <c r="L20" s="167" t="s">
        <v>805</v>
      </c>
      <c r="M20" s="167" t="s">
        <v>376</v>
      </c>
      <c r="N20" s="167" t="s">
        <v>806</v>
      </c>
      <c r="O20" s="12" t="str">
        <f>_xlfn.DISPIMG("ID_AEB241E66C41495DBC633E36C32A72C8",1)</f>
        <v>=DISPIMG("ID_AEB241E66C41495DBC633E36C32A72C8",1)</v>
      </c>
      <c r="P20" s="11" t="s">
        <v>807</v>
      </c>
      <c r="Q20" s="11">
        <v>78</v>
      </c>
      <c r="R20" s="17" t="s">
        <v>4333</v>
      </c>
      <c r="S20" s="94" t="s">
        <v>36</v>
      </c>
      <c r="T20" s="11">
        <v>22</v>
      </c>
    </row>
    <row r="21" s="3" customFormat="1" customHeight="1" spans="1:20">
      <c r="A21" s="167" t="s">
        <v>840</v>
      </c>
      <c r="B21" s="167" t="s">
        <v>165</v>
      </c>
      <c r="C21" s="167" t="s">
        <v>841</v>
      </c>
      <c r="D21" s="11">
        <v>15059878679</v>
      </c>
      <c r="E21" s="167" t="s">
        <v>278</v>
      </c>
      <c r="F21" s="167" t="s">
        <v>28</v>
      </c>
      <c r="G21" s="11">
        <v>202103001</v>
      </c>
      <c r="H21" s="167" t="s">
        <v>279</v>
      </c>
      <c r="I21" s="167" t="s">
        <v>339</v>
      </c>
      <c r="J21" s="167" t="s">
        <v>280</v>
      </c>
      <c r="K21" s="167" t="s">
        <v>170</v>
      </c>
      <c r="L21" s="167" t="s">
        <v>843</v>
      </c>
      <c r="M21" s="167" t="s">
        <v>376</v>
      </c>
      <c r="N21" s="167" t="s">
        <v>844</v>
      </c>
      <c r="O21" s="12" t="str">
        <f>_xlfn.DISPIMG("ID_424B9BE152D1418A818313627A199A3A",1)</f>
        <v>=DISPIMG("ID_424B9BE152D1418A818313627A199A3A",1)</v>
      </c>
      <c r="P21" s="11" t="s">
        <v>845</v>
      </c>
      <c r="Q21" s="11">
        <v>83</v>
      </c>
      <c r="R21" s="17" t="s">
        <v>4334</v>
      </c>
      <c r="S21" s="94" t="s">
        <v>36</v>
      </c>
      <c r="T21" s="11">
        <v>27</v>
      </c>
    </row>
    <row r="22" s="3" customFormat="1" customHeight="1" spans="1:20">
      <c r="A22" s="167" t="s">
        <v>848</v>
      </c>
      <c r="B22" s="167" t="s">
        <v>165</v>
      </c>
      <c r="C22" s="167" t="s">
        <v>849</v>
      </c>
      <c r="D22" s="11">
        <v>18379626219</v>
      </c>
      <c r="E22" s="167" t="s">
        <v>278</v>
      </c>
      <c r="F22" s="167" t="s">
        <v>28</v>
      </c>
      <c r="G22" s="11">
        <v>202103001</v>
      </c>
      <c r="H22" s="167" t="s">
        <v>279</v>
      </c>
      <c r="I22" s="167" t="s">
        <v>851</v>
      </c>
      <c r="J22" s="167" t="s">
        <v>280</v>
      </c>
      <c r="K22" s="167" t="s">
        <v>170</v>
      </c>
      <c r="L22" s="167" t="s">
        <v>235</v>
      </c>
      <c r="M22" s="167" t="s">
        <v>340</v>
      </c>
      <c r="N22" s="167" t="s">
        <v>852</v>
      </c>
      <c r="O22" s="12" t="str">
        <f>_xlfn.DISPIMG("ID_42372BFB4B414C38BA1598FF5C930944",1)</f>
        <v>=DISPIMG("ID_42372BFB4B414C38BA1598FF5C930944",1)</v>
      </c>
      <c r="P22" s="11" t="s">
        <v>853</v>
      </c>
      <c r="Q22" s="11">
        <v>84</v>
      </c>
      <c r="R22" s="17" t="s">
        <v>4335</v>
      </c>
      <c r="S22" s="94" t="s">
        <v>36</v>
      </c>
      <c r="T22" s="11">
        <v>2</v>
      </c>
    </row>
    <row r="23" s="3" customFormat="1" customHeight="1" spans="1:20">
      <c r="A23" s="167" t="s">
        <v>873</v>
      </c>
      <c r="B23" s="167" t="s">
        <v>165</v>
      </c>
      <c r="C23" s="167" t="s">
        <v>874</v>
      </c>
      <c r="D23" s="11">
        <v>15070424036</v>
      </c>
      <c r="E23" s="167" t="s">
        <v>278</v>
      </c>
      <c r="F23" s="167" t="s">
        <v>28</v>
      </c>
      <c r="G23" s="11">
        <v>202103001</v>
      </c>
      <c r="H23" s="167" t="s">
        <v>279</v>
      </c>
      <c r="I23" s="167" t="s">
        <v>876</v>
      </c>
      <c r="J23" s="167" t="s">
        <v>280</v>
      </c>
      <c r="K23" s="167" t="s">
        <v>170</v>
      </c>
      <c r="L23" s="167" t="s">
        <v>180</v>
      </c>
      <c r="M23" s="167" t="s">
        <v>517</v>
      </c>
      <c r="N23" s="167" t="s">
        <v>877</v>
      </c>
      <c r="O23" s="12" t="str">
        <f>_xlfn.DISPIMG("ID_FA24C7A6F2FA44B892B9DF563FC4E960",1)</f>
        <v>=DISPIMG("ID_FA24C7A6F2FA44B892B9DF563FC4E960",1)</v>
      </c>
      <c r="P23" s="11" t="s">
        <v>878</v>
      </c>
      <c r="Q23" s="11">
        <v>87</v>
      </c>
      <c r="R23" s="17" t="s">
        <v>4336</v>
      </c>
      <c r="S23" s="94" t="s">
        <v>36</v>
      </c>
      <c r="T23" s="11">
        <v>11</v>
      </c>
    </row>
    <row r="24" s="5" customFormat="1" customHeight="1" spans="1:20">
      <c r="A24" s="167" t="s">
        <v>881</v>
      </c>
      <c r="B24" s="167" t="s">
        <v>165</v>
      </c>
      <c r="C24" s="167" t="s">
        <v>882</v>
      </c>
      <c r="D24" s="11">
        <v>15279260286</v>
      </c>
      <c r="E24" s="167" t="s">
        <v>278</v>
      </c>
      <c r="F24" s="167" t="s">
        <v>28</v>
      </c>
      <c r="G24" s="11">
        <v>202103001</v>
      </c>
      <c r="H24" s="167" t="s">
        <v>279</v>
      </c>
      <c r="I24" s="167" t="s">
        <v>884</v>
      </c>
      <c r="J24" s="167" t="s">
        <v>223</v>
      </c>
      <c r="K24" s="167" t="s">
        <v>170</v>
      </c>
      <c r="L24" s="167" t="s">
        <v>733</v>
      </c>
      <c r="M24" s="167" t="s">
        <v>885</v>
      </c>
      <c r="N24" s="167" t="s">
        <v>886</v>
      </c>
      <c r="O24" s="12" t="str">
        <f>_xlfn.DISPIMG("ID_79374B2C837849A79ABAFBB6FF76D11C",1)</f>
        <v>=DISPIMG("ID_79374B2C837849A79ABAFBB6FF76D11C",1)</v>
      </c>
      <c r="P24" s="11" t="s">
        <v>887</v>
      </c>
      <c r="Q24" s="11">
        <v>88</v>
      </c>
      <c r="R24" s="17" t="s">
        <v>4337</v>
      </c>
      <c r="S24" s="94" t="s">
        <v>36</v>
      </c>
      <c r="T24" s="11">
        <v>14</v>
      </c>
    </row>
    <row r="25" s="3" customFormat="1" customHeight="1" spans="1:20">
      <c r="A25" s="167" t="s">
        <v>890</v>
      </c>
      <c r="B25" s="167" t="s">
        <v>165</v>
      </c>
      <c r="C25" s="167" t="s">
        <v>891</v>
      </c>
      <c r="D25" s="11">
        <v>15270271332</v>
      </c>
      <c r="E25" s="167" t="s">
        <v>278</v>
      </c>
      <c r="F25" s="167" t="s">
        <v>28</v>
      </c>
      <c r="G25" s="11">
        <v>202103001</v>
      </c>
      <c r="H25" s="167" t="s">
        <v>279</v>
      </c>
      <c r="I25" s="167" t="s">
        <v>765</v>
      </c>
      <c r="J25" s="167" t="s">
        <v>893</v>
      </c>
      <c r="K25" s="167" t="s">
        <v>170</v>
      </c>
      <c r="L25" s="167" t="s">
        <v>161</v>
      </c>
      <c r="M25" s="167" t="s">
        <v>340</v>
      </c>
      <c r="N25" s="167" t="s">
        <v>894</v>
      </c>
      <c r="O25" s="12" t="str">
        <f>_xlfn.DISPIMG("ID_85B3DA5A290A4196889B653600FB42ED",1)</f>
        <v>=DISPIMG("ID_85B3DA5A290A4196889B653600FB42ED",1)</v>
      </c>
      <c r="P25" s="11" t="s">
        <v>895</v>
      </c>
      <c r="Q25" s="11">
        <v>89</v>
      </c>
      <c r="R25" s="17" t="s">
        <v>4338</v>
      </c>
      <c r="S25" s="94" t="s">
        <v>36</v>
      </c>
      <c r="T25" s="11">
        <v>23</v>
      </c>
    </row>
    <row r="26" s="3" customFormat="1" customHeight="1" spans="1:20">
      <c r="A26" s="167" t="s">
        <v>924</v>
      </c>
      <c r="B26" s="167" t="s">
        <v>165</v>
      </c>
      <c r="C26" s="167" t="s">
        <v>925</v>
      </c>
      <c r="D26" s="11">
        <v>13979203425</v>
      </c>
      <c r="E26" s="167" t="s">
        <v>278</v>
      </c>
      <c r="F26" s="167" t="s">
        <v>28</v>
      </c>
      <c r="G26" s="11">
        <v>202103001</v>
      </c>
      <c r="H26" s="167" t="s">
        <v>585</v>
      </c>
      <c r="I26" s="167" t="s">
        <v>927</v>
      </c>
      <c r="J26" s="167" t="s">
        <v>928</v>
      </c>
      <c r="K26" s="167" t="s">
        <v>170</v>
      </c>
      <c r="L26" s="167" t="s">
        <v>349</v>
      </c>
      <c r="M26" s="167" t="s">
        <v>376</v>
      </c>
      <c r="N26" s="167" t="s">
        <v>929</v>
      </c>
      <c r="O26" s="12" t="str">
        <f>_xlfn.DISPIMG("ID_8862CF8F67E94F49BA25AF43C58A74CB",1)</f>
        <v>=DISPIMG("ID_8862CF8F67E94F49BA25AF43C58A74CB",1)</v>
      </c>
      <c r="P26" s="11" t="s">
        <v>930</v>
      </c>
      <c r="Q26" s="11">
        <v>93</v>
      </c>
      <c r="R26" s="17" t="s">
        <v>4339</v>
      </c>
      <c r="S26" s="94" t="s">
        <v>36</v>
      </c>
      <c r="T26" s="11">
        <v>26</v>
      </c>
    </row>
    <row r="27" s="3" customFormat="1" customHeight="1" spans="1:20">
      <c r="A27" s="167" t="s">
        <v>957</v>
      </c>
      <c r="B27" s="167" t="s">
        <v>165</v>
      </c>
      <c r="C27" s="167" t="s">
        <v>958</v>
      </c>
      <c r="D27" s="11">
        <v>15579232085</v>
      </c>
      <c r="E27" s="167" t="s">
        <v>278</v>
      </c>
      <c r="F27" s="167" t="s">
        <v>28</v>
      </c>
      <c r="G27" s="11">
        <v>202103001</v>
      </c>
      <c r="H27" s="167" t="s">
        <v>279</v>
      </c>
      <c r="I27" s="167" t="s">
        <v>367</v>
      </c>
      <c r="J27" s="167" t="s">
        <v>960</v>
      </c>
      <c r="K27" s="167" t="s">
        <v>160</v>
      </c>
      <c r="L27" s="167" t="s">
        <v>261</v>
      </c>
      <c r="M27" s="167" t="s">
        <v>961</v>
      </c>
      <c r="N27" s="11">
        <v>0</v>
      </c>
      <c r="O27" s="12" t="str">
        <f>_xlfn.DISPIMG("ID_4CCFD0700027401988C293FD5FDA33FE",1)</f>
        <v>=DISPIMG("ID_4CCFD0700027401988C293FD5FDA33FE",1)</v>
      </c>
      <c r="P27" s="11" t="s">
        <v>962</v>
      </c>
      <c r="Q27" s="11">
        <v>97</v>
      </c>
      <c r="R27" s="17" t="s">
        <v>4340</v>
      </c>
      <c r="S27" s="94" t="s">
        <v>36</v>
      </c>
      <c r="T27" s="11">
        <v>1</v>
      </c>
    </row>
    <row r="28" s="3" customFormat="1" customHeight="1" spans="1:20">
      <c r="A28" s="167" t="s">
        <v>1010</v>
      </c>
      <c r="B28" s="167" t="s">
        <v>165</v>
      </c>
      <c r="C28" s="167" t="s">
        <v>1011</v>
      </c>
      <c r="D28" s="11">
        <v>13065115241</v>
      </c>
      <c r="E28" s="167" t="s">
        <v>278</v>
      </c>
      <c r="F28" s="167" t="s">
        <v>28</v>
      </c>
      <c r="G28" s="11">
        <v>202103001</v>
      </c>
      <c r="H28" s="167" t="s">
        <v>279</v>
      </c>
      <c r="I28" s="167" t="s">
        <v>662</v>
      </c>
      <c r="J28" s="167" t="s">
        <v>280</v>
      </c>
      <c r="K28" s="167" t="s">
        <v>170</v>
      </c>
      <c r="L28" s="167" t="s">
        <v>161</v>
      </c>
      <c r="M28" s="167" t="s">
        <v>1013</v>
      </c>
      <c r="N28" s="167" t="s">
        <v>1014</v>
      </c>
      <c r="O28" s="12" t="str">
        <f>_xlfn.DISPIMG("ID_723B44C496604BFA92AC4D10BD64E9FC",1)</f>
        <v>=DISPIMG("ID_723B44C496604BFA92AC4D10BD64E9FC",1)</v>
      </c>
      <c r="P28" s="11" t="s">
        <v>1015</v>
      </c>
      <c r="Q28" s="11">
        <v>103</v>
      </c>
      <c r="R28" s="17" t="s">
        <v>4341</v>
      </c>
      <c r="S28" s="94" t="s">
        <v>36</v>
      </c>
      <c r="T28" s="11">
        <v>12</v>
      </c>
    </row>
    <row r="29" s="3" customFormat="1" customHeight="1" spans="1:20">
      <c r="A29" s="167" t="s">
        <v>1027</v>
      </c>
      <c r="B29" s="167" t="s">
        <v>165</v>
      </c>
      <c r="C29" s="167" t="s">
        <v>1028</v>
      </c>
      <c r="D29" s="11">
        <v>15579180298</v>
      </c>
      <c r="E29" s="167" t="s">
        <v>278</v>
      </c>
      <c r="F29" s="167" t="s">
        <v>28</v>
      </c>
      <c r="G29" s="11">
        <v>202103001</v>
      </c>
      <c r="H29" s="167" t="s">
        <v>279</v>
      </c>
      <c r="I29" s="167" t="s">
        <v>662</v>
      </c>
      <c r="J29" s="167" t="s">
        <v>280</v>
      </c>
      <c r="K29" s="167" t="s">
        <v>170</v>
      </c>
      <c r="L29" s="167" t="s">
        <v>161</v>
      </c>
      <c r="M29" s="167" t="s">
        <v>376</v>
      </c>
      <c r="N29" s="167" t="s">
        <v>1030</v>
      </c>
      <c r="O29" s="12" t="str">
        <f>_xlfn.DISPIMG("ID_1619E0FF3AE04637958459633AD8C1B8",1)</f>
        <v>=DISPIMG("ID_1619E0FF3AE04637958459633AD8C1B8",1)</v>
      </c>
      <c r="P29" s="11" t="s">
        <v>1031</v>
      </c>
      <c r="Q29" s="11">
        <v>105</v>
      </c>
      <c r="R29" s="17" t="s">
        <v>4342</v>
      </c>
      <c r="S29" s="94" t="s">
        <v>36</v>
      </c>
      <c r="T29" s="11">
        <v>13</v>
      </c>
    </row>
    <row r="30" s="3" customFormat="1" customHeight="1" spans="1:20">
      <c r="A30" s="167" t="s">
        <v>1043</v>
      </c>
      <c r="B30" s="167" t="s">
        <v>165</v>
      </c>
      <c r="C30" s="167" t="s">
        <v>1044</v>
      </c>
      <c r="D30" s="11">
        <v>13257081497</v>
      </c>
      <c r="E30" s="167" t="s">
        <v>278</v>
      </c>
      <c r="F30" s="167" t="s">
        <v>28</v>
      </c>
      <c r="G30" s="11">
        <v>202103001</v>
      </c>
      <c r="H30" s="167" t="s">
        <v>279</v>
      </c>
      <c r="I30" s="167" t="s">
        <v>515</v>
      </c>
      <c r="J30" s="167" t="s">
        <v>280</v>
      </c>
      <c r="K30" s="167" t="s">
        <v>170</v>
      </c>
      <c r="L30" s="167" t="s">
        <v>216</v>
      </c>
      <c r="M30" s="167" t="s">
        <v>28</v>
      </c>
      <c r="N30" s="167" t="s">
        <v>1046</v>
      </c>
      <c r="O30" s="12" t="str">
        <f>_xlfn.DISPIMG("ID_95C77A057E51453F847E60BE7A6D3C93",1)</f>
        <v>=DISPIMG("ID_95C77A057E51453F847E60BE7A6D3C93",1)</v>
      </c>
      <c r="P30" s="11" t="s">
        <v>1047</v>
      </c>
      <c r="Q30" s="11">
        <v>107</v>
      </c>
      <c r="R30" s="17" t="s">
        <v>4343</v>
      </c>
      <c r="S30" s="94" t="s">
        <v>36</v>
      </c>
      <c r="T30" s="11">
        <v>24</v>
      </c>
    </row>
    <row r="31" s="3" customFormat="1" customHeight="1" spans="1:20">
      <c r="A31" s="167" t="s">
        <v>1094</v>
      </c>
      <c r="B31" s="167" t="s">
        <v>165</v>
      </c>
      <c r="C31" s="167" t="s">
        <v>1095</v>
      </c>
      <c r="D31" s="11">
        <v>18279284539</v>
      </c>
      <c r="E31" s="167" t="s">
        <v>278</v>
      </c>
      <c r="F31" s="167" t="s">
        <v>28</v>
      </c>
      <c r="G31" s="11">
        <v>202103001</v>
      </c>
      <c r="H31" s="167" t="s">
        <v>279</v>
      </c>
      <c r="I31" s="167" t="s">
        <v>1097</v>
      </c>
      <c r="J31" s="167" t="s">
        <v>280</v>
      </c>
      <c r="K31" s="167" t="s">
        <v>170</v>
      </c>
      <c r="L31" s="167" t="s">
        <v>455</v>
      </c>
      <c r="M31" s="167" t="s">
        <v>1098</v>
      </c>
      <c r="N31" s="11">
        <v>0</v>
      </c>
      <c r="O31" s="12" t="str">
        <f>_xlfn.DISPIMG("ID_FAFFBB147A2A46E5B294F9119A127E5F",1)</f>
        <v>=DISPIMG("ID_FAFFBB147A2A46E5B294F9119A127E5F",1)</v>
      </c>
      <c r="P31" s="11" t="s">
        <v>1099</v>
      </c>
      <c r="Q31" s="11">
        <v>114</v>
      </c>
      <c r="R31" s="17" t="s">
        <v>4344</v>
      </c>
      <c r="S31" s="94" t="s">
        <v>36</v>
      </c>
      <c r="T31" s="11">
        <v>25</v>
      </c>
    </row>
    <row r="32" s="3" customFormat="1" customHeight="1" spans="1:20">
      <c r="A32" s="167" t="s">
        <v>1218</v>
      </c>
      <c r="B32" s="167" t="s">
        <v>165</v>
      </c>
      <c r="C32" s="167" t="s">
        <v>1219</v>
      </c>
      <c r="D32" s="11">
        <v>17679241558</v>
      </c>
      <c r="E32" s="167" t="s">
        <v>278</v>
      </c>
      <c r="F32" s="167" t="s">
        <v>28</v>
      </c>
      <c r="G32" s="11">
        <v>202103001</v>
      </c>
      <c r="H32" s="167" t="s">
        <v>279</v>
      </c>
      <c r="I32" s="167" t="s">
        <v>1221</v>
      </c>
      <c r="J32" s="167" t="s">
        <v>280</v>
      </c>
      <c r="K32" s="167" t="s">
        <v>170</v>
      </c>
      <c r="L32" s="167" t="s">
        <v>161</v>
      </c>
      <c r="M32" s="167" t="s">
        <v>1222</v>
      </c>
      <c r="N32" s="167" t="s">
        <v>1223</v>
      </c>
      <c r="O32" s="12" t="str">
        <f>_xlfn.DISPIMG("ID_9D5D5082709049DE9F85EE45C9D21765",1)</f>
        <v>=DISPIMG("ID_9D5D5082709049DE9F85EE45C9D21765",1)</v>
      </c>
      <c r="P32" s="11" t="s">
        <v>1224</v>
      </c>
      <c r="Q32" s="11">
        <v>129</v>
      </c>
      <c r="R32" s="17" t="s">
        <v>4345</v>
      </c>
      <c r="S32" s="18" t="s">
        <v>38</v>
      </c>
      <c r="T32" s="11">
        <v>6</v>
      </c>
    </row>
    <row r="33" s="3" customFormat="1" customHeight="1" spans="1:20">
      <c r="A33" s="167" t="s">
        <v>1234</v>
      </c>
      <c r="B33" s="167" t="s">
        <v>165</v>
      </c>
      <c r="C33" s="167" t="s">
        <v>1235</v>
      </c>
      <c r="D33" s="11">
        <v>18870682713</v>
      </c>
      <c r="E33" s="167" t="s">
        <v>278</v>
      </c>
      <c r="F33" s="167" t="s">
        <v>28</v>
      </c>
      <c r="G33" s="11">
        <v>202103001</v>
      </c>
      <c r="H33" s="167" t="s">
        <v>279</v>
      </c>
      <c r="I33" s="167" t="s">
        <v>1237</v>
      </c>
      <c r="J33" s="167" t="s">
        <v>280</v>
      </c>
      <c r="K33" s="167" t="s">
        <v>170</v>
      </c>
      <c r="L33" s="167" t="s">
        <v>161</v>
      </c>
      <c r="M33" s="167" t="s">
        <v>340</v>
      </c>
      <c r="N33" s="167" t="s">
        <v>1238</v>
      </c>
      <c r="O33" s="12" t="str">
        <f>_xlfn.DISPIMG("ID_BE82B2F060544F05BBDE4FAB7F0C0521",1)</f>
        <v>=DISPIMG("ID_BE82B2F060544F05BBDE4FAB7F0C0521",1)</v>
      </c>
      <c r="P33" s="11" t="s">
        <v>1239</v>
      </c>
      <c r="Q33" s="11">
        <v>131</v>
      </c>
      <c r="R33" s="17" t="s">
        <v>4346</v>
      </c>
      <c r="S33" s="18" t="s">
        <v>38</v>
      </c>
      <c r="T33" s="11">
        <v>7</v>
      </c>
    </row>
    <row r="34" s="3" customFormat="1" customHeight="1" spans="1:20">
      <c r="A34" s="167" t="s">
        <v>1242</v>
      </c>
      <c r="B34" s="167" t="s">
        <v>165</v>
      </c>
      <c r="C34" s="167" t="s">
        <v>1243</v>
      </c>
      <c r="D34" s="11">
        <v>18870899233</v>
      </c>
      <c r="E34" s="167" t="s">
        <v>278</v>
      </c>
      <c r="F34" s="167" t="s">
        <v>28</v>
      </c>
      <c r="G34" s="11">
        <v>202103001</v>
      </c>
      <c r="H34" s="167" t="s">
        <v>279</v>
      </c>
      <c r="I34" s="167" t="s">
        <v>1237</v>
      </c>
      <c r="J34" s="167" t="s">
        <v>280</v>
      </c>
      <c r="K34" s="167" t="s">
        <v>170</v>
      </c>
      <c r="L34" s="167" t="s">
        <v>161</v>
      </c>
      <c r="M34" s="167" t="s">
        <v>340</v>
      </c>
      <c r="N34" s="167" t="s">
        <v>1245</v>
      </c>
      <c r="O34" s="12" t="str">
        <f>_xlfn.DISPIMG("ID_1047B30E34C949B594403C816BBC2C68",1)</f>
        <v>=DISPIMG("ID_1047B30E34C949B594403C816BBC2C68",1)</v>
      </c>
      <c r="P34" s="11" t="s">
        <v>1246</v>
      </c>
      <c r="Q34" s="11">
        <v>132</v>
      </c>
      <c r="R34" s="17" t="s">
        <v>4347</v>
      </c>
      <c r="S34" s="18" t="s">
        <v>38</v>
      </c>
      <c r="T34" s="11">
        <v>18</v>
      </c>
    </row>
    <row r="35" s="3" customFormat="1" customHeight="1" spans="1:20">
      <c r="A35" s="167" t="s">
        <v>1249</v>
      </c>
      <c r="B35" s="167" t="s">
        <v>153</v>
      </c>
      <c r="C35" s="167" t="s">
        <v>1250</v>
      </c>
      <c r="D35" s="11">
        <v>13687914090</v>
      </c>
      <c r="E35" s="167" t="s">
        <v>278</v>
      </c>
      <c r="F35" s="167" t="s">
        <v>28</v>
      </c>
      <c r="G35" s="11">
        <v>202103001</v>
      </c>
      <c r="H35" s="167" t="s">
        <v>279</v>
      </c>
      <c r="I35" s="167" t="s">
        <v>515</v>
      </c>
      <c r="J35" s="167" t="s">
        <v>280</v>
      </c>
      <c r="K35" s="167" t="s">
        <v>170</v>
      </c>
      <c r="L35" s="167" t="s">
        <v>541</v>
      </c>
      <c r="M35" s="167" t="s">
        <v>376</v>
      </c>
      <c r="N35" s="11">
        <v>0</v>
      </c>
      <c r="O35" s="12" t="str">
        <f>_xlfn.DISPIMG("ID_42B7E9B54AA84CB08052198053CBAE81",1)</f>
        <v>=DISPIMG("ID_42B7E9B54AA84CB08052198053CBAE81",1)</v>
      </c>
      <c r="P35" s="11" t="s">
        <v>1252</v>
      </c>
      <c r="Q35" s="11">
        <v>133</v>
      </c>
      <c r="R35" s="17" t="s">
        <v>4348</v>
      </c>
      <c r="S35" s="18" t="s">
        <v>38</v>
      </c>
      <c r="T35" s="11">
        <v>19</v>
      </c>
    </row>
    <row r="36" s="3" customFormat="1" customHeight="1" spans="1:20">
      <c r="A36" s="167" t="s">
        <v>1280</v>
      </c>
      <c r="B36" s="167" t="s">
        <v>165</v>
      </c>
      <c r="C36" s="167" t="s">
        <v>1281</v>
      </c>
      <c r="D36" s="11">
        <v>15779415003</v>
      </c>
      <c r="E36" s="167" t="s">
        <v>278</v>
      </c>
      <c r="F36" s="167" t="s">
        <v>28</v>
      </c>
      <c r="G36" s="11">
        <v>202103001</v>
      </c>
      <c r="H36" s="167" t="s">
        <v>279</v>
      </c>
      <c r="I36" s="167" t="s">
        <v>367</v>
      </c>
      <c r="J36" s="167" t="s">
        <v>280</v>
      </c>
      <c r="K36" s="167" t="s">
        <v>170</v>
      </c>
      <c r="L36" s="167" t="s">
        <v>368</v>
      </c>
      <c r="M36" s="167" t="s">
        <v>340</v>
      </c>
      <c r="N36" s="167" t="s">
        <v>1283</v>
      </c>
      <c r="O36" s="12" t="str">
        <f>_xlfn.DISPIMG("ID_7CFB1AF7BB454AE0866D54E1D87E03E1",1)</f>
        <v>=DISPIMG("ID_7CFB1AF7BB454AE0866D54E1D87E03E1",1)</v>
      </c>
      <c r="P36" s="11" t="s">
        <v>1284</v>
      </c>
      <c r="Q36" s="11">
        <v>138</v>
      </c>
      <c r="R36" s="17" t="s">
        <v>4349</v>
      </c>
      <c r="S36" s="18" t="s">
        <v>38</v>
      </c>
      <c r="T36" s="11">
        <v>30</v>
      </c>
    </row>
    <row r="37" s="4" customFormat="1" customHeight="1" spans="1:20">
      <c r="A37" s="167" t="s">
        <v>1286</v>
      </c>
      <c r="B37" s="167" t="s">
        <v>165</v>
      </c>
      <c r="C37" s="167" t="s">
        <v>1287</v>
      </c>
      <c r="D37" s="11">
        <v>18296159811</v>
      </c>
      <c r="E37" s="167" t="s">
        <v>278</v>
      </c>
      <c r="F37" s="167" t="s">
        <v>28</v>
      </c>
      <c r="G37" s="11">
        <v>202103001</v>
      </c>
      <c r="H37" s="167" t="s">
        <v>279</v>
      </c>
      <c r="I37" s="167" t="s">
        <v>1289</v>
      </c>
      <c r="J37" s="167" t="s">
        <v>280</v>
      </c>
      <c r="K37" s="167" t="s">
        <v>170</v>
      </c>
      <c r="L37" s="167" t="s">
        <v>216</v>
      </c>
      <c r="M37" s="167" t="s">
        <v>960</v>
      </c>
      <c r="N37" s="167" t="s">
        <v>1290</v>
      </c>
      <c r="O37" s="12" t="str">
        <f>_xlfn.DISPIMG("ID_FACC95E727304010BE372974F21E9256",1)</f>
        <v>=DISPIMG("ID_FACC95E727304010BE372974F21E9256",1)</v>
      </c>
      <c r="P37" s="11" t="s">
        <v>1291</v>
      </c>
      <c r="Q37" s="11">
        <v>139</v>
      </c>
      <c r="R37" s="17" t="s">
        <v>4350</v>
      </c>
      <c r="S37" s="18" t="s">
        <v>38</v>
      </c>
      <c r="T37" s="11">
        <v>5</v>
      </c>
    </row>
    <row r="38" s="5" customFormat="1" customHeight="1" spans="1:20">
      <c r="A38" s="167" t="s">
        <v>1344</v>
      </c>
      <c r="B38" s="167" t="s">
        <v>165</v>
      </c>
      <c r="C38" s="167" t="s">
        <v>1345</v>
      </c>
      <c r="D38" s="11">
        <v>15179298712</v>
      </c>
      <c r="E38" s="167" t="s">
        <v>278</v>
      </c>
      <c r="F38" s="167" t="s">
        <v>28</v>
      </c>
      <c r="G38" s="11">
        <v>202103001</v>
      </c>
      <c r="H38" s="167" t="s">
        <v>279</v>
      </c>
      <c r="I38" s="167" t="s">
        <v>158</v>
      </c>
      <c r="J38" s="167" t="s">
        <v>179</v>
      </c>
      <c r="K38" s="167" t="s">
        <v>170</v>
      </c>
      <c r="L38" s="167" t="s">
        <v>1346</v>
      </c>
      <c r="M38" s="167" t="s">
        <v>1013</v>
      </c>
      <c r="N38" s="11">
        <v>0</v>
      </c>
      <c r="O38" s="12" t="str">
        <f>_xlfn.DISPIMG("ID_249FF3C1A0EA4CE88757DD6F52651ECC",1)</f>
        <v>=DISPIMG("ID_249FF3C1A0EA4CE88757DD6F52651ECC",1)</v>
      </c>
      <c r="P38" s="11" t="s">
        <v>1347</v>
      </c>
      <c r="Q38" s="11">
        <v>146</v>
      </c>
      <c r="R38" s="17" t="s">
        <v>4351</v>
      </c>
      <c r="S38" s="18" t="s">
        <v>38</v>
      </c>
      <c r="T38" s="11">
        <v>8</v>
      </c>
    </row>
    <row r="39" s="3" customFormat="1" customHeight="1" spans="1:20">
      <c r="A39" s="167" t="s">
        <v>1327</v>
      </c>
      <c r="B39" s="167" t="s">
        <v>165</v>
      </c>
      <c r="C39" s="167" t="s">
        <v>1328</v>
      </c>
      <c r="D39" s="11">
        <v>15870865214</v>
      </c>
      <c r="E39" s="167" t="s">
        <v>278</v>
      </c>
      <c r="F39" s="167" t="s">
        <v>28</v>
      </c>
      <c r="G39" s="11">
        <v>202103001</v>
      </c>
      <c r="H39" s="167" t="s">
        <v>279</v>
      </c>
      <c r="I39" s="167" t="s">
        <v>1330</v>
      </c>
      <c r="J39" s="167" t="s">
        <v>1331</v>
      </c>
      <c r="K39" s="167" t="s">
        <v>160</v>
      </c>
      <c r="L39" s="167" t="s">
        <v>368</v>
      </c>
      <c r="M39" s="167" t="s">
        <v>1418</v>
      </c>
      <c r="N39" s="11">
        <v>0</v>
      </c>
      <c r="O39" s="12" t="str">
        <f>_xlfn.DISPIMG("ID_042121583D6C4BE29ACF5C4CE545F254",1)</f>
        <v>=DISPIMG("ID_042121583D6C4BE29ACF5C4CE545F254",1)</v>
      </c>
      <c r="P39" s="11" t="s">
        <v>1333</v>
      </c>
      <c r="Q39" s="11">
        <v>156</v>
      </c>
      <c r="R39" s="17" t="s">
        <v>4352</v>
      </c>
      <c r="S39" s="18" t="s">
        <v>38</v>
      </c>
      <c r="T39" s="11">
        <v>17</v>
      </c>
    </row>
    <row r="40" s="3" customFormat="1" customHeight="1" spans="1:20">
      <c r="A40" s="167" t="s">
        <v>1446</v>
      </c>
      <c r="B40" s="167" t="s">
        <v>165</v>
      </c>
      <c r="C40" s="167" t="s">
        <v>1447</v>
      </c>
      <c r="D40" s="11">
        <v>13970292674</v>
      </c>
      <c r="E40" s="167" t="s">
        <v>278</v>
      </c>
      <c r="F40" s="167" t="s">
        <v>28</v>
      </c>
      <c r="G40" s="11">
        <v>202103001</v>
      </c>
      <c r="H40" s="167" t="s">
        <v>585</v>
      </c>
      <c r="I40" s="167" t="s">
        <v>367</v>
      </c>
      <c r="J40" s="167" t="s">
        <v>280</v>
      </c>
      <c r="K40" s="167" t="s">
        <v>170</v>
      </c>
      <c r="L40" s="167" t="s">
        <v>306</v>
      </c>
      <c r="M40" s="167" t="s">
        <v>1449</v>
      </c>
      <c r="N40" s="167" t="s">
        <v>1450</v>
      </c>
      <c r="O40" s="12" t="str">
        <f>_xlfn.DISPIMG("ID_C58710654847468A83F51047999B3A07",1)</f>
        <v>=DISPIMG("ID_C58710654847468A83F51047999B3A07",1)</v>
      </c>
      <c r="P40" s="11" t="s">
        <v>1451</v>
      </c>
      <c r="Q40" s="11">
        <v>160</v>
      </c>
      <c r="R40" s="17" t="s">
        <v>4353</v>
      </c>
      <c r="S40" s="18" t="s">
        <v>38</v>
      </c>
      <c r="T40" s="11">
        <v>20</v>
      </c>
    </row>
    <row r="41" s="3" customFormat="1" customHeight="1" spans="1:20">
      <c r="A41" s="167" t="s">
        <v>1454</v>
      </c>
      <c r="B41" s="167" t="s">
        <v>165</v>
      </c>
      <c r="C41" s="167" t="s">
        <v>1455</v>
      </c>
      <c r="D41" s="11">
        <v>15679261175</v>
      </c>
      <c r="E41" s="167" t="s">
        <v>278</v>
      </c>
      <c r="F41" s="167" t="s">
        <v>28</v>
      </c>
      <c r="G41" s="11">
        <v>202103001</v>
      </c>
      <c r="H41" s="167" t="s">
        <v>157</v>
      </c>
      <c r="I41" s="167" t="s">
        <v>1457</v>
      </c>
      <c r="J41" s="167" t="s">
        <v>280</v>
      </c>
      <c r="K41" s="167" t="s">
        <v>160</v>
      </c>
      <c r="L41" s="167" t="s">
        <v>368</v>
      </c>
      <c r="M41" s="167" t="s">
        <v>1458</v>
      </c>
      <c r="N41" s="167" t="s">
        <v>1459</v>
      </c>
      <c r="O41" s="12" t="str">
        <f>_xlfn.DISPIMG("ID_B3F35F8B340047F693855C9AE3461262",1)</f>
        <v>=DISPIMG("ID_B3F35F8B340047F693855C9AE3461262",1)</v>
      </c>
      <c r="P41" s="11" t="s">
        <v>1460</v>
      </c>
      <c r="Q41" s="11">
        <v>161</v>
      </c>
      <c r="R41" s="17" t="s">
        <v>4354</v>
      </c>
      <c r="S41" s="18" t="s">
        <v>38</v>
      </c>
      <c r="T41" s="11">
        <v>29</v>
      </c>
    </row>
    <row r="42" s="3" customFormat="1" customHeight="1" spans="1:20">
      <c r="A42" s="167" t="s">
        <v>1520</v>
      </c>
      <c r="B42" s="167" t="s">
        <v>165</v>
      </c>
      <c r="C42" s="167" t="s">
        <v>1521</v>
      </c>
      <c r="D42" s="11">
        <v>18370105501</v>
      </c>
      <c r="E42" s="167" t="s">
        <v>278</v>
      </c>
      <c r="F42" s="167" t="s">
        <v>28</v>
      </c>
      <c r="G42" s="11">
        <v>202103001</v>
      </c>
      <c r="H42" s="167" t="s">
        <v>279</v>
      </c>
      <c r="I42" s="167" t="s">
        <v>1523</v>
      </c>
      <c r="J42" s="167" t="s">
        <v>280</v>
      </c>
      <c r="K42" s="167" t="s">
        <v>170</v>
      </c>
      <c r="L42" s="167" t="s">
        <v>235</v>
      </c>
      <c r="M42" s="167" t="s">
        <v>28</v>
      </c>
      <c r="N42" s="167" t="s">
        <v>1524</v>
      </c>
      <c r="O42" s="12" t="str">
        <f>_xlfn.DISPIMG("ID_289CC567200648A4AB5780D725CC9684",1)</f>
        <v>=DISPIMG("ID_289CC567200648A4AB5780D725CC9684",1)</v>
      </c>
      <c r="P42" s="11" t="s">
        <v>1525</v>
      </c>
      <c r="Q42" s="11">
        <v>169</v>
      </c>
      <c r="R42" s="17" t="s">
        <v>4355</v>
      </c>
      <c r="S42" s="18" t="s">
        <v>38</v>
      </c>
      <c r="T42" s="11">
        <v>4</v>
      </c>
    </row>
    <row r="43" s="3" customFormat="1" customHeight="1" spans="1:20">
      <c r="A43" s="167" t="s">
        <v>1535</v>
      </c>
      <c r="B43" s="167" t="s">
        <v>165</v>
      </c>
      <c r="C43" s="167" t="s">
        <v>1536</v>
      </c>
      <c r="D43" s="11">
        <v>17779207332</v>
      </c>
      <c r="E43" s="167" t="s">
        <v>278</v>
      </c>
      <c r="F43" s="167" t="s">
        <v>28</v>
      </c>
      <c r="G43" s="11">
        <v>202103001</v>
      </c>
      <c r="H43" s="167" t="s">
        <v>279</v>
      </c>
      <c r="I43" s="167" t="s">
        <v>765</v>
      </c>
      <c r="J43" s="167" t="s">
        <v>280</v>
      </c>
      <c r="K43" s="167" t="s">
        <v>170</v>
      </c>
      <c r="L43" s="167" t="s">
        <v>235</v>
      </c>
      <c r="M43" s="167" t="s">
        <v>517</v>
      </c>
      <c r="N43" s="167" t="s">
        <v>1538</v>
      </c>
      <c r="O43" s="12" t="str">
        <f>_xlfn.DISPIMG("ID_E53DAA599F9A40239F1135427FCA9C4F",1)</f>
        <v>=DISPIMG("ID_E53DAA599F9A40239F1135427FCA9C4F",1)</v>
      </c>
      <c r="P43" s="11" t="s">
        <v>1539</v>
      </c>
      <c r="Q43" s="11">
        <v>171</v>
      </c>
      <c r="R43" s="17" t="s">
        <v>4356</v>
      </c>
      <c r="S43" s="18" t="s">
        <v>38</v>
      </c>
      <c r="T43" s="11">
        <v>9</v>
      </c>
    </row>
    <row r="44" s="3" customFormat="1" customHeight="1" spans="1:20">
      <c r="A44" s="167" t="s">
        <v>1559</v>
      </c>
      <c r="B44" s="167" t="s">
        <v>165</v>
      </c>
      <c r="C44" s="167" t="s">
        <v>1560</v>
      </c>
      <c r="D44" s="11">
        <v>18720242536</v>
      </c>
      <c r="E44" s="167" t="s">
        <v>278</v>
      </c>
      <c r="F44" s="167" t="s">
        <v>28</v>
      </c>
      <c r="G44" s="11">
        <v>202103001</v>
      </c>
      <c r="H44" s="167" t="s">
        <v>279</v>
      </c>
      <c r="I44" s="167" t="s">
        <v>876</v>
      </c>
      <c r="J44" s="167" t="s">
        <v>960</v>
      </c>
      <c r="K44" s="167" t="s">
        <v>170</v>
      </c>
      <c r="L44" s="167" t="s">
        <v>171</v>
      </c>
      <c r="M44" s="167" t="s">
        <v>340</v>
      </c>
      <c r="N44" s="167" t="s">
        <v>1562</v>
      </c>
      <c r="O44" s="12" t="str">
        <f>_xlfn.DISPIMG("ID_9804FB5AA98E4D44BBA382539FDAF7F0",1)</f>
        <v>=DISPIMG("ID_9804FB5AA98E4D44BBA382539FDAF7F0",1)</v>
      </c>
      <c r="P44" s="11" t="s">
        <v>1563</v>
      </c>
      <c r="Q44" s="11">
        <v>174</v>
      </c>
      <c r="R44" s="17" t="s">
        <v>4357</v>
      </c>
      <c r="S44" s="18" t="s">
        <v>38</v>
      </c>
      <c r="T44" s="11">
        <v>16</v>
      </c>
    </row>
    <row r="45" s="3" customFormat="1" customHeight="1" spans="1:20">
      <c r="A45" s="167" t="s">
        <v>1665</v>
      </c>
      <c r="B45" s="167" t="s">
        <v>165</v>
      </c>
      <c r="C45" s="167" t="s">
        <v>1666</v>
      </c>
      <c r="D45" s="11">
        <v>19126781619</v>
      </c>
      <c r="E45" s="167" t="s">
        <v>278</v>
      </c>
      <c r="F45" s="167" t="s">
        <v>28</v>
      </c>
      <c r="G45" s="11">
        <v>202103001</v>
      </c>
      <c r="H45" s="167" t="s">
        <v>585</v>
      </c>
      <c r="I45" s="167" t="s">
        <v>168</v>
      </c>
      <c r="J45" s="167" t="s">
        <v>280</v>
      </c>
      <c r="K45" s="167" t="s">
        <v>170</v>
      </c>
      <c r="L45" s="167" t="s">
        <v>548</v>
      </c>
      <c r="M45" s="167" t="s">
        <v>376</v>
      </c>
      <c r="N45" s="167" t="s">
        <v>1668</v>
      </c>
      <c r="O45" s="12" t="str">
        <f>_xlfn.DISPIMG("ID_B5AB63FC8A81490B8ED2FED7AE302A44",1)</f>
        <v>=DISPIMG("ID_B5AB63FC8A81490B8ED2FED7AE302A44",1)</v>
      </c>
      <c r="P45" s="11" t="s">
        <v>1669</v>
      </c>
      <c r="Q45" s="11">
        <v>188</v>
      </c>
      <c r="R45" s="17" t="s">
        <v>4358</v>
      </c>
      <c r="S45" s="18" t="s">
        <v>38</v>
      </c>
      <c r="T45" s="11">
        <v>21</v>
      </c>
    </row>
    <row r="46" s="3" customFormat="1" customHeight="1" spans="1:20">
      <c r="A46" s="167" t="s">
        <v>1681</v>
      </c>
      <c r="B46" s="167" t="s">
        <v>165</v>
      </c>
      <c r="C46" s="167" t="s">
        <v>1682</v>
      </c>
      <c r="D46" s="11">
        <v>15707021172</v>
      </c>
      <c r="E46" s="167" t="s">
        <v>278</v>
      </c>
      <c r="F46" s="167" t="s">
        <v>28</v>
      </c>
      <c r="G46" s="11">
        <v>202103001</v>
      </c>
      <c r="H46" s="167" t="s">
        <v>279</v>
      </c>
      <c r="I46" s="167" t="s">
        <v>367</v>
      </c>
      <c r="J46" s="167" t="s">
        <v>1684</v>
      </c>
      <c r="K46" s="167" t="s">
        <v>170</v>
      </c>
      <c r="L46" s="167" t="s">
        <v>368</v>
      </c>
      <c r="M46" s="167" t="s">
        <v>376</v>
      </c>
      <c r="N46" s="167" t="s">
        <v>1685</v>
      </c>
      <c r="O46" s="12" t="str">
        <f>_xlfn.DISPIMG("ID_F515C4DE5D464F10B51159D5558C7D1A",1)</f>
        <v>=DISPIMG("ID_F515C4DE5D464F10B51159D5558C7D1A",1)</v>
      </c>
      <c r="P46" s="11" t="s">
        <v>1686</v>
      </c>
      <c r="Q46" s="11">
        <v>190</v>
      </c>
      <c r="R46" s="17" t="s">
        <v>4359</v>
      </c>
      <c r="S46" s="18" t="s">
        <v>38</v>
      </c>
      <c r="T46" s="11">
        <v>28</v>
      </c>
    </row>
    <row r="47" s="3" customFormat="1" customHeight="1" spans="1:20">
      <c r="A47" s="167" t="s">
        <v>1751</v>
      </c>
      <c r="B47" s="167" t="s">
        <v>165</v>
      </c>
      <c r="C47" s="167" t="s">
        <v>1752</v>
      </c>
      <c r="D47" s="11">
        <v>18770825920</v>
      </c>
      <c r="E47" s="167" t="s">
        <v>278</v>
      </c>
      <c r="F47" s="167" t="s">
        <v>28</v>
      </c>
      <c r="G47" s="11">
        <v>202103001</v>
      </c>
      <c r="H47" s="167" t="s">
        <v>585</v>
      </c>
      <c r="I47" s="167" t="s">
        <v>367</v>
      </c>
      <c r="J47" s="167" t="s">
        <v>280</v>
      </c>
      <c r="K47" s="167" t="s">
        <v>160</v>
      </c>
      <c r="L47" s="167" t="s">
        <v>396</v>
      </c>
      <c r="M47" s="167" t="s">
        <v>1754</v>
      </c>
      <c r="N47" s="167" t="s">
        <v>1755</v>
      </c>
      <c r="O47" s="12" t="str">
        <f>_xlfn.DISPIMG("ID_11BD6E6070704D3C9E8B19CABEC53565",1)</f>
        <v>=DISPIMG("ID_11BD6E6070704D3C9E8B19CABEC53565",1)</v>
      </c>
      <c r="P47" s="11" t="s">
        <v>1756</v>
      </c>
      <c r="Q47" s="11">
        <v>199</v>
      </c>
      <c r="R47" s="17" t="s">
        <v>4360</v>
      </c>
      <c r="S47" s="18" t="s">
        <v>38</v>
      </c>
      <c r="T47" s="11">
        <v>3</v>
      </c>
    </row>
    <row r="48" s="3" customFormat="1" customHeight="1" spans="1:20">
      <c r="A48" s="167" t="s">
        <v>1773</v>
      </c>
      <c r="B48" s="167" t="s">
        <v>165</v>
      </c>
      <c r="C48" s="167" t="s">
        <v>1774</v>
      </c>
      <c r="D48" s="11">
        <v>15070865413</v>
      </c>
      <c r="E48" s="167" t="s">
        <v>278</v>
      </c>
      <c r="F48" s="167" t="s">
        <v>28</v>
      </c>
      <c r="G48" s="11">
        <v>202103001</v>
      </c>
      <c r="H48" s="167" t="s">
        <v>279</v>
      </c>
      <c r="I48" s="167" t="s">
        <v>662</v>
      </c>
      <c r="J48" s="167" t="s">
        <v>280</v>
      </c>
      <c r="K48" s="167" t="s">
        <v>170</v>
      </c>
      <c r="L48" s="167" t="s">
        <v>161</v>
      </c>
      <c r="M48" s="167" t="s">
        <v>1776</v>
      </c>
      <c r="N48" s="167" t="s">
        <v>1777</v>
      </c>
      <c r="O48" s="12" t="str">
        <f>_xlfn.DISPIMG("ID_870E78DB9450493E87561F4FC105D429",1)</f>
        <v>=DISPIMG("ID_870E78DB9450493E87561F4FC105D429",1)</v>
      </c>
      <c r="P48" s="11" t="s">
        <v>1778</v>
      </c>
      <c r="Q48" s="11">
        <v>202</v>
      </c>
      <c r="R48" s="17" t="s">
        <v>4361</v>
      </c>
      <c r="S48" s="18" t="s">
        <v>38</v>
      </c>
      <c r="T48" s="11">
        <v>10</v>
      </c>
    </row>
    <row r="49" s="3" customFormat="1" customHeight="1" spans="1:20">
      <c r="A49" s="167" t="s">
        <v>1814</v>
      </c>
      <c r="B49" s="167" t="s">
        <v>165</v>
      </c>
      <c r="C49" s="167" t="s">
        <v>1815</v>
      </c>
      <c r="D49" s="11">
        <v>15879170317</v>
      </c>
      <c r="E49" s="167" t="s">
        <v>278</v>
      </c>
      <c r="F49" s="167" t="s">
        <v>28</v>
      </c>
      <c r="G49" s="11">
        <v>202103001</v>
      </c>
      <c r="H49" s="167" t="s">
        <v>279</v>
      </c>
      <c r="I49" s="167" t="s">
        <v>732</v>
      </c>
      <c r="J49" s="167" t="s">
        <v>280</v>
      </c>
      <c r="K49" s="167" t="s">
        <v>170</v>
      </c>
      <c r="L49" s="167" t="s">
        <v>306</v>
      </c>
      <c r="M49" s="167" t="s">
        <v>1013</v>
      </c>
      <c r="N49" s="167" t="s">
        <v>1817</v>
      </c>
      <c r="O49" s="12" t="str">
        <f>_xlfn.DISPIMG("ID_6DE4E02A017F4BA2AD59ACE3034B4E4E",1)</f>
        <v>=DISPIMG("ID_6DE4E02A017F4BA2AD59ACE3034B4E4E",1)</v>
      </c>
      <c r="P49" s="11" t="s">
        <v>1818</v>
      </c>
      <c r="Q49" s="11">
        <v>207</v>
      </c>
      <c r="R49" s="17" t="s">
        <v>4362</v>
      </c>
      <c r="S49" s="18" t="s">
        <v>38</v>
      </c>
      <c r="T49" s="11">
        <v>15</v>
      </c>
    </row>
    <row r="50" s="5" customFormat="1" customHeight="1" spans="1:20">
      <c r="A50" s="167" t="s">
        <v>1855</v>
      </c>
      <c r="B50" s="167" t="s">
        <v>165</v>
      </c>
      <c r="C50" s="167" t="s">
        <v>1856</v>
      </c>
      <c r="D50" s="11">
        <v>18070128291</v>
      </c>
      <c r="E50" s="167" t="s">
        <v>278</v>
      </c>
      <c r="F50" s="167" t="s">
        <v>28</v>
      </c>
      <c r="G50" s="11">
        <v>202103001</v>
      </c>
      <c r="H50" s="167" t="s">
        <v>279</v>
      </c>
      <c r="I50" s="167" t="s">
        <v>732</v>
      </c>
      <c r="J50" s="167" t="s">
        <v>1489</v>
      </c>
      <c r="K50" s="167" t="s">
        <v>170</v>
      </c>
      <c r="L50" s="167" t="s">
        <v>733</v>
      </c>
      <c r="M50" s="167" t="s">
        <v>517</v>
      </c>
      <c r="N50" s="167" t="s">
        <v>1858</v>
      </c>
      <c r="O50" s="12" t="str">
        <f>_xlfn.DISPIMG("ID_2E8A5FF2C7EA4CF3BCF137C2FDB07272",1)</f>
        <v>=DISPIMG("ID_2E8A5FF2C7EA4CF3BCF137C2FDB07272",1)</v>
      </c>
      <c r="P50" s="11" t="s">
        <v>1859</v>
      </c>
      <c r="Q50" s="11">
        <v>212</v>
      </c>
      <c r="R50" s="17" t="s">
        <v>4363</v>
      </c>
      <c r="S50" s="18" t="s">
        <v>38</v>
      </c>
      <c r="T50" s="11">
        <v>22</v>
      </c>
    </row>
    <row r="51" s="3" customFormat="1" customHeight="1" spans="1:20">
      <c r="A51" s="167" t="s">
        <v>1919</v>
      </c>
      <c r="B51" s="167" t="s">
        <v>153</v>
      </c>
      <c r="C51" s="167" t="s">
        <v>1920</v>
      </c>
      <c r="D51" s="11">
        <v>18046826639</v>
      </c>
      <c r="E51" s="167" t="s">
        <v>278</v>
      </c>
      <c r="F51" s="167" t="s">
        <v>28</v>
      </c>
      <c r="G51" s="11">
        <v>202103001</v>
      </c>
      <c r="H51" s="167" t="s">
        <v>279</v>
      </c>
      <c r="I51" s="167" t="s">
        <v>765</v>
      </c>
      <c r="J51" s="167" t="s">
        <v>280</v>
      </c>
      <c r="K51" s="167" t="s">
        <v>170</v>
      </c>
      <c r="L51" s="167" t="s">
        <v>455</v>
      </c>
      <c r="M51" s="167" t="s">
        <v>376</v>
      </c>
      <c r="N51" s="11">
        <v>0</v>
      </c>
      <c r="O51" s="12" t="str">
        <f>_xlfn.DISPIMG("ID_A79FF9B64919489DB578A9ECC96B1C96",1)</f>
        <v>=DISPIMG("ID_A79FF9B64919489DB578A9ECC96B1C96",1)</v>
      </c>
      <c r="P51" s="11" t="s">
        <v>1922</v>
      </c>
      <c r="Q51" s="11">
        <v>221</v>
      </c>
      <c r="R51" s="17" t="s">
        <v>4364</v>
      </c>
      <c r="S51" s="18" t="s">
        <v>38</v>
      </c>
      <c r="T51" s="11">
        <v>27</v>
      </c>
    </row>
    <row r="52" s="3" customFormat="1" customHeight="1" spans="1:20">
      <c r="A52" s="167" t="s">
        <v>1969</v>
      </c>
      <c r="B52" s="167" t="s">
        <v>165</v>
      </c>
      <c r="C52" s="167" t="s">
        <v>1970</v>
      </c>
      <c r="D52" s="11">
        <v>13767214799</v>
      </c>
      <c r="E52" s="167" t="s">
        <v>278</v>
      </c>
      <c r="F52" s="167" t="s">
        <v>28</v>
      </c>
      <c r="G52" s="11">
        <v>202103001</v>
      </c>
      <c r="H52" s="167" t="s">
        <v>279</v>
      </c>
      <c r="I52" s="167" t="s">
        <v>1972</v>
      </c>
      <c r="J52" s="167" t="s">
        <v>280</v>
      </c>
      <c r="K52" s="167" t="s">
        <v>170</v>
      </c>
      <c r="L52" s="167" t="s">
        <v>368</v>
      </c>
      <c r="M52" s="167" t="s">
        <v>121</v>
      </c>
      <c r="N52" s="167" t="s">
        <v>1973</v>
      </c>
      <c r="O52" s="12" t="str">
        <f>_xlfn.DISPIMG("ID_AAF95BF9A1304A0693E0346D90E4CF2C",1)</f>
        <v>=DISPIMG("ID_AAF95BF9A1304A0693E0346D90E4CF2C",1)</v>
      </c>
      <c r="P52" s="11" t="s">
        <v>1974</v>
      </c>
      <c r="Q52" s="11">
        <v>228</v>
      </c>
      <c r="R52" s="17" t="s">
        <v>4365</v>
      </c>
      <c r="S52" s="18" t="s">
        <v>38</v>
      </c>
      <c r="T52" s="11">
        <v>2</v>
      </c>
    </row>
    <row r="53" s="3" customFormat="1" customHeight="1" spans="1:20">
      <c r="A53" s="167" t="s">
        <v>2060</v>
      </c>
      <c r="B53" s="167" t="s">
        <v>165</v>
      </c>
      <c r="C53" s="167" t="s">
        <v>2061</v>
      </c>
      <c r="D53" s="11">
        <v>15112002923</v>
      </c>
      <c r="E53" s="167" t="s">
        <v>278</v>
      </c>
      <c r="F53" s="167" t="s">
        <v>28</v>
      </c>
      <c r="G53" s="11">
        <v>202103001</v>
      </c>
      <c r="H53" s="167" t="s">
        <v>157</v>
      </c>
      <c r="I53" s="167" t="s">
        <v>2063</v>
      </c>
      <c r="J53" s="167" t="s">
        <v>280</v>
      </c>
      <c r="K53" s="167" t="s">
        <v>170</v>
      </c>
      <c r="L53" s="167" t="s">
        <v>2064</v>
      </c>
      <c r="M53" s="167" t="s">
        <v>517</v>
      </c>
      <c r="N53" s="167" t="s">
        <v>2065</v>
      </c>
      <c r="O53" s="12" t="str">
        <f>_xlfn.DISPIMG("ID_BF9AE392AFDD4458A2909A9A2C941241",1)</f>
        <v>=DISPIMG("ID_BF9AE392AFDD4458A2909A9A2C941241",1)</v>
      </c>
      <c r="P53" s="11" t="s">
        <v>2066</v>
      </c>
      <c r="Q53" s="11">
        <v>240</v>
      </c>
      <c r="R53" s="17" t="s">
        <v>4366</v>
      </c>
      <c r="S53" s="18" t="s">
        <v>38</v>
      </c>
      <c r="T53" s="11">
        <v>11</v>
      </c>
    </row>
    <row r="54" s="3" customFormat="1" customHeight="1" spans="1:20">
      <c r="A54" s="167" t="s">
        <v>2083</v>
      </c>
      <c r="B54" s="167" t="s">
        <v>165</v>
      </c>
      <c r="C54" s="167" t="s">
        <v>2084</v>
      </c>
      <c r="D54" s="11">
        <v>18816407325</v>
      </c>
      <c r="E54" s="167" t="s">
        <v>278</v>
      </c>
      <c r="F54" s="167" t="s">
        <v>28</v>
      </c>
      <c r="G54" s="11">
        <v>202103001</v>
      </c>
      <c r="H54" s="167" t="s">
        <v>157</v>
      </c>
      <c r="I54" s="167" t="s">
        <v>1258</v>
      </c>
      <c r="J54" s="167" t="s">
        <v>280</v>
      </c>
      <c r="K54" s="167" t="s">
        <v>170</v>
      </c>
      <c r="L54" s="167" t="s">
        <v>180</v>
      </c>
      <c r="M54" s="167" t="s">
        <v>340</v>
      </c>
      <c r="N54" s="167" t="s">
        <v>2086</v>
      </c>
      <c r="O54" s="12" t="str">
        <f>_xlfn.DISPIMG("ID_B2FD46FB94FD4BE298F143BADCF00B8C",1)</f>
        <v>=DISPIMG("ID_B2FD46FB94FD4BE298F143BADCF00B8C",1)</v>
      </c>
      <c r="P54" s="11" t="s">
        <v>2087</v>
      </c>
      <c r="Q54" s="11">
        <v>243</v>
      </c>
      <c r="R54" s="17" t="s">
        <v>4367</v>
      </c>
      <c r="S54" s="18" t="s">
        <v>38</v>
      </c>
      <c r="T54" s="11">
        <v>14</v>
      </c>
    </row>
    <row r="55" s="3" customFormat="1" customHeight="1" spans="1:20">
      <c r="A55" s="167" t="s">
        <v>2098</v>
      </c>
      <c r="B55" s="167" t="s">
        <v>165</v>
      </c>
      <c r="C55" s="167" t="s">
        <v>2099</v>
      </c>
      <c r="D55" s="11">
        <v>18070222825</v>
      </c>
      <c r="E55" s="167" t="s">
        <v>278</v>
      </c>
      <c r="F55" s="167" t="s">
        <v>28</v>
      </c>
      <c r="G55" s="11">
        <v>202103001</v>
      </c>
      <c r="H55" s="167" t="s">
        <v>279</v>
      </c>
      <c r="I55" s="167" t="s">
        <v>732</v>
      </c>
      <c r="J55" s="167" t="s">
        <v>169</v>
      </c>
      <c r="K55" s="167" t="s">
        <v>170</v>
      </c>
      <c r="L55" s="167" t="s">
        <v>733</v>
      </c>
      <c r="M55" s="167" t="s">
        <v>517</v>
      </c>
      <c r="N55" s="167" t="s">
        <v>2101</v>
      </c>
      <c r="O55" s="12" t="str">
        <f>_xlfn.DISPIMG("ID_005BE0017F024C98A2D8AF15B9E0DE6A",1)</f>
        <v>=DISPIMG("ID_005BE0017F024C98A2D8AF15B9E0DE6A",1)</v>
      </c>
      <c r="P55" s="11" t="s">
        <v>2102</v>
      </c>
      <c r="Q55" s="11">
        <v>245</v>
      </c>
      <c r="R55" s="17" t="s">
        <v>4368</v>
      </c>
      <c r="S55" s="18" t="s">
        <v>38</v>
      </c>
      <c r="T55" s="11">
        <v>23</v>
      </c>
    </row>
    <row r="56" s="3" customFormat="1" customHeight="1" spans="1:20">
      <c r="A56" s="167" t="s">
        <v>2226</v>
      </c>
      <c r="B56" s="167" t="s">
        <v>165</v>
      </c>
      <c r="C56" s="167" t="s">
        <v>2227</v>
      </c>
      <c r="D56" s="11">
        <v>15720952167</v>
      </c>
      <c r="E56" s="167" t="s">
        <v>278</v>
      </c>
      <c r="F56" s="167" t="s">
        <v>28</v>
      </c>
      <c r="G56" s="11">
        <v>202103001</v>
      </c>
      <c r="H56" s="167" t="s">
        <v>279</v>
      </c>
      <c r="I56" s="167" t="s">
        <v>2229</v>
      </c>
      <c r="J56" s="167" t="s">
        <v>280</v>
      </c>
      <c r="K56" s="167" t="s">
        <v>170</v>
      </c>
      <c r="L56" s="167" t="s">
        <v>161</v>
      </c>
      <c r="M56" s="167" t="s">
        <v>517</v>
      </c>
      <c r="N56" s="11">
        <v>0</v>
      </c>
      <c r="O56" s="12" t="str">
        <f>_xlfn.DISPIMG("ID_D66F2E0905214E97988618639B1556CA",1)</f>
        <v>=DISPIMG("ID_D66F2E0905214E97988618639B1556CA",1)</v>
      </c>
      <c r="P56" s="11" t="s">
        <v>2230</v>
      </c>
      <c r="Q56" s="11">
        <v>262</v>
      </c>
      <c r="R56" s="17" t="s">
        <v>4369</v>
      </c>
      <c r="S56" s="18" t="s">
        <v>38</v>
      </c>
      <c r="T56" s="11">
        <v>26</v>
      </c>
    </row>
    <row r="57" s="3" customFormat="1" customHeight="1" spans="1:20">
      <c r="A57" s="167" t="s">
        <v>2249</v>
      </c>
      <c r="B57" s="167" t="s">
        <v>165</v>
      </c>
      <c r="C57" s="167" t="s">
        <v>2250</v>
      </c>
      <c r="D57" s="11">
        <v>15270289287</v>
      </c>
      <c r="E57" s="167" t="s">
        <v>278</v>
      </c>
      <c r="F57" s="167" t="s">
        <v>28</v>
      </c>
      <c r="G57" s="11">
        <v>202103001</v>
      </c>
      <c r="H57" s="167" t="s">
        <v>279</v>
      </c>
      <c r="I57" s="167" t="s">
        <v>1258</v>
      </c>
      <c r="J57" s="167" t="s">
        <v>280</v>
      </c>
      <c r="K57" s="167" t="s">
        <v>170</v>
      </c>
      <c r="L57" s="167" t="s">
        <v>180</v>
      </c>
      <c r="M57" s="167" t="s">
        <v>340</v>
      </c>
      <c r="N57" s="167" t="s">
        <v>2252</v>
      </c>
      <c r="O57" s="12" t="str">
        <f>_xlfn.DISPIMG("ID_7985CE250554486189D8524B45608623",1)</f>
        <v>=DISPIMG("ID_7985CE250554486189D8524B45608623",1)</v>
      </c>
      <c r="P57" s="11" t="s">
        <v>2253</v>
      </c>
      <c r="Q57" s="11">
        <v>265</v>
      </c>
      <c r="R57" s="17" t="s">
        <v>4370</v>
      </c>
      <c r="S57" s="18" t="s">
        <v>38</v>
      </c>
      <c r="T57" s="11">
        <v>1</v>
      </c>
    </row>
    <row r="58" s="3" customFormat="1" customHeight="1" spans="1:20">
      <c r="A58" s="167" t="s">
        <v>2273</v>
      </c>
      <c r="B58" s="167" t="s">
        <v>165</v>
      </c>
      <c r="C58" s="167" t="s">
        <v>2274</v>
      </c>
      <c r="D58" s="11">
        <v>18897920642</v>
      </c>
      <c r="E58" s="167" t="s">
        <v>278</v>
      </c>
      <c r="F58" s="167" t="s">
        <v>28</v>
      </c>
      <c r="G58" s="11">
        <v>202103001</v>
      </c>
      <c r="H58" s="167" t="s">
        <v>279</v>
      </c>
      <c r="I58" s="167" t="s">
        <v>367</v>
      </c>
      <c r="J58" s="167" t="s">
        <v>960</v>
      </c>
      <c r="K58" s="167" t="s">
        <v>170</v>
      </c>
      <c r="L58" s="167" t="s">
        <v>171</v>
      </c>
      <c r="M58" s="167" t="s">
        <v>340</v>
      </c>
      <c r="N58" s="167" t="s">
        <v>2276</v>
      </c>
      <c r="O58" s="12" t="str">
        <f>_xlfn.DISPIMG("ID_61B07218C9EC426CBE977F3567B765DD",1)</f>
        <v>=DISPIMG("ID_61B07218C9EC426CBE977F3567B765DD",1)</v>
      </c>
      <c r="P58" s="11" t="s">
        <v>2277</v>
      </c>
      <c r="Q58" s="11">
        <v>268</v>
      </c>
      <c r="R58" s="17" t="s">
        <v>4371</v>
      </c>
      <c r="S58" s="18" t="s">
        <v>38</v>
      </c>
      <c r="T58" s="11">
        <v>12</v>
      </c>
    </row>
    <row r="59" s="3" customFormat="1" customHeight="1" spans="1:20">
      <c r="A59" s="167" t="s">
        <v>2323</v>
      </c>
      <c r="B59" s="167" t="s">
        <v>165</v>
      </c>
      <c r="C59" s="167" t="s">
        <v>2324</v>
      </c>
      <c r="D59" s="11">
        <v>15979178539</v>
      </c>
      <c r="E59" s="167" t="s">
        <v>278</v>
      </c>
      <c r="F59" s="167" t="s">
        <v>28</v>
      </c>
      <c r="G59" s="11">
        <v>202103001</v>
      </c>
      <c r="H59" s="167" t="s">
        <v>157</v>
      </c>
      <c r="I59" s="167" t="s">
        <v>1071</v>
      </c>
      <c r="J59" s="167" t="s">
        <v>2326</v>
      </c>
      <c r="K59" s="167" t="s">
        <v>160</v>
      </c>
      <c r="L59" s="167" t="s">
        <v>1942</v>
      </c>
      <c r="M59" s="167" t="s">
        <v>340</v>
      </c>
      <c r="N59" s="167" t="s">
        <v>2327</v>
      </c>
      <c r="O59" s="12" t="str">
        <f>_xlfn.DISPIMG("ID_A33976891DCF46C9B1DFAD5ADCC8729D",1)</f>
        <v>=DISPIMG("ID_A33976891DCF46C9B1DFAD5ADCC8729D",1)</v>
      </c>
      <c r="P59" s="11" t="s">
        <v>2328</v>
      </c>
      <c r="Q59" s="11">
        <v>275</v>
      </c>
      <c r="R59" s="17" t="s">
        <v>4372</v>
      </c>
      <c r="S59" s="18" t="s">
        <v>38</v>
      </c>
      <c r="T59" s="11">
        <v>13</v>
      </c>
    </row>
    <row r="60" s="3" customFormat="1" customHeight="1" spans="1:20">
      <c r="A60" s="167" t="s">
        <v>2354</v>
      </c>
      <c r="B60" s="167" t="s">
        <v>165</v>
      </c>
      <c r="C60" s="167" t="s">
        <v>2355</v>
      </c>
      <c r="D60" s="11">
        <v>18870202615</v>
      </c>
      <c r="E60" s="167" t="s">
        <v>278</v>
      </c>
      <c r="F60" s="167" t="s">
        <v>28</v>
      </c>
      <c r="G60" s="11">
        <v>202103001</v>
      </c>
      <c r="H60" s="167" t="s">
        <v>279</v>
      </c>
      <c r="I60" s="167" t="s">
        <v>765</v>
      </c>
      <c r="J60" s="167" t="s">
        <v>280</v>
      </c>
      <c r="K60" s="167" t="s">
        <v>170</v>
      </c>
      <c r="L60" s="167" t="s">
        <v>252</v>
      </c>
      <c r="M60" s="167" t="s">
        <v>340</v>
      </c>
      <c r="N60" s="167" t="s">
        <v>2357</v>
      </c>
      <c r="O60" s="12" t="str">
        <f>_xlfn.DISPIMG("ID_1E1BF7CF64ED4C9392E00D748E2CFF78",1)</f>
        <v>=DISPIMG("ID_1E1BF7CF64ED4C9392E00D748E2CFF78",1)</v>
      </c>
      <c r="P60" s="11" t="s">
        <v>2358</v>
      </c>
      <c r="Q60" s="11">
        <v>279</v>
      </c>
      <c r="R60" s="17" t="s">
        <v>4373</v>
      </c>
      <c r="S60" s="18" t="s">
        <v>38</v>
      </c>
      <c r="T60" s="11">
        <v>24</v>
      </c>
    </row>
    <row r="61" s="3" customFormat="1" customHeight="1" spans="1:20">
      <c r="A61" s="167" t="s">
        <v>2368</v>
      </c>
      <c r="B61" s="167" t="s">
        <v>165</v>
      </c>
      <c r="C61" s="167" t="s">
        <v>2369</v>
      </c>
      <c r="D61" s="11">
        <v>13870275403</v>
      </c>
      <c r="E61" s="167" t="s">
        <v>278</v>
      </c>
      <c r="F61" s="167" t="s">
        <v>28</v>
      </c>
      <c r="G61" s="11">
        <v>202103001</v>
      </c>
      <c r="H61" s="167" t="s">
        <v>279</v>
      </c>
      <c r="I61" s="167" t="s">
        <v>367</v>
      </c>
      <c r="J61" s="167" t="s">
        <v>960</v>
      </c>
      <c r="K61" s="167" t="s">
        <v>170</v>
      </c>
      <c r="L61" s="167" t="s">
        <v>161</v>
      </c>
      <c r="M61" s="167" t="s">
        <v>2371</v>
      </c>
      <c r="N61" s="167" t="s">
        <v>2372</v>
      </c>
      <c r="O61" s="12" t="str">
        <f>_xlfn.DISPIMG("ID_8367FF7FCE354E85A6B58C07A55F59C4",1)</f>
        <v>=DISPIMG("ID_8367FF7FCE354E85A6B58C07A55F59C4",1)</v>
      </c>
      <c r="P61" s="11" t="s">
        <v>2373</v>
      </c>
      <c r="Q61" s="11">
        <v>281</v>
      </c>
      <c r="R61" s="17" t="s">
        <v>4374</v>
      </c>
      <c r="S61" s="18" t="s">
        <v>38</v>
      </c>
      <c r="T61" s="11">
        <v>25</v>
      </c>
    </row>
    <row r="62" s="3" customFormat="1" customHeight="1" spans="1:20">
      <c r="A62" s="167" t="s">
        <v>2384</v>
      </c>
      <c r="B62" s="167" t="s">
        <v>165</v>
      </c>
      <c r="C62" s="167" t="s">
        <v>2385</v>
      </c>
      <c r="D62" s="11">
        <v>18779249182</v>
      </c>
      <c r="E62" s="167" t="s">
        <v>278</v>
      </c>
      <c r="F62" s="167" t="s">
        <v>28</v>
      </c>
      <c r="G62" s="11">
        <v>202103001</v>
      </c>
      <c r="H62" s="167" t="s">
        <v>279</v>
      </c>
      <c r="I62" s="167" t="s">
        <v>178</v>
      </c>
      <c r="J62" s="167" t="s">
        <v>280</v>
      </c>
      <c r="K62" s="167" t="s">
        <v>170</v>
      </c>
      <c r="L62" s="167" t="s">
        <v>548</v>
      </c>
      <c r="M62" s="167" t="s">
        <v>517</v>
      </c>
      <c r="N62" s="167" t="s">
        <v>2387</v>
      </c>
      <c r="O62" s="12" t="str">
        <f>_xlfn.DISPIMG("ID_8CF817D3A8834773857DA1D47188BF1C",1)</f>
        <v>=DISPIMG("ID_8CF817D3A8834773857DA1D47188BF1C",1)</v>
      </c>
      <c r="P62" s="11" t="s">
        <v>2388</v>
      </c>
      <c r="Q62" s="11">
        <v>283</v>
      </c>
      <c r="R62" s="17" t="s">
        <v>4375</v>
      </c>
      <c r="S62" s="18" t="s">
        <v>39</v>
      </c>
      <c r="T62" s="11">
        <v>6</v>
      </c>
    </row>
    <row r="63" s="3" customFormat="1" customHeight="1" spans="1:20">
      <c r="A63" s="167" t="s">
        <v>2445</v>
      </c>
      <c r="B63" s="167" t="s">
        <v>165</v>
      </c>
      <c r="C63" s="167" t="s">
        <v>2446</v>
      </c>
      <c r="D63" s="11">
        <v>15270593089</v>
      </c>
      <c r="E63" s="167" t="s">
        <v>278</v>
      </c>
      <c r="F63" s="167" t="s">
        <v>28</v>
      </c>
      <c r="G63" s="11">
        <v>202103001</v>
      </c>
      <c r="H63" s="167" t="s">
        <v>279</v>
      </c>
      <c r="I63" s="167" t="s">
        <v>367</v>
      </c>
      <c r="J63" s="167" t="s">
        <v>280</v>
      </c>
      <c r="K63" s="167" t="s">
        <v>170</v>
      </c>
      <c r="L63" s="167" t="s">
        <v>161</v>
      </c>
      <c r="M63" s="167" t="s">
        <v>517</v>
      </c>
      <c r="N63" s="167" t="s">
        <v>2448</v>
      </c>
      <c r="O63" s="12" t="str">
        <f>_xlfn.DISPIMG("ID_5A60F5CEF6FD4D2AB2A12133308D2C7D",1)</f>
        <v>=DISPIMG("ID_5A60F5CEF6FD4D2AB2A12133308D2C7D",1)</v>
      </c>
      <c r="P63" s="11" t="s">
        <v>2449</v>
      </c>
      <c r="Q63" s="11">
        <v>291</v>
      </c>
      <c r="R63" s="17" t="s">
        <v>4376</v>
      </c>
      <c r="S63" s="18" t="s">
        <v>39</v>
      </c>
      <c r="T63" s="11">
        <v>7</v>
      </c>
    </row>
    <row r="64" s="3" customFormat="1" customHeight="1" spans="1:20">
      <c r="A64" s="167" t="s">
        <v>2487</v>
      </c>
      <c r="B64" s="167" t="s">
        <v>165</v>
      </c>
      <c r="C64" s="167" t="s">
        <v>2488</v>
      </c>
      <c r="D64" s="11">
        <v>18979216011</v>
      </c>
      <c r="E64" s="167" t="s">
        <v>278</v>
      </c>
      <c r="F64" s="167" t="s">
        <v>28</v>
      </c>
      <c r="G64" s="11">
        <v>202103001</v>
      </c>
      <c r="H64" s="167" t="s">
        <v>157</v>
      </c>
      <c r="I64" s="167" t="s">
        <v>178</v>
      </c>
      <c r="J64" s="167" t="s">
        <v>280</v>
      </c>
      <c r="K64" s="167" t="s">
        <v>170</v>
      </c>
      <c r="L64" s="167" t="s">
        <v>2490</v>
      </c>
      <c r="M64" s="167" t="s">
        <v>28</v>
      </c>
      <c r="N64" s="167" t="s">
        <v>2491</v>
      </c>
      <c r="O64" s="12" t="str">
        <f>_xlfn.DISPIMG("ID_53B9839AEAC4407495ABBD356F420DDD",1)</f>
        <v>=DISPIMG("ID_53B9839AEAC4407495ABBD356F420DDD",1)</v>
      </c>
      <c r="P64" s="11" t="s">
        <v>2492</v>
      </c>
      <c r="Q64" s="11">
        <v>297</v>
      </c>
      <c r="R64" s="17" t="s">
        <v>4377</v>
      </c>
      <c r="S64" s="18" t="s">
        <v>39</v>
      </c>
      <c r="T64" s="11">
        <v>18</v>
      </c>
    </row>
    <row r="65" s="3" customFormat="1" customHeight="1" spans="1:20">
      <c r="A65" s="167" t="s">
        <v>2501</v>
      </c>
      <c r="B65" s="167" t="s">
        <v>165</v>
      </c>
      <c r="C65" s="167" t="s">
        <v>2502</v>
      </c>
      <c r="D65" s="11">
        <v>18779413916</v>
      </c>
      <c r="E65" s="167" t="s">
        <v>278</v>
      </c>
      <c r="F65" s="167" t="s">
        <v>28</v>
      </c>
      <c r="G65" s="11">
        <v>202103001</v>
      </c>
      <c r="H65" s="167" t="s">
        <v>279</v>
      </c>
      <c r="I65" s="167" t="s">
        <v>876</v>
      </c>
      <c r="J65" s="167" t="s">
        <v>1684</v>
      </c>
      <c r="K65" s="167" t="s">
        <v>170</v>
      </c>
      <c r="L65" s="167" t="s">
        <v>171</v>
      </c>
      <c r="M65" s="167" t="s">
        <v>2504</v>
      </c>
      <c r="N65" s="167" t="s">
        <v>2505</v>
      </c>
      <c r="O65" s="12" t="str">
        <f>_xlfn.DISPIMG("ID_515277FD8D2D40318D429A7BA8ADC69C",1)</f>
        <v>=DISPIMG("ID_515277FD8D2D40318D429A7BA8ADC69C",1)</v>
      </c>
      <c r="P65" s="11" t="s">
        <v>2506</v>
      </c>
      <c r="Q65" s="11">
        <v>299</v>
      </c>
      <c r="R65" s="17" t="s">
        <v>4378</v>
      </c>
      <c r="S65" s="18" t="s">
        <v>39</v>
      </c>
      <c r="T65" s="11">
        <v>19</v>
      </c>
    </row>
    <row r="66" s="3" customFormat="1" customHeight="1" spans="1:20">
      <c r="A66" s="167" t="s">
        <v>2509</v>
      </c>
      <c r="B66" s="167" t="s">
        <v>165</v>
      </c>
      <c r="C66" s="167" t="s">
        <v>2510</v>
      </c>
      <c r="D66" s="11">
        <v>15170261589</v>
      </c>
      <c r="E66" s="167" t="s">
        <v>278</v>
      </c>
      <c r="F66" s="167" t="s">
        <v>28</v>
      </c>
      <c r="G66" s="11">
        <v>202103001</v>
      </c>
      <c r="H66" s="167" t="s">
        <v>279</v>
      </c>
      <c r="I66" s="167" t="s">
        <v>168</v>
      </c>
      <c r="J66" s="167" t="s">
        <v>280</v>
      </c>
      <c r="K66" s="167" t="s">
        <v>170</v>
      </c>
      <c r="L66" s="167" t="s">
        <v>171</v>
      </c>
      <c r="M66" s="167" t="s">
        <v>28</v>
      </c>
      <c r="N66" s="167" t="s">
        <v>2512</v>
      </c>
      <c r="O66" s="12" t="str">
        <f>_xlfn.DISPIMG("ID_7074182E322C4D868E189D169988DEEF",1)</f>
        <v>=DISPIMG("ID_7074182E322C4D868E189D169988DEEF",1)</v>
      </c>
      <c r="P66" s="11" t="s">
        <v>2513</v>
      </c>
      <c r="Q66" s="11">
        <v>300</v>
      </c>
      <c r="R66" s="17" t="s">
        <v>4379</v>
      </c>
      <c r="S66" s="18" t="s">
        <v>39</v>
      </c>
      <c r="T66" s="11">
        <v>30</v>
      </c>
    </row>
    <row r="67" s="3" customFormat="1" customHeight="1" spans="1:20">
      <c r="A67" s="167" t="s">
        <v>2615</v>
      </c>
      <c r="B67" s="167" t="s">
        <v>165</v>
      </c>
      <c r="C67" s="167" t="s">
        <v>2616</v>
      </c>
      <c r="D67" s="11">
        <v>18779299651</v>
      </c>
      <c r="E67" s="167" t="s">
        <v>278</v>
      </c>
      <c r="F67" s="167" t="s">
        <v>28</v>
      </c>
      <c r="G67" s="11">
        <v>202103001</v>
      </c>
      <c r="H67" s="167" t="s">
        <v>585</v>
      </c>
      <c r="I67" s="167" t="s">
        <v>367</v>
      </c>
      <c r="J67" s="167" t="s">
        <v>280</v>
      </c>
      <c r="K67" s="167" t="s">
        <v>170</v>
      </c>
      <c r="L67" s="167" t="s">
        <v>306</v>
      </c>
      <c r="M67" s="167" t="s">
        <v>585</v>
      </c>
      <c r="N67" s="167" t="s">
        <v>2617</v>
      </c>
      <c r="O67" s="12" t="str">
        <f>_xlfn.DISPIMG("ID_D88361D0AC4F40C29B491840D8C35568",1)</f>
        <v>=DISPIMG("ID_D88361D0AC4F40C29B491840D8C35568",1)</v>
      </c>
      <c r="P67" s="11" t="s">
        <v>2618</v>
      </c>
      <c r="Q67" s="11">
        <v>314</v>
      </c>
      <c r="R67" s="17" t="s">
        <v>4380</v>
      </c>
      <c r="S67" s="18" t="s">
        <v>39</v>
      </c>
      <c r="T67" s="11">
        <v>5</v>
      </c>
    </row>
    <row r="68" s="3" customFormat="1" customHeight="1" spans="1:20">
      <c r="A68" s="167" t="s">
        <v>2651</v>
      </c>
      <c r="B68" s="167" t="s">
        <v>165</v>
      </c>
      <c r="C68" s="167" t="s">
        <v>2652</v>
      </c>
      <c r="D68" s="11">
        <v>18779275146</v>
      </c>
      <c r="E68" s="167" t="s">
        <v>278</v>
      </c>
      <c r="F68" s="167" t="s">
        <v>28</v>
      </c>
      <c r="G68" s="11">
        <v>202103001</v>
      </c>
      <c r="H68" s="167" t="s">
        <v>279</v>
      </c>
      <c r="I68" s="167" t="s">
        <v>367</v>
      </c>
      <c r="J68" s="167" t="s">
        <v>960</v>
      </c>
      <c r="K68" s="167" t="s">
        <v>170</v>
      </c>
      <c r="L68" s="167" t="s">
        <v>261</v>
      </c>
      <c r="M68" s="167" t="s">
        <v>2654</v>
      </c>
      <c r="N68" s="167" t="s">
        <v>2655</v>
      </c>
      <c r="O68" s="12" t="str">
        <f>_xlfn.DISPIMG("ID_1078F268CB1D42879EB5D176263AD754",1)</f>
        <v>=DISPIMG("ID_1078F268CB1D42879EB5D176263AD754",1)</v>
      </c>
      <c r="P68" s="11" t="s">
        <v>2656</v>
      </c>
      <c r="Q68" s="11">
        <v>319</v>
      </c>
      <c r="R68" s="17" t="s">
        <v>4381</v>
      </c>
      <c r="S68" s="18" t="s">
        <v>39</v>
      </c>
      <c r="T68" s="11">
        <v>8</v>
      </c>
    </row>
    <row r="69" s="3" customFormat="1" customHeight="1" spans="1:20">
      <c r="A69" s="167" t="s">
        <v>2666</v>
      </c>
      <c r="B69" s="167" t="s">
        <v>165</v>
      </c>
      <c r="C69" s="167" t="s">
        <v>2667</v>
      </c>
      <c r="D69" s="11">
        <v>13367011157</v>
      </c>
      <c r="E69" s="167" t="s">
        <v>278</v>
      </c>
      <c r="F69" s="167" t="s">
        <v>28</v>
      </c>
      <c r="G69" s="11">
        <v>202103001</v>
      </c>
      <c r="H69" s="167" t="s">
        <v>279</v>
      </c>
      <c r="I69" s="167" t="s">
        <v>2669</v>
      </c>
      <c r="J69" s="167" t="s">
        <v>280</v>
      </c>
      <c r="K69" s="167" t="s">
        <v>170</v>
      </c>
      <c r="L69" s="167" t="s">
        <v>368</v>
      </c>
      <c r="M69" s="167" t="s">
        <v>340</v>
      </c>
      <c r="N69" s="167" t="s">
        <v>2670</v>
      </c>
      <c r="O69" s="12" t="str">
        <f>_xlfn.DISPIMG("ID_F3E1E6ADC00F4323859304E86EC6B8D9",1)</f>
        <v>=DISPIMG("ID_F3E1E6ADC00F4323859304E86EC6B8D9",1)</v>
      </c>
      <c r="P69" s="11" t="s">
        <v>2671</v>
      </c>
      <c r="Q69" s="11">
        <v>321</v>
      </c>
      <c r="R69" s="17" t="s">
        <v>4382</v>
      </c>
      <c r="S69" s="18" t="s">
        <v>39</v>
      </c>
      <c r="T69" s="11">
        <v>17</v>
      </c>
    </row>
    <row r="70" s="3" customFormat="1" customHeight="1" spans="1:20">
      <c r="A70" s="167" t="s">
        <v>2691</v>
      </c>
      <c r="B70" s="167" t="s">
        <v>165</v>
      </c>
      <c r="C70" s="167" t="s">
        <v>2692</v>
      </c>
      <c r="D70" s="11">
        <v>13361724916</v>
      </c>
      <c r="E70" s="167" t="s">
        <v>278</v>
      </c>
      <c r="F70" s="167" t="s">
        <v>28</v>
      </c>
      <c r="G70" s="11">
        <v>202103001</v>
      </c>
      <c r="H70" s="167" t="s">
        <v>585</v>
      </c>
      <c r="I70" s="167" t="s">
        <v>367</v>
      </c>
      <c r="J70" s="167" t="s">
        <v>586</v>
      </c>
      <c r="K70" s="167" t="s">
        <v>170</v>
      </c>
      <c r="L70" s="167" t="s">
        <v>2685</v>
      </c>
      <c r="M70" s="167" t="s">
        <v>2686</v>
      </c>
      <c r="N70" s="167" t="s">
        <v>2694</v>
      </c>
      <c r="O70" s="12" t="str">
        <f>_xlfn.DISPIMG("ID_80BD79931C0D4F069B4BB278F0D6EACF",1)</f>
        <v>=DISPIMG("ID_80BD79931C0D4F069B4BB278F0D6EACF",1)</v>
      </c>
      <c r="P70" s="11" t="s">
        <v>2695</v>
      </c>
      <c r="Q70" s="11">
        <v>324</v>
      </c>
      <c r="R70" s="17" t="s">
        <v>4383</v>
      </c>
      <c r="S70" s="18" t="s">
        <v>39</v>
      </c>
      <c r="T70" s="11">
        <v>20</v>
      </c>
    </row>
    <row r="71" s="3" customFormat="1" customHeight="1" spans="1:20">
      <c r="A71" s="167" t="s">
        <v>2739</v>
      </c>
      <c r="B71" s="167" t="s">
        <v>165</v>
      </c>
      <c r="C71" s="167" t="s">
        <v>2740</v>
      </c>
      <c r="D71" s="11">
        <v>15180645133</v>
      </c>
      <c r="E71" s="167" t="s">
        <v>278</v>
      </c>
      <c r="F71" s="167" t="s">
        <v>28</v>
      </c>
      <c r="G71" s="11">
        <v>202103001</v>
      </c>
      <c r="H71" s="167" t="s">
        <v>279</v>
      </c>
      <c r="I71" s="167" t="s">
        <v>2741</v>
      </c>
      <c r="J71" s="167" t="s">
        <v>2742</v>
      </c>
      <c r="K71" s="167" t="s">
        <v>160</v>
      </c>
      <c r="L71" s="167" t="s">
        <v>577</v>
      </c>
      <c r="M71" s="167" t="s">
        <v>28</v>
      </c>
      <c r="N71" s="11">
        <v>0</v>
      </c>
      <c r="O71" s="12" t="str">
        <f>_xlfn.DISPIMG("ID_DBC66D2ED4394B2EABDB1526C646D9F0",1)</f>
        <v>=DISPIMG("ID_DBC66D2ED4394B2EABDB1526C646D9F0",1)</v>
      </c>
      <c r="P71" s="11" t="s">
        <v>2743</v>
      </c>
      <c r="Q71" s="11">
        <v>331</v>
      </c>
      <c r="R71" s="17" t="s">
        <v>4384</v>
      </c>
      <c r="S71" s="18" t="s">
        <v>39</v>
      </c>
      <c r="T71" s="11">
        <v>29</v>
      </c>
    </row>
    <row r="72" s="3" customFormat="1" customHeight="1" spans="1:20">
      <c r="A72" s="167" t="s">
        <v>2746</v>
      </c>
      <c r="B72" s="167" t="s">
        <v>165</v>
      </c>
      <c r="C72" s="167" t="s">
        <v>2747</v>
      </c>
      <c r="D72" s="11">
        <v>13479871563</v>
      </c>
      <c r="E72" s="167" t="s">
        <v>278</v>
      </c>
      <c r="F72" s="167" t="s">
        <v>28</v>
      </c>
      <c r="G72" s="11">
        <v>202103001</v>
      </c>
      <c r="H72" s="167" t="s">
        <v>279</v>
      </c>
      <c r="I72" s="167" t="s">
        <v>1432</v>
      </c>
      <c r="J72" s="167" t="s">
        <v>280</v>
      </c>
      <c r="K72" s="167" t="s">
        <v>170</v>
      </c>
      <c r="L72" s="167" t="s">
        <v>2221</v>
      </c>
      <c r="M72" s="167" t="s">
        <v>340</v>
      </c>
      <c r="N72" s="167" t="s">
        <v>2749</v>
      </c>
      <c r="O72" s="12" t="str">
        <f>_xlfn.DISPIMG("ID_88F87A068C9F46F1A08F32919B53F4F3",1)</f>
        <v>=DISPIMG("ID_88F87A068C9F46F1A08F32919B53F4F3",1)</v>
      </c>
      <c r="P72" s="11" t="s">
        <v>2750</v>
      </c>
      <c r="Q72" s="11">
        <v>332</v>
      </c>
      <c r="R72" s="17" t="s">
        <v>4385</v>
      </c>
      <c r="S72" s="18" t="s">
        <v>39</v>
      </c>
      <c r="T72" s="11">
        <v>4</v>
      </c>
    </row>
    <row r="73" s="3" customFormat="1" customHeight="1" spans="1:20">
      <c r="A73" s="167" t="s">
        <v>2796</v>
      </c>
      <c r="B73" s="167" t="s">
        <v>165</v>
      </c>
      <c r="C73" s="167" t="s">
        <v>2797</v>
      </c>
      <c r="D73" s="11">
        <v>15079245341</v>
      </c>
      <c r="E73" s="167" t="s">
        <v>278</v>
      </c>
      <c r="F73" s="167" t="s">
        <v>28</v>
      </c>
      <c r="G73" s="11">
        <v>202103001</v>
      </c>
      <c r="H73" s="167" t="s">
        <v>279</v>
      </c>
      <c r="I73" s="167" t="s">
        <v>2799</v>
      </c>
      <c r="J73" s="167" t="s">
        <v>1489</v>
      </c>
      <c r="K73" s="167" t="s">
        <v>170</v>
      </c>
      <c r="L73" s="167" t="s">
        <v>2800</v>
      </c>
      <c r="M73" s="167" t="s">
        <v>28</v>
      </c>
      <c r="N73" s="167" t="s">
        <v>2801</v>
      </c>
      <c r="O73" s="12" t="str">
        <f>_xlfn.DISPIMG("ID_CE28F2C62DED40E5A2B6EB31752867C6",1)</f>
        <v>=DISPIMG("ID_CE28F2C62DED40E5A2B6EB31752867C6",1)</v>
      </c>
      <c r="P73" s="11" t="s">
        <v>2802</v>
      </c>
      <c r="Q73" s="11">
        <v>339</v>
      </c>
      <c r="R73" s="17" t="s">
        <v>4386</v>
      </c>
      <c r="S73" s="18" t="s">
        <v>39</v>
      </c>
      <c r="T73" s="11">
        <v>9</v>
      </c>
    </row>
    <row r="74" s="3" customFormat="1" customHeight="1" spans="1:20">
      <c r="A74" s="167" t="s">
        <v>2825</v>
      </c>
      <c r="B74" s="167" t="s">
        <v>165</v>
      </c>
      <c r="C74" s="167" t="s">
        <v>2826</v>
      </c>
      <c r="D74" s="11">
        <v>13177721280</v>
      </c>
      <c r="E74" s="167" t="s">
        <v>278</v>
      </c>
      <c r="F74" s="167" t="s">
        <v>28</v>
      </c>
      <c r="G74" s="11">
        <v>202103001</v>
      </c>
      <c r="H74" s="167" t="s">
        <v>279</v>
      </c>
      <c r="I74" s="167" t="s">
        <v>1237</v>
      </c>
      <c r="J74" s="167" t="s">
        <v>280</v>
      </c>
      <c r="K74" s="167" t="s">
        <v>170</v>
      </c>
      <c r="L74" s="167" t="s">
        <v>261</v>
      </c>
      <c r="M74" s="167" t="s">
        <v>340</v>
      </c>
      <c r="N74" s="11">
        <v>0</v>
      </c>
      <c r="O74" s="12" t="str">
        <f>_xlfn.DISPIMG("ID_F08BB5C3B75D4962A37212B4DDDA960C",1)</f>
        <v>=DISPIMG("ID_F08BB5C3B75D4962A37212B4DDDA960C",1)</v>
      </c>
      <c r="P74" s="11" t="s">
        <v>2828</v>
      </c>
      <c r="Q74" s="11">
        <v>343</v>
      </c>
      <c r="R74" s="17" t="s">
        <v>4387</v>
      </c>
      <c r="S74" s="18" t="s">
        <v>39</v>
      </c>
      <c r="T74" s="11">
        <v>16</v>
      </c>
    </row>
    <row r="75" s="3" customFormat="1" customHeight="1" spans="1:20">
      <c r="A75" s="167" t="s">
        <v>2854</v>
      </c>
      <c r="B75" s="167" t="s">
        <v>165</v>
      </c>
      <c r="C75" s="167" t="s">
        <v>2855</v>
      </c>
      <c r="D75" s="11">
        <v>18720256092</v>
      </c>
      <c r="E75" s="167" t="s">
        <v>278</v>
      </c>
      <c r="F75" s="167" t="s">
        <v>28</v>
      </c>
      <c r="G75" s="11">
        <v>202103001</v>
      </c>
      <c r="H75" s="167" t="s">
        <v>279</v>
      </c>
      <c r="I75" s="167" t="s">
        <v>2857</v>
      </c>
      <c r="J75" s="167" t="s">
        <v>586</v>
      </c>
      <c r="K75" s="167" t="s">
        <v>170</v>
      </c>
      <c r="L75" s="167" t="s">
        <v>235</v>
      </c>
      <c r="M75" s="167" t="s">
        <v>586</v>
      </c>
      <c r="N75" s="167" t="s">
        <v>2858</v>
      </c>
      <c r="O75" s="12" t="str">
        <f>_xlfn.DISPIMG("ID_11ED1DBBC626428D97C7101FAED1566F",1)</f>
        <v>=DISPIMG("ID_11ED1DBBC626428D97C7101FAED1566F",1)</v>
      </c>
      <c r="P75" s="11" t="s">
        <v>2859</v>
      </c>
      <c r="Q75" s="11">
        <v>347</v>
      </c>
      <c r="R75" s="17" t="s">
        <v>4388</v>
      </c>
      <c r="S75" s="18" t="s">
        <v>39</v>
      </c>
      <c r="T75" s="11">
        <v>21</v>
      </c>
    </row>
    <row r="76" s="3" customFormat="1" customHeight="1" spans="1:20">
      <c r="A76" s="167" t="s">
        <v>2862</v>
      </c>
      <c r="B76" s="167" t="s">
        <v>165</v>
      </c>
      <c r="C76" s="167" t="s">
        <v>2863</v>
      </c>
      <c r="D76" s="11">
        <v>16623154389</v>
      </c>
      <c r="E76" s="167" t="s">
        <v>278</v>
      </c>
      <c r="F76" s="167" t="s">
        <v>28</v>
      </c>
      <c r="G76" s="11">
        <v>202103001</v>
      </c>
      <c r="H76" s="167" t="s">
        <v>585</v>
      </c>
      <c r="I76" s="167" t="s">
        <v>2865</v>
      </c>
      <c r="J76" s="167" t="s">
        <v>280</v>
      </c>
      <c r="K76" s="167" t="s">
        <v>170</v>
      </c>
      <c r="L76" s="167" t="s">
        <v>577</v>
      </c>
      <c r="M76" s="167" t="s">
        <v>2866</v>
      </c>
      <c r="N76" s="167" t="s">
        <v>2867</v>
      </c>
      <c r="O76" s="12" t="str">
        <f>_xlfn.DISPIMG("ID_2A4EA762BC734560A58995F31757BD03",1)</f>
        <v>=DISPIMG("ID_2A4EA762BC734560A58995F31757BD03",1)</v>
      </c>
      <c r="P76" s="11" t="s">
        <v>2868</v>
      </c>
      <c r="Q76" s="11">
        <v>348</v>
      </c>
      <c r="R76" s="17" t="s">
        <v>4389</v>
      </c>
      <c r="S76" s="18" t="s">
        <v>39</v>
      </c>
      <c r="T76" s="11">
        <v>28</v>
      </c>
    </row>
    <row r="77" s="3" customFormat="1" customHeight="1" spans="1:20">
      <c r="A77" s="167" t="s">
        <v>2887</v>
      </c>
      <c r="B77" s="167" t="s">
        <v>165</v>
      </c>
      <c r="C77" s="167" t="s">
        <v>2888</v>
      </c>
      <c r="D77" s="11">
        <v>15879243291</v>
      </c>
      <c r="E77" s="167" t="s">
        <v>278</v>
      </c>
      <c r="F77" s="167" t="s">
        <v>28</v>
      </c>
      <c r="G77" s="11">
        <v>202103001</v>
      </c>
      <c r="H77" s="167" t="s">
        <v>279</v>
      </c>
      <c r="I77" s="167" t="s">
        <v>2890</v>
      </c>
      <c r="J77" s="167" t="s">
        <v>280</v>
      </c>
      <c r="K77" s="167" t="s">
        <v>170</v>
      </c>
      <c r="L77" s="167" t="s">
        <v>261</v>
      </c>
      <c r="M77" s="167" t="s">
        <v>2462</v>
      </c>
      <c r="N77" s="167" t="s">
        <v>2891</v>
      </c>
      <c r="O77" s="12" t="str">
        <f>_xlfn.DISPIMG("ID_0C2059A8D9A84C38B1CE4EFB24FA358E",1)</f>
        <v>=DISPIMG("ID_0C2059A8D9A84C38B1CE4EFB24FA358E",1)</v>
      </c>
      <c r="P77" s="11" t="s">
        <v>2892</v>
      </c>
      <c r="Q77" s="11">
        <v>351</v>
      </c>
      <c r="R77" s="17" t="s">
        <v>4390</v>
      </c>
      <c r="S77" s="18" t="s">
        <v>39</v>
      </c>
      <c r="T77" s="11">
        <v>3</v>
      </c>
    </row>
    <row r="78" s="3" customFormat="1" customHeight="1" spans="1:20">
      <c r="A78" s="167" t="s">
        <v>2908</v>
      </c>
      <c r="B78" s="167" t="s">
        <v>165</v>
      </c>
      <c r="C78" s="167" t="s">
        <v>2909</v>
      </c>
      <c r="D78" s="11">
        <v>15180608812</v>
      </c>
      <c r="E78" s="167" t="s">
        <v>278</v>
      </c>
      <c r="F78" s="167" t="s">
        <v>28</v>
      </c>
      <c r="G78" s="11">
        <v>202103001</v>
      </c>
      <c r="H78" s="167" t="s">
        <v>279</v>
      </c>
      <c r="I78" s="167" t="s">
        <v>732</v>
      </c>
      <c r="J78" s="167" t="s">
        <v>280</v>
      </c>
      <c r="K78" s="167" t="s">
        <v>170</v>
      </c>
      <c r="L78" s="167" t="s">
        <v>216</v>
      </c>
      <c r="M78" s="167" t="s">
        <v>340</v>
      </c>
      <c r="N78" s="167" t="s">
        <v>2911</v>
      </c>
      <c r="O78" s="12" t="str">
        <f>_xlfn.DISPIMG("ID_2372D216C4084B2F90A1624776C89F44",1)</f>
        <v>=DISPIMG("ID_2372D216C4084B2F90A1624776C89F44",1)</v>
      </c>
      <c r="P78" s="11" t="s">
        <v>2912</v>
      </c>
      <c r="Q78" s="11">
        <v>354</v>
      </c>
      <c r="R78" s="17" t="s">
        <v>4391</v>
      </c>
      <c r="S78" s="18" t="s">
        <v>39</v>
      </c>
      <c r="T78" s="11">
        <v>10</v>
      </c>
    </row>
    <row r="79" s="3" customFormat="1" customHeight="1" spans="1:20">
      <c r="A79" s="167" t="s">
        <v>3015</v>
      </c>
      <c r="B79" s="167" t="s">
        <v>165</v>
      </c>
      <c r="C79" s="167" t="s">
        <v>3016</v>
      </c>
      <c r="D79" s="11">
        <v>15779237225</v>
      </c>
      <c r="E79" s="167" t="s">
        <v>278</v>
      </c>
      <c r="F79" s="167" t="s">
        <v>28</v>
      </c>
      <c r="G79" s="11">
        <v>202103001</v>
      </c>
      <c r="H79" s="167" t="s">
        <v>585</v>
      </c>
      <c r="I79" s="167" t="s">
        <v>3018</v>
      </c>
      <c r="J79" s="167" t="s">
        <v>586</v>
      </c>
      <c r="K79" s="167" t="s">
        <v>170</v>
      </c>
      <c r="L79" s="167" t="s">
        <v>1346</v>
      </c>
      <c r="M79" s="167" t="s">
        <v>340</v>
      </c>
      <c r="N79" s="167" t="s">
        <v>3019</v>
      </c>
      <c r="O79" s="12" t="str">
        <f>_xlfn.DISPIMG("ID_5D71807FA9B14D55B579AC354805CDFB",1)</f>
        <v>=DISPIMG("ID_5D71807FA9B14D55B579AC354805CDFB",1)</v>
      </c>
      <c r="P79" s="11" t="s">
        <v>3020</v>
      </c>
      <c r="Q79" s="11">
        <v>372</v>
      </c>
      <c r="R79" s="17" t="s">
        <v>4392</v>
      </c>
      <c r="S79" s="18" t="s">
        <v>39</v>
      </c>
      <c r="T79" s="11">
        <v>15</v>
      </c>
    </row>
    <row r="80" s="4" customFormat="1" customHeight="1" spans="1:20">
      <c r="A80" s="167" t="s">
        <v>3136</v>
      </c>
      <c r="B80" s="167" t="s">
        <v>165</v>
      </c>
      <c r="C80" s="167" t="s">
        <v>3137</v>
      </c>
      <c r="D80" s="11">
        <v>13207912916</v>
      </c>
      <c r="E80" s="167" t="s">
        <v>278</v>
      </c>
      <c r="F80" s="167" t="s">
        <v>28</v>
      </c>
      <c r="G80" s="11">
        <v>202103001</v>
      </c>
      <c r="H80" s="167" t="s">
        <v>157</v>
      </c>
      <c r="I80" s="167" t="s">
        <v>233</v>
      </c>
      <c r="J80" s="167" t="s">
        <v>280</v>
      </c>
      <c r="K80" s="167" t="s">
        <v>170</v>
      </c>
      <c r="L80" s="167" t="s">
        <v>199</v>
      </c>
      <c r="M80" s="167" t="s">
        <v>517</v>
      </c>
      <c r="N80" s="167" t="s">
        <v>3139</v>
      </c>
      <c r="O80" s="12" t="str">
        <f>_xlfn.DISPIMG("ID_5DD0D632EE9F43A696BEAC7A2AD60F9E",1)</f>
        <v>=DISPIMG("ID_5DD0D632EE9F43A696BEAC7A2AD60F9E",1)</v>
      </c>
      <c r="P80" s="11" t="s">
        <v>3140</v>
      </c>
      <c r="Q80" s="11">
        <v>388</v>
      </c>
      <c r="R80" s="17" t="s">
        <v>4393</v>
      </c>
      <c r="S80" s="18" t="s">
        <v>39</v>
      </c>
      <c r="T80" s="11">
        <v>22</v>
      </c>
    </row>
    <row r="81" s="3" customFormat="1" customHeight="1" spans="1:20">
      <c r="A81" s="167" t="s">
        <v>3143</v>
      </c>
      <c r="B81" s="167" t="s">
        <v>165</v>
      </c>
      <c r="C81" s="167" t="s">
        <v>3144</v>
      </c>
      <c r="D81" s="11">
        <v>18046721566</v>
      </c>
      <c r="E81" s="167" t="s">
        <v>278</v>
      </c>
      <c r="F81" s="167" t="s">
        <v>28</v>
      </c>
      <c r="G81" s="11">
        <v>202103001</v>
      </c>
      <c r="H81" s="167" t="s">
        <v>279</v>
      </c>
      <c r="I81" s="167" t="s">
        <v>367</v>
      </c>
      <c r="J81" s="167" t="s">
        <v>169</v>
      </c>
      <c r="K81" s="167" t="s">
        <v>170</v>
      </c>
      <c r="L81" s="167" t="s">
        <v>2685</v>
      </c>
      <c r="M81" s="167" t="s">
        <v>3146</v>
      </c>
      <c r="N81" s="167" t="s">
        <v>3147</v>
      </c>
      <c r="O81" s="12" t="str">
        <f>_xlfn.DISPIMG("ID_A94A4E6038894CA88A82184D1877D675",1)</f>
        <v>=DISPIMG("ID_A94A4E6038894CA88A82184D1877D675",1)</v>
      </c>
      <c r="P81" s="11" t="s">
        <v>3148</v>
      </c>
      <c r="Q81" s="11">
        <v>389</v>
      </c>
      <c r="R81" s="17" t="s">
        <v>4394</v>
      </c>
      <c r="S81" s="18" t="s">
        <v>39</v>
      </c>
      <c r="T81" s="11">
        <v>27</v>
      </c>
    </row>
    <row r="82" s="3" customFormat="1" customHeight="1" spans="1:20">
      <c r="A82" s="167" t="s">
        <v>1429</v>
      </c>
      <c r="B82" s="167" t="s">
        <v>165</v>
      </c>
      <c r="C82" s="167" t="s">
        <v>1430</v>
      </c>
      <c r="D82" s="11">
        <v>15779219115</v>
      </c>
      <c r="E82" s="167" t="s">
        <v>278</v>
      </c>
      <c r="F82" s="167" t="s">
        <v>28</v>
      </c>
      <c r="G82" s="11">
        <v>202103001</v>
      </c>
      <c r="H82" s="167" t="s">
        <v>279</v>
      </c>
      <c r="I82" s="167" t="s">
        <v>1432</v>
      </c>
      <c r="J82" s="167" t="s">
        <v>1433</v>
      </c>
      <c r="K82" s="167" t="s">
        <v>170</v>
      </c>
      <c r="L82" s="167" t="s">
        <v>261</v>
      </c>
      <c r="M82" s="167" t="s">
        <v>1013</v>
      </c>
      <c r="N82" s="167" t="s">
        <v>1435</v>
      </c>
      <c r="O82" s="12" t="str">
        <f>_xlfn.DISPIMG("ID_2AA0C0867EDA4E25AC1B455524935955",1)</f>
        <v>=DISPIMG("ID_2AA0C0867EDA4E25AC1B455524935955",1)</v>
      </c>
      <c r="P82" s="11" t="s">
        <v>1436</v>
      </c>
      <c r="Q82" s="11">
        <v>391</v>
      </c>
      <c r="R82" s="17" t="s">
        <v>4395</v>
      </c>
      <c r="S82" s="18" t="s">
        <v>39</v>
      </c>
      <c r="T82" s="11">
        <v>2</v>
      </c>
    </row>
    <row r="83" s="3" customFormat="1" customHeight="1" spans="1:20">
      <c r="A83" s="167" t="s">
        <v>3172</v>
      </c>
      <c r="B83" s="167" t="s">
        <v>165</v>
      </c>
      <c r="C83" s="167" t="s">
        <v>3173</v>
      </c>
      <c r="D83" s="11">
        <v>18970280941</v>
      </c>
      <c r="E83" s="167" t="s">
        <v>278</v>
      </c>
      <c r="F83" s="167" t="s">
        <v>28</v>
      </c>
      <c r="G83" s="11">
        <v>202103001</v>
      </c>
      <c r="H83" s="167" t="s">
        <v>585</v>
      </c>
      <c r="I83" s="167" t="s">
        <v>3174</v>
      </c>
      <c r="J83" s="167" t="s">
        <v>586</v>
      </c>
      <c r="K83" s="167" t="s">
        <v>170</v>
      </c>
      <c r="L83" s="167" t="s">
        <v>3039</v>
      </c>
      <c r="M83" s="167" t="s">
        <v>340</v>
      </c>
      <c r="N83" s="167" t="s">
        <v>3175</v>
      </c>
      <c r="O83" s="12" t="str">
        <f>_xlfn.DISPIMG("ID_0094E289D6FF483F911D447623CD2A7B",1)</f>
        <v>=DISPIMG("ID_0094E289D6FF483F911D447623CD2A7B",1)</v>
      </c>
      <c r="P83" s="11" t="s">
        <v>3176</v>
      </c>
      <c r="Q83" s="11">
        <v>394</v>
      </c>
      <c r="R83" s="17" t="s">
        <v>4396</v>
      </c>
      <c r="S83" s="18" t="s">
        <v>39</v>
      </c>
      <c r="T83" s="11">
        <v>11</v>
      </c>
    </row>
    <row r="84" s="3" customFormat="1" customHeight="1" spans="1:20">
      <c r="A84" s="167" t="s">
        <v>3234</v>
      </c>
      <c r="B84" s="167" t="s">
        <v>165</v>
      </c>
      <c r="C84" s="167" t="s">
        <v>3235</v>
      </c>
      <c r="D84" s="11">
        <v>15083801983</v>
      </c>
      <c r="E84" s="167" t="s">
        <v>278</v>
      </c>
      <c r="F84" s="167" t="s">
        <v>28</v>
      </c>
      <c r="G84" s="11">
        <v>202103001</v>
      </c>
      <c r="H84" s="167" t="s">
        <v>279</v>
      </c>
      <c r="I84" s="167" t="s">
        <v>339</v>
      </c>
      <c r="J84" s="167" t="s">
        <v>960</v>
      </c>
      <c r="K84" s="167" t="s">
        <v>170</v>
      </c>
      <c r="L84" s="167" t="s">
        <v>2935</v>
      </c>
      <c r="M84" s="167" t="s">
        <v>376</v>
      </c>
      <c r="N84" s="167" t="s">
        <v>3237</v>
      </c>
      <c r="O84" s="12" t="str">
        <f>_xlfn.DISPIMG("ID_6E77F2441F654B1DACC44E4FDEC025B1",1)</f>
        <v>=DISPIMG("ID_6E77F2441F654B1DACC44E4FDEC025B1",1)</v>
      </c>
      <c r="P84" s="11" t="s">
        <v>3238</v>
      </c>
      <c r="Q84" s="11">
        <v>403</v>
      </c>
      <c r="R84" s="17" t="s">
        <v>4397</v>
      </c>
      <c r="S84" s="18" t="s">
        <v>39</v>
      </c>
      <c r="T84" s="11">
        <v>14</v>
      </c>
    </row>
    <row r="85" s="3" customFormat="1" customHeight="1" spans="1:20">
      <c r="A85" s="167" t="s">
        <v>3293</v>
      </c>
      <c r="B85" s="167" t="s">
        <v>165</v>
      </c>
      <c r="C85" s="167" t="s">
        <v>3294</v>
      </c>
      <c r="D85" s="11">
        <v>18170265828</v>
      </c>
      <c r="E85" s="167" t="s">
        <v>278</v>
      </c>
      <c r="F85" s="167" t="s">
        <v>28</v>
      </c>
      <c r="G85" s="11">
        <v>202103001</v>
      </c>
      <c r="H85" s="167" t="s">
        <v>157</v>
      </c>
      <c r="I85" s="167" t="s">
        <v>233</v>
      </c>
      <c r="J85" s="167" t="s">
        <v>280</v>
      </c>
      <c r="K85" s="167" t="s">
        <v>170</v>
      </c>
      <c r="L85" s="167" t="s">
        <v>3061</v>
      </c>
      <c r="M85" s="167" t="s">
        <v>3296</v>
      </c>
      <c r="N85" s="167" t="s">
        <v>3297</v>
      </c>
      <c r="O85" s="12" t="str">
        <f>_xlfn.DISPIMG("ID_1A8F20F988244300AFCAF70BDC1F337C",1)</f>
        <v>=DISPIMG("ID_1A8F20F988244300AFCAF70BDC1F337C",1)</v>
      </c>
      <c r="P85" s="11" t="s">
        <v>3298</v>
      </c>
      <c r="Q85" s="11">
        <v>413</v>
      </c>
      <c r="R85" s="17" t="s">
        <v>4398</v>
      </c>
      <c r="S85" s="18" t="s">
        <v>39</v>
      </c>
      <c r="T85" s="11">
        <v>23</v>
      </c>
    </row>
    <row r="86" s="3" customFormat="1" customHeight="1" spans="1:20">
      <c r="A86" s="167" t="s">
        <v>3307</v>
      </c>
      <c r="B86" s="167" t="s">
        <v>165</v>
      </c>
      <c r="C86" s="167" t="s">
        <v>3308</v>
      </c>
      <c r="D86" s="11">
        <v>15570243314</v>
      </c>
      <c r="E86" s="167" t="s">
        <v>278</v>
      </c>
      <c r="F86" s="167" t="s">
        <v>28</v>
      </c>
      <c r="G86" s="11">
        <v>202103001</v>
      </c>
      <c r="H86" s="167" t="s">
        <v>279</v>
      </c>
      <c r="I86" s="167" t="s">
        <v>3309</v>
      </c>
      <c r="J86" s="167" t="s">
        <v>2326</v>
      </c>
      <c r="K86" s="167" t="s">
        <v>170</v>
      </c>
      <c r="L86" s="167" t="s">
        <v>396</v>
      </c>
      <c r="M86" s="167" t="s">
        <v>517</v>
      </c>
      <c r="N86" s="167" t="s">
        <v>3310</v>
      </c>
      <c r="O86" s="12" t="str">
        <f>_xlfn.DISPIMG("ID_354EF343CD5243F482E0D228CE19598F",1)</f>
        <v>=DISPIMG("ID_354EF343CD5243F482E0D228CE19598F",1)</v>
      </c>
      <c r="P86" s="11" t="s">
        <v>3311</v>
      </c>
      <c r="Q86" s="11">
        <v>415</v>
      </c>
      <c r="R86" s="17" t="s">
        <v>4399</v>
      </c>
      <c r="S86" s="18" t="s">
        <v>39</v>
      </c>
      <c r="T86" s="11">
        <v>26</v>
      </c>
    </row>
    <row r="87" s="3" customFormat="1" customHeight="1" spans="1:20">
      <c r="A87" s="167" t="s">
        <v>3320</v>
      </c>
      <c r="B87" s="167" t="s">
        <v>165</v>
      </c>
      <c r="C87" s="167" t="s">
        <v>3321</v>
      </c>
      <c r="D87" s="11">
        <v>13979205561</v>
      </c>
      <c r="E87" s="167" t="s">
        <v>278</v>
      </c>
      <c r="F87" s="167" t="s">
        <v>28</v>
      </c>
      <c r="G87" s="11">
        <v>202103001</v>
      </c>
      <c r="H87" s="167" t="s">
        <v>585</v>
      </c>
      <c r="I87" s="167" t="s">
        <v>168</v>
      </c>
      <c r="J87" s="167" t="s">
        <v>280</v>
      </c>
      <c r="K87" s="167" t="s">
        <v>170</v>
      </c>
      <c r="L87" s="167" t="s">
        <v>2047</v>
      </c>
      <c r="M87" s="167" t="s">
        <v>340</v>
      </c>
      <c r="N87" s="167" t="s">
        <v>3322</v>
      </c>
      <c r="O87" s="12" t="str">
        <f>_xlfn.DISPIMG("ID_98A98A82D5AD4E03ADF0E8FE54980276",1)</f>
        <v>=DISPIMG("ID_98A98A82D5AD4E03ADF0E8FE54980276",1)</v>
      </c>
      <c r="P87" s="11" t="s">
        <v>3323</v>
      </c>
      <c r="Q87" s="11">
        <v>417</v>
      </c>
      <c r="R87" s="17" t="s">
        <v>4400</v>
      </c>
      <c r="S87" s="18" t="s">
        <v>39</v>
      </c>
      <c r="T87" s="11">
        <v>1</v>
      </c>
    </row>
    <row r="88" s="4" customFormat="1" customHeight="1" spans="1:20">
      <c r="A88" s="167" t="s">
        <v>3326</v>
      </c>
      <c r="B88" s="167" t="s">
        <v>165</v>
      </c>
      <c r="C88" s="167" t="s">
        <v>3327</v>
      </c>
      <c r="D88" s="11">
        <v>15979970756</v>
      </c>
      <c r="E88" s="167" t="s">
        <v>278</v>
      </c>
      <c r="F88" s="167" t="s">
        <v>28</v>
      </c>
      <c r="G88" s="11">
        <v>202103001</v>
      </c>
      <c r="H88" s="167" t="s">
        <v>279</v>
      </c>
      <c r="I88" s="167" t="s">
        <v>3329</v>
      </c>
      <c r="J88" s="167" t="s">
        <v>280</v>
      </c>
      <c r="K88" s="167" t="s">
        <v>170</v>
      </c>
      <c r="L88" s="167" t="s">
        <v>368</v>
      </c>
      <c r="M88" s="167" t="s">
        <v>376</v>
      </c>
      <c r="N88" s="167" t="s">
        <v>3330</v>
      </c>
      <c r="O88" s="12" t="str">
        <f>_xlfn.DISPIMG("ID_35E61F5727C7442282FC0637F60D57FC",1)</f>
        <v>=DISPIMG("ID_35E61F5727C7442282FC0637F60D57FC",1)</v>
      </c>
      <c r="P88" s="11" t="s">
        <v>3331</v>
      </c>
      <c r="Q88" s="11">
        <v>418</v>
      </c>
      <c r="R88" s="17" t="s">
        <v>4401</v>
      </c>
      <c r="S88" s="18" t="s">
        <v>39</v>
      </c>
      <c r="T88" s="11">
        <v>12</v>
      </c>
    </row>
    <row r="89" s="3" customFormat="1" customHeight="1" spans="1:20">
      <c r="A89" s="167" t="s">
        <v>2682</v>
      </c>
      <c r="B89" s="167" t="s">
        <v>165</v>
      </c>
      <c r="C89" s="167" t="s">
        <v>2683</v>
      </c>
      <c r="D89" s="11">
        <v>18079206353</v>
      </c>
      <c r="E89" s="167" t="s">
        <v>278</v>
      </c>
      <c r="F89" s="167" t="s">
        <v>28</v>
      </c>
      <c r="G89" s="11">
        <v>202103001</v>
      </c>
      <c r="H89" s="167" t="s">
        <v>585</v>
      </c>
      <c r="I89" s="167" t="s">
        <v>367</v>
      </c>
      <c r="J89" s="167" t="s">
        <v>586</v>
      </c>
      <c r="K89" s="167" t="s">
        <v>170</v>
      </c>
      <c r="L89" s="167" t="s">
        <v>2685</v>
      </c>
      <c r="M89" s="167" t="s">
        <v>2686</v>
      </c>
      <c r="N89" s="167" t="s">
        <v>2687</v>
      </c>
      <c r="O89" s="12" t="str">
        <f>_xlfn.DISPIMG("ID_5B48971EF1B54F2AA5263A5C67E87781",1)</f>
        <v>=DISPIMG("ID_5B48971EF1B54F2AA5263A5C67E87781",1)</v>
      </c>
      <c r="P89" s="11" t="s">
        <v>2688</v>
      </c>
      <c r="Q89" s="11">
        <v>419</v>
      </c>
      <c r="R89" s="17" t="s">
        <v>4402</v>
      </c>
      <c r="S89" s="18" t="s">
        <v>39</v>
      </c>
      <c r="T89" s="11">
        <v>13</v>
      </c>
    </row>
    <row r="90" s="3" customFormat="1" customHeight="1" spans="1:20">
      <c r="A90" s="167" t="s">
        <v>3342</v>
      </c>
      <c r="B90" s="167" t="s">
        <v>165</v>
      </c>
      <c r="C90" s="167" t="s">
        <v>3343</v>
      </c>
      <c r="D90" s="11">
        <v>18320666217</v>
      </c>
      <c r="E90" s="167" t="s">
        <v>278</v>
      </c>
      <c r="F90" s="167" t="s">
        <v>28</v>
      </c>
      <c r="G90" s="11">
        <v>202103001</v>
      </c>
      <c r="H90" s="167" t="s">
        <v>157</v>
      </c>
      <c r="I90" s="167" t="s">
        <v>3345</v>
      </c>
      <c r="J90" s="167" t="s">
        <v>280</v>
      </c>
      <c r="K90" s="167" t="s">
        <v>170</v>
      </c>
      <c r="L90" s="167" t="s">
        <v>235</v>
      </c>
      <c r="M90" s="167" t="s">
        <v>3346</v>
      </c>
      <c r="N90" s="167" t="s">
        <v>3347</v>
      </c>
      <c r="O90" s="12" t="str">
        <f>_xlfn.DISPIMG("ID_E18EEBC59F6A4BD3BA9929CD3773910D",1)</f>
        <v>=DISPIMG("ID_E18EEBC59F6A4BD3BA9929CD3773910D",1)</v>
      </c>
      <c r="P90" s="11" t="s">
        <v>3348</v>
      </c>
      <c r="Q90" s="11">
        <v>421</v>
      </c>
      <c r="R90" s="17" t="s">
        <v>4403</v>
      </c>
      <c r="S90" s="18" t="s">
        <v>39</v>
      </c>
      <c r="T90" s="11">
        <v>24</v>
      </c>
    </row>
    <row r="91" s="4" customFormat="1" customHeight="1" spans="1:20">
      <c r="A91" s="167" t="s">
        <v>3403</v>
      </c>
      <c r="B91" s="167" t="s">
        <v>165</v>
      </c>
      <c r="C91" s="167" t="s">
        <v>3404</v>
      </c>
      <c r="D91" s="11">
        <v>18000721221</v>
      </c>
      <c r="E91" s="167" t="s">
        <v>278</v>
      </c>
      <c r="F91" s="167" t="s">
        <v>28</v>
      </c>
      <c r="G91" s="11">
        <v>202103001</v>
      </c>
      <c r="H91" s="167" t="s">
        <v>279</v>
      </c>
      <c r="I91" s="167" t="s">
        <v>168</v>
      </c>
      <c r="J91" s="167" t="s">
        <v>280</v>
      </c>
      <c r="K91" s="167" t="s">
        <v>170</v>
      </c>
      <c r="L91" s="167" t="s">
        <v>516</v>
      </c>
      <c r="M91" s="167" t="s">
        <v>280</v>
      </c>
      <c r="N91" s="167" t="s">
        <v>3405</v>
      </c>
      <c r="O91" s="12" t="str">
        <f>_xlfn.DISPIMG("ID_7EFAC0679406489199323C08AE652767",1)</f>
        <v>=DISPIMG("ID_7EFAC0679406489199323C08AE652767",1)</v>
      </c>
      <c r="P91" s="11" t="s">
        <v>3406</v>
      </c>
      <c r="Q91" s="20">
        <v>429</v>
      </c>
      <c r="R91" s="17" t="s">
        <v>4404</v>
      </c>
      <c r="S91" s="18" t="s">
        <v>39</v>
      </c>
      <c r="T91" s="11">
        <v>25</v>
      </c>
    </row>
    <row r="92" s="3" customFormat="1" customHeight="1" spans="1:20">
      <c r="A92" s="167" t="s">
        <v>3429</v>
      </c>
      <c r="B92" s="167" t="s">
        <v>165</v>
      </c>
      <c r="C92" s="167" t="s">
        <v>3430</v>
      </c>
      <c r="D92" s="11">
        <v>18279285118</v>
      </c>
      <c r="E92" s="167" t="s">
        <v>278</v>
      </c>
      <c r="F92" s="167" t="s">
        <v>28</v>
      </c>
      <c r="G92" s="11">
        <v>202103001</v>
      </c>
      <c r="H92" s="167" t="s">
        <v>585</v>
      </c>
      <c r="I92" s="167" t="s">
        <v>3018</v>
      </c>
      <c r="J92" s="167" t="s">
        <v>586</v>
      </c>
      <c r="K92" s="167" t="s">
        <v>170</v>
      </c>
      <c r="L92" s="167" t="s">
        <v>3431</v>
      </c>
      <c r="M92" s="167" t="s">
        <v>586</v>
      </c>
      <c r="N92" s="167" t="s">
        <v>3432</v>
      </c>
      <c r="O92" s="12" t="str">
        <f>_xlfn.DISPIMG("ID_E1216B8DC47A44DFAB6AC1BAFDBCD62B",1)</f>
        <v>=DISPIMG("ID_E1216B8DC47A44DFAB6AC1BAFDBCD62B",1)</v>
      </c>
      <c r="P92" s="11" t="s">
        <v>3433</v>
      </c>
      <c r="Q92" s="20">
        <v>433</v>
      </c>
      <c r="R92" s="17" t="s">
        <v>4405</v>
      </c>
      <c r="S92" s="18" t="s">
        <v>40</v>
      </c>
      <c r="T92" s="11">
        <v>6</v>
      </c>
    </row>
    <row r="93" s="3" customFormat="1" customHeight="1" spans="1:20">
      <c r="A93" s="167" t="s">
        <v>3443</v>
      </c>
      <c r="B93" s="167" t="s">
        <v>165</v>
      </c>
      <c r="C93" s="167" t="s">
        <v>3444</v>
      </c>
      <c r="D93" s="11">
        <v>18607912074</v>
      </c>
      <c r="E93" s="167" t="s">
        <v>278</v>
      </c>
      <c r="F93" s="167" t="s">
        <v>28</v>
      </c>
      <c r="G93" s="11">
        <v>202103001</v>
      </c>
      <c r="H93" s="167" t="s">
        <v>279</v>
      </c>
      <c r="I93" s="167" t="s">
        <v>515</v>
      </c>
      <c r="J93" s="167" t="s">
        <v>280</v>
      </c>
      <c r="K93" s="167" t="s">
        <v>170</v>
      </c>
      <c r="L93" s="167" t="s">
        <v>224</v>
      </c>
      <c r="M93" s="167" t="s">
        <v>517</v>
      </c>
      <c r="N93" s="167" t="s">
        <v>3446</v>
      </c>
      <c r="O93" s="12" t="str">
        <f>_xlfn.DISPIMG("ID_BD52B8A2C60C41F6B5F6C165401F5CB1",1)</f>
        <v>=DISPIMG("ID_BD52B8A2C60C41F6B5F6C165401F5CB1",1)</v>
      </c>
      <c r="P93" s="11" t="s">
        <v>3447</v>
      </c>
      <c r="Q93" s="20">
        <v>435</v>
      </c>
      <c r="R93" s="17" t="s">
        <v>4406</v>
      </c>
      <c r="S93" s="18" t="s">
        <v>40</v>
      </c>
      <c r="T93" s="11">
        <v>7</v>
      </c>
    </row>
    <row r="94" s="3" customFormat="1" customHeight="1" spans="1:20">
      <c r="A94" s="167" t="s">
        <v>3488</v>
      </c>
      <c r="B94" s="167" t="s">
        <v>165</v>
      </c>
      <c r="C94" s="167" t="s">
        <v>3489</v>
      </c>
      <c r="D94" s="11">
        <v>13755200519</v>
      </c>
      <c r="E94" s="167" t="s">
        <v>278</v>
      </c>
      <c r="F94" s="167" t="s">
        <v>28</v>
      </c>
      <c r="G94" s="11">
        <v>202103001</v>
      </c>
      <c r="H94" s="167" t="s">
        <v>279</v>
      </c>
      <c r="I94" s="167" t="s">
        <v>3490</v>
      </c>
      <c r="J94" s="167" t="s">
        <v>404</v>
      </c>
      <c r="K94" s="167" t="s">
        <v>160</v>
      </c>
      <c r="L94" s="167" t="s">
        <v>1346</v>
      </c>
      <c r="M94" s="167" t="s">
        <v>517</v>
      </c>
      <c r="N94" s="167" t="s">
        <v>3491</v>
      </c>
      <c r="O94" s="12" t="str">
        <f>_xlfn.DISPIMG("ID_6A8C51914B494C9CBD5F245F39A2E519",1)</f>
        <v>=DISPIMG("ID_6A8C51914B494C9CBD5F245F39A2E519",1)</v>
      </c>
      <c r="P94" s="11" t="s">
        <v>3492</v>
      </c>
      <c r="Q94" s="11">
        <v>441</v>
      </c>
      <c r="R94" s="17" t="s">
        <v>4411</v>
      </c>
      <c r="S94" s="18" t="s">
        <v>40</v>
      </c>
      <c r="T94" s="11">
        <v>5</v>
      </c>
    </row>
    <row r="95" s="3" customFormat="1" customHeight="1" spans="1:20">
      <c r="A95" s="167" t="s">
        <v>3608</v>
      </c>
      <c r="B95" s="167" t="s">
        <v>165</v>
      </c>
      <c r="C95" s="167" t="s">
        <v>3609</v>
      </c>
      <c r="D95" s="11">
        <v>18279283769</v>
      </c>
      <c r="E95" s="167" t="s">
        <v>278</v>
      </c>
      <c r="F95" s="167" t="s">
        <v>28</v>
      </c>
      <c r="G95" s="11">
        <v>202103001</v>
      </c>
      <c r="H95" s="167" t="s">
        <v>585</v>
      </c>
      <c r="I95" s="167" t="s">
        <v>3174</v>
      </c>
      <c r="J95" s="167" t="s">
        <v>280</v>
      </c>
      <c r="K95" s="167" t="s">
        <v>170</v>
      </c>
      <c r="L95" s="167" t="s">
        <v>3039</v>
      </c>
      <c r="M95" s="167" t="s">
        <v>2686</v>
      </c>
      <c r="N95" s="167" t="s">
        <v>3611</v>
      </c>
      <c r="O95" s="12" t="str">
        <f>_xlfn.DISPIMG("ID_39BF594A37E3442B8E4FFF60E8863D45",1)</f>
        <v>=DISPIMG("ID_39BF594A37E3442B8E4FFF60E8863D45",1)</v>
      </c>
      <c r="P95" s="11" t="s">
        <v>3612</v>
      </c>
      <c r="Q95" s="11">
        <v>459</v>
      </c>
      <c r="R95" s="17" t="s">
        <v>4412</v>
      </c>
      <c r="S95" s="18" t="s">
        <v>40</v>
      </c>
      <c r="T95" s="11">
        <v>8</v>
      </c>
    </row>
    <row r="96" s="3" customFormat="1" customHeight="1" spans="1:20">
      <c r="A96" s="167" t="s">
        <v>3676</v>
      </c>
      <c r="B96" s="167" t="s">
        <v>165</v>
      </c>
      <c r="C96" s="167" t="s">
        <v>3677</v>
      </c>
      <c r="D96" s="11">
        <v>18296221374</v>
      </c>
      <c r="E96" s="167" t="s">
        <v>278</v>
      </c>
      <c r="F96" s="167" t="s">
        <v>28</v>
      </c>
      <c r="G96" s="11">
        <v>202103001</v>
      </c>
      <c r="H96" s="167" t="s">
        <v>585</v>
      </c>
      <c r="I96" s="167" t="s">
        <v>3679</v>
      </c>
      <c r="J96" s="167" t="s">
        <v>586</v>
      </c>
      <c r="K96" s="167" t="s">
        <v>170</v>
      </c>
      <c r="L96" s="167" t="s">
        <v>1089</v>
      </c>
      <c r="M96" s="167" t="s">
        <v>3680</v>
      </c>
      <c r="N96" s="167" t="s">
        <v>3681</v>
      </c>
      <c r="O96" s="12" t="str">
        <f>_xlfn.DISPIMG("ID_B6A72806890947DEB45EA914FD393A84",1)</f>
        <v>=DISPIMG("ID_B6A72806890947DEB45EA914FD393A84",1)</v>
      </c>
      <c r="P96" s="11" t="s">
        <v>3682</v>
      </c>
      <c r="Q96" s="11">
        <v>468</v>
      </c>
      <c r="R96" s="17" t="s">
        <v>4415</v>
      </c>
      <c r="S96" s="18" t="s">
        <v>40</v>
      </c>
      <c r="T96" s="11">
        <v>4</v>
      </c>
    </row>
    <row r="97" s="3" customFormat="1" customHeight="1" spans="1:20">
      <c r="A97" s="167" t="s">
        <v>3712</v>
      </c>
      <c r="B97" s="167" t="s">
        <v>165</v>
      </c>
      <c r="C97" s="167" t="s">
        <v>3713</v>
      </c>
      <c r="D97" s="11">
        <v>18720196269</v>
      </c>
      <c r="E97" s="167" t="s">
        <v>278</v>
      </c>
      <c r="F97" s="167" t="s">
        <v>28</v>
      </c>
      <c r="G97" s="11">
        <v>202103001</v>
      </c>
      <c r="H97" s="167" t="s">
        <v>585</v>
      </c>
      <c r="I97" s="167" t="s">
        <v>367</v>
      </c>
      <c r="J97" s="167" t="s">
        <v>2686</v>
      </c>
      <c r="K97" s="167" t="s">
        <v>160</v>
      </c>
      <c r="L97" s="167" t="s">
        <v>3039</v>
      </c>
      <c r="M97" s="167" t="s">
        <v>3715</v>
      </c>
      <c r="N97" s="167" t="s">
        <v>3716</v>
      </c>
      <c r="O97" s="12" t="str">
        <f>_xlfn.DISPIMG("ID_059DAEED1F3E457C93C0A1610046F2A5",1)</f>
        <v>=DISPIMG("ID_059DAEED1F3E457C93C0A1610046F2A5",1)</v>
      </c>
      <c r="P97" s="11" t="s">
        <v>3717</v>
      </c>
      <c r="Q97" s="11">
        <v>473</v>
      </c>
      <c r="R97" s="17" t="s">
        <v>4416</v>
      </c>
      <c r="S97" s="18" t="s">
        <v>40</v>
      </c>
      <c r="T97" s="11">
        <v>9</v>
      </c>
    </row>
    <row r="98" s="3" customFormat="1" customHeight="1" spans="1:20">
      <c r="A98" s="167" t="s">
        <v>3720</v>
      </c>
      <c r="B98" s="167" t="s">
        <v>165</v>
      </c>
      <c r="C98" s="167" t="s">
        <v>3721</v>
      </c>
      <c r="D98" s="11">
        <v>15970603423</v>
      </c>
      <c r="E98" s="167" t="s">
        <v>278</v>
      </c>
      <c r="F98" s="167" t="s">
        <v>28</v>
      </c>
      <c r="G98" s="11">
        <v>202103001</v>
      </c>
      <c r="H98" s="167" t="s">
        <v>157</v>
      </c>
      <c r="I98" s="167" t="s">
        <v>178</v>
      </c>
      <c r="J98" s="167" t="s">
        <v>960</v>
      </c>
      <c r="K98" s="167" t="s">
        <v>170</v>
      </c>
      <c r="L98" s="167" t="s">
        <v>180</v>
      </c>
      <c r="M98" s="167" t="s">
        <v>340</v>
      </c>
      <c r="N98" s="167" t="s">
        <v>3723</v>
      </c>
      <c r="O98" s="12" t="str">
        <f>_xlfn.DISPIMG("ID_38A4C94876C044A5A6F3E884E1CD36B4",1)</f>
        <v>=DISPIMG("ID_38A4C94876C044A5A6F3E884E1CD36B4",1)</v>
      </c>
      <c r="P98" s="11" t="s">
        <v>3724</v>
      </c>
      <c r="Q98" s="11">
        <v>474</v>
      </c>
      <c r="R98" s="17" t="s">
        <v>4418</v>
      </c>
      <c r="S98" s="18" t="s">
        <v>40</v>
      </c>
      <c r="T98" s="11">
        <v>3</v>
      </c>
    </row>
    <row r="99" s="3" customFormat="1" customHeight="1" spans="1:20">
      <c r="A99" s="167" t="s">
        <v>4237</v>
      </c>
      <c r="B99" s="167" t="s">
        <v>165</v>
      </c>
      <c r="C99" s="167" t="s">
        <v>4238</v>
      </c>
      <c r="D99" s="11">
        <v>15170274665</v>
      </c>
      <c r="E99" s="167" t="s">
        <v>278</v>
      </c>
      <c r="F99" s="167" t="s">
        <v>28</v>
      </c>
      <c r="G99" s="11">
        <v>202103001</v>
      </c>
      <c r="H99" s="167" t="s">
        <v>585</v>
      </c>
      <c r="I99" s="167" t="s">
        <v>367</v>
      </c>
      <c r="J99" s="167" t="s">
        <v>280</v>
      </c>
      <c r="K99" s="167" t="s">
        <v>170</v>
      </c>
      <c r="L99" s="167" t="s">
        <v>368</v>
      </c>
      <c r="M99" s="167" t="s">
        <v>376</v>
      </c>
      <c r="N99" s="167" t="s">
        <v>4240</v>
      </c>
      <c r="O99" s="12" t="str">
        <f>_xlfn.DISPIMG("ID_7116E6EB313E4CDBB6AEC2C13A4D6810",1)</f>
        <v>=DISPIMG("ID_7116E6EB313E4CDBB6AEC2C13A4D6810",1)</v>
      </c>
      <c r="P99" s="11" t="s">
        <v>4241</v>
      </c>
      <c r="Q99" s="11">
        <v>542</v>
      </c>
      <c r="R99" s="17" t="s">
        <v>4419</v>
      </c>
      <c r="S99" s="18" t="s">
        <v>40</v>
      </c>
      <c r="T99" s="11">
        <v>2</v>
      </c>
    </row>
    <row r="100" s="3" customFormat="1" customHeight="1" spans="1:20">
      <c r="A100" s="167" t="s">
        <v>4259</v>
      </c>
      <c r="B100" s="167" t="s">
        <v>165</v>
      </c>
      <c r="C100" s="167" t="s">
        <v>4260</v>
      </c>
      <c r="D100" s="11">
        <v>15270817874</v>
      </c>
      <c r="E100" s="167" t="s">
        <v>278</v>
      </c>
      <c r="F100" s="167" t="s">
        <v>28</v>
      </c>
      <c r="G100" s="11">
        <v>202103001</v>
      </c>
      <c r="H100" s="167" t="s">
        <v>279</v>
      </c>
      <c r="I100" s="167" t="s">
        <v>339</v>
      </c>
      <c r="J100" s="167" t="s">
        <v>280</v>
      </c>
      <c r="K100" s="167" t="s">
        <v>170</v>
      </c>
      <c r="L100" s="167" t="s">
        <v>368</v>
      </c>
      <c r="M100" s="167" t="s">
        <v>4262</v>
      </c>
      <c r="N100" s="167" t="s">
        <v>4263</v>
      </c>
      <c r="O100" s="12" t="str">
        <f>_xlfn.DISPIMG("ID_7ED866D6DEDB4511B970FE38712BEDF5",1)</f>
        <v>=DISPIMG("ID_7ED866D6DEDB4511B970FE38712BEDF5",1)</v>
      </c>
      <c r="P100" s="11" t="s">
        <v>4264</v>
      </c>
      <c r="Q100" s="20">
        <v>545</v>
      </c>
      <c r="R100" s="17" t="s">
        <v>4421</v>
      </c>
      <c r="S100" s="18" t="s">
        <v>40</v>
      </c>
      <c r="T100" s="11">
        <v>1</v>
      </c>
    </row>
    <row r="101" s="3" customFormat="1" customHeight="1" spans="1:20">
      <c r="A101" s="167" t="s">
        <v>175</v>
      </c>
      <c r="B101" s="167" t="s">
        <v>165</v>
      </c>
      <c r="C101" s="167" t="s">
        <v>176</v>
      </c>
      <c r="D101" s="11">
        <v>18046603817</v>
      </c>
      <c r="E101" s="167" t="s">
        <v>156</v>
      </c>
      <c r="F101" s="167" t="s">
        <v>14</v>
      </c>
      <c r="G101" s="11">
        <v>202102001</v>
      </c>
      <c r="H101" s="167" t="s">
        <v>157</v>
      </c>
      <c r="I101" s="167" t="s">
        <v>178</v>
      </c>
      <c r="J101" s="167" t="s">
        <v>179</v>
      </c>
      <c r="K101" s="167" t="s">
        <v>170</v>
      </c>
      <c r="L101" s="167" t="s">
        <v>180</v>
      </c>
      <c r="M101" s="167" t="s">
        <v>14</v>
      </c>
      <c r="N101" s="11">
        <v>0</v>
      </c>
      <c r="O101" s="12" t="str">
        <f>_xlfn.DISPIMG("ID_BD43028E6BB24443B06241FE37DC179A",1)</f>
        <v>=DISPIMG("ID_BD43028E6BB24443B06241FE37DC179A",1)</v>
      </c>
      <c r="P101" s="11" t="s">
        <v>181</v>
      </c>
      <c r="Q101" s="11">
        <v>4</v>
      </c>
      <c r="R101" s="17" t="s">
        <v>4422</v>
      </c>
      <c r="S101" s="18" t="s">
        <v>40</v>
      </c>
      <c r="T101" s="11">
        <v>10</v>
      </c>
    </row>
    <row r="102" s="3" customFormat="1" customHeight="1" spans="1:20">
      <c r="A102" s="167" t="s">
        <v>345</v>
      </c>
      <c r="B102" s="167" t="s">
        <v>165</v>
      </c>
      <c r="C102" s="167" t="s">
        <v>346</v>
      </c>
      <c r="D102" s="11">
        <v>15179246525</v>
      </c>
      <c r="E102" s="167" t="s">
        <v>156</v>
      </c>
      <c r="F102" s="167" t="s">
        <v>14</v>
      </c>
      <c r="G102" s="11">
        <v>202102001</v>
      </c>
      <c r="H102" s="167" t="s">
        <v>279</v>
      </c>
      <c r="I102" s="167" t="s">
        <v>158</v>
      </c>
      <c r="J102" s="167" t="s">
        <v>348</v>
      </c>
      <c r="K102" s="167" t="s">
        <v>170</v>
      </c>
      <c r="L102" s="167" t="s">
        <v>349</v>
      </c>
      <c r="M102" s="167" t="s">
        <v>350</v>
      </c>
      <c r="N102" s="167" t="s">
        <v>351</v>
      </c>
      <c r="O102" s="12" t="str">
        <f>_xlfn.DISPIMG("ID_0FE66397D3464536A23D26C93FD62495",1)</f>
        <v>=DISPIMG("ID_0FE66397D3464536A23D26C93FD62495",1)</v>
      </c>
      <c r="P102" s="11" t="s">
        <v>352</v>
      </c>
      <c r="Q102" s="20">
        <v>23</v>
      </c>
      <c r="R102" s="17" t="s">
        <v>4424</v>
      </c>
      <c r="S102" s="18" t="s">
        <v>40</v>
      </c>
      <c r="T102" s="11">
        <v>11</v>
      </c>
    </row>
    <row r="103" s="3" customFormat="1" customHeight="1" spans="1:20">
      <c r="A103" s="167" t="s">
        <v>364</v>
      </c>
      <c r="B103" s="167" t="s">
        <v>153</v>
      </c>
      <c r="C103" s="167" t="s">
        <v>365</v>
      </c>
      <c r="D103" s="11">
        <v>15879225309</v>
      </c>
      <c r="E103" s="167" t="s">
        <v>156</v>
      </c>
      <c r="F103" s="167" t="s">
        <v>14</v>
      </c>
      <c r="G103" s="11">
        <v>202102001</v>
      </c>
      <c r="H103" s="167" t="s">
        <v>157</v>
      </c>
      <c r="I103" s="167" t="s">
        <v>367</v>
      </c>
      <c r="J103" s="167" t="s">
        <v>348</v>
      </c>
      <c r="K103" s="167" t="s">
        <v>170</v>
      </c>
      <c r="L103" s="167" t="s">
        <v>368</v>
      </c>
      <c r="M103" s="167" t="s">
        <v>14</v>
      </c>
      <c r="N103" s="167" t="s">
        <v>369</v>
      </c>
      <c r="O103" s="12" t="str">
        <f>_xlfn.DISPIMG("ID_08B1C5991BF641D590EC606BAB378CA1",1)</f>
        <v>=DISPIMG("ID_08B1C5991BF641D590EC606BAB378CA1",1)</v>
      </c>
      <c r="P103" s="11" t="s">
        <v>370</v>
      </c>
      <c r="Q103" s="11">
        <v>25</v>
      </c>
      <c r="R103" s="17" t="s">
        <v>4425</v>
      </c>
      <c r="S103" s="18" t="s">
        <v>40</v>
      </c>
      <c r="T103" s="11">
        <v>14</v>
      </c>
    </row>
    <row r="104" s="3" customFormat="1" customHeight="1" spans="1:20">
      <c r="A104" s="167" t="s">
        <v>451</v>
      </c>
      <c r="B104" s="167" t="s">
        <v>165</v>
      </c>
      <c r="C104" s="167" t="s">
        <v>452</v>
      </c>
      <c r="D104" s="11">
        <v>15870856801</v>
      </c>
      <c r="E104" s="167" t="s">
        <v>156</v>
      </c>
      <c r="F104" s="167" t="s">
        <v>14</v>
      </c>
      <c r="G104" s="11">
        <v>202102001</v>
      </c>
      <c r="H104" s="167" t="s">
        <v>157</v>
      </c>
      <c r="I104" s="167" t="s">
        <v>158</v>
      </c>
      <c r="J104" s="167" t="s">
        <v>454</v>
      </c>
      <c r="K104" s="167" t="s">
        <v>170</v>
      </c>
      <c r="L104" s="167" t="s">
        <v>455</v>
      </c>
      <c r="M104" s="167" t="s">
        <v>14</v>
      </c>
      <c r="N104" s="11">
        <v>0</v>
      </c>
      <c r="O104" s="12" t="str">
        <f>_xlfn.DISPIMG("ID_B55181394FEF4B858E10F092AB43BFBB",1)</f>
        <v>=DISPIMG("ID_B55181394FEF4B858E10F092AB43BFBB",1)</v>
      </c>
      <c r="P104" s="11" t="s">
        <v>456</v>
      </c>
      <c r="Q104" s="11">
        <v>35</v>
      </c>
      <c r="R104" s="17" t="s">
        <v>4407</v>
      </c>
      <c r="S104" s="18" t="s">
        <v>40</v>
      </c>
      <c r="T104" s="11">
        <v>12</v>
      </c>
    </row>
    <row r="105" s="3" customFormat="1" customHeight="1" spans="1:20">
      <c r="A105" s="167" t="s">
        <v>529</v>
      </c>
      <c r="B105" s="167" t="s">
        <v>165</v>
      </c>
      <c r="C105" s="167" t="s">
        <v>530</v>
      </c>
      <c r="D105" s="11">
        <v>13870852168</v>
      </c>
      <c r="E105" s="167" t="s">
        <v>156</v>
      </c>
      <c r="F105" s="167" t="s">
        <v>14</v>
      </c>
      <c r="G105" s="11">
        <v>202102001</v>
      </c>
      <c r="H105" s="167" t="s">
        <v>157</v>
      </c>
      <c r="I105" s="167" t="s">
        <v>532</v>
      </c>
      <c r="J105" s="167" t="s">
        <v>533</v>
      </c>
      <c r="K105" s="167" t="s">
        <v>160</v>
      </c>
      <c r="L105" s="167" t="s">
        <v>516</v>
      </c>
      <c r="M105" s="167" t="s">
        <v>14</v>
      </c>
      <c r="N105" s="11">
        <v>0</v>
      </c>
      <c r="O105" s="12" t="str">
        <f>_xlfn.DISPIMG("ID_DE54808A64424090BF3B2071C574D915",1)</f>
        <v>=DISPIMG("ID_DE54808A64424090BF3B2071C574D915",1)</v>
      </c>
      <c r="P105" s="11" t="s">
        <v>534</v>
      </c>
      <c r="Q105" s="11">
        <v>45</v>
      </c>
      <c r="R105" s="17" t="s">
        <v>4408</v>
      </c>
      <c r="S105" s="18" t="s">
        <v>40</v>
      </c>
      <c r="T105" s="11">
        <v>13</v>
      </c>
    </row>
    <row r="106" s="3" customFormat="1" customHeight="1" spans="1:20">
      <c r="A106" s="167" t="s">
        <v>635</v>
      </c>
      <c r="B106" s="167" t="s">
        <v>165</v>
      </c>
      <c r="C106" s="167" t="s">
        <v>636</v>
      </c>
      <c r="D106" s="11">
        <v>15070232391</v>
      </c>
      <c r="E106" s="167" t="s">
        <v>156</v>
      </c>
      <c r="F106" s="167" t="s">
        <v>14</v>
      </c>
      <c r="G106" s="11">
        <v>202102001</v>
      </c>
      <c r="H106" s="167" t="s">
        <v>279</v>
      </c>
      <c r="I106" s="167" t="s">
        <v>158</v>
      </c>
      <c r="J106" s="167" t="s">
        <v>348</v>
      </c>
      <c r="K106" s="167" t="s">
        <v>170</v>
      </c>
      <c r="L106" s="167" t="s">
        <v>548</v>
      </c>
      <c r="M106" s="167" t="s">
        <v>638</v>
      </c>
      <c r="N106" s="167" t="s">
        <v>639</v>
      </c>
      <c r="O106" s="12" t="str">
        <f>_xlfn.DISPIMG("ID_89E406E2AE894B018BFF7E7198130BCA",1)</f>
        <v>=DISPIMG("ID_89E406E2AE894B018BFF7E7198130BCA",1)</v>
      </c>
      <c r="P106" s="11" t="s">
        <v>640</v>
      </c>
      <c r="Q106" s="11">
        <v>58</v>
      </c>
      <c r="R106" s="17" t="s">
        <v>4413</v>
      </c>
      <c r="S106" s="18" t="s">
        <v>43</v>
      </c>
      <c r="T106" s="11">
        <v>6</v>
      </c>
    </row>
    <row r="107" s="3" customFormat="1" customHeight="1" spans="1:20">
      <c r="A107" s="167" t="s">
        <v>643</v>
      </c>
      <c r="B107" s="167" t="s">
        <v>165</v>
      </c>
      <c r="C107" s="167" t="s">
        <v>644</v>
      </c>
      <c r="D107" s="11">
        <v>17808826021</v>
      </c>
      <c r="E107" s="167" t="s">
        <v>156</v>
      </c>
      <c r="F107" s="167" t="s">
        <v>14</v>
      </c>
      <c r="G107" s="11">
        <v>202102001</v>
      </c>
      <c r="H107" s="167" t="s">
        <v>157</v>
      </c>
      <c r="I107" s="167" t="s">
        <v>646</v>
      </c>
      <c r="J107" s="167" t="s">
        <v>454</v>
      </c>
      <c r="K107" s="167" t="s">
        <v>160</v>
      </c>
      <c r="L107" s="167" t="s">
        <v>224</v>
      </c>
      <c r="M107" s="167" t="s">
        <v>14</v>
      </c>
      <c r="N107" s="167" t="s">
        <v>647</v>
      </c>
      <c r="O107" s="12" t="str">
        <f>_xlfn.DISPIMG("ID_905C387E694F4B30B6CB8B8291B01F38",1)</f>
        <v>=DISPIMG("ID_905C387E694F4B30B6CB8B8291B01F38",1)</v>
      </c>
      <c r="P107" s="11" t="s">
        <v>648</v>
      </c>
      <c r="Q107" s="11">
        <v>59</v>
      </c>
      <c r="R107" s="17" t="s">
        <v>4414</v>
      </c>
      <c r="S107" s="18" t="s">
        <v>43</v>
      </c>
      <c r="T107" s="11">
        <v>7</v>
      </c>
    </row>
    <row r="108" s="3" customFormat="1" customHeight="1" spans="1:20">
      <c r="A108" s="167" t="s">
        <v>651</v>
      </c>
      <c r="B108" s="167" t="s">
        <v>165</v>
      </c>
      <c r="C108" s="167" t="s">
        <v>652</v>
      </c>
      <c r="D108" s="11">
        <v>13677913381</v>
      </c>
      <c r="E108" s="167" t="s">
        <v>156</v>
      </c>
      <c r="F108" s="167" t="s">
        <v>14</v>
      </c>
      <c r="G108" s="11">
        <v>202102001</v>
      </c>
      <c r="H108" s="167" t="s">
        <v>279</v>
      </c>
      <c r="I108" s="167" t="s">
        <v>339</v>
      </c>
      <c r="J108" s="167" t="s">
        <v>348</v>
      </c>
      <c r="K108" s="167" t="s">
        <v>170</v>
      </c>
      <c r="L108" s="167" t="s">
        <v>171</v>
      </c>
      <c r="M108" s="167" t="s">
        <v>654</v>
      </c>
      <c r="N108" s="167" t="s">
        <v>655</v>
      </c>
      <c r="O108" s="12" t="str">
        <f>_xlfn.DISPIMG("ID_F245B8B6D20E4BBA8409FA8C63902E06",1)</f>
        <v>=DISPIMG("ID_F245B8B6D20E4BBA8409FA8C63902E06",1)</v>
      </c>
      <c r="P108" s="11" t="s">
        <v>656</v>
      </c>
      <c r="Q108" s="11">
        <v>60</v>
      </c>
      <c r="R108" s="17" t="s">
        <v>4417</v>
      </c>
      <c r="S108" s="18" t="s">
        <v>43</v>
      </c>
      <c r="T108" s="11">
        <v>18</v>
      </c>
    </row>
    <row r="109" s="3" customFormat="1" customHeight="1" spans="1:20">
      <c r="A109" s="167" t="s">
        <v>687</v>
      </c>
      <c r="B109" s="167" t="s">
        <v>153</v>
      </c>
      <c r="C109" s="167" t="s">
        <v>688</v>
      </c>
      <c r="D109" s="11">
        <v>18370106328</v>
      </c>
      <c r="E109" s="167" t="s">
        <v>156</v>
      </c>
      <c r="F109" s="167" t="s">
        <v>14</v>
      </c>
      <c r="G109" s="11">
        <v>202102001</v>
      </c>
      <c r="H109" s="167" t="s">
        <v>279</v>
      </c>
      <c r="I109" s="167" t="s">
        <v>158</v>
      </c>
      <c r="J109" s="167" t="s">
        <v>348</v>
      </c>
      <c r="K109" s="167" t="s">
        <v>170</v>
      </c>
      <c r="L109" s="167" t="s">
        <v>281</v>
      </c>
      <c r="M109" s="167" t="s">
        <v>689</v>
      </c>
      <c r="N109" s="167" t="s">
        <v>690</v>
      </c>
      <c r="O109" s="12" t="str">
        <f>_xlfn.DISPIMG("ID_54204C01855F423A99B7E1E3FD940E61",1)</f>
        <v>=DISPIMG("ID_54204C01855F423A99B7E1E3FD940E61",1)</v>
      </c>
      <c r="P109" s="11" t="s">
        <v>691</v>
      </c>
      <c r="Q109" s="11">
        <v>64</v>
      </c>
      <c r="R109" s="17" t="s">
        <v>4420</v>
      </c>
      <c r="S109" s="18" t="s">
        <v>43</v>
      </c>
      <c r="T109" s="11">
        <v>19</v>
      </c>
    </row>
    <row r="110" s="5" customFormat="1" customHeight="1" spans="1:20">
      <c r="A110" s="167" t="s">
        <v>738</v>
      </c>
      <c r="B110" s="167" t="s">
        <v>165</v>
      </c>
      <c r="C110" s="167" t="s">
        <v>739</v>
      </c>
      <c r="D110" s="11">
        <v>15279225160</v>
      </c>
      <c r="E110" s="167" t="s">
        <v>156</v>
      </c>
      <c r="F110" s="167" t="s">
        <v>14</v>
      </c>
      <c r="G110" s="11">
        <v>202102001</v>
      </c>
      <c r="H110" s="167" t="s">
        <v>279</v>
      </c>
      <c r="I110" s="167" t="s">
        <v>576</v>
      </c>
      <c r="J110" s="167" t="s">
        <v>348</v>
      </c>
      <c r="K110" s="167" t="s">
        <v>170</v>
      </c>
      <c r="L110" s="167" t="s">
        <v>224</v>
      </c>
      <c r="M110" s="167" t="s">
        <v>741</v>
      </c>
      <c r="N110" s="167" t="s">
        <v>742</v>
      </c>
      <c r="O110" s="12" t="str">
        <f>_xlfn.DISPIMG("ID_05F523224C924653A8F56CD5737A4E8C",1)</f>
        <v>=DISPIMG("ID_05F523224C924653A8F56CD5737A4E8C",1)</v>
      </c>
      <c r="P110" s="11" t="s">
        <v>743</v>
      </c>
      <c r="Q110" s="11">
        <v>70</v>
      </c>
      <c r="R110" s="17" t="s">
        <v>4423</v>
      </c>
      <c r="S110" s="18" t="s">
        <v>43</v>
      </c>
      <c r="T110" s="11">
        <v>30</v>
      </c>
    </row>
    <row r="111" s="3" customFormat="1" customHeight="1" spans="1:20">
      <c r="A111" s="167" t="s">
        <v>916</v>
      </c>
      <c r="B111" s="167" t="s">
        <v>165</v>
      </c>
      <c r="C111" s="167" t="s">
        <v>917</v>
      </c>
      <c r="D111" s="11">
        <v>15070951954</v>
      </c>
      <c r="E111" s="167" t="s">
        <v>156</v>
      </c>
      <c r="F111" s="167" t="s">
        <v>14</v>
      </c>
      <c r="G111" s="11">
        <v>202102001</v>
      </c>
      <c r="H111" s="167" t="s">
        <v>157</v>
      </c>
      <c r="I111" s="167" t="s">
        <v>233</v>
      </c>
      <c r="J111" s="167" t="s">
        <v>454</v>
      </c>
      <c r="K111" s="167" t="s">
        <v>160</v>
      </c>
      <c r="L111" s="167" t="s">
        <v>919</v>
      </c>
      <c r="M111" s="167" t="s">
        <v>14</v>
      </c>
      <c r="N111" s="167" t="s">
        <v>920</v>
      </c>
      <c r="O111" s="12" t="str">
        <f>_xlfn.DISPIMG("ID_ADE94A403A29454787C6186CC5AA20B8",1)</f>
        <v>=DISPIMG("ID_ADE94A403A29454787C6186CC5AA20B8",1)</v>
      </c>
      <c r="P111" s="11" t="s">
        <v>921</v>
      </c>
      <c r="Q111" s="11">
        <v>92</v>
      </c>
      <c r="R111" s="17" t="s">
        <v>4426</v>
      </c>
      <c r="S111" s="18" t="s">
        <v>43</v>
      </c>
      <c r="T111" s="11">
        <v>5</v>
      </c>
    </row>
    <row r="112" s="3" customFormat="1" customHeight="1" spans="1:20">
      <c r="A112" s="167" t="s">
        <v>1102</v>
      </c>
      <c r="B112" s="167" t="s">
        <v>165</v>
      </c>
      <c r="C112" s="167" t="s">
        <v>1103</v>
      </c>
      <c r="D112" s="11">
        <v>18890061239</v>
      </c>
      <c r="E112" s="167" t="s">
        <v>156</v>
      </c>
      <c r="F112" s="167" t="s">
        <v>14</v>
      </c>
      <c r="G112" s="11">
        <v>202102001</v>
      </c>
      <c r="H112" s="167" t="s">
        <v>157</v>
      </c>
      <c r="I112" s="167" t="s">
        <v>1105</v>
      </c>
      <c r="J112" s="167" t="s">
        <v>454</v>
      </c>
      <c r="K112" s="167" t="s">
        <v>160</v>
      </c>
      <c r="L112" s="167" t="s">
        <v>161</v>
      </c>
      <c r="M112" s="167" t="s">
        <v>14</v>
      </c>
      <c r="N112" s="11">
        <v>0</v>
      </c>
      <c r="O112" s="12" t="str">
        <f>_xlfn.DISPIMG("ID_85B66E0F069149898E44BCE57E5EBF40",1)</f>
        <v>=DISPIMG("ID_85B66E0F069149898E44BCE57E5EBF40",1)</v>
      </c>
      <c r="P112" s="11" t="s">
        <v>1106</v>
      </c>
      <c r="Q112" s="11">
        <v>115</v>
      </c>
      <c r="R112" s="17" t="s">
        <v>4427</v>
      </c>
      <c r="S112" s="18" t="s">
        <v>43</v>
      </c>
      <c r="T112" s="11">
        <v>8</v>
      </c>
    </row>
    <row r="113" s="3" customFormat="1" customHeight="1" spans="1:20">
      <c r="A113" s="167" t="s">
        <v>1255</v>
      </c>
      <c r="B113" s="167" t="s">
        <v>165</v>
      </c>
      <c r="C113" s="167" t="s">
        <v>1256</v>
      </c>
      <c r="D113" s="11">
        <v>18370224457</v>
      </c>
      <c r="E113" s="167" t="s">
        <v>506</v>
      </c>
      <c r="F113" s="167" t="s">
        <v>14</v>
      </c>
      <c r="G113" s="11">
        <v>202102014</v>
      </c>
      <c r="H113" s="167" t="s">
        <v>279</v>
      </c>
      <c r="I113" s="167" t="s">
        <v>1258</v>
      </c>
      <c r="J113" s="167" t="s">
        <v>348</v>
      </c>
      <c r="K113" s="167" t="s">
        <v>170</v>
      </c>
      <c r="L113" s="167" t="s">
        <v>161</v>
      </c>
      <c r="M113" s="167" t="s">
        <v>121</v>
      </c>
      <c r="N113" s="167" t="s">
        <v>1259</v>
      </c>
      <c r="O113" s="12" t="str">
        <f>_xlfn.DISPIMG("ID_AF9D4A23BC36463DA48841C24B1BEB6F",1)</f>
        <v>=DISPIMG("ID_AF9D4A23BC36463DA48841C24B1BEB6F",1)</v>
      </c>
      <c r="P113" s="11" t="s">
        <v>1260</v>
      </c>
      <c r="Q113" s="11">
        <v>134</v>
      </c>
      <c r="R113" s="17" t="s">
        <v>4428</v>
      </c>
      <c r="S113" s="18" t="s">
        <v>43</v>
      </c>
      <c r="T113" s="11">
        <v>17</v>
      </c>
    </row>
    <row r="114" s="3" customFormat="1" customHeight="1" spans="1:20">
      <c r="A114" s="167" t="s">
        <v>1350</v>
      </c>
      <c r="B114" s="167" t="s">
        <v>165</v>
      </c>
      <c r="C114" s="167" t="s">
        <v>1351</v>
      </c>
      <c r="D114" s="11">
        <v>13767415091</v>
      </c>
      <c r="E114" s="167" t="s">
        <v>156</v>
      </c>
      <c r="F114" s="167" t="s">
        <v>14</v>
      </c>
      <c r="G114" s="11">
        <v>202102001</v>
      </c>
      <c r="H114" s="167" t="s">
        <v>157</v>
      </c>
      <c r="I114" s="167" t="s">
        <v>827</v>
      </c>
      <c r="J114" s="167" t="s">
        <v>223</v>
      </c>
      <c r="K114" s="167" t="s">
        <v>170</v>
      </c>
      <c r="L114" s="167" t="s">
        <v>306</v>
      </c>
      <c r="M114" s="167" t="s">
        <v>1353</v>
      </c>
      <c r="N114" s="11">
        <v>0</v>
      </c>
      <c r="O114" s="12" t="str">
        <f>_xlfn.DISPIMG("ID_7AB2E23FEFF940D9992E8955A95BEDD5",1)</f>
        <v>=DISPIMG("ID_7AB2E23FEFF940D9992E8955A95BEDD5",1)</v>
      </c>
      <c r="P114" s="11" t="s">
        <v>1354</v>
      </c>
      <c r="Q114" s="11">
        <v>147</v>
      </c>
      <c r="R114" s="17" t="s">
        <v>4429</v>
      </c>
      <c r="S114" s="18" t="s">
        <v>43</v>
      </c>
      <c r="T114" s="11">
        <v>20</v>
      </c>
    </row>
    <row r="115" s="3" customFormat="1" customHeight="1" spans="1:20">
      <c r="A115" s="167" t="s">
        <v>1380</v>
      </c>
      <c r="B115" s="167" t="s">
        <v>165</v>
      </c>
      <c r="C115" s="167" t="s">
        <v>1381</v>
      </c>
      <c r="D115" s="11">
        <v>15279288135</v>
      </c>
      <c r="E115" s="167" t="s">
        <v>156</v>
      </c>
      <c r="F115" s="167" t="s">
        <v>14</v>
      </c>
      <c r="G115" s="11">
        <v>202102001</v>
      </c>
      <c r="H115" s="167" t="s">
        <v>279</v>
      </c>
      <c r="I115" s="167" t="s">
        <v>339</v>
      </c>
      <c r="J115" s="167" t="s">
        <v>348</v>
      </c>
      <c r="K115" s="167" t="s">
        <v>170</v>
      </c>
      <c r="L115" s="167" t="s">
        <v>368</v>
      </c>
      <c r="M115" s="167" t="s">
        <v>350</v>
      </c>
      <c r="N115" s="167" t="s">
        <v>1383</v>
      </c>
      <c r="O115" s="12" t="str">
        <f>_xlfn.DISPIMG("ID_05A4371881E64A5ABCF18AC5C0DCA23F",1)</f>
        <v>=DISPIMG("ID_05A4371881E64A5ABCF18AC5C0DCA23F",1)</v>
      </c>
      <c r="P115" s="11" t="s">
        <v>1384</v>
      </c>
      <c r="Q115" s="11">
        <v>151</v>
      </c>
      <c r="R115" s="17" t="s">
        <v>4430</v>
      </c>
      <c r="S115" s="18" t="s">
        <v>43</v>
      </c>
      <c r="T115" s="11">
        <v>29</v>
      </c>
    </row>
    <row r="116" s="3" customFormat="1" customHeight="1" spans="1:20">
      <c r="A116" s="167" t="s">
        <v>1496</v>
      </c>
      <c r="B116" s="167" t="s">
        <v>165</v>
      </c>
      <c r="C116" s="167" t="s">
        <v>1497</v>
      </c>
      <c r="D116" s="11">
        <v>18770916920</v>
      </c>
      <c r="E116" s="167" t="s">
        <v>156</v>
      </c>
      <c r="F116" s="167" t="s">
        <v>14</v>
      </c>
      <c r="G116" s="11">
        <v>202102001</v>
      </c>
      <c r="H116" s="167" t="s">
        <v>157</v>
      </c>
      <c r="I116" s="167" t="s">
        <v>876</v>
      </c>
      <c r="J116" s="167" t="s">
        <v>1499</v>
      </c>
      <c r="K116" s="167" t="s">
        <v>160</v>
      </c>
      <c r="L116" s="167" t="s">
        <v>396</v>
      </c>
      <c r="M116" s="167" t="s">
        <v>14</v>
      </c>
      <c r="N116" s="11">
        <v>0</v>
      </c>
      <c r="O116" s="12" t="str">
        <f>_xlfn.DISPIMG("ID_F699C2D8D57643CC8A99CF3C2C6B152A",1)</f>
        <v>=DISPIMG("ID_F699C2D8D57643CC8A99CF3C2C6B152A",1)</v>
      </c>
      <c r="P116" s="11" t="s">
        <v>1500</v>
      </c>
      <c r="Q116" s="11">
        <v>166</v>
      </c>
      <c r="R116" s="17" t="s">
        <v>4431</v>
      </c>
      <c r="S116" s="18" t="s">
        <v>43</v>
      </c>
      <c r="T116" s="11">
        <v>4</v>
      </c>
    </row>
    <row r="117" s="3" customFormat="1" customHeight="1" spans="1:20">
      <c r="A117" s="167" t="s">
        <v>1542</v>
      </c>
      <c r="B117" s="167" t="s">
        <v>153</v>
      </c>
      <c r="C117" s="167" t="s">
        <v>1543</v>
      </c>
      <c r="D117" s="11">
        <v>15270866526</v>
      </c>
      <c r="E117" s="167" t="s">
        <v>156</v>
      </c>
      <c r="F117" s="167" t="s">
        <v>14</v>
      </c>
      <c r="G117" s="11">
        <v>202102001</v>
      </c>
      <c r="H117" s="167" t="s">
        <v>157</v>
      </c>
      <c r="I117" s="167" t="s">
        <v>1545</v>
      </c>
      <c r="J117" s="167" t="s">
        <v>1546</v>
      </c>
      <c r="K117" s="167" t="s">
        <v>170</v>
      </c>
      <c r="L117" s="167" t="s">
        <v>235</v>
      </c>
      <c r="M117" s="167" t="s">
        <v>1547</v>
      </c>
      <c r="N117" s="167" t="s">
        <v>1548</v>
      </c>
      <c r="O117" s="12" t="str">
        <f>_xlfn.DISPIMG("ID_08EA3F14C88D463E8A5342E5A111BC99",1)</f>
        <v>=DISPIMG("ID_08EA3F14C88D463E8A5342E5A111BC99",1)</v>
      </c>
      <c r="P117" s="11" t="s">
        <v>1549</v>
      </c>
      <c r="Q117" s="11">
        <v>172</v>
      </c>
      <c r="R117" s="17" t="s">
        <v>4432</v>
      </c>
      <c r="S117" s="18" t="s">
        <v>43</v>
      </c>
      <c r="T117" s="11">
        <v>9</v>
      </c>
    </row>
    <row r="118" s="3" customFormat="1" customHeight="1" spans="1:20">
      <c r="A118" s="167" t="s">
        <v>1697</v>
      </c>
      <c r="B118" s="167" t="s">
        <v>165</v>
      </c>
      <c r="C118" s="167" t="s">
        <v>1698</v>
      </c>
      <c r="D118" s="11">
        <v>13732925421</v>
      </c>
      <c r="E118" s="167" t="s">
        <v>156</v>
      </c>
      <c r="F118" s="167" t="s">
        <v>14</v>
      </c>
      <c r="G118" s="11">
        <v>202102001</v>
      </c>
      <c r="H118" s="167" t="s">
        <v>157</v>
      </c>
      <c r="I118" s="167" t="s">
        <v>1654</v>
      </c>
      <c r="J118" s="167" t="s">
        <v>1700</v>
      </c>
      <c r="K118" s="167" t="s">
        <v>160</v>
      </c>
      <c r="L118" s="167" t="s">
        <v>235</v>
      </c>
      <c r="M118" s="167" t="s">
        <v>1701</v>
      </c>
      <c r="N118" s="167" t="s">
        <v>1702</v>
      </c>
      <c r="O118" s="12" t="str">
        <f>_xlfn.DISPIMG("ID_9C3AAF7BA09C4626832FC4C49E6F802D",1)</f>
        <v>=DISPIMG("ID_9C3AAF7BA09C4626832FC4C49E6F802D",1)</v>
      </c>
      <c r="P118" s="11" t="s">
        <v>1703</v>
      </c>
      <c r="Q118" s="11">
        <v>192</v>
      </c>
      <c r="R118" s="17" t="s">
        <v>4433</v>
      </c>
      <c r="S118" s="18" t="s">
        <v>43</v>
      </c>
      <c r="T118" s="11">
        <v>16</v>
      </c>
    </row>
    <row r="119" s="3" customFormat="1" customHeight="1" spans="1:20">
      <c r="A119" s="167" t="s">
        <v>1723</v>
      </c>
      <c r="B119" s="167" t="s">
        <v>165</v>
      </c>
      <c r="C119" s="167" t="s">
        <v>1724</v>
      </c>
      <c r="D119" s="11">
        <v>13697028942</v>
      </c>
      <c r="E119" s="167" t="s">
        <v>156</v>
      </c>
      <c r="F119" s="167" t="s">
        <v>14</v>
      </c>
      <c r="G119" s="11">
        <v>202102001</v>
      </c>
      <c r="H119" s="167" t="s">
        <v>157</v>
      </c>
      <c r="I119" s="167" t="s">
        <v>827</v>
      </c>
      <c r="J119" s="167" t="s">
        <v>454</v>
      </c>
      <c r="K119" s="167" t="s">
        <v>170</v>
      </c>
      <c r="L119" s="167" t="s">
        <v>261</v>
      </c>
      <c r="M119" s="167" t="s">
        <v>26</v>
      </c>
      <c r="N119" s="11">
        <v>0</v>
      </c>
      <c r="O119" s="12" t="str">
        <f>_xlfn.DISPIMG("ID_9F3C5B09040D438283C530134A5BD84D",1)</f>
        <v>=DISPIMG("ID_9F3C5B09040D438283C530134A5BD84D",1)</v>
      </c>
      <c r="P119" s="11" t="s">
        <v>1726</v>
      </c>
      <c r="Q119" s="11">
        <v>195</v>
      </c>
      <c r="R119" s="17" t="s">
        <v>4434</v>
      </c>
      <c r="S119" s="18" t="s">
        <v>43</v>
      </c>
      <c r="T119" s="11">
        <v>21</v>
      </c>
    </row>
    <row r="120" s="3" customFormat="1" customHeight="1" spans="1:20">
      <c r="A120" s="167" t="s">
        <v>1828</v>
      </c>
      <c r="B120" s="167" t="s">
        <v>165</v>
      </c>
      <c r="C120" s="167" t="s">
        <v>1829</v>
      </c>
      <c r="D120" s="11">
        <v>18797851564</v>
      </c>
      <c r="E120" s="167" t="s">
        <v>156</v>
      </c>
      <c r="F120" s="167" t="s">
        <v>14</v>
      </c>
      <c r="G120" s="11">
        <v>202102001</v>
      </c>
      <c r="H120" s="167" t="s">
        <v>157</v>
      </c>
      <c r="I120" s="167" t="s">
        <v>1831</v>
      </c>
      <c r="J120" s="167" t="s">
        <v>1832</v>
      </c>
      <c r="K120" s="167" t="s">
        <v>160</v>
      </c>
      <c r="L120" s="167" t="s">
        <v>171</v>
      </c>
      <c r="M120" s="167" t="s">
        <v>14</v>
      </c>
      <c r="N120" s="167" t="s">
        <v>1833</v>
      </c>
      <c r="O120" s="12" t="str">
        <f>_xlfn.DISPIMG("ID_9C01FBB9DB4A4DB19EA599EA9C699E26",1)</f>
        <v>=DISPIMG("ID_9C01FBB9DB4A4DB19EA599EA9C699E26",1)</v>
      </c>
      <c r="P120" s="11" t="s">
        <v>1834</v>
      </c>
      <c r="Q120" s="11">
        <v>209</v>
      </c>
      <c r="R120" s="17" t="s">
        <v>4435</v>
      </c>
      <c r="S120" s="18" t="s">
        <v>43</v>
      </c>
      <c r="T120" s="11">
        <v>28</v>
      </c>
    </row>
    <row r="121" s="3" customFormat="1" customHeight="1" spans="1:20">
      <c r="A121" s="167" t="s">
        <v>1939</v>
      </c>
      <c r="B121" s="167" t="s">
        <v>165</v>
      </c>
      <c r="C121" s="167" t="s">
        <v>1940</v>
      </c>
      <c r="D121" s="11">
        <v>15727538228</v>
      </c>
      <c r="E121" s="167" t="s">
        <v>156</v>
      </c>
      <c r="F121" s="167" t="s">
        <v>14</v>
      </c>
      <c r="G121" s="11">
        <v>202102001</v>
      </c>
      <c r="H121" s="167" t="s">
        <v>157</v>
      </c>
      <c r="I121" s="167" t="s">
        <v>233</v>
      </c>
      <c r="J121" s="167" t="s">
        <v>454</v>
      </c>
      <c r="K121" s="167" t="s">
        <v>170</v>
      </c>
      <c r="L121" s="167" t="s">
        <v>1942</v>
      </c>
      <c r="M121" s="167" t="s">
        <v>498</v>
      </c>
      <c r="N121" s="167" t="s">
        <v>1943</v>
      </c>
      <c r="O121" s="12" t="str">
        <f>_xlfn.DISPIMG("ID_1C58977D34D3459483FD1AF3B2109430",1)</f>
        <v>=DISPIMG("ID_1C58977D34D3459483FD1AF3B2109430",1)</v>
      </c>
      <c r="P121" s="11" t="s">
        <v>1944</v>
      </c>
      <c r="Q121" s="11">
        <v>224</v>
      </c>
      <c r="R121" s="17" t="s">
        <v>4436</v>
      </c>
      <c r="S121" s="18" t="s">
        <v>43</v>
      </c>
      <c r="T121" s="11">
        <v>3</v>
      </c>
    </row>
    <row r="122" s="3" customFormat="1" customHeight="1" spans="1:20">
      <c r="A122" s="167" t="s">
        <v>1947</v>
      </c>
      <c r="B122" s="167" t="s">
        <v>165</v>
      </c>
      <c r="C122" s="167" t="s">
        <v>1948</v>
      </c>
      <c r="D122" s="11">
        <v>15070578947</v>
      </c>
      <c r="E122" s="167" t="s">
        <v>156</v>
      </c>
      <c r="F122" s="167" t="s">
        <v>14</v>
      </c>
      <c r="G122" s="11">
        <v>202102001</v>
      </c>
      <c r="H122" s="167" t="s">
        <v>279</v>
      </c>
      <c r="I122" s="167" t="s">
        <v>1523</v>
      </c>
      <c r="J122" s="167" t="s">
        <v>1950</v>
      </c>
      <c r="K122" s="167" t="s">
        <v>170</v>
      </c>
      <c r="L122" s="167" t="s">
        <v>396</v>
      </c>
      <c r="M122" s="167" t="s">
        <v>14</v>
      </c>
      <c r="N122" s="167" t="s">
        <v>1951</v>
      </c>
      <c r="O122" s="12" t="str">
        <f>_xlfn.DISPIMG("ID_86A99051306F46439DFFA2E8604105B2",1)</f>
        <v>=DISPIMG("ID_86A99051306F46439DFFA2E8604105B2",1)</v>
      </c>
      <c r="P122" s="11" t="s">
        <v>1952</v>
      </c>
      <c r="Q122" s="11">
        <v>225</v>
      </c>
      <c r="R122" s="17" t="s">
        <v>4437</v>
      </c>
      <c r="S122" s="18" t="s">
        <v>43</v>
      </c>
      <c r="T122" s="11">
        <v>10</v>
      </c>
    </row>
    <row r="123" s="3" customFormat="1" customHeight="1" spans="1:20">
      <c r="A123" s="167" t="s">
        <v>1955</v>
      </c>
      <c r="B123" s="167" t="s">
        <v>165</v>
      </c>
      <c r="C123" s="167" t="s">
        <v>1956</v>
      </c>
      <c r="D123" s="11">
        <v>13687028289</v>
      </c>
      <c r="E123" s="167" t="s">
        <v>156</v>
      </c>
      <c r="F123" s="167" t="s">
        <v>14</v>
      </c>
      <c r="G123" s="11">
        <v>202102001</v>
      </c>
      <c r="H123" s="167" t="s">
        <v>279</v>
      </c>
      <c r="I123" s="167" t="s">
        <v>339</v>
      </c>
      <c r="J123" s="167" t="s">
        <v>348</v>
      </c>
      <c r="K123" s="167" t="s">
        <v>170</v>
      </c>
      <c r="L123" s="167" t="s">
        <v>180</v>
      </c>
      <c r="M123" s="167" t="s">
        <v>638</v>
      </c>
      <c r="N123" s="167" t="s">
        <v>1958</v>
      </c>
      <c r="O123" s="12" t="str">
        <f>_xlfn.DISPIMG("ID_2D011236909B4AB48CEACAF4EB3A9013",1)</f>
        <v>=DISPIMG("ID_2D011236909B4AB48CEACAF4EB3A9013",1)</v>
      </c>
      <c r="P123" s="11" t="s">
        <v>1959</v>
      </c>
      <c r="Q123" s="11">
        <v>226</v>
      </c>
      <c r="R123" s="17" t="s">
        <v>4438</v>
      </c>
      <c r="S123" s="18" t="s">
        <v>43</v>
      </c>
      <c r="T123" s="11">
        <v>15</v>
      </c>
    </row>
    <row r="124" s="3" customFormat="1" customHeight="1" spans="1:20">
      <c r="A124" s="167" t="s">
        <v>1962</v>
      </c>
      <c r="B124" s="167" t="s">
        <v>165</v>
      </c>
      <c r="C124" s="167" t="s">
        <v>1963</v>
      </c>
      <c r="D124" s="11">
        <v>18279199773</v>
      </c>
      <c r="E124" s="167" t="s">
        <v>156</v>
      </c>
      <c r="F124" s="167" t="s">
        <v>14</v>
      </c>
      <c r="G124" s="11">
        <v>202102001</v>
      </c>
      <c r="H124" s="167" t="s">
        <v>157</v>
      </c>
      <c r="I124" s="167" t="s">
        <v>1121</v>
      </c>
      <c r="J124" s="167" t="s">
        <v>813</v>
      </c>
      <c r="K124" s="167" t="s">
        <v>160</v>
      </c>
      <c r="L124" s="167" t="s">
        <v>199</v>
      </c>
      <c r="M124" s="167" t="s">
        <v>14</v>
      </c>
      <c r="N124" s="167" t="s">
        <v>1965</v>
      </c>
      <c r="O124" s="12" t="str">
        <f>_xlfn.DISPIMG("ID_978F05F9424741AE81F8E8335A7E991E",1)</f>
        <v>=DISPIMG("ID_978F05F9424741AE81F8E8335A7E991E",1)</v>
      </c>
      <c r="P124" s="11" t="s">
        <v>1966</v>
      </c>
      <c r="Q124" s="11">
        <v>227</v>
      </c>
      <c r="R124" s="17" t="s">
        <v>4439</v>
      </c>
      <c r="S124" s="18" t="s">
        <v>43</v>
      </c>
      <c r="T124" s="11">
        <v>22</v>
      </c>
    </row>
    <row r="125" s="3" customFormat="1" customHeight="1" spans="1:20">
      <c r="A125" s="167" t="s">
        <v>1983</v>
      </c>
      <c r="B125" s="167" t="s">
        <v>165</v>
      </c>
      <c r="C125" s="167" t="s">
        <v>1984</v>
      </c>
      <c r="D125" s="11">
        <v>15070924105</v>
      </c>
      <c r="E125" s="167" t="s">
        <v>156</v>
      </c>
      <c r="F125" s="167" t="s">
        <v>14</v>
      </c>
      <c r="G125" s="11">
        <v>202102001</v>
      </c>
      <c r="H125" s="167" t="s">
        <v>279</v>
      </c>
      <c r="I125" s="167" t="s">
        <v>515</v>
      </c>
      <c r="J125" s="167" t="s">
        <v>223</v>
      </c>
      <c r="K125" s="167" t="s">
        <v>170</v>
      </c>
      <c r="L125" s="167" t="s">
        <v>224</v>
      </c>
      <c r="M125" s="167" t="s">
        <v>14</v>
      </c>
      <c r="N125" s="11">
        <v>0</v>
      </c>
      <c r="O125" s="12" t="str">
        <f>_xlfn.DISPIMG("ID_88D6D1C166864D0C988B38CB94A18A2D",1)</f>
        <v>=DISPIMG("ID_88D6D1C166864D0C988B38CB94A18A2D",1)</v>
      </c>
      <c r="P125" s="11" t="s">
        <v>1986</v>
      </c>
      <c r="Q125" s="11">
        <v>230</v>
      </c>
      <c r="R125" s="17" t="s">
        <v>4440</v>
      </c>
      <c r="S125" s="18" t="s">
        <v>43</v>
      </c>
      <c r="T125" s="11">
        <v>27</v>
      </c>
    </row>
    <row r="126" s="3" customFormat="1" customHeight="1" spans="1:20">
      <c r="A126" s="167" t="s">
        <v>1989</v>
      </c>
      <c r="B126" s="167" t="s">
        <v>165</v>
      </c>
      <c r="C126" s="167" t="s">
        <v>1990</v>
      </c>
      <c r="D126" s="11">
        <v>18720291086</v>
      </c>
      <c r="E126" s="167" t="s">
        <v>156</v>
      </c>
      <c r="F126" s="167" t="s">
        <v>14</v>
      </c>
      <c r="G126" s="11">
        <v>202102001</v>
      </c>
      <c r="H126" s="167" t="s">
        <v>279</v>
      </c>
      <c r="I126" s="167" t="s">
        <v>367</v>
      </c>
      <c r="J126" s="167" t="s">
        <v>348</v>
      </c>
      <c r="K126" s="167" t="s">
        <v>170</v>
      </c>
      <c r="L126" s="167" t="s">
        <v>180</v>
      </c>
      <c r="M126" s="167" t="s">
        <v>1992</v>
      </c>
      <c r="N126" s="167" t="s">
        <v>1993</v>
      </c>
      <c r="O126" s="12" t="str">
        <f>_xlfn.DISPIMG("ID_08685AD380B84575A97C010891A129EA",1)</f>
        <v>=DISPIMG("ID_08685AD380B84575A97C010891A129EA",1)</v>
      </c>
      <c r="P126" s="11" t="s">
        <v>1994</v>
      </c>
      <c r="Q126" s="11">
        <v>231</v>
      </c>
      <c r="R126" s="17" t="s">
        <v>4441</v>
      </c>
      <c r="S126" s="18" t="s">
        <v>43</v>
      </c>
      <c r="T126" s="11">
        <v>2</v>
      </c>
    </row>
    <row r="127" s="3" customFormat="1" customHeight="1" spans="1:20">
      <c r="A127" s="167" t="s">
        <v>2028</v>
      </c>
      <c r="B127" s="167" t="s">
        <v>165</v>
      </c>
      <c r="C127" s="167" t="s">
        <v>2029</v>
      </c>
      <c r="D127" s="11">
        <v>18379220348</v>
      </c>
      <c r="E127" s="167" t="s">
        <v>156</v>
      </c>
      <c r="F127" s="167" t="s">
        <v>14</v>
      </c>
      <c r="G127" s="11">
        <v>202102001</v>
      </c>
      <c r="H127" s="167" t="s">
        <v>157</v>
      </c>
      <c r="I127" s="167" t="s">
        <v>158</v>
      </c>
      <c r="J127" s="167" t="s">
        <v>1546</v>
      </c>
      <c r="K127" s="167" t="s">
        <v>170</v>
      </c>
      <c r="L127" s="167" t="s">
        <v>161</v>
      </c>
      <c r="M127" s="167" t="s">
        <v>2031</v>
      </c>
      <c r="N127" s="167" t="s">
        <v>2032</v>
      </c>
      <c r="O127" s="12" t="str">
        <f>_xlfn.DISPIMG("ID_23D2336FF3CB4EA6B1558E965302CC98",1)</f>
        <v>=DISPIMG("ID_23D2336FF3CB4EA6B1558E965302CC98",1)</v>
      </c>
      <c r="P127" s="11" t="s">
        <v>2033</v>
      </c>
      <c r="Q127" s="11">
        <v>236</v>
      </c>
      <c r="R127" s="17" t="s">
        <v>4442</v>
      </c>
      <c r="S127" s="18" t="s">
        <v>43</v>
      </c>
      <c r="T127" s="11">
        <v>11</v>
      </c>
    </row>
    <row r="128" s="3" customFormat="1" customHeight="1" spans="1:20">
      <c r="A128" s="167" t="s">
        <v>2053</v>
      </c>
      <c r="B128" s="167" t="s">
        <v>165</v>
      </c>
      <c r="C128" s="167" t="s">
        <v>2054</v>
      </c>
      <c r="D128" s="11">
        <v>15079910015</v>
      </c>
      <c r="E128" s="167" t="s">
        <v>156</v>
      </c>
      <c r="F128" s="167" t="s">
        <v>14</v>
      </c>
      <c r="G128" s="11">
        <v>202102001</v>
      </c>
      <c r="H128" s="167" t="s">
        <v>279</v>
      </c>
      <c r="I128" s="167" t="s">
        <v>1424</v>
      </c>
      <c r="J128" s="167" t="s">
        <v>348</v>
      </c>
      <c r="K128" s="167" t="s">
        <v>170</v>
      </c>
      <c r="L128" s="167" t="s">
        <v>199</v>
      </c>
      <c r="M128" s="167" t="s">
        <v>14</v>
      </c>
      <c r="N128" s="167" t="s">
        <v>2056</v>
      </c>
      <c r="O128" s="12" t="str">
        <f>_xlfn.DISPIMG("ID_4A26FAD7BD014883BE19E7EBABEADF70",1)</f>
        <v>=DISPIMG("ID_4A26FAD7BD014883BE19E7EBABEADF70",1)</v>
      </c>
      <c r="P128" s="11" t="s">
        <v>2057</v>
      </c>
      <c r="Q128" s="11">
        <v>239</v>
      </c>
      <c r="R128" s="17" t="s">
        <v>4443</v>
      </c>
      <c r="S128" s="18" t="s">
        <v>43</v>
      </c>
      <c r="T128" s="11">
        <v>14</v>
      </c>
    </row>
    <row r="129" s="3" customFormat="1" customHeight="1" spans="1:20">
      <c r="A129" s="167" t="s">
        <v>2165</v>
      </c>
      <c r="B129" s="167" t="s">
        <v>165</v>
      </c>
      <c r="C129" s="167" t="s">
        <v>2166</v>
      </c>
      <c r="D129" s="11">
        <v>15270256109</v>
      </c>
      <c r="E129" s="167" t="s">
        <v>156</v>
      </c>
      <c r="F129" s="167" t="s">
        <v>14</v>
      </c>
      <c r="G129" s="11">
        <v>202102001</v>
      </c>
      <c r="H129" s="167" t="s">
        <v>279</v>
      </c>
      <c r="I129" s="167" t="s">
        <v>158</v>
      </c>
      <c r="J129" s="167" t="s">
        <v>348</v>
      </c>
      <c r="K129" s="167" t="s">
        <v>170</v>
      </c>
      <c r="L129" s="167" t="s">
        <v>306</v>
      </c>
      <c r="M129" s="167" t="s">
        <v>638</v>
      </c>
      <c r="N129" s="167" t="s">
        <v>2168</v>
      </c>
      <c r="O129" s="12" t="str">
        <f>_xlfn.DISPIMG("ID_3CABC7DA53ED4401B09BC2C27086B239",1)</f>
        <v>=DISPIMG("ID_3CABC7DA53ED4401B09BC2C27086B239",1)</v>
      </c>
      <c r="P129" s="11" t="s">
        <v>2169</v>
      </c>
      <c r="Q129" s="11">
        <v>254</v>
      </c>
      <c r="R129" s="17" t="s">
        <v>4444</v>
      </c>
      <c r="S129" s="18" t="s">
        <v>43</v>
      </c>
      <c r="T129" s="11">
        <v>23</v>
      </c>
    </row>
    <row r="130" s="3" customFormat="1" customHeight="1" spans="1:20">
      <c r="A130" s="167" t="s">
        <v>2218</v>
      </c>
      <c r="B130" s="167" t="s">
        <v>165</v>
      </c>
      <c r="C130" s="167" t="s">
        <v>2219</v>
      </c>
      <c r="D130" s="11">
        <v>15179156312</v>
      </c>
      <c r="E130" s="167" t="s">
        <v>156</v>
      </c>
      <c r="F130" s="167" t="s">
        <v>14</v>
      </c>
      <c r="G130" s="11">
        <v>202102001</v>
      </c>
      <c r="H130" s="167" t="s">
        <v>157</v>
      </c>
      <c r="I130" s="167" t="s">
        <v>233</v>
      </c>
      <c r="J130" s="167" t="s">
        <v>1195</v>
      </c>
      <c r="K130" s="167" t="s">
        <v>160</v>
      </c>
      <c r="L130" s="167" t="s">
        <v>2221</v>
      </c>
      <c r="M130" s="167" t="s">
        <v>638</v>
      </c>
      <c r="N130" s="167" t="s">
        <v>2222</v>
      </c>
      <c r="O130" s="12" t="str">
        <f>_xlfn.DISPIMG("ID_D4DBACC4389B49D6B9C508C515595D5D",1)</f>
        <v>=DISPIMG("ID_D4DBACC4389B49D6B9C508C515595D5D",1)</v>
      </c>
      <c r="P130" s="11" t="s">
        <v>2223</v>
      </c>
      <c r="Q130" s="11">
        <v>261</v>
      </c>
      <c r="R130" s="17" t="s">
        <v>4445</v>
      </c>
      <c r="S130" s="18" t="s">
        <v>43</v>
      </c>
      <c r="T130" s="11">
        <v>26</v>
      </c>
    </row>
    <row r="131" s="3" customFormat="1" customHeight="1" spans="1:20">
      <c r="A131" s="167" t="s">
        <v>2400</v>
      </c>
      <c r="B131" s="167" t="s">
        <v>165</v>
      </c>
      <c r="C131" s="167" t="s">
        <v>2401</v>
      </c>
      <c r="D131" s="11">
        <v>18879267195</v>
      </c>
      <c r="E131" s="167" t="s">
        <v>156</v>
      </c>
      <c r="F131" s="167" t="s">
        <v>14</v>
      </c>
      <c r="G131" s="11">
        <v>202102001</v>
      </c>
      <c r="H131" s="167" t="s">
        <v>279</v>
      </c>
      <c r="I131" s="167" t="s">
        <v>339</v>
      </c>
      <c r="J131" s="167" t="s">
        <v>348</v>
      </c>
      <c r="K131" s="167" t="s">
        <v>170</v>
      </c>
      <c r="L131" s="167" t="s">
        <v>180</v>
      </c>
      <c r="M131" s="167" t="s">
        <v>14</v>
      </c>
      <c r="N131" s="167" t="s">
        <v>2403</v>
      </c>
      <c r="O131" s="12" t="str">
        <f>_xlfn.DISPIMG("ID_FE029F69B78E439BA992D666A5ADF87E",1)</f>
        <v>=DISPIMG("ID_FE029F69B78E439BA992D666A5ADF87E",1)</v>
      </c>
      <c r="P131" s="11" t="s">
        <v>2404</v>
      </c>
      <c r="Q131" s="11">
        <v>285</v>
      </c>
      <c r="R131" s="17" t="s">
        <v>4446</v>
      </c>
      <c r="S131" s="18" t="s">
        <v>43</v>
      </c>
      <c r="T131" s="11">
        <v>1</v>
      </c>
    </row>
    <row r="132" s="3" customFormat="1" customHeight="1" spans="1:20">
      <c r="A132" s="167" t="s">
        <v>2430</v>
      </c>
      <c r="B132" s="167" t="s">
        <v>165</v>
      </c>
      <c r="C132" s="167" t="s">
        <v>2431</v>
      </c>
      <c r="D132" s="11">
        <v>18379086106</v>
      </c>
      <c r="E132" s="167" t="s">
        <v>156</v>
      </c>
      <c r="F132" s="167" t="s">
        <v>14</v>
      </c>
      <c r="G132" s="11">
        <v>202102001</v>
      </c>
      <c r="H132" s="167" t="s">
        <v>279</v>
      </c>
      <c r="I132" s="167" t="s">
        <v>178</v>
      </c>
      <c r="J132" s="167" t="s">
        <v>348</v>
      </c>
      <c r="K132" s="167" t="s">
        <v>170</v>
      </c>
      <c r="L132" s="167" t="s">
        <v>396</v>
      </c>
      <c r="M132" s="167" t="s">
        <v>14</v>
      </c>
      <c r="N132" s="167" t="s">
        <v>2433</v>
      </c>
      <c r="O132" s="12" t="str">
        <f>_xlfn.DISPIMG("ID_490114996A5646149508AE2796C7FCA8",1)</f>
        <v>=DISPIMG("ID_490114996A5646149508AE2796C7FCA8",1)</v>
      </c>
      <c r="P132" s="11" t="s">
        <v>2434</v>
      </c>
      <c r="Q132" s="11">
        <v>289</v>
      </c>
      <c r="R132" s="17" t="s">
        <v>4447</v>
      </c>
      <c r="S132" s="18" t="s">
        <v>43</v>
      </c>
      <c r="T132" s="11">
        <v>12</v>
      </c>
    </row>
    <row r="133" s="3" customFormat="1" customHeight="1" spans="1:20">
      <c r="A133" s="167" t="s">
        <v>2452</v>
      </c>
      <c r="B133" s="167" t="s">
        <v>165</v>
      </c>
      <c r="C133" s="167" t="s">
        <v>2453</v>
      </c>
      <c r="D133" s="11">
        <v>18720955003</v>
      </c>
      <c r="E133" s="167" t="s">
        <v>156</v>
      </c>
      <c r="F133" s="167" t="s">
        <v>14</v>
      </c>
      <c r="G133" s="11">
        <v>202102001</v>
      </c>
      <c r="H133" s="167" t="s">
        <v>157</v>
      </c>
      <c r="I133" s="167" t="s">
        <v>197</v>
      </c>
      <c r="J133" s="167" t="s">
        <v>454</v>
      </c>
      <c r="K133" s="167" t="s">
        <v>160</v>
      </c>
      <c r="L133" s="167" t="s">
        <v>216</v>
      </c>
      <c r="M133" s="167" t="s">
        <v>14</v>
      </c>
      <c r="N133" s="167" t="s">
        <v>2455</v>
      </c>
      <c r="O133" s="12" t="str">
        <f>_xlfn.DISPIMG("ID_FC7219DD86F84BE1856628C95CBE9A35",1)</f>
        <v>=DISPIMG("ID_FC7219DD86F84BE1856628C95CBE9A35",1)</v>
      </c>
      <c r="P133" s="11" t="s">
        <v>2456</v>
      </c>
      <c r="Q133" s="11">
        <v>292</v>
      </c>
      <c r="R133" s="17" t="s">
        <v>4448</v>
      </c>
      <c r="S133" s="18" t="s">
        <v>43</v>
      </c>
      <c r="T133" s="11">
        <v>13</v>
      </c>
    </row>
    <row r="134" s="3" customFormat="1" customHeight="1" spans="1:20">
      <c r="A134" s="167" t="s">
        <v>2466</v>
      </c>
      <c r="B134" s="167" t="s">
        <v>165</v>
      </c>
      <c r="C134" s="167" t="s">
        <v>2467</v>
      </c>
      <c r="D134" s="11">
        <v>18296295635</v>
      </c>
      <c r="E134" s="167" t="s">
        <v>156</v>
      </c>
      <c r="F134" s="167" t="s">
        <v>14</v>
      </c>
      <c r="G134" s="11">
        <v>202102001</v>
      </c>
      <c r="H134" s="167" t="s">
        <v>279</v>
      </c>
      <c r="I134" s="167" t="s">
        <v>233</v>
      </c>
      <c r="J134" s="167" t="s">
        <v>348</v>
      </c>
      <c r="K134" s="167" t="s">
        <v>170</v>
      </c>
      <c r="L134" s="167" t="s">
        <v>368</v>
      </c>
      <c r="M134" s="167" t="s">
        <v>14</v>
      </c>
      <c r="N134" s="167" t="s">
        <v>2469</v>
      </c>
      <c r="O134" s="12" t="str">
        <f>_xlfn.DISPIMG("ID_F16EE101B40044CF89D1DFEEC618BA53",1)</f>
        <v>=DISPIMG("ID_F16EE101B40044CF89D1DFEEC618BA53",1)</v>
      </c>
      <c r="P134" s="11" t="s">
        <v>2470</v>
      </c>
      <c r="Q134" s="11">
        <v>294</v>
      </c>
      <c r="R134" s="17" t="s">
        <v>4449</v>
      </c>
      <c r="S134" s="18" t="s">
        <v>43</v>
      </c>
      <c r="T134" s="11">
        <v>24</v>
      </c>
    </row>
    <row r="135" s="3" customFormat="1" customHeight="1" spans="1:20">
      <c r="A135" s="167" t="s">
        <v>2562</v>
      </c>
      <c r="B135" s="167" t="s">
        <v>165</v>
      </c>
      <c r="C135" s="167" t="s">
        <v>2563</v>
      </c>
      <c r="D135" s="11">
        <v>18279531380</v>
      </c>
      <c r="E135" s="167" t="s">
        <v>156</v>
      </c>
      <c r="F135" s="167" t="s">
        <v>14</v>
      </c>
      <c r="G135" s="11">
        <v>202102001</v>
      </c>
      <c r="H135" s="167" t="s">
        <v>705</v>
      </c>
      <c r="I135" s="167" t="s">
        <v>2565</v>
      </c>
      <c r="J135" s="167" t="s">
        <v>790</v>
      </c>
      <c r="K135" s="167" t="s">
        <v>160</v>
      </c>
      <c r="L135" s="167" t="s">
        <v>455</v>
      </c>
      <c r="M135" s="167" t="s">
        <v>14</v>
      </c>
      <c r="N135" s="167" t="s">
        <v>2566</v>
      </c>
      <c r="O135" s="12" t="str">
        <f>_xlfn.DISPIMG("ID_DA928F2BE2B24AF3ABF5D40BAC268946",1)</f>
        <v>=DISPIMG("ID_DA928F2BE2B24AF3ABF5D40BAC268946",1)</v>
      </c>
      <c r="P135" s="11" t="s">
        <v>2567</v>
      </c>
      <c r="Q135" s="11">
        <v>307</v>
      </c>
      <c r="R135" s="17" t="s">
        <v>4450</v>
      </c>
      <c r="S135" s="18" t="s">
        <v>43</v>
      </c>
      <c r="T135" s="11">
        <v>25</v>
      </c>
    </row>
    <row r="136" s="3" customFormat="1" customHeight="1" spans="1:20">
      <c r="A136" s="167" t="s">
        <v>2635</v>
      </c>
      <c r="B136" s="167" t="s">
        <v>165</v>
      </c>
      <c r="C136" s="167" t="s">
        <v>2636</v>
      </c>
      <c r="D136" s="11">
        <v>15170208662</v>
      </c>
      <c r="E136" s="167" t="s">
        <v>156</v>
      </c>
      <c r="F136" s="167" t="s">
        <v>14</v>
      </c>
      <c r="G136" s="11">
        <v>202102001</v>
      </c>
      <c r="H136" s="167" t="s">
        <v>157</v>
      </c>
      <c r="I136" s="167" t="s">
        <v>233</v>
      </c>
      <c r="J136" s="167" t="s">
        <v>454</v>
      </c>
      <c r="K136" s="167" t="s">
        <v>170</v>
      </c>
      <c r="L136" s="167" t="s">
        <v>349</v>
      </c>
      <c r="M136" s="167" t="s">
        <v>2638</v>
      </c>
      <c r="N136" s="167" t="s">
        <v>2639</v>
      </c>
      <c r="O136" s="12" t="str">
        <f>_xlfn.DISPIMG("ID_E1D95DAB49404461BEFC75E6320DFECC",1)</f>
        <v>=DISPIMG("ID_E1D95DAB49404461BEFC75E6320DFECC",1)</v>
      </c>
      <c r="P136" s="11" t="s">
        <v>2640</v>
      </c>
      <c r="Q136" s="11">
        <v>317</v>
      </c>
      <c r="R136" s="17" t="s">
        <v>4451</v>
      </c>
      <c r="S136" s="18" t="s">
        <v>45</v>
      </c>
      <c r="T136" s="11">
        <v>6</v>
      </c>
    </row>
    <row r="137" s="3" customFormat="1" customHeight="1" spans="1:20">
      <c r="A137" s="167" t="s">
        <v>2659</v>
      </c>
      <c r="B137" s="167" t="s">
        <v>165</v>
      </c>
      <c r="C137" s="167" t="s">
        <v>2660</v>
      </c>
      <c r="D137" s="11">
        <v>13627065761</v>
      </c>
      <c r="E137" s="167" t="s">
        <v>156</v>
      </c>
      <c r="F137" s="167" t="s">
        <v>14</v>
      </c>
      <c r="G137" s="11">
        <v>202102001</v>
      </c>
      <c r="H137" s="167" t="s">
        <v>157</v>
      </c>
      <c r="I137" s="167" t="s">
        <v>269</v>
      </c>
      <c r="J137" s="167" t="s">
        <v>454</v>
      </c>
      <c r="K137" s="167" t="s">
        <v>170</v>
      </c>
      <c r="L137" s="167" t="s">
        <v>161</v>
      </c>
      <c r="M137" s="167" t="s">
        <v>26</v>
      </c>
      <c r="N137" s="167" t="s">
        <v>2662</v>
      </c>
      <c r="O137" s="12" t="str">
        <f>_xlfn.DISPIMG("ID_4750BE615CAB4B2790251BC514AE2277",1)</f>
        <v>=DISPIMG("ID_4750BE615CAB4B2790251BC514AE2277",1)</v>
      </c>
      <c r="P137" s="11" t="s">
        <v>2663</v>
      </c>
      <c r="Q137" s="11">
        <v>320</v>
      </c>
      <c r="R137" s="17" t="s">
        <v>4452</v>
      </c>
      <c r="S137" s="18" t="s">
        <v>45</v>
      </c>
      <c r="T137" s="11">
        <v>7</v>
      </c>
    </row>
    <row r="138" s="3" customFormat="1" customHeight="1" spans="1:20">
      <c r="A138" s="167" t="s">
        <v>2726</v>
      </c>
      <c r="B138" s="167" t="s">
        <v>165</v>
      </c>
      <c r="C138" s="167" t="s">
        <v>2727</v>
      </c>
      <c r="D138" s="11">
        <v>18770822590</v>
      </c>
      <c r="E138" s="167" t="s">
        <v>156</v>
      </c>
      <c r="F138" s="167" t="s">
        <v>14</v>
      </c>
      <c r="G138" s="11">
        <v>202102001</v>
      </c>
      <c r="H138" s="167" t="s">
        <v>157</v>
      </c>
      <c r="I138" s="167" t="s">
        <v>233</v>
      </c>
      <c r="J138" s="167" t="s">
        <v>1570</v>
      </c>
      <c r="K138" s="167" t="s">
        <v>160</v>
      </c>
      <c r="L138" s="167" t="s">
        <v>252</v>
      </c>
      <c r="M138" s="167" t="s">
        <v>26</v>
      </c>
      <c r="N138" s="167" t="s">
        <v>2728</v>
      </c>
      <c r="O138" s="12" t="str">
        <f>_xlfn.DISPIMG("ID_BA1DF7BF960547A0983F8DB11C878B07",1)</f>
        <v>=DISPIMG("ID_BA1DF7BF960547A0983F8DB11C878B07",1)</v>
      </c>
      <c r="P138" s="11" t="s">
        <v>2729</v>
      </c>
      <c r="Q138" s="11">
        <v>329</v>
      </c>
      <c r="R138" s="17" t="s">
        <v>4453</v>
      </c>
      <c r="S138" s="18" t="s">
        <v>45</v>
      </c>
      <c r="T138" s="11">
        <v>18</v>
      </c>
    </row>
    <row r="139" s="3" customFormat="1" customHeight="1" spans="1:20">
      <c r="A139" s="167" t="s">
        <v>2767</v>
      </c>
      <c r="B139" s="167" t="s">
        <v>165</v>
      </c>
      <c r="C139" s="167" t="s">
        <v>2768</v>
      </c>
      <c r="D139" s="11">
        <v>18270257502</v>
      </c>
      <c r="E139" s="167" t="s">
        <v>506</v>
      </c>
      <c r="F139" s="167" t="s">
        <v>14</v>
      </c>
      <c r="G139" s="11">
        <v>202102014</v>
      </c>
      <c r="H139" s="167" t="s">
        <v>279</v>
      </c>
      <c r="I139" s="167" t="s">
        <v>367</v>
      </c>
      <c r="J139" s="167" t="s">
        <v>1878</v>
      </c>
      <c r="K139" s="167" t="s">
        <v>170</v>
      </c>
      <c r="L139" s="167" t="s">
        <v>161</v>
      </c>
      <c r="M139" s="167" t="s">
        <v>14</v>
      </c>
      <c r="N139" s="167" t="s">
        <v>2770</v>
      </c>
      <c r="O139" s="12" t="str">
        <f>_xlfn.DISPIMG("ID_599781AB8A9B405FA1C45AEDC9F43F4B",1)</f>
        <v>=DISPIMG("ID_599781AB8A9B405FA1C45AEDC9F43F4B",1)</v>
      </c>
      <c r="P139" s="11" t="s">
        <v>2771</v>
      </c>
      <c r="Q139" s="11">
        <v>335</v>
      </c>
      <c r="R139" s="17" t="s">
        <v>4454</v>
      </c>
      <c r="S139" s="18" t="s">
        <v>45</v>
      </c>
      <c r="T139" s="11">
        <v>19</v>
      </c>
    </row>
    <row r="140" s="3" customFormat="1" customHeight="1" spans="1:20">
      <c r="A140" s="167" t="s">
        <v>2991</v>
      </c>
      <c r="B140" s="167" t="s">
        <v>165</v>
      </c>
      <c r="C140" s="167" t="s">
        <v>2992</v>
      </c>
      <c r="D140" s="11">
        <v>18720220590</v>
      </c>
      <c r="E140" s="167" t="s">
        <v>156</v>
      </c>
      <c r="F140" s="167" t="s">
        <v>14</v>
      </c>
      <c r="G140" s="11">
        <v>202102001</v>
      </c>
      <c r="H140" s="167" t="s">
        <v>157</v>
      </c>
      <c r="I140" s="167" t="s">
        <v>611</v>
      </c>
      <c r="J140" s="167" t="s">
        <v>179</v>
      </c>
      <c r="K140" s="167" t="s">
        <v>160</v>
      </c>
      <c r="L140" s="167" t="s">
        <v>216</v>
      </c>
      <c r="M140" s="167" t="s">
        <v>14</v>
      </c>
      <c r="N140" s="11">
        <v>0</v>
      </c>
      <c r="O140" s="12" t="str">
        <f>_xlfn.DISPIMG("ID_AFAEC7F47E5847F688912010DE531FF7",1)</f>
        <v>=DISPIMG("ID_AFAEC7F47E5847F688912010DE531FF7",1)</v>
      </c>
      <c r="P140" s="11" t="s">
        <v>2994</v>
      </c>
      <c r="Q140" s="11">
        <v>368</v>
      </c>
      <c r="R140" s="17" t="s">
        <v>4455</v>
      </c>
      <c r="S140" s="18" t="s">
        <v>45</v>
      </c>
      <c r="T140" s="11">
        <v>30</v>
      </c>
    </row>
    <row r="141" s="3" customFormat="1" customHeight="1" spans="1:20">
      <c r="A141" s="167" t="s">
        <v>3036</v>
      </c>
      <c r="B141" s="167" t="s">
        <v>165</v>
      </c>
      <c r="C141" s="167" t="s">
        <v>3037</v>
      </c>
      <c r="D141" s="11">
        <v>13755268380</v>
      </c>
      <c r="E141" s="167" t="s">
        <v>156</v>
      </c>
      <c r="F141" s="167" t="s">
        <v>14</v>
      </c>
      <c r="G141" s="11">
        <v>202102001</v>
      </c>
      <c r="H141" s="167" t="s">
        <v>279</v>
      </c>
      <c r="I141" s="167" t="s">
        <v>1674</v>
      </c>
      <c r="J141" s="167" t="s">
        <v>348</v>
      </c>
      <c r="K141" s="167" t="s">
        <v>170</v>
      </c>
      <c r="L141" s="167" t="s">
        <v>3039</v>
      </c>
      <c r="M141" s="167" t="s">
        <v>2395</v>
      </c>
      <c r="N141" s="167" t="s">
        <v>3040</v>
      </c>
      <c r="O141" s="12" t="str">
        <f>_xlfn.DISPIMG("ID_BCD8D492551D473299BE1D3404EC1A74",1)</f>
        <v>=DISPIMG("ID_BCD8D492551D473299BE1D3404EC1A74",1)</v>
      </c>
      <c r="P141" s="11" t="s">
        <v>3041</v>
      </c>
      <c r="Q141" s="11">
        <v>375</v>
      </c>
      <c r="R141" s="17" t="s">
        <v>4456</v>
      </c>
      <c r="S141" s="18" t="s">
        <v>45</v>
      </c>
      <c r="T141" s="11">
        <v>5</v>
      </c>
    </row>
    <row r="142" s="3" customFormat="1" customHeight="1" spans="1:20">
      <c r="A142" s="167" t="s">
        <v>3058</v>
      </c>
      <c r="B142" s="167" t="s">
        <v>165</v>
      </c>
      <c r="C142" s="167" t="s">
        <v>3059</v>
      </c>
      <c r="D142" s="11">
        <v>18616047542</v>
      </c>
      <c r="E142" s="167" t="s">
        <v>156</v>
      </c>
      <c r="F142" s="167" t="s">
        <v>14</v>
      </c>
      <c r="G142" s="11">
        <v>202102001</v>
      </c>
      <c r="H142" s="167" t="s">
        <v>157</v>
      </c>
      <c r="I142" s="167" t="s">
        <v>233</v>
      </c>
      <c r="J142" s="167" t="s">
        <v>1489</v>
      </c>
      <c r="K142" s="167" t="s">
        <v>170</v>
      </c>
      <c r="L142" s="167" t="s">
        <v>3061</v>
      </c>
      <c r="M142" s="167" t="s">
        <v>3062</v>
      </c>
      <c r="N142" s="167" t="s">
        <v>3063</v>
      </c>
      <c r="O142" s="12" t="str">
        <f>_xlfn.DISPIMG("ID_0F24A07024DD4EC28C638A81C28E0099",1)</f>
        <v>=DISPIMG("ID_0F24A07024DD4EC28C638A81C28E0099",1)</v>
      </c>
      <c r="P142" s="11" t="s">
        <v>3064</v>
      </c>
      <c r="Q142" s="11">
        <v>378</v>
      </c>
      <c r="R142" s="17" t="s">
        <v>4457</v>
      </c>
      <c r="S142" s="18" t="s">
        <v>45</v>
      </c>
      <c r="T142" s="11">
        <v>8</v>
      </c>
    </row>
    <row r="143" s="3" customFormat="1" customHeight="1" spans="1:20">
      <c r="A143" s="167" t="s">
        <v>3067</v>
      </c>
      <c r="B143" s="167" t="s">
        <v>165</v>
      </c>
      <c r="C143" s="167" t="s">
        <v>3068</v>
      </c>
      <c r="D143" s="11">
        <v>18070525525</v>
      </c>
      <c r="E143" s="167" t="s">
        <v>156</v>
      </c>
      <c r="F143" s="167" t="s">
        <v>14</v>
      </c>
      <c r="G143" s="11">
        <v>202102001</v>
      </c>
      <c r="H143" s="167" t="s">
        <v>157</v>
      </c>
      <c r="I143" s="167" t="s">
        <v>3070</v>
      </c>
      <c r="J143" s="167" t="s">
        <v>454</v>
      </c>
      <c r="K143" s="167" t="s">
        <v>170</v>
      </c>
      <c r="L143" s="167" t="s">
        <v>577</v>
      </c>
      <c r="M143" s="167" t="s">
        <v>1579</v>
      </c>
      <c r="N143" s="167" t="s">
        <v>3071</v>
      </c>
      <c r="O143" s="12" t="str">
        <f>_xlfn.DISPIMG("ID_2CCF9645E24E4A3B81BAE72B8AED314D",1)</f>
        <v>=DISPIMG("ID_2CCF9645E24E4A3B81BAE72B8AED314D",1)</v>
      </c>
      <c r="P143" s="11" t="s">
        <v>3072</v>
      </c>
      <c r="Q143" s="11">
        <v>379</v>
      </c>
      <c r="R143" s="17" t="s">
        <v>4458</v>
      </c>
      <c r="S143" s="18" t="s">
        <v>45</v>
      </c>
      <c r="T143" s="11">
        <v>17</v>
      </c>
    </row>
    <row r="144" s="3" customFormat="1" customHeight="1" spans="1:20">
      <c r="A144" s="167" t="s">
        <v>3166</v>
      </c>
      <c r="B144" s="167" t="s">
        <v>165</v>
      </c>
      <c r="C144" s="167" t="s">
        <v>3167</v>
      </c>
      <c r="D144" s="11">
        <v>18797976473</v>
      </c>
      <c r="E144" s="167" t="s">
        <v>156</v>
      </c>
      <c r="F144" s="167" t="s">
        <v>14</v>
      </c>
      <c r="G144" s="11">
        <v>202102001</v>
      </c>
      <c r="H144" s="167" t="s">
        <v>157</v>
      </c>
      <c r="I144" s="167" t="s">
        <v>158</v>
      </c>
      <c r="J144" s="167" t="s">
        <v>395</v>
      </c>
      <c r="K144" s="167" t="s">
        <v>160</v>
      </c>
      <c r="L144" s="167" t="s">
        <v>587</v>
      </c>
      <c r="M144" s="167" t="s">
        <v>14</v>
      </c>
      <c r="N144" s="11">
        <v>0</v>
      </c>
      <c r="O144" s="12" t="str">
        <f>_xlfn.DISPIMG("ID_F2E559AD12664A6E81B51441D537B134",1)</f>
        <v>=DISPIMG("ID_F2E559AD12664A6E81B51441D537B134",1)</v>
      </c>
      <c r="P144" s="11" t="s">
        <v>3169</v>
      </c>
      <c r="Q144" s="11">
        <v>393</v>
      </c>
      <c r="R144" s="17" t="s">
        <v>4459</v>
      </c>
      <c r="S144" s="18" t="s">
        <v>45</v>
      </c>
      <c r="T144" s="11">
        <v>20</v>
      </c>
    </row>
    <row r="145" s="3" customFormat="1" customHeight="1" spans="1:20">
      <c r="A145" s="167" t="s">
        <v>3268</v>
      </c>
      <c r="B145" s="167" t="s">
        <v>165</v>
      </c>
      <c r="C145" s="167" t="s">
        <v>3269</v>
      </c>
      <c r="D145" s="11">
        <v>18770914454</v>
      </c>
      <c r="E145" s="167" t="s">
        <v>156</v>
      </c>
      <c r="F145" s="167" t="s">
        <v>14</v>
      </c>
      <c r="G145" s="11">
        <v>202102001</v>
      </c>
      <c r="H145" s="167" t="s">
        <v>279</v>
      </c>
      <c r="I145" s="167" t="s">
        <v>178</v>
      </c>
      <c r="J145" s="167" t="s">
        <v>348</v>
      </c>
      <c r="K145" s="167" t="s">
        <v>170</v>
      </c>
      <c r="L145" s="167" t="s">
        <v>216</v>
      </c>
      <c r="M145" s="167" t="s">
        <v>638</v>
      </c>
      <c r="N145" s="167" t="s">
        <v>3271</v>
      </c>
      <c r="O145" s="12" t="str">
        <f>_xlfn.DISPIMG("ID_A7E75D79E714426086202D465053808C",1)</f>
        <v>=DISPIMG("ID_A7E75D79E714426086202D465053808C",1)</v>
      </c>
      <c r="P145" s="11" t="s">
        <v>3272</v>
      </c>
      <c r="Q145" s="11">
        <v>408</v>
      </c>
      <c r="R145" s="17" t="s">
        <v>4460</v>
      </c>
      <c r="S145" s="18" t="s">
        <v>45</v>
      </c>
      <c r="T145" s="11">
        <v>29</v>
      </c>
    </row>
    <row r="146" s="3" customFormat="1" customHeight="1" spans="1:20">
      <c r="A146" s="167" t="s">
        <v>3283</v>
      </c>
      <c r="B146" s="167" t="s">
        <v>165</v>
      </c>
      <c r="C146" s="167" t="s">
        <v>3284</v>
      </c>
      <c r="D146" s="11">
        <v>18970283911</v>
      </c>
      <c r="E146" s="167" t="s">
        <v>156</v>
      </c>
      <c r="F146" s="167" t="s">
        <v>14</v>
      </c>
      <c r="G146" s="11">
        <v>202102001</v>
      </c>
      <c r="H146" s="167" t="s">
        <v>157</v>
      </c>
      <c r="I146" s="167" t="s">
        <v>178</v>
      </c>
      <c r="J146" s="167" t="s">
        <v>3286</v>
      </c>
      <c r="K146" s="167" t="s">
        <v>170</v>
      </c>
      <c r="L146" s="167" t="s">
        <v>199</v>
      </c>
      <c r="M146" s="167" t="s">
        <v>14</v>
      </c>
      <c r="N146" s="167" t="s">
        <v>3287</v>
      </c>
      <c r="O146" s="12" t="str">
        <f>_xlfn.DISPIMG("ID_CEC6054CEEDC4B7EB64CEFDE8D077DB1",1)</f>
        <v>=DISPIMG("ID_CEC6054CEEDC4B7EB64CEFDE8D077DB1",1)</v>
      </c>
      <c r="P146" s="11" t="s">
        <v>3288</v>
      </c>
      <c r="Q146" s="11">
        <v>410</v>
      </c>
      <c r="R146" s="17" t="s">
        <v>4461</v>
      </c>
      <c r="S146" s="18" t="s">
        <v>45</v>
      </c>
      <c r="T146" s="11">
        <v>4</v>
      </c>
    </row>
    <row r="147" s="3" customFormat="1" customHeight="1" spans="1:20">
      <c r="A147" s="167" t="s">
        <v>3374</v>
      </c>
      <c r="B147" s="167" t="s">
        <v>165</v>
      </c>
      <c r="C147" s="167" t="s">
        <v>3375</v>
      </c>
      <c r="D147" s="11">
        <v>18879135233</v>
      </c>
      <c r="E147" s="167" t="s">
        <v>156</v>
      </c>
      <c r="F147" s="167" t="s">
        <v>14</v>
      </c>
      <c r="G147" s="11">
        <v>202102001</v>
      </c>
      <c r="H147" s="167" t="s">
        <v>279</v>
      </c>
      <c r="I147" s="167" t="s">
        <v>339</v>
      </c>
      <c r="J147" s="167" t="s">
        <v>1950</v>
      </c>
      <c r="K147" s="167" t="s">
        <v>170</v>
      </c>
      <c r="L147" s="167" t="s">
        <v>216</v>
      </c>
      <c r="M147" s="167" t="s">
        <v>350</v>
      </c>
      <c r="N147" s="167" t="s">
        <v>3377</v>
      </c>
      <c r="O147" s="12" t="str">
        <f>_xlfn.DISPIMG("ID_A4F86B02E8AC4C77B083B94B4997B486",1)</f>
        <v>=DISPIMG("ID_A4F86B02E8AC4C77B083B94B4997B486",1)</v>
      </c>
      <c r="P147" s="11" t="s">
        <v>3378</v>
      </c>
      <c r="Q147" s="11">
        <v>425</v>
      </c>
      <c r="R147" s="17" t="s">
        <v>4462</v>
      </c>
      <c r="S147" s="18" t="s">
        <v>45</v>
      </c>
      <c r="T147" s="11">
        <v>9</v>
      </c>
    </row>
    <row r="148" s="3" customFormat="1" customHeight="1" spans="1:20">
      <c r="A148" s="167" t="s">
        <v>3381</v>
      </c>
      <c r="B148" s="167" t="s">
        <v>165</v>
      </c>
      <c r="C148" s="167" t="s">
        <v>3382</v>
      </c>
      <c r="D148" s="11">
        <v>15070017489</v>
      </c>
      <c r="E148" s="167" t="s">
        <v>156</v>
      </c>
      <c r="F148" s="167" t="s">
        <v>14</v>
      </c>
      <c r="G148" s="11">
        <v>202102001</v>
      </c>
      <c r="H148" s="167" t="s">
        <v>157</v>
      </c>
      <c r="I148" s="167" t="s">
        <v>1121</v>
      </c>
      <c r="J148" s="167" t="s">
        <v>1832</v>
      </c>
      <c r="K148" s="167" t="s">
        <v>160</v>
      </c>
      <c r="L148" s="167" t="s">
        <v>199</v>
      </c>
      <c r="M148" s="167" t="s">
        <v>14</v>
      </c>
      <c r="N148" s="11">
        <v>0</v>
      </c>
      <c r="O148" s="12" t="str">
        <f>_xlfn.DISPIMG("ID_755EB9C887424753BE38DCDA04F5D53F",1)</f>
        <v>=DISPIMG("ID_755EB9C887424753BE38DCDA04F5D53F",1)</v>
      </c>
      <c r="P148" s="11" t="s">
        <v>3384</v>
      </c>
      <c r="Q148" s="11">
        <v>426</v>
      </c>
      <c r="R148" s="17" t="s">
        <v>4463</v>
      </c>
      <c r="S148" s="18" t="s">
        <v>45</v>
      </c>
      <c r="T148" s="11">
        <v>16</v>
      </c>
    </row>
    <row r="149" s="3" customFormat="1" customHeight="1" spans="1:20">
      <c r="A149" s="167" t="s">
        <v>3436</v>
      </c>
      <c r="B149" s="167" t="s">
        <v>165</v>
      </c>
      <c r="C149" s="167" t="s">
        <v>3437</v>
      </c>
      <c r="D149" s="11">
        <v>15396816962</v>
      </c>
      <c r="E149" s="167" t="s">
        <v>156</v>
      </c>
      <c r="F149" s="167" t="s">
        <v>14</v>
      </c>
      <c r="G149" s="11">
        <v>202102001</v>
      </c>
      <c r="H149" s="167" t="s">
        <v>279</v>
      </c>
      <c r="I149" s="167" t="s">
        <v>367</v>
      </c>
      <c r="J149" s="167" t="s">
        <v>348</v>
      </c>
      <c r="K149" s="167" t="s">
        <v>170</v>
      </c>
      <c r="L149" s="167" t="s">
        <v>180</v>
      </c>
      <c r="M149" s="167" t="s">
        <v>638</v>
      </c>
      <c r="N149" s="167" t="s">
        <v>3439</v>
      </c>
      <c r="O149" s="12" t="str">
        <f>_xlfn.DISPIMG("ID_82244367FBEE45C5B0219468F4CFBAF4",1)</f>
        <v>=DISPIMG("ID_82244367FBEE45C5B0219468F4CFBAF4",1)</v>
      </c>
      <c r="P149" s="11" t="s">
        <v>3440</v>
      </c>
      <c r="Q149" s="11">
        <v>434</v>
      </c>
      <c r="R149" s="17" t="s">
        <v>4464</v>
      </c>
      <c r="S149" s="18" t="s">
        <v>45</v>
      </c>
      <c r="T149" s="11">
        <v>21</v>
      </c>
    </row>
    <row r="150" s="3" customFormat="1" customHeight="1" spans="1:20">
      <c r="A150" s="167" t="s">
        <v>3494</v>
      </c>
      <c r="B150" s="167" t="s">
        <v>165</v>
      </c>
      <c r="C150" s="167" t="s">
        <v>3495</v>
      </c>
      <c r="D150" s="11">
        <v>18000225971</v>
      </c>
      <c r="E150" s="167" t="s">
        <v>156</v>
      </c>
      <c r="F150" s="167" t="s">
        <v>14</v>
      </c>
      <c r="G150" s="11">
        <v>202102001</v>
      </c>
      <c r="H150" s="167" t="s">
        <v>157</v>
      </c>
      <c r="I150" s="167" t="s">
        <v>158</v>
      </c>
      <c r="J150" s="167" t="s">
        <v>348</v>
      </c>
      <c r="K150" s="167" t="s">
        <v>170</v>
      </c>
      <c r="L150" s="167" t="s">
        <v>349</v>
      </c>
      <c r="M150" s="167" t="s">
        <v>689</v>
      </c>
      <c r="N150" s="167" t="s">
        <v>3496</v>
      </c>
      <c r="O150" s="12" t="str">
        <f>_xlfn.DISPIMG("ID_92399A40D7B44F3B89AA85711A99D812",1)</f>
        <v>=DISPIMG("ID_92399A40D7B44F3B89AA85711A99D812",1)</v>
      </c>
      <c r="P150" s="11" t="s">
        <v>3497</v>
      </c>
      <c r="Q150" s="11">
        <v>442</v>
      </c>
      <c r="R150" s="17" t="s">
        <v>4465</v>
      </c>
      <c r="S150" s="18" t="s">
        <v>45</v>
      </c>
      <c r="T150" s="11">
        <v>28</v>
      </c>
    </row>
    <row r="151" s="4" customFormat="1" customHeight="1" spans="1:20">
      <c r="A151" s="167" t="s">
        <v>3500</v>
      </c>
      <c r="B151" s="167" t="s">
        <v>165</v>
      </c>
      <c r="C151" s="167" t="s">
        <v>3501</v>
      </c>
      <c r="D151" s="11">
        <v>15070192175</v>
      </c>
      <c r="E151" s="167" t="s">
        <v>156</v>
      </c>
      <c r="F151" s="167" t="s">
        <v>14</v>
      </c>
      <c r="G151" s="11">
        <v>202102001</v>
      </c>
      <c r="H151" s="167" t="s">
        <v>279</v>
      </c>
      <c r="I151" s="167" t="s">
        <v>1545</v>
      </c>
      <c r="J151" s="167" t="s">
        <v>348</v>
      </c>
      <c r="K151" s="167" t="s">
        <v>170</v>
      </c>
      <c r="L151" s="167" t="s">
        <v>577</v>
      </c>
      <c r="M151" s="167" t="s">
        <v>638</v>
      </c>
      <c r="N151" s="167" t="s">
        <v>3503</v>
      </c>
      <c r="O151" s="12" t="str">
        <f>_xlfn.DISPIMG("ID_582DA32893494A1CB2F261C9DF30C5FF",1)</f>
        <v>=DISPIMG("ID_582DA32893494A1CB2F261C9DF30C5FF",1)</v>
      </c>
      <c r="P151" s="11" t="s">
        <v>3504</v>
      </c>
      <c r="Q151" s="11">
        <v>443</v>
      </c>
      <c r="R151" s="17" t="s">
        <v>4466</v>
      </c>
      <c r="S151" s="18" t="s">
        <v>45</v>
      </c>
      <c r="T151" s="11">
        <v>3</v>
      </c>
    </row>
    <row r="152" s="3" customFormat="1" customHeight="1" spans="1:20">
      <c r="A152" s="167" t="s">
        <v>3602</v>
      </c>
      <c r="B152" s="167" t="s">
        <v>165</v>
      </c>
      <c r="C152" s="167" t="s">
        <v>3603</v>
      </c>
      <c r="D152" s="11">
        <v>18507927596</v>
      </c>
      <c r="E152" s="167" t="s">
        <v>156</v>
      </c>
      <c r="F152" s="167" t="s">
        <v>14</v>
      </c>
      <c r="G152" s="11">
        <v>202102001</v>
      </c>
      <c r="H152" s="167" t="s">
        <v>279</v>
      </c>
      <c r="I152" s="167" t="s">
        <v>158</v>
      </c>
      <c r="J152" s="167" t="s">
        <v>348</v>
      </c>
      <c r="K152" s="167" t="s">
        <v>170</v>
      </c>
      <c r="L152" s="167" t="s">
        <v>281</v>
      </c>
      <c r="M152" s="167" t="s">
        <v>14</v>
      </c>
      <c r="N152" s="167" t="s">
        <v>3604</v>
      </c>
      <c r="O152" s="12" t="str">
        <f>_xlfn.DISPIMG("ID_ADF263347E1B436A9E9869CDB170C299",1)</f>
        <v>=DISPIMG("ID_ADF263347E1B436A9E9869CDB170C299",1)</v>
      </c>
      <c r="P152" s="11" t="s">
        <v>3605</v>
      </c>
      <c r="Q152" s="11">
        <v>458</v>
      </c>
      <c r="R152" s="17" t="s">
        <v>4467</v>
      </c>
      <c r="S152" s="18" t="s">
        <v>45</v>
      </c>
      <c r="T152" s="11">
        <v>10</v>
      </c>
    </row>
    <row r="153" s="3" customFormat="1" customHeight="1" spans="1:20">
      <c r="A153" s="167" t="s">
        <v>3705</v>
      </c>
      <c r="B153" s="167" t="s">
        <v>165</v>
      </c>
      <c r="C153" s="167" t="s">
        <v>3706</v>
      </c>
      <c r="D153" s="11">
        <v>15079123471</v>
      </c>
      <c r="E153" s="167" t="s">
        <v>156</v>
      </c>
      <c r="F153" s="167" t="s">
        <v>14</v>
      </c>
      <c r="G153" s="11">
        <v>202102011</v>
      </c>
      <c r="H153" s="167" t="s">
        <v>157</v>
      </c>
      <c r="I153" s="167" t="s">
        <v>233</v>
      </c>
      <c r="J153" s="167" t="s">
        <v>3708</v>
      </c>
      <c r="K153" s="167" t="s">
        <v>170</v>
      </c>
      <c r="L153" s="167" t="s">
        <v>216</v>
      </c>
      <c r="M153" s="167" t="s">
        <v>14</v>
      </c>
      <c r="N153" s="167" t="s">
        <v>3709</v>
      </c>
      <c r="O153" s="12" t="str">
        <f>_xlfn.DISPIMG("ID_BF7D6285C9C043E7887E7AA2FA4C62A7",1)</f>
        <v>=DISPIMG("ID_BF7D6285C9C043E7887E7AA2FA4C62A7",1)</v>
      </c>
      <c r="P153" s="11" t="s">
        <v>3710</v>
      </c>
      <c r="Q153" s="20">
        <v>472</v>
      </c>
      <c r="R153" s="17" t="s">
        <v>4468</v>
      </c>
      <c r="S153" s="18" t="s">
        <v>45</v>
      </c>
      <c r="T153" s="11">
        <v>15</v>
      </c>
    </row>
    <row r="154" s="3" customFormat="1" customHeight="1" spans="1:20">
      <c r="A154" s="167" t="s">
        <v>3773</v>
      </c>
      <c r="B154" s="167" t="s">
        <v>165</v>
      </c>
      <c r="C154" s="167" t="s">
        <v>3774</v>
      </c>
      <c r="D154" s="11">
        <v>15083553694</v>
      </c>
      <c r="E154" s="167" t="s">
        <v>156</v>
      </c>
      <c r="F154" s="167" t="s">
        <v>14</v>
      </c>
      <c r="G154" s="11">
        <v>202102001</v>
      </c>
      <c r="H154" s="167" t="s">
        <v>279</v>
      </c>
      <c r="I154" s="167" t="s">
        <v>178</v>
      </c>
      <c r="J154" s="167" t="s">
        <v>348</v>
      </c>
      <c r="K154" s="167" t="s">
        <v>170</v>
      </c>
      <c r="L154" s="167" t="s">
        <v>180</v>
      </c>
      <c r="M154" s="167" t="s">
        <v>14</v>
      </c>
      <c r="N154" s="167" t="s">
        <v>3776</v>
      </c>
      <c r="O154" s="12" t="str">
        <f>_xlfn.DISPIMG("ID_CF1C1431032D4C21956EAEFBC2630095",1)</f>
        <v>=DISPIMG("ID_CF1C1431032D4C21956EAEFBC2630095",1)</v>
      </c>
      <c r="P154" s="11" t="s">
        <v>3777</v>
      </c>
      <c r="Q154" s="20">
        <v>481</v>
      </c>
      <c r="R154" s="17" t="s">
        <v>4469</v>
      </c>
      <c r="S154" s="18" t="s">
        <v>45</v>
      </c>
      <c r="T154" s="11">
        <v>22</v>
      </c>
    </row>
    <row r="155" s="3" customFormat="1" customHeight="1" spans="1:20">
      <c r="A155" s="167" t="s">
        <v>3858</v>
      </c>
      <c r="B155" s="167" t="s">
        <v>165</v>
      </c>
      <c r="C155" s="167" t="s">
        <v>3859</v>
      </c>
      <c r="D155" s="11">
        <v>15374225748</v>
      </c>
      <c r="E155" s="167" t="s">
        <v>156</v>
      </c>
      <c r="F155" s="167" t="s">
        <v>14</v>
      </c>
      <c r="G155" s="11">
        <v>202102001</v>
      </c>
      <c r="H155" s="167" t="s">
        <v>279</v>
      </c>
      <c r="I155" s="167" t="s">
        <v>3861</v>
      </c>
      <c r="J155" s="167" t="s">
        <v>298</v>
      </c>
      <c r="K155" s="167" t="s">
        <v>160</v>
      </c>
      <c r="L155" s="167" t="s">
        <v>805</v>
      </c>
      <c r="M155" s="167" t="s">
        <v>121</v>
      </c>
      <c r="N155" s="11">
        <v>0</v>
      </c>
      <c r="O155" s="12" t="str">
        <f>_xlfn.DISPIMG("ID_8CF8C6C0A559454996AB6FB606BDA1DD",1)</f>
        <v>=DISPIMG("ID_8CF8C6C0A559454996AB6FB606BDA1DD",1)</v>
      </c>
      <c r="P155" s="11" t="s">
        <v>3862</v>
      </c>
      <c r="Q155" s="20">
        <v>492</v>
      </c>
      <c r="R155" s="17" t="s">
        <v>4470</v>
      </c>
      <c r="S155" s="18" t="s">
        <v>45</v>
      </c>
      <c r="T155" s="11">
        <v>27</v>
      </c>
    </row>
    <row r="156" s="3" customFormat="1" customHeight="1" spans="1:20">
      <c r="A156" s="167" t="s">
        <v>3881</v>
      </c>
      <c r="B156" s="167" t="s">
        <v>165</v>
      </c>
      <c r="C156" s="167" t="s">
        <v>3882</v>
      </c>
      <c r="D156" s="11">
        <v>18770914505</v>
      </c>
      <c r="E156" s="167" t="s">
        <v>156</v>
      </c>
      <c r="F156" s="167" t="s">
        <v>14</v>
      </c>
      <c r="G156" s="11">
        <v>202102001</v>
      </c>
      <c r="H156" s="167" t="s">
        <v>279</v>
      </c>
      <c r="I156" s="167" t="s">
        <v>178</v>
      </c>
      <c r="J156" s="167" t="s">
        <v>348</v>
      </c>
      <c r="K156" s="167" t="s">
        <v>170</v>
      </c>
      <c r="L156" s="167" t="s">
        <v>281</v>
      </c>
      <c r="M156" s="167" t="s">
        <v>498</v>
      </c>
      <c r="N156" s="167" t="s">
        <v>3884</v>
      </c>
      <c r="O156" s="12" t="str">
        <f>_xlfn.DISPIMG("ID_3C6B462D1CF047DC951D0874F80418DC",1)</f>
        <v>=DISPIMG("ID_3C6B462D1CF047DC951D0874F80418DC",1)</v>
      </c>
      <c r="P156" s="11" t="s">
        <v>3885</v>
      </c>
      <c r="Q156" s="20">
        <v>495</v>
      </c>
      <c r="R156" s="17" t="s">
        <v>4471</v>
      </c>
      <c r="S156" s="18" t="s">
        <v>45</v>
      </c>
      <c r="T156" s="11">
        <v>2</v>
      </c>
    </row>
    <row r="157" s="3" customFormat="1" customHeight="1" spans="1:20">
      <c r="A157" s="167" t="s">
        <v>3888</v>
      </c>
      <c r="B157" s="167" t="s">
        <v>165</v>
      </c>
      <c r="C157" s="167" t="s">
        <v>3889</v>
      </c>
      <c r="D157" s="11">
        <v>15949598955</v>
      </c>
      <c r="E157" s="167" t="s">
        <v>156</v>
      </c>
      <c r="F157" s="167" t="s">
        <v>14</v>
      </c>
      <c r="G157" s="11">
        <v>202102001</v>
      </c>
      <c r="H157" s="167" t="s">
        <v>279</v>
      </c>
      <c r="I157" s="167" t="s">
        <v>367</v>
      </c>
      <c r="J157" s="167" t="s">
        <v>348</v>
      </c>
      <c r="K157" s="167" t="s">
        <v>170</v>
      </c>
      <c r="L157" s="167" t="s">
        <v>587</v>
      </c>
      <c r="M157" s="167" t="s">
        <v>14</v>
      </c>
      <c r="N157" s="167" t="s">
        <v>3891</v>
      </c>
      <c r="O157" s="12" t="str">
        <f>_xlfn.DISPIMG("ID_2410E866E9B946F380BB65E1492A0355",1)</f>
        <v>=DISPIMG("ID_2410E866E9B946F380BB65E1492A0355",1)</v>
      </c>
      <c r="P157" s="11" t="s">
        <v>3892</v>
      </c>
      <c r="Q157" s="20">
        <v>496</v>
      </c>
      <c r="R157" s="17" t="s">
        <v>4472</v>
      </c>
      <c r="S157" s="18" t="s">
        <v>45</v>
      </c>
      <c r="T157" s="11">
        <v>11</v>
      </c>
    </row>
    <row r="158" s="3" customFormat="1" customHeight="1" spans="1:20">
      <c r="A158" s="167" t="s">
        <v>3910</v>
      </c>
      <c r="B158" s="167" t="s">
        <v>165</v>
      </c>
      <c r="C158" s="167" t="s">
        <v>3911</v>
      </c>
      <c r="D158" s="11">
        <v>13627096197</v>
      </c>
      <c r="E158" s="167" t="s">
        <v>156</v>
      </c>
      <c r="F158" s="167" t="s">
        <v>14</v>
      </c>
      <c r="G158" s="11">
        <v>202102001</v>
      </c>
      <c r="H158" s="167" t="s">
        <v>157</v>
      </c>
      <c r="I158" s="167" t="s">
        <v>233</v>
      </c>
      <c r="J158" s="167" t="s">
        <v>454</v>
      </c>
      <c r="K158" s="167" t="s">
        <v>170</v>
      </c>
      <c r="L158" s="167" t="s">
        <v>516</v>
      </c>
      <c r="M158" s="167" t="s">
        <v>3913</v>
      </c>
      <c r="N158" s="167" t="s">
        <v>3914</v>
      </c>
      <c r="O158" s="12" t="str">
        <f>_xlfn.DISPIMG("ID_2CCA277749F14624BD11838DCC078340",1)</f>
        <v>=DISPIMG("ID_2CCA277749F14624BD11838DCC078340",1)</v>
      </c>
      <c r="P158" s="11" t="s">
        <v>3915</v>
      </c>
      <c r="Q158" s="20">
        <v>499</v>
      </c>
      <c r="R158" s="17" t="s">
        <v>4473</v>
      </c>
      <c r="S158" s="18" t="s">
        <v>45</v>
      </c>
      <c r="T158" s="11">
        <v>14</v>
      </c>
    </row>
    <row r="159" s="3" customFormat="1" customHeight="1" spans="1:20">
      <c r="A159" s="167" t="s">
        <v>3931</v>
      </c>
      <c r="B159" s="167" t="s">
        <v>165</v>
      </c>
      <c r="C159" s="167" t="s">
        <v>3932</v>
      </c>
      <c r="D159" s="11">
        <v>13064153607</v>
      </c>
      <c r="E159" s="167" t="s">
        <v>156</v>
      </c>
      <c r="F159" s="167" t="s">
        <v>14</v>
      </c>
      <c r="G159" s="11">
        <v>202102001</v>
      </c>
      <c r="H159" s="167" t="s">
        <v>279</v>
      </c>
      <c r="I159" s="167" t="s">
        <v>3934</v>
      </c>
      <c r="J159" s="167" t="s">
        <v>348</v>
      </c>
      <c r="K159" s="167" t="s">
        <v>170</v>
      </c>
      <c r="L159" s="167" t="s">
        <v>349</v>
      </c>
      <c r="M159" s="167" t="s">
        <v>3935</v>
      </c>
      <c r="N159" s="167" t="s">
        <v>3936</v>
      </c>
      <c r="O159" s="12" t="str">
        <f>_xlfn.DISPIMG("ID_FD6A12B7DDFB4497A1625AEB18B6C93E",1)</f>
        <v>=DISPIMG("ID_FD6A12B7DDFB4497A1625AEB18B6C93E",1)</v>
      </c>
      <c r="P159" s="11" t="s">
        <v>3937</v>
      </c>
      <c r="Q159" s="20">
        <v>502</v>
      </c>
      <c r="R159" s="17" t="s">
        <v>4474</v>
      </c>
      <c r="S159" s="18" t="s">
        <v>45</v>
      </c>
      <c r="T159" s="11">
        <v>23</v>
      </c>
    </row>
    <row r="160" s="3" customFormat="1" customHeight="1" spans="1:20">
      <c r="A160" s="167" t="s">
        <v>4036</v>
      </c>
      <c r="B160" s="167" t="s">
        <v>165</v>
      </c>
      <c r="C160" s="167" t="s">
        <v>4037</v>
      </c>
      <c r="D160" s="11">
        <v>13755593629</v>
      </c>
      <c r="E160" s="167" t="s">
        <v>156</v>
      </c>
      <c r="F160" s="167" t="s">
        <v>14</v>
      </c>
      <c r="G160" s="11">
        <v>202102001</v>
      </c>
      <c r="H160" s="167" t="s">
        <v>279</v>
      </c>
      <c r="I160" s="167" t="s">
        <v>1545</v>
      </c>
      <c r="J160" s="167" t="s">
        <v>348</v>
      </c>
      <c r="K160" s="167" t="s">
        <v>170</v>
      </c>
      <c r="L160" s="167" t="s">
        <v>216</v>
      </c>
      <c r="M160" s="167" t="s">
        <v>14</v>
      </c>
      <c r="N160" s="167" t="s">
        <v>4039</v>
      </c>
      <c r="O160" s="12" t="str">
        <f>_xlfn.DISPIMG("ID_25A2772C2A4349D4AAD4F2B8F942612C",1)</f>
        <v>=DISPIMG("ID_25A2772C2A4349D4AAD4F2B8F942612C",1)</v>
      </c>
      <c r="P160" s="11" t="s">
        <v>4040</v>
      </c>
      <c r="Q160" s="20">
        <v>516</v>
      </c>
      <c r="R160" s="17" t="s">
        <v>4475</v>
      </c>
      <c r="S160" s="18" t="s">
        <v>45</v>
      </c>
      <c r="T160" s="11">
        <v>26</v>
      </c>
    </row>
    <row r="161" s="3" customFormat="1" customHeight="1" spans="1:20">
      <c r="A161" s="167" t="s">
        <v>4082</v>
      </c>
      <c r="B161" s="167" t="s">
        <v>165</v>
      </c>
      <c r="C161" s="167" t="s">
        <v>4083</v>
      </c>
      <c r="D161" s="11">
        <v>17352963741</v>
      </c>
      <c r="E161" s="167" t="s">
        <v>506</v>
      </c>
      <c r="F161" s="167" t="s">
        <v>14</v>
      </c>
      <c r="G161" s="11">
        <v>202102014</v>
      </c>
      <c r="H161" s="167" t="s">
        <v>157</v>
      </c>
      <c r="I161" s="167" t="s">
        <v>178</v>
      </c>
      <c r="J161" s="167" t="s">
        <v>348</v>
      </c>
      <c r="K161" s="167" t="s">
        <v>170</v>
      </c>
      <c r="L161" s="167" t="s">
        <v>548</v>
      </c>
      <c r="M161" s="167" t="s">
        <v>4084</v>
      </c>
      <c r="N161" s="167" t="s">
        <v>4085</v>
      </c>
      <c r="O161" s="12" t="str">
        <f>_xlfn.DISPIMG("ID_C5311387C2FF404D8FA717D4979E175B",1)</f>
        <v>=DISPIMG("ID_C5311387C2FF404D8FA717D4979E175B",1)</v>
      </c>
      <c r="P161" s="11" t="s">
        <v>4086</v>
      </c>
      <c r="Q161" s="20">
        <v>522</v>
      </c>
      <c r="R161" s="17" t="s">
        <v>4476</v>
      </c>
      <c r="S161" s="18" t="s">
        <v>45</v>
      </c>
      <c r="T161" s="11">
        <v>1</v>
      </c>
    </row>
    <row r="162" s="4" customFormat="1" customHeight="1" spans="1:20">
      <c r="A162" s="164" t="s">
        <v>4103</v>
      </c>
      <c r="B162" s="164" t="s">
        <v>165</v>
      </c>
      <c r="C162" s="164" t="s">
        <v>4104</v>
      </c>
      <c r="D162" s="22">
        <v>15270173371</v>
      </c>
      <c r="E162" s="164" t="s">
        <v>384</v>
      </c>
      <c r="F162" s="164" t="s">
        <v>14</v>
      </c>
      <c r="G162" s="22">
        <v>202102001</v>
      </c>
      <c r="H162" s="164" t="s">
        <v>157</v>
      </c>
      <c r="I162" s="164" t="s">
        <v>233</v>
      </c>
      <c r="J162" s="164" t="s">
        <v>454</v>
      </c>
      <c r="K162" s="164" t="s">
        <v>170</v>
      </c>
      <c r="L162" s="164" t="s">
        <v>4106</v>
      </c>
      <c r="M162" s="164" t="s">
        <v>14</v>
      </c>
      <c r="N162" s="164" t="s">
        <v>4107</v>
      </c>
      <c r="O162" s="23" t="str">
        <f>_xlfn.DISPIMG("ID_EDE9A315C64A4BE2AC2F986557EA53FC",1)</f>
        <v>=DISPIMG("ID_EDE9A315C64A4BE2AC2F986557EA53FC",1)</v>
      </c>
      <c r="P162" s="22" t="s">
        <v>4108</v>
      </c>
      <c r="Q162" s="24">
        <v>525</v>
      </c>
      <c r="R162" s="17" t="s">
        <v>4477</v>
      </c>
      <c r="S162" s="18" t="s">
        <v>45</v>
      </c>
      <c r="T162" s="11">
        <v>12</v>
      </c>
    </row>
    <row r="163" s="3" customFormat="1" customHeight="1" spans="1:20">
      <c r="A163" s="167" t="s">
        <v>4177</v>
      </c>
      <c r="B163" s="167" t="s">
        <v>165</v>
      </c>
      <c r="C163" s="167" t="s">
        <v>4178</v>
      </c>
      <c r="D163" s="11">
        <v>18759251284</v>
      </c>
      <c r="E163" s="167" t="s">
        <v>156</v>
      </c>
      <c r="F163" s="167" t="s">
        <v>14</v>
      </c>
      <c r="G163" s="11">
        <v>202102001</v>
      </c>
      <c r="H163" s="167" t="s">
        <v>157</v>
      </c>
      <c r="I163" s="167" t="s">
        <v>2363</v>
      </c>
      <c r="J163" s="167" t="s">
        <v>454</v>
      </c>
      <c r="K163" s="167" t="s">
        <v>170</v>
      </c>
      <c r="L163" s="167" t="s">
        <v>455</v>
      </c>
      <c r="M163" s="167" t="s">
        <v>26</v>
      </c>
      <c r="N163" s="167" t="s">
        <v>4180</v>
      </c>
      <c r="O163" s="12" t="str">
        <f>_xlfn.DISPIMG("ID_E9338F1098B64D83A2AE0E9576D18B92",1)</f>
        <v>=DISPIMG("ID_E9338F1098B64D83A2AE0E9576D18B92",1)</v>
      </c>
      <c r="P163" s="11" t="s">
        <v>4181</v>
      </c>
      <c r="Q163" s="20">
        <v>534</v>
      </c>
      <c r="R163" s="17" t="s">
        <v>4478</v>
      </c>
      <c r="S163" s="18" t="s">
        <v>45</v>
      </c>
      <c r="T163" s="11">
        <v>13</v>
      </c>
    </row>
    <row r="164" s="3" customFormat="1" customHeight="1" spans="1:20">
      <c r="A164" s="167" t="s">
        <v>4214</v>
      </c>
      <c r="B164" s="167" t="s">
        <v>165</v>
      </c>
      <c r="C164" s="167" t="s">
        <v>4215</v>
      </c>
      <c r="D164" s="11">
        <v>19979263918</v>
      </c>
      <c r="E164" s="167" t="s">
        <v>156</v>
      </c>
      <c r="F164" s="167" t="s">
        <v>14</v>
      </c>
      <c r="G164" s="11">
        <v>202102001</v>
      </c>
      <c r="H164" s="167" t="s">
        <v>157</v>
      </c>
      <c r="I164" s="167" t="s">
        <v>412</v>
      </c>
      <c r="J164" s="167" t="s">
        <v>4217</v>
      </c>
      <c r="K164" s="167" t="s">
        <v>160</v>
      </c>
      <c r="L164" s="167" t="s">
        <v>180</v>
      </c>
      <c r="M164" s="167" t="s">
        <v>26</v>
      </c>
      <c r="N164" s="167" t="s">
        <v>4218</v>
      </c>
      <c r="O164" s="12" t="str">
        <f>_xlfn.DISPIMG("ID_458825B7ED724C7B8EAA7308C4517BC8",1)</f>
        <v>=DISPIMG("ID_458825B7ED724C7B8EAA7308C4517BC8",1)</v>
      </c>
      <c r="P164" s="11" t="s">
        <v>4219</v>
      </c>
      <c r="Q164" s="20">
        <v>539</v>
      </c>
      <c r="R164" s="17" t="s">
        <v>4479</v>
      </c>
      <c r="S164" s="18" t="s">
        <v>45</v>
      </c>
      <c r="T164" s="11">
        <v>24</v>
      </c>
    </row>
    <row r="165" s="3" customFormat="1" customHeight="1" spans="1:20">
      <c r="A165" s="167" t="s">
        <v>4308</v>
      </c>
      <c r="B165" s="167" t="s">
        <v>165</v>
      </c>
      <c r="C165" s="167" t="s">
        <v>4309</v>
      </c>
      <c r="D165" s="11">
        <v>17770159034</v>
      </c>
      <c r="E165" s="167" t="s">
        <v>156</v>
      </c>
      <c r="F165" s="167" t="s">
        <v>14</v>
      </c>
      <c r="G165" s="11">
        <v>202102001</v>
      </c>
      <c r="H165" s="167" t="s">
        <v>279</v>
      </c>
      <c r="I165" s="167" t="s">
        <v>1237</v>
      </c>
      <c r="J165" s="167" t="s">
        <v>348</v>
      </c>
      <c r="K165" s="167" t="s">
        <v>170</v>
      </c>
      <c r="L165" s="167" t="s">
        <v>180</v>
      </c>
      <c r="M165" s="167" t="s">
        <v>2395</v>
      </c>
      <c r="N165" s="167" t="s">
        <v>4310</v>
      </c>
      <c r="O165" s="12" t="str">
        <f>_xlfn.DISPIMG("ID_E6307ECF32B442B8A8FC80EADAF6E26D",1)</f>
        <v>=DISPIMG("ID_E6307ECF32B442B8A8FC80EADAF6E26D",1)</v>
      </c>
      <c r="P165" s="11" t="s">
        <v>4311</v>
      </c>
      <c r="Q165" s="20">
        <v>552</v>
      </c>
      <c r="R165" s="17" t="s">
        <v>4480</v>
      </c>
      <c r="S165" s="18" t="s">
        <v>45</v>
      </c>
      <c r="T165" s="11">
        <v>25</v>
      </c>
    </row>
    <row r="166" s="3" customFormat="1" customHeight="1" spans="1:20">
      <c r="A166" s="167" t="s">
        <v>494</v>
      </c>
      <c r="B166" s="167" t="s">
        <v>165</v>
      </c>
      <c r="C166" s="167" t="s">
        <v>495</v>
      </c>
      <c r="D166" s="11">
        <v>13662204471</v>
      </c>
      <c r="E166" s="167" t="s">
        <v>156</v>
      </c>
      <c r="F166" s="167" t="s">
        <v>8</v>
      </c>
      <c r="G166" s="11">
        <v>202102002</v>
      </c>
      <c r="H166" s="167" t="s">
        <v>279</v>
      </c>
      <c r="I166" s="167" t="s">
        <v>158</v>
      </c>
      <c r="J166" s="167" t="s">
        <v>497</v>
      </c>
      <c r="K166" s="167" t="s">
        <v>170</v>
      </c>
      <c r="L166" s="167" t="s">
        <v>180</v>
      </c>
      <c r="M166" s="167" t="s">
        <v>498</v>
      </c>
      <c r="N166" s="167" t="s">
        <v>499</v>
      </c>
      <c r="O166" s="12" t="str">
        <f>_xlfn.DISPIMG("ID_83DE97F5DD9E4626804875394FE0FC9C",1)</f>
        <v>=DISPIMG("ID_83DE97F5DD9E4626804875394FE0FC9C",1)</v>
      </c>
      <c r="P166" s="11" t="s">
        <v>500</v>
      </c>
      <c r="Q166" s="11">
        <v>41</v>
      </c>
      <c r="R166" s="17" t="s">
        <v>4481</v>
      </c>
      <c r="S166" s="18" t="s">
        <v>46</v>
      </c>
      <c r="T166" s="11">
        <v>6</v>
      </c>
    </row>
    <row r="167" s="3" customFormat="1" customHeight="1" spans="1:20">
      <c r="A167" s="167" t="s">
        <v>565</v>
      </c>
      <c r="B167" s="167" t="s">
        <v>165</v>
      </c>
      <c r="C167" s="167" t="s">
        <v>566</v>
      </c>
      <c r="D167" s="11">
        <v>13184588975</v>
      </c>
      <c r="E167" s="167" t="s">
        <v>156</v>
      </c>
      <c r="F167" s="167" t="s">
        <v>8</v>
      </c>
      <c r="G167" s="11">
        <v>202102002</v>
      </c>
      <c r="H167" s="167" t="s">
        <v>279</v>
      </c>
      <c r="I167" s="167" t="s">
        <v>178</v>
      </c>
      <c r="J167" s="167" t="s">
        <v>497</v>
      </c>
      <c r="K167" s="167" t="s">
        <v>170</v>
      </c>
      <c r="L167" s="167" t="s">
        <v>368</v>
      </c>
      <c r="M167" s="167" t="s">
        <v>568</v>
      </c>
      <c r="N167" s="167" t="s">
        <v>569</v>
      </c>
      <c r="O167" s="12" t="str">
        <f>_xlfn.DISPIMG("ID_937169E203CF4CFF91192737B547BFCD",1)</f>
        <v>=DISPIMG("ID_937169E203CF4CFF91192737B547BFCD",1)</v>
      </c>
      <c r="P167" s="11" t="s">
        <v>570</v>
      </c>
      <c r="Q167" s="11">
        <v>49</v>
      </c>
      <c r="R167" s="17" t="s">
        <v>4482</v>
      </c>
      <c r="S167" s="18" t="s">
        <v>46</v>
      </c>
      <c r="T167" s="11">
        <v>7</v>
      </c>
    </row>
    <row r="168" s="3" customFormat="1" customHeight="1" spans="1:20">
      <c r="A168" s="167" t="s">
        <v>668</v>
      </c>
      <c r="B168" s="167" t="s">
        <v>165</v>
      </c>
      <c r="C168" s="167" t="s">
        <v>669</v>
      </c>
      <c r="D168" s="11">
        <v>19970219155</v>
      </c>
      <c r="E168" s="167" t="s">
        <v>156</v>
      </c>
      <c r="F168" s="167" t="s">
        <v>8</v>
      </c>
      <c r="G168" s="11">
        <v>202102002</v>
      </c>
      <c r="H168" s="167" t="s">
        <v>279</v>
      </c>
      <c r="I168" s="167" t="s">
        <v>671</v>
      </c>
      <c r="J168" s="167" t="s">
        <v>672</v>
      </c>
      <c r="K168" s="167" t="s">
        <v>160</v>
      </c>
      <c r="L168" s="167" t="s">
        <v>673</v>
      </c>
      <c r="M168" s="167" t="s">
        <v>674</v>
      </c>
      <c r="N168" s="167" t="s">
        <v>675</v>
      </c>
      <c r="O168" s="12" t="str">
        <f>_xlfn.DISPIMG("ID_350951056247403B99D5F5C96BCE4CA8",1)</f>
        <v>=DISPIMG("ID_350951056247403B99D5F5C96BCE4CA8",1)</v>
      </c>
      <c r="P168" s="11" t="s">
        <v>676</v>
      </c>
      <c r="Q168" s="11">
        <v>62</v>
      </c>
      <c r="R168" s="17" t="s">
        <v>4483</v>
      </c>
      <c r="S168" s="18" t="s">
        <v>46</v>
      </c>
      <c r="T168" s="11">
        <v>18</v>
      </c>
    </row>
    <row r="169" s="3" customFormat="1" customHeight="1" spans="1:20">
      <c r="A169" s="167" t="s">
        <v>779</v>
      </c>
      <c r="B169" s="167" t="s">
        <v>165</v>
      </c>
      <c r="C169" s="167" t="s">
        <v>780</v>
      </c>
      <c r="D169" s="11">
        <v>18379173946</v>
      </c>
      <c r="E169" s="167" t="s">
        <v>506</v>
      </c>
      <c r="F169" s="167" t="s">
        <v>8</v>
      </c>
      <c r="G169" s="11">
        <v>202102015</v>
      </c>
      <c r="H169" s="167" t="s">
        <v>279</v>
      </c>
      <c r="I169" s="167" t="s">
        <v>662</v>
      </c>
      <c r="J169" s="167" t="s">
        <v>497</v>
      </c>
      <c r="K169" s="167" t="s">
        <v>170</v>
      </c>
      <c r="L169" s="167" t="s">
        <v>171</v>
      </c>
      <c r="M169" s="167" t="s">
        <v>568</v>
      </c>
      <c r="N169" s="167" t="s">
        <v>782</v>
      </c>
      <c r="O169" s="12" t="str">
        <f>_xlfn.DISPIMG("ID_F2E1FDE086E6423DAF30A93C1D5DA4A4",1)</f>
        <v>=DISPIMG("ID_F2E1FDE086E6423DAF30A93C1D5DA4A4",1)</v>
      </c>
      <c r="P169" s="11" t="s">
        <v>783</v>
      </c>
      <c r="Q169" s="11">
        <v>75</v>
      </c>
      <c r="R169" s="17" t="s">
        <v>4484</v>
      </c>
      <c r="S169" s="18" t="s">
        <v>46</v>
      </c>
      <c r="T169" s="11">
        <v>19</v>
      </c>
    </row>
    <row r="170" s="3" customFormat="1" customHeight="1" spans="1:20">
      <c r="A170" s="167" t="s">
        <v>810</v>
      </c>
      <c r="B170" s="167" t="s">
        <v>165</v>
      </c>
      <c r="C170" s="167" t="s">
        <v>811</v>
      </c>
      <c r="D170" s="11">
        <v>13767213363</v>
      </c>
      <c r="E170" s="167" t="s">
        <v>156</v>
      </c>
      <c r="F170" s="167" t="s">
        <v>8</v>
      </c>
      <c r="G170" s="11">
        <v>202102002</v>
      </c>
      <c r="H170" s="167" t="s">
        <v>157</v>
      </c>
      <c r="I170" s="167" t="s">
        <v>158</v>
      </c>
      <c r="J170" s="167" t="s">
        <v>813</v>
      </c>
      <c r="K170" s="167" t="s">
        <v>160</v>
      </c>
      <c r="L170" s="167" t="s">
        <v>161</v>
      </c>
      <c r="M170" s="167" t="s">
        <v>8</v>
      </c>
      <c r="N170" s="11">
        <v>0</v>
      </c>
      <c r="O170" s="12" t="str">
        <f>_xlfn.DISPIMG("ID_5528F9D8BCB3449AB737B926D9AAB949",1)</f>
        <v>=DISPIMG("ID_5528F9D8BCB3449AB737B926D9AAB949",1)</v>
      </c>
      <c r="P170" s="11" t="s">
        <v>814</v>
      </c>
      <c r="Q170" s="11">
        <v>79</v>
      </c>
      <c r="R170" s="17" t="s">
        <v>4485</v>
      </c>
      <c r="S170" s="18" t="s">
        <v>46</v>
      </c>
      <c r="T170" s="11">
        <v>30</v>
      </c>
    </row>
    <row r="171" s="3" customFormat="1" customHeight="1" spans="1:20">
      <c r="A171" s="167" t="s">
        <v>864</v>
      </c>
      <c r="B171" s="167" t="s">
        <v>165</v>
      </c>
      <c r="C171" s="167" t="s">
        <v>865</v>
      </c>
      <c r="D171" s="11">
        <v>18958190827</v>
      </c>
      <c r="E171" s="167" t="s">
        <v>156</v>
      </c>
      <c r="F171" s="167" t="s">
        <v>8</v>
      </c>
      <c r="G171" s="11">
        <v>202102002</v>
      </c>
      <c r="H171" s="167" t="s">
        <v>157</v>
      </c>
      <c r="I171" s="167" t="s">
        <v>867</v>
      </c>
      <c r="J171" s="167" t="s">
        <v>868</v>
      </c>
      <c r="K171" s="167" t="s">
        <v>160</v>
      </c>
      <c r="L171" s="167" t="s">
        <v>548</v>
      </c>
      <c r="M171" s="167" t="s">
        <v>8</v>
      </c>
      <c r="N171" s="167" t="s">
        <v>869</v>
      </c>
      <c r="O171" s="12" t="str">
        <f>_xlfn.DISPIMG("ID_019B47D80B6342B48EC2873E3CE82AE8",1)</f>
        <v>=DISPIMG("ID_019B47D80B6342B48EC2873E3CE82AE8",1)</v>
      </c>
      <c r="P171" s="11" t="s">
        <v>870</v>
      </c>
      <c r="Q171" s="11">
        <v>86</v>
      </c>
      <c r="R171" s="17" t="s">
        <v>4486</v>
      </c>
      <c r="S171" s="18" t="s">
        <v>46</v>
      </c>
      <c r="T171" s="11">
        <v>5</v>
      </c>
    </row>
    <row r="172" s="3" customFormat="1" customHeight="1" spans="1:20">
      <c r="A172" s="167" t="s">
        <v>941</v>
      </c>
      <c r="B172" s="167" t="s">
        <v>165</v>
      </c>
      <c r="C172" s="167" t="s">
        <v>942</v>
      </c>
      <c r="D172" s="11">
        <v>18379646602</v>
      </c>
      <c r="E172" s="167" t="s">
        <v>156</v>
      </c>
      <c r="F172" s="167" t="s">
        <v>8</v>
      </c>
      <c r="G172" s="11">
        <v>202102002</v>
      </c>
      <c r="H172" s="167" t="s">
        <v>157</v>
      </c>
      <c r="I172" s="167" t="s">
        <v>269</v>
      </c>
      <c r="J172" s="167" t="s">
        <v>944</v>
      </c>
      <c r="K172" s="167" t="s">
        <v>170</v>
      </c>
      <c r="L172" s="167" t="s">
        <v>261</v>
      </c>
      <c r="M172" s="167" t="s">
        <v>945</v>
      </c>
      <c r="N172" s="11">
        <v>0</v>
      </c>
      <c r="O172" s="12" t="str">
        <f>_xlfn.DISPIMG("ID_BCCBED5385A54C5D88278A56BF2ABF99",1)</f>
        <v>=DISPIMG("ID_BCCBED5385A54C5D88278A56BF2ABF99",1)</v>
      </c>
      <c r="P172" s="11" t="s">
        <v>946</v>
      </c>
      <c r="Q172" s="11">
        <v>95</v>
      </c>
      <c r="R172" s="17" t="s">
        <v>4487</v>
      </c>
      <c r="S172" s="18" t="s">
        <v>46</v>
      </c>
      <c r="T172" s="11">
        <v>8</v>
      </c>
    </row>
    <row r="173" s="4" customFormat="1" customHeight="1" spans="1:20">
      <c r="A173" s="167" t="s">
        <v>983</v>
      </c>
      <c r="B173" s="167" t="s">
        <v>165</v>
      </c>
      <c r="C173" s="167" t="s">
        <v>984</v>
      </c>
      <c r="D173" s="11">
        <v>18170988745</v>
      </c>
      <c r="E173" s="167" t="s">
        <v>156</v>
      </c>
      <c r="F173" s="167" t="s">
        <v>8</v>
      </c>
      <c r="G173" s="11">
        <v>202102002</v>
      </c>
      <c r="H173" s="167" t="s">
        <v>157</v>
      </c>
      <c r="I173" s="167" t="s">
        <v>986</v>
      </c>
      <c r="J173" s="167" t="s">
        <v>987</v>
      </c>
      <c r="K173" s="167" t="s">
        <v>160</v>
      </c>
      <c r="L173" s="167" t="s">
        <v>988</v>
      </c>
      <c r="M173" s="167" t="s">
        <v>989</v>
      </c>
      <c r="N173" s="167" t="s">
        <v>990</v>
      </c>
      <c r="O173" s="12" t="str">
        <f>_xlfn.DISPIMG("ID_21AE3772EA6B45FAA68CF356346534B7",1)</f>
        <v>=DISPIMG("ID_21AE3772EA6B45FAA68CF356346534B7",1)</v>
      </c>
      <c r="P173" s="11" t="s">
        <v>991</v>
      </c>
      <c r="Q173" s="11">
        <v>100</v>
      </c>
      <c r="R173" s="17" t="s">
        <v>4488</v>
      </c>
      <c r="S173" s="18" t="s">
        <v>46</v>
      </c>
      <c r="T173" s="11">
        <v>17</v>
      </c>
    </row>
    <row r="174" s="3" customFormat="1" customHeight="1" spans="1:20">
      <c r="A174" s="167" t="s">
        <v>1002</v>
      </c>
      <c r="B174" s="167" t="s">
        <v>165</v>
      </c>
      <c r="C174" s="167" t="s">
        <v>1003</v>
      </c>
      <c r="D174" s="11">
        <v>16607008286</v>
      </c>
      <c r="E174" s="167" t="s">
        <v>156</v>
      </c>
      <c r="F174" s="167" t="s">
        <v>8</v>
      </c>
      <c r="G174" s="11">
        <v>202102002</v>
      </c>
      <c r="H174" s="167" t="s">
        <v>157</v>
      </c>
      <c r="I174" s="167" t="s">
        <v>233</v>
      </c>
      <c r="J174" s="167" t="s">
        <v>1005</v>
      </c>
      <c r="K174" s="167" t="s">
        <v>170</v>
      </c>
      <c r="L174" s="167" t="s">
        <v>180</v>
      </c>
      <c r="M174" s="167" t="s">
        <v>8</v>
      </c>
      <c r="N174" s="167" t="s">
        <v>1006</v>
      </c>
      <c r="O174" s="12" t="str">
        <f>_xlfn.DISPIMG("ID_AB18BB501DAF4CA0AB480E453554BF60",1)</f>
        <v>=DISPIMG("ID_AB18BB501DAF4CA0AB480E453554BF60",1)</v>
      </c>
      <c r="P174" s="11" t="s">
        <v>1007</v>
      </c>
      <c r="Q174" s="11">
        <v>102</v>
      </c>
      <c r="R174" s="17" t="s">
        <v>4489</v>
      </c>
      <c r="S174" s="18" t="s">
        <v>46</v>
      </c>
      <c r="T174" s="11">
        <v>20</v>
      </c>
    </row>
    <row r="175" s="5" customFormat="1" customHeight="1" spans="1:20">
      <c r="A175" s="167" t="s">
        <v>1127</v>
      </c>
      <c r="B175" s="167" t="s">
        <v>153</v>
      </c>
      <c r="C175" s="167" t="s">
        <v>1128</v>
      </c>
      <c r="D175" s="11">
        <v>13698023687</v>
      </c>
      <c r="E175" s="167" t="s">
        <v>156</v>
      </c>
      <c r="F175" s="167" t="s">
        <v>8</v>
      </c>
      <c r="G175" s="11">
        <v>202102002</v>
      </c>
      <c r="H175" s="167" t="s">
        <v>157</v>
      </c>
      <c r="I175" s="167" t="s">
        <v>158</v>
      </c>
      <c r="J175" s="167" t="s">
        <v>270</v>
      </c>
      <c r="K175" s="167" t="s">
        <v>170</v>
      </c>
      <c r="L175" s="167" t="s">
        <v>548</v>
      </c>
      <c r="M175" s="167" t="s">
        <v>1130</v>
      </c>
      <c r="N175" s="167" t="s">
        <v>1131</v>
      </c>
      <c r="O175" s="12" t="str">
        <f>_xlfn.DISPIMG("ID_2ABFF7AF1BF04D95953E32E5250DE953",1)</f>
        <v>=DISPIMG("ID_2ABFF7AF1BF04D95953E32E5250DE953",1)</v>
      </c>
      <c r="P175" s="11" t="s">
        <v>1132</v>
      </c>
      <c r="Q175" s="11">
        <v>118</v>
      </c>
      <c r="R175" s="17" t="s">
        <v>4490</v>
      </c>
      <c r="S175" s="18" t="s">
        <v>46</v>
      </c>
      <c r="T175" s="11">
        <v>29</v>
      </c>
    </row>
    <row r="176" s="3" customFormat="1" customHeight="1" spans="1:20">
      <c r="A176" s="167" t="s">
        <v>1200</v>
      </c>
      <c r="B176" s="167" t="s">
        <v>165</v>
      </c>
      <c r="C176" s="167" t="s">
        <v>1201</v>
      </c>
      <c r="D176" s="11">
        <v>15270186776</v>
      </c>
      <c r="E176" s="167" t="s">
        <v>156</v>
      </c>
      <c r="F176" s="167" t="s">
        <v>8</v>
      </c>
      <c r="G176" s="11">
        <v>202102002</v>
      </c>
      <c r="H176" s="167" t="s">
        <v>157</v>
      </c>
      <c r="I176" s="167" t="s">
        <v>1203</v>
      </c>
      <c r="J176" s="167" t="s">
        <v>1204</v>
      </c>
      <c r="K176" s="167" t="s">
        <v>160</v>
      </c>
      <c r="L176" s="167" t="s">
        <v>1089</v>
      </c>
      <c r="M176" s="167" t="s">
        <v>1205</v>
      </c>
      <c r="N176" s="167" t="s">
        <v>1206</v>
      </c>
      <c r="O176" s="12" t="str">
        <f>_xlfn.DISPIMG("ID_0C966700704E44E6A4C50F763206BC81",1)</f>
        <v>=DISPIMG("ID_0C966700704E44E6A4C50F763206BC81",1)</v>
      </c>
      <c r="P176" s="11" t="s">
        <v>1207</v>
      </c>
      <c r="Q176" s="11">
        <v>127</v>
      </c>
      <c r="R176" s="17" t="s">
        <v>4491</v>
      </c>
      <c r="S176" s="18" t="s">
        <v>46</v>
      </c>
      <c r="T176" s="11">
        <v>4</v>
      </c>
    </row>
    <row r="177" s="3" customFormat="1" customHeight="1" spans="1:20">
      <c r="A177" s="167" t="s">
        <v>1262</v>
      </c>
      <c r="B177" s="167" t="s">
        <v>165</v>
      </c>
      <c r="C177" s="167" t="s">
        <v>1263</v>
      </c>
      <c r="D177" s="11">
        <v>18897926715</v>
      </c>
      <c r="E177" s="167" t="s">
        <v>156</v>
      </c>
      <c r="F177" s="167" t="s">
        <v>8</v>
      </c>
      <c r="G177" s="11">
        <v>202102002</v>
      </c>
      <c r="H177" s="167" t="s">
        <v>157</v>
      </c>
      <c r="I177" s="167" t="s">
        <v>1265</v>
      </c>
      <c r="J177" s="167" t="s">
        <v>813</v>
      </c>
      <c r="K177" s="167" t="s">
        <v>160</v>
      </c>
      <c r="L177" s="167" t="s">
        <v>199</v>
      </c>
      <c r="M177" s="167" t="s">
        <v>1266</v>
      </c>
      <c r="N177" s="11">
        <v>0</v>
      </c>
      <c r="O177" s="12" t="str">
        <f>_xlfn.DISPIMG("ID_5DC2209F39824089B70DAE46CB942DD1",1)</f>
        <v>=DISPIMG("ID_5DC2209F39824089B70DAE46CB942DD1",1)</v>
      </c>
      <c r="P177" s="11" t="s">
        <v>1267</v>
      </c>
      <c r="Q177" s="11">
        <v>135</v>
      </c>
      <c r="R177" s="17" t="s">
        <v>4492</v>
      </c>
      <c r="S177" s="18" t="s">
        <v>46</v>
      </c>
      <c r="T177" s="11">
        <v>9</v>
      </c>
    </row>
    <row r="178" s="3" customFormat="1" customHeight="1" spans="1:20">
      <c r="A178" s="167" t="s">
        <v>1318</v>
      </c>
      <c r="B178" s="167" t="s">
        <v>165</v>
      </c>
      <c r="C178" s="167" t="s">
        <v>1319</v>
      </c>
      <c r="D178" s="11">
        <v>18270633854</v>
      </c>
      <c r="E178" s="167" t="s">
        <v>156</v>
      </c>
      <c r="F178" s="167" t="s">
        <v>8</v>
      </c>
      <c r="G178" s="11">
        <v>202102002</v>
      </c>
      <c r="H178" s="167" t="s">
        <v>157</v>
      </c>
      <c r="I178" s="167" t="s">
        <v>1258</v>
      </c>
      <c r="J178" s="167" t="s">
        <v>1321</v>
      </c>
      <c r="K178" s="167" t="s">
        <v>160</v>
      </c>
      <c r="L178" s="167" t="s">
        <v>516</v>
      </c>
      <c r="M178" s="167" t="s">
        <v>1322</v>
      </c>
      <c r="N178" s="167" t="s">
        <v>1323</v>
      </c>
      <c r="O178" s="12" t="str">
        <f>_xlfn.DISPIMG("ID_D86A3E1B243D4E47B731958FB3B82FC3",1)</f>
        <v>=DISPIMG("ID_D86A3E1B243D4E47B731958FB3B82FC3",1)</v>
      </c>
      <c r="P178" s="11" t="s">
        <v>1324</v>
      </c>
      <c r="Q178" s="11">
        <v>143</v>
      </c>
      <c r="R178" s="17" t="s">
        <v>4493</v>
      </c>
      <c r="S178" s="18" t="s">
        <v>46</v>
      </c>
      <c r="T178" s="11">
        <v>16</v>
      </c>
    </row>
    <row r="179" s="3" customFormat="1" customHeight="1" spans="1:20">
      <c r="A179" s="167" t="s">
        <v>1471</v>
      </c>
      <c r="B179" s="167" t="s">
        <v>165</v>
      </c>
      <c r="C179" s="167" t="s">
        <v>1472</v>
      </c>
      <c r="D179" s="11">
        <v>13687036753</v>
      </c>
      <c r="E179" s="167" t="s">
        <v>156</v>
      </c>
      <c r="F179" s="167" t="s">
        <v>8</v>
      </c>
      <c r="G179" s="11">
        <v>202102002</v>
      </c>
      <c r="H179" s="167" t="s">
        <v>157</v>
      </c>
      <c r="I179" s="167" t="s">
        <v>269</v>
      </c>
      <c r="J179" s="167" t="s">
        <v>1204</v>
      </c>
      <c r="K179" s="167" t="s">
        <v>160</v>
      </c>
      <c r="L179" s="167" t="s">
        <v>171</v>
      </c>
      <c r="M179" s="167" t="s">
        <v>20</v>
      </c>
      <c r="N179" s="167" t="s">
        <v>1474</v>
      </c>
      <c r="O179" s="12" t="str">
        <f>_xlfn.DISPIMG("ID_282C99EDDFB743068B1F4514F99C7126",1)</f>
        <v>=DISPIMG("ID_282C99EDDFB743068B1F4514F99C7126",1)</v>
      </c>
      <c r="P179" s="11" t="s">
        <v>1475</v>
      </c>
      <c r="Q179" s="11">
        <v>163</v>
      </c>
      <c r="R179" s="17" t="s">
        <v>4494</v>
      </c>
      <c r="S179" s="18" t="s">
        <v>46</v>
      </c>
      <c r="T179" s="11">
        <v>21</v>
      </c>
    </row>
    <row r="180" s="3" customFormat="1" customHeight="1" spans="1:20">
      <c r="A180" s="167" t="s">
        <v>1613</v>
      </c>
      <c r="B180" s="167" t="s">
        <v>165</v>
      </c>
      <c r="C180" s="167" t="s">
        <v>1614</v>
      </c>
      <c r="D180" s="11">
        <v>18296280573</v>
      </c>
      <c r="E180" s="167" t="s">
        <v>156</v>
      </c>
      <c r="F180" s="167" t="s">
        <v>8</v>
      </c>
      <c r="G180" s="11">
        <v>202102002</v>
      </c>
      <c r="H180" s="167" t="s">
        <v>157</v>
      </c>
      <c r="I180" s="167" t="s">
        <v>233</v>
      </c>
      <c r="J180" s="167" t="s">
        <v>1616</v>
      </c>
      <c r="K180" s="167" t="s">
        <v>170</v>
      </c>
      <c r="L180" s="167" t="s">
        <v>235</v>
      </c>
      <c r="M180" s="167" t="s">
        <v>1617</v>
      </c>
      <c r="N180" s="167" t="s">
        <v>1618</v>
      </c>
      <c r="O180" s="12" t="str">
        <f>_xlfn.DISPIMG("ID_2062AD8B56DF4C85BF68D2846493F2B2",1)</f>
        <v>=DISPIMG("ID_2062AD8B56DF4C85BF68D2846493F2B2",1)</v>
      </c>
      <c r="P180" s="11" t="s">
        <v>1619</v>
      </c>
      <c r="Q180" s="11">
        <v>181</v>
      </c>
      <c r="R180" s="17" t="s">
        <v>4495</v>
      </c>
      <c r="S180" s="18" t="s">
        <v>46</v>
      </c>
      <c r="T180" s="11">
        <v>28</v>
      </c>
    </row>
    <row r="181" s="3" customFormat="1" customHeight="1" spans="1:20">
      <c r="A181" s="167" t="s">
        <v>1766</v>
      </c>
      <c r="B181" s="167" t="s">
        <v>165</v>
      </c>
      <c r="C181" s="167" t="s">
        <v>1767</v>
      </c>
      <c r="D181" s="11">
        <v>18370038373</v>
      </c>
      <c r="E181" s="167" t="s">
        <v>156</v>
      </c>
      <c r="F181" s="167" t="s">
        <v>8</v>
      </c>
      <c r="G181" s="11">
        <v>202102002</v>
      </c>
      <c r="H181" s="167" t="s">
        <v>157</v>
      </c>
      <c r="I181" s="167" t="s">
        <v>269</v>
      </c>
      <c r="J181" s="167" t="s">
        <v>813</v>
      </c>
      <c r="K181" s="167" t="s">
        <v>160</v>
      </c>
      <c r="L181" s="167" t="s">
        <v>180</v>
      </c>
      <c r="M181" s="167" t="s">
        <v>8</v>
      </c>
      <c r="N181" s="167" t="s">
        <v>1769</v>
      </c>
      <c r="O181" s="12" t="str">
        <f>_xlfn.DISPIMG("ID_DCEB7245249347F4A2C197E5AB7C6C11",1)</f>
        <v>=DISPIMG("ID_DCEB7245249347F4A2C197E5AB7C6C11",1)</v>
      </c>
      <c r="P181" s="11" t="s">
        <v>1770</v>
      </c>
      <c r="Q181" s="11">
        <v>201</v>
      </c>
      <c r="R181" s="17" t="s">
        <v>4496</v>
      </c>
      <c r="S181" s="18" t="s">
        <v>46</v>
      </c>
      <c r="T181" s="11">
        <v>3</v>
      </c>
    </row>
    <row r="182" s="3" customFormat="1" customHeight="1" spans="1:20">
      <c r="A182" s="167" t="s">
        <v>1837</v>
      </c>
      <c r="B182" s="167" t="s">
        <v>165</v>
      </c>
      <c r="C182" s="167" t="s">
        <v>1838</v>
      </c>
      <c r="D182" s="11">
        <v>13480509971</v>
      </c>
      <c r="E182" s="167" t="s">
        <v>156</v>
      </c>
      <c r="F182" s="167" t="s">
        <v>8</v>
      </c>
      <c r="G182" s="11">
        <v>202102002</v>
      </c>
      <c r="H182" s="167" t="s">
        <v>157</v>
      </c>
      <c r="I182" s="167" t="s">
        <v>540</v>
      </c>
      <c r="J182" s="167" t="s">
        <v>1840</v>
      </c>
      <c r="K182" s="167" t="s">
        <v>160</v>
      </c>
      <c r="L182" s="167" t="s">
        <v>587</v>
      </c>
      <c r="M182" s="167" t="s">
        <v>1841</v>
      </c>
      <c r="N182" s="167" t="s">
        <v>1842</v>
      </c>
      <c r="O182" s="12" t="str">
        <f>_xlfn.DISPIMG("ID_0F8BA8686B8D4F92BF1EF6F4CB55E695",1)</f>
        <v>=DISPIMG("ID_0F8BA8686B8D4F92BF1EF6F4CB55E695",1)</v>
      </c>
      <c r="P182" s="11" t="s">
        <v>1843</v>
      </c>
      <c r="Q182" s="11">
        <v>210</v>
      </c>
      <c r="R182" s="17" t="s">
        <v>4497</v>
      </c>
      <c r="S182" s="18" t="s">
        <v>46</v>
      </c>
      <c r="T182" s="11">
        <v>10</v>
      </c>
    </row>
    <row r="183" s="3" customFormat="1" customHeight="1" spans="1:20">
      <c r="A183" s="167" t="s">
        <v>1904</v>
      </c>
      <c r="B183" s="167" t="s">
        <v>165</v>
      </c>
      <c r="C183" s="167" t="s">
        <v>1905</v>
      </c>
      <c r="D183" s="11">
        <v>15070412978</v>
      </c>
      <c r="E183" s="167" t="s">
        <v>156</v>
      </c>
      <c r="F183" s="167" t="s">
        <v>8</v>
      </c>
      <c r="G183" s="11">
        <v>202102002</v>
      </c>
      <c r="H183" s="167" t="s">
        <v>157</v>
      </c>
      <c r="I183" s="167" t="s">
        <v>233</v>
      </c>
      <c r="J183" s="167" t="s">
        <v>454</v>
      </c>
      <c r="K183" s="167" t="s">
        <v>170</v>
      </c>
      <c r="L183" s="167" t="s">
        <v>1907</v>
      </c>
      <c r="M183" s="167" t="s">
        <v>8</v>
      </c>
      <c r="N183" s="167" t="s">
        <v>1908</v>
      </c>
      <c r="O183" s="12" t="str">
        <f>_xlfn.DISPIMG("ID_02D14B5C83BE4DBBBCAAA0B55D7FE392",1)</f>
        <v>=DISPIMG("ID_02D14B5C83BE4DBBBCAAA0B55D7FE392",1)</v>
      </c>
      <c r="P183" s="11" t="s">
        <v>1909</v>
      </c>
      <c r="Q183" s="11">
        <v>219</v>
      </c>
      <c r="R183" s="17" t="s">
        <v>4498</v>
      </c>
      <c r="S183" s="18" t="s">
        <v>46</v>
      </c>
      <c r="T183" s="11">
        <v>15</v>
      </c>
    </row>
    <row r="184" s="3" customFormat="1" customHeight="1" spans="1:20">
      <c r="A184" s="167" t="s">
        <v>1977</v>
      </c>
      <c r="B184" s="167" t="s">
        <v>165</v>
      </c>
      <c r="C184" s="167" t="s">
        <v>1978</v>
      </c>
      <c r="D184" s="11">
        <v>15070907830</v>
      </c>
      <c r="E184" s="167" t="s">
        <v>156</v>
      </c>
      <c r="F184" s="167" t="s">
        <v>8</v>
      </c>
      <c r="G184" s="11">
        <v>202102002</v>
      </c>
      <c r="H184" s="167" t="s">
        <v>157</v>
      </c>
      <c r="I184" s="167" t="s">
        <v>827</v>
      </c>
      <c r="J184" s="167" t="s">
        <v>243</v>
      </c>
      <c r="K184" s="167" t="s">
        <v>160</v>
      </c>
      <c r="L184" s="167" t="s">
        <v>161</v>
      </c>
      <c r="M184" s="167" t="s">
        <v>8</v>
      </c>
      <c r="N184" s="167" t="s">
        <v>1979</v>
      </c>
      <c r="O184" s="12" t="str">
        <f>_xlfn.DISPIMG("ID_4F2775F35FF241D1A9320534AD0F9FD6",1)</f>
        <v>=DISPIMG("ID_4F2775F35FF241D1A9320534AD0F9FD6",1)</v>
      </c>
      <c r="P184" s="11" t="s">
        <v>1980</v>
      </c>
      <c r="Q184" s="11">
        <v>229</v>
      </c>
      <c r="R184" s="17" t="s">
        <v>4499</v>
      </c>
      <c r="S184" s="18" t="s">
        <v>46</v>
      </c>
      <c r="T184" s="11">
        <v>22</v>
      </c>
    </row>
    <row r="185" s="3" customFormat="1" customHeight="1" spans="1:20">
      <c r="A185" s="167" t="s">
        <v>2076</v>
      </c>
      <c r="B185" s="167" t="s">
        <v>153</v>
      </c>
      <c r="C185" s="167" t="s">
        <v>2077</v>
      </c>
      <c r="D185" s="11">
        <v>19951510515</v>
      </c>
      <c r="E185" s="167" t="s">
        <v>156</v>
      </c>
      <c r="F185" s="167" t="s">
        <v>8</v>
      </c>
      <c r="G185" s="11">
        <v>202102002</v>
      </c>
      <c r="H185" s="167" t="s">
        <v>279</v>
      </c>
      <c r="I185" s="167" t="s">
        <v>507</v>
      </c>
      <c r="J185" s="167" t="s">
        <v>497</v>
      </c>
      <c r="K185" s="167" t="s">
        <v>170</v>
      </c>
      <c r="L185" s="167" t="s">
        <v>224</v>
      </c>
      <c r="M185" s="167" t="s">
        <v>989</v>
      </c>
      <c r="N185" s="167" t="s">
        <v>2079</v>
      </c>
      <c r="O185" s="12" t="str">
        <f>_xlfn.DISPIMG("ID_55D50712BDA742E9BE089E9AEF5CFD56",1)</f>
        <v>=DISPIMG("ID_55D50712BDA742E9BE089E9AEF5CFD56",1)</v>
      </c>
      <c r="P185" s="11" t="s">
        <v>2080</v>
      </c>
      <c r="Q185" s="11">
        <v>242</v>
      </c>
      <c r="R185" s="17" t="s">
        <v>4500</v>
      </c>
      <c r="S185" s="18" t="s">
        <v>46</v>
      </c>
      <c r="T185" s="11">
        <v>27</v>
      </c>
    </row>
    <row r="186" s="3" customFormat="1" customHeight="1" spans="1:20">
      <c r="A186" s="167" t="s">
        <v>2126</v>
      </c>
      <c r="B186" s="167" t="s">
        <v>165</v>
      </c>
      <c r="C186" s="167" t="s">
        <v>2127</v>
      </c>
      <c r="D186" s="11">
        <v>18370269701</v>
      </c>
      <c r="E186" s="167" t="s">
        <v>156</v>
      </c>
      <c r="F186" s="167" t="s">
        <v>8</v>
      </c>
      <c r="G186" s="11">
        <v>202102002</v>
      </c>
      <c r="H186" s="167" t="s">
        <v>157</v>
      </c>
      <c r="I186" s="167" t="s">
        <v>789</v>
      </c>
      <c r="J186" s="167" t="s">
        <v>2129</v>
      </c>
      <c r="K186" s="167" t="s">
        <v>160</v>
      </c>
      <c r="L186" s="167" t="s">
        <v>252</v>
      </c>
      <c r="M186" s="167" t="s">
        <v>20</v>
      </c>
      <c r="N186" s="11">
        <v>0</v>
      </c>
      <c r="O186" s="12" t="str">
        <f>_xlfn.DISPIMG("ID_03579C230E4B4D1F94606FFA97C412A2",1)</f>
        <v>=DISPIMG("ID_03579C230E4B4D1F94606FFA97C412A2",1)</v>
      </c>
      <c r="P186" s="11" t="s">
        <v>2130</v>
      </c>
      <c r="Q186" s="11">
        <v>249</v>
      </c>
      <c r="R186" s="17" t="s">
        <v>4501</v>
      </c>
      <c r="S186" s="18" t="s">
        <v>46</v>
      </c>
      <c r="T186" s="11">
        <v>2</v>
      </c>
    </row>
    <row r="187" s="3" customFormat="1" customHeight="1" spans="1:20">
      <c r="A187" s="167" t="s">
        <v>2133</v>
      </c>
      <c r="B187" s="167" t="s">
        <v>165</v>
      </c>
      <c r="C187" s="167" t="s">
        <v>2134</v>
      </c>
      <c r="D187" s="11">
        <v>15079264291</v>
      </c>
      <c r="E187" s="167" t="s">
        <v>156</v>
      </c>
      <c r="F187" s="167" t="s">
        <v>8</v>
      </c>
      <c r="G187" s="11">
        <v>202102002</v>
      </c>
      <c r="H187" s="167" t="s">
        <v>157</v>
      </c>
      <c r="I187" s="167" t="s">
        <v>876</v>
      </c>
      <c r="J187" s="167" t="s">
        <v>270</v>
      </c>
      <c r="K187" s="167" t="s">
        <v>170</v>
      </c>
      <c r="L187" s="167" t="s">
        <v>455</v>
      </c>
      <c r="M187" s="167" t="s">
        <v>20</v>
      </c>
      <c r="N187" s="167" t="s">
        <v>2136</v>
      </c>
      <c r="O187" s="12" t="str">
        <f>_xlfn.DISPIMG("ID_96FF4E1240E04D98ACBC33F8D3EE9C8F",1)</f>
        <v>=DISPIMG("ID_96FF4E1240E04D98ACBC33F8D3EE9C8F",1)</v>
      </c>
      <c r="P187" s="11" t="s">
        <v>2137</v>
      </c>
      <c r="Q187" s="11">
        <v>250</v>
      </c>
      <c r="R187" s="17" t="s">
        <v>4502</v>
      </c>
      <c r="S187" s="18" t="s">
        <v>46</v>
      </c>
      <c r="T187" s="11">
        <v>11</v>
      </c>
    </row>
    <row r="188" s="3" customFormat="1" customHeight="1" spans="1:20">
      <c r="A188" s="167" t="s">
        <v>2194</v>
      </c>
      <c r="B188" s="167" t="s">
        <v>165</v>
      </c>
      <c r="C188" s="167" t="s">
        <v>2195</v>
      </c>
      <c r="D188" s="11">
        <v>13617094078</v>
      </c>
      <c r="E188" s="167" t="s">
        <v>156</v>
      </c>
      <c r="F188" s="167" t="s">
        <v>8</v>
      </c>
      <c r="G188" s="11">
        <v>202102002</v>
      </c>
      <c r="H188" s="167" t="s">
        <v>157</v>
      </c>
      <c r="I188" s="167" t="s">
        <v>2197</v>
      </c>
      <c r="J188" s="167" t="s">
        <v>2198</v>
      </c>
      <c r="K188" s="167" t="s">
        <v>160</v>
      </c>
      <c r="L188" s="167" t="s">
        <v>281</v>
      </c>
      <c r="M188" s="167" t="s">
        <v>8</v>
      </c>
      <c r="N188" s="167" t="s">
        <v>2199</v>
      </c>
      <c r="O188" s="12" t="str">
        <f>_xlfn.DISPIMG("ID_C169A98BEF614A41ADF43CA619535221",1)</f>
        <v>=DISPIMG("ID_C169A98BEF614A41ADF43CA619535221",1)</v>
      </c>
      <c r="P188" s="11" t="s">
        <v>2200</v>
      </c>
      <c r="Q188" s="11">
        <v>258</v>
      </c>
      <c r="R188" s="17" t="s">
        <v>4503</v>
      </c>
      <c r="S188" s="18" t="s">
        <v>46</v>
      </c>
      <c r="T188" s="11">
        <v>14</v>
      </c>
    </row>
    <row r="189" s="3" customFormat="1" customHeight="1" spans="1:20">
      <c r="A189" s="167" t="s">
        <v>2309</v>
      </c>
      <c r="B189" s="167" t="s">
        <v>165</v>
      </c>
      <c r="C189" s="167" t="s">
        <v>2310</v>
      </c>
      <c r="D189" s="11">
        <v>15279968703</v>
      </c>
      <c r="E189" s="167" t="s">
        <v>156</v>
      </c>
      <c r="F189" s="167" t="s">
        <v>8</v>
      </c>
      <c r="G189" s="11">
        <v>202102002</v>
      </c>
      <c r="H189" s="167" t="s">
        <v>279</v>
      </c>
      <c r="I189" s="167" t="s">
        <v>1424</v>
      </c>
      <c r="J189" s="167" t="s">
        <v>497</v>
      </c>
      <c r="K189" s="167" t="s">
        <v>170</v>
      </c>
      <c r="L189" s="167" t="s">
        <v>180</v>
      </c>
      <c r="M189" s="167" t="s">
        <v>8</v>
      </c>
      <c r="N189" s="167" t="s">
        <v>2312</v>
      </c>
      <c r="O189" s="12" t="str">
        <f>_xlfn.DISPIMG("ID_987FF0FA37F44BD9A4B0BCCB3CF13E1D",1)</f>
        <v>=DISPIMG("ID_987FF0FA37F44BD9A4B0BCCB3CF13E1D",1)</v>
      </c>
      <c r="P189" s="11" t="s">
        <v>2313</v>
      </c>
      <c r="Q189" s="11">
        <v>273</v>
      </c>
      <c r="R189" s="17" t="s">
        <v>4504</v>
      </c>
      <c r="S189" s="18" t="s">
        <v>46</v>
      </c>
      <c r="T189" s="11">
        <v>23</v>
      </c>
    </row>
    <row r="190" s="3" customFormat="1" customHeight="1" spans="1:20">
      <c r="A190" s="167" t="s">
        <v>2337</v>
      </c>
      <c r="B190" s="167" t="s">
        <v>165</v>
      </c>
      <c r="C190" s="167" t="s">
        <v>2338</v>
      </c>
      <c r="D190" s="11">
        <v>15779252368</v>
      </c>
      <c r="E190" s="167" t="s">
        <v>156</v>
      </c>
      <c r="F190" s="167" t="s">
        <v>8</v>
      </c>
      <c r="G190" s="11">
        <v>202102002</v>
      </c>
      <c r="H190" s="167" t="s">
        <v>157</v>
      </c>
      <c r="I190" s="167" t="s">
        <v>2340</v>
      </c>
      <c r="J190" s="167" t="s">
        <v>270</v>
      </c>
      <c r="K190" s="167" t="s">
        <v>170</v>
      </c>
      <c r="L190" s="167" t="s">
        <v>548</v>
      </c>
      <c r="M190" s="167" t="s">
        <v>1322</v>
      </c>
      <c r="N190" s="167" t="s">
        <v>2341</v>
      </c>
      <c r="O190" s="12" t="str">
        <f>_xlfn.DISPIMG("ID_590DFB2A64AB463E915AA57C80368398",1)</f>
        <v>=DISPIMG("ID_590DFB2A64AB463E915AA57C80368398",1)</v>
      </c>
      <c r="P190" s="11" t="s">
        <v>2342</v>
      </c>
      <c r="Q190" s="11">
        <v>277</v>
      </c>
      <c r="R190" s="17" t="s">
        <v>4505</v>
      </c>
      <c r="S190" s="18" t="s">
        <v>46</v>
      </c>
      <c r="T190" s="11">
        <v>26</v>
      </c>
    </row>
    <row r="191" s="3" customFormat="1" customHeight="1" spans="1:20">
      <c r="A191" s="167" t="s">
        <v>2345</v>
      </c>
      <c r="B191" s="167" t="s">
        <v>153</v>
      </c>
      <c r="C191" s="167" t="s">
        <v>2346</v>
      </c>
      <c r="D191" s="11">
        <v>15267177470</v>
      </c>
      <c r="E191" s="167" t="s">
        <v>156</v>
      </c>
      <c r="F191" s="167" t="s">
        <v>8</v>
      </c>
      <c r="G191" s="11">
        <v>202102002</v>
      </c>
      <c r="H191" s="167" t="s">
        <v>279</v>
      </c>
      <c r="I191" s="167" t="s">
        <v>2348</v>
      </c>
      <c r="J191" s="167" t="s">
        <v>1950</v>
      </c>
      <c r="K191" s="167" t="s">
        <v>170</v>
      </c>
      <c r="L191" s="167" t="s">
        <v>2047</v>
      </c>
      <c r="M191" s="167" t="s">
        <v>2349</v>
      </c>
      <c r="N191" s="167" t="s">
        <v>2350</v>
      </c>
      <c r="O191" s="12" t="str">
        <f>_xlfn.DISPIMG("ID_5E2BE4A32E0C443299D86A217DB8E55F",1)</f>
        <v>=DISPIMG("ID_5E2BE4A32E0C443299D86A217DB8E55F",1)</v>
      </c>
      <c r="P191" s="11" t="s">
        <v>2351</v>
      </c>
      <c r="Q191" s="11">
        <v>278</v>
      </c>
      <c r="R191" s="17" t="s">
        <v>4506</v>
      </c>
      <c r="S191" s="18" t="s">
        <v>46</v>
      </c>
      <c r="T191" s="11">
        <v>1</v>
      </c>
    </row>
    <row r="192" s="3" customFormat="1" customHeight="1" spans="1:20">
      <c r="A192" s="167" t="s">
        <v>2376</v>
      </c>
      <c r="B192" s="167" t="s">
        <v>165</v>
      </c>
      <c r="C192" s="167" t="s">
        <v>2377</v>
      </c>
      <c r="D192" s="11">
        <v>15779112128</v>
      </c>
      <c r="E192" s="167" t="s">
        <v>156</v>
      </c>
      <c r="F192" s="167" t="s">
        <v>8</v>
      </c>
      <c r="G192" s="11">
        <v>202102002</v>
      </c>
      <c r="H192" s="167" t="s">
        <v>157</v>
      </c>
      <c r="I192" s="167" t="s">
        <v>603</v>
      </c>
      <c r="J192" s="167" t="s">
        <v>2379</v>
      </c>
      <c r="K192" s="167" t="s">
        <v>160</v>
      </c>
      <c r="L192" s="167" t="s">
        <v>180</v>
      </c>
      <c r="M192" s="167" t="s">
        <v>8</v>
      </c>
      <c r="N192" s="167" t="s">
        <v>2380</v>
      </c>
      <c r="O192" s="12" t="str">
        <f>_xlfn.DISPIMG("ID_9499CE74334F4664AC42AD98401CDCF8",1)</f>
        <v>=DISPIMG("ID_9499CE74334F4664AC42AD98401CDCF8",1)</v>
      </c>
      <c r="P192" s="11" t="s">
        <v>2381</v>
      </c>
      <c r="Q192" s="11">
        <v>282</v>
      </c>
      <c r="R192" s="17" t="s">
        <v>4507</v>
      </c>
      <c r="S192" s="18" t="s">
        <v>46</v>
      </c>
      <c r="T192" s="11">
        <v>12</v>
      </c>
    </row>
    <row r="193" s="3" customFormat="1" customHeight="1" spans="1:20">
      <c r="A193" s="167" t="s">
        <v>2391</v>
      </c>
      <c r="B193" s="167" t="s">
        <v>165</v>
      </c>
      <c r="C193" s="167" t="s">
        <v>2392</v>
      </c>
      <c r="D193" s="11">
        <v>18779160835</v>
      </c>
      <c r="E193" s="167" t="s">
        <v>156</v>
      </c>
      <c r="F193" s="167" t="s">
        <v>8</v>
      </c>
      <c r="G193" s="11">
        <v>202102002</v>
      </c>
      <c r="H193" s="167" t="s">
        <v>157</v>
      </c>
      <c r="I193" s="167" t="s">
        <v>385</v>
      </c>
      <c r="J193" s="167" t="s">
        <v>2394</v>
      </c>
      <c r="K193" s="167" t="s">
        <v>160</v>
      </c>
      <c r="L193" s="167" t="s">
        <v>306</v>
      </c>
      <c r="M193" s="167" t="s">
        <v>2395</v>
      </c>
      <c r="N193" s="167" t="s">
        <v>2396</v>
      </c>
      <c r="O193" s="12" t="str">
        <f>_xlfn.DISPIMG("ID_E59FBD148CC0458789196A3F7371E3AC",1)</f>
        <v>=DISPIMG("ID_E59FBD148CC0458789196A3F7371E3AC",1)</v>
      </c>
      <c r="P193" s="11" t="s">
        <v>2397</v>
      </c>
      <c r="Q193" s="11">
        <v>284</v>
      </c>
      <c r="R193" s="17" t="s">
        <v>4508</v>
      </c>
      <c r="S193" s="18" t="s">
        <v>46</v>
      </c>
      <c r="T193" s="11">
        <v>13</v>
      </c>
    </row>
    <row r="194" s="3" customFormat="1" customHeight="1" spans="1:20">
      <c r="A194" s="167" t="s">
        <v>2437</v>
      </c>
      <c r="B194" s="167" t="s">
        <v>165</v>
      </c>
      <c r="C194" s="167" t="s">
        <v>2438</v>
      </c>
      <c r="D194" s="11">
        <v>13657919316</v>
      </c>
      <c r="E194" s="167" t="s">
        <v>156</v>
      </c>
      <c r="F194" s="167" t="s">
        <v>8</v>
      </c>
      <c r="G194" s="11">
        <v>202102002</v>
      </c>
      <c r="H194" s="167" t="s">
        <v>705</v>
      </c>
      <c r="I194" s="167" t="s">
        <v>2440</v>
      </c>
      <c r="J194" s="167" t="s">
        <v>2441</v>
      </c>
      <c r="K194" s="167" t="s">
        <v>160</v>
      </c>
      <c r="L194" s="167" t="s">
        <v>189</v>
      </c>
      <c r="M194" s="167" t="s">
        <v>8</v>
      </c>
      <c r="N194" s="11">
        <v>0</v>
      </c>
      <c r="O194" s="12" t="str">
        <f>_xlfn.DISPIMG("ID_840140DEA4BE4280A385428CC67C44E3",1)</f>
        <v>=DISPIMG("ID_840140DEA4BE4280A385428CC67C44E3",1)</v>
      </c>
      <c r="P194" s="11" t="s">
        <v>2442</v>
      </c>
      <c r="Q194" s="11">
        <v>290</v>
      </c>
      <c r="R194" s="17" t="s">
        <v>4509</v>
      </c>
      <c r="S194" s="18" t="s">
        <v>46</v>
      </c>
      <c r="T194" s="11">
        <v>24</v>
      </c>
    </row>
    <row r="195" s="3" customFormat="1" customHeight="1" spans="1:20">
      <c r="A195" s="167" t="s">
        <v>2473</v>
      </c>
      <c r="B195" s="167" t="s">
        <v>153</v>
      </c>
      <c r="C195" s="167" t="s">
        <v>2474</v>
      </c>
      <c r="D195" s="11">
        <v>18079290506</v>
      </c>
      <c r="E195" s="167" t="s">
        <v>156</v>
      </c>
      <c r="F195" s="167" t="s">
        <v>8</v>
      </c>
      <c r="G195" s="11">
        <v>202102002</v>
      </c>
      <c r="H195" s="167" t="s">
        <v>157</v>
      </c>
      <c r="I195" s="167" t="s">
        <v>935</v>
      </c>
      <c r="J195" s="167" t="s">
        <v>270</v>
      </c>
      <c r="K195" s="167" t="s">
        <v>170</v>
      </c>
      <c r="L195" s="167" t="s">
        <v>281</v>
      </c>
      <c r="M195" s="167" t="s">
        <v>1322</v>
      </c>
      <c r="N195" s="167" t="s">
        <v>2476</v>
      </c>
      <c r="O195" s="12" t="str">
        <f>_xlfn.DISPIMG("ID_DDCFE953EBFD4779B7FAA3122A1B85C5",1)</f>
        <v>=DISPIMG("ID_DDCFE953EBFD4779B7FAA3122A1B85C5",1)</v>
      </c>
      <c r="P195" s="11" t="s">
        <v>2477</v>
      </c>
      <c r="Q195" s="11">
        <v>295</v>
      </c>
      <c r="R195" s="17" t="s">
        <v>4510</v>
      </c>
      <c r="S195" s="18" t="s">
        <v>46</v>
      </c>
      <c r="T195" s="11">
        <v>25</v>
      </c>
    </row>
    <row r="196" s="3" customFormat="1" customHeight="1" spans="1:20">
      <c r="A196" s="167" t="s">
        <v>2480</v>
      </c>
      <c r="B196" s="167" t="s">
        <v>165</v>
      </c>
      <c r="C196" s="167" t="s">
        <v>2481</v>
      </c>
      <c r="D196" s="11">
        <v>15179240952</v>
      </c>
      <c r="E196" s="167" t="s">
        <v>156</v>
      </c>
      <c r="F196" s="167" t="s">
        <v>8</v>
      </c>
      <c r="G196" s="11">
        <v>202102002</v>
      </c>
      <c r="H196" s="167" t="s">
        <v>157</v>
      </c>
      <c r="I196" s="167" t="s">
        <v>2483</v>
      </c>
      <c r="J196" s="167" t="s">
        <v>2379</v>
      </c>
      <c r="K196" s="167" t="s">
        <v>160</v>
      </c>
      <c r="L196" s="167" t="s">
        <v>199</v>
      </c>
      <c r="M196" s="167" t="s">
        <v>8</v>
      </c>
      <c r="N196" s="167" t="s">
        <v>2484</v>
      </c>
      <c r="O196" s="12" t="str">
        <f>_xlfn.DISPIMG("ID_6EB4CC10A54B4F2AAD1518F1F500F570",1)</f>
        <v>=DISPIMG("ID_6EB4CC10A54B4F2AAD1518F1F500F570",1)</v>
      </c>
      <c r="P196" s="11" t="s">
        <v>2485</v>
      </c>
      <c r="Q196" s="11">
        <v>296</v>
      </c>
      <c r="R196" s="17" t="s">
        <v>4511</v>
      </c>
      <c r="S196" s="18" t="s">
        <v>48</v>
      </c>
      <c r="T196" s="11">
        <v>6</v>
      </c>
    </row>
    <row r="197" s="3" customFormat="1" customHeight="1" spans="1:20">
      <c r="A197" s="167" t="s">
        <v>2556</v>
      </c>
      <c r="B197" s="167" t="s">
        <v>165</v>
      </c>
      <c r="C197" s="167" t="s">
        <v>2557</v>
      </c>
      <c r="D197" s="11">
        <v>15770775780</v>
      </c>
      <c r="E197" s="167" t="s">
        <v>156</v>
      </c>
      <c r="F197" s="167" t="s">
        <v>8</v>
      </c>
      <c r="G197" s="11">
        <v>202102002</v>
      </c>
      <c r="H197" s="167" t="s">
        <v>157</v>
      </c>
      <c r="I197" s="167" t="s">
        <v>1413</v>
      </c>
      <c r="J197" s="167" t="s">
        <v>169</v>
      </c>
      <c r="K197" s="167" t="s">
        <v>170</v>
      </c>
      <c r="L197" s="167" t="s">
        <v>235</v>
      </c>
      <c r="M197" s="167" t="s">
        <v>8</v>
      </c>
      <c r="N197" s="11">
        <v>0</v>
      </c>
      <c r="O197" s="12" t="str">
        <f>_xlfn.DISPIMG("ID_BF27FE8641A74810A1152D199B9359D9",1)</f>
        <v>=DISPIMG("ID_BF27FE8641A74810A1152D199B9359D9",1)</v>
      </c>
      <c r="P197" s="11" t="s">
        <v>2559</v>
      </c>
      <c r="Q197" s="11">
        <v>306</v>
      </c>
      <c r="R197" s="17" t="s">
        <v>4512</v>
      </c>
      <c r="S197" s="18" t="s">
        <v>48</v>
      </c>
      <c r="T197" s="11">
        <v>7</v>
      </c>
    </row>
    <row r="198" s="3" customFormat="1" customHeight="1" spans="1:20">
      <c r="A198" s="167" t="s">
        <v>2839</v>
      </c>
      <c r="B198" s="167" t="s">
        <v>165</v>
      </c>
      <c r="C198" s="167" t="s">
        <v>2840</v>
      </c>
      <c r="D198" s="11">
        <v>15979055139</v>
      </c>
      <c r="E198" s="167" t="s">
        <v>156</v>
      </c>
      <c r="F198" s="167" t="s">
        <v>8</v>
      </c>
      <c r="G198" s="11">
        <v>202102002</v>
      </c>
      <c r="H198" s="167" t="s">
        <v>157</v>
      </c>
      <c r="I198" s="167" t="s">
        <v>827</v>
      </c>
      <c r="J198" s="167" t="s">
        <v>270</v>
      </c>
      <c r="K198" s="167" t="s">
        <v>170</v>
      </c>
      <c r="L198" s="167" t="s">
        <v>587</v>
      </c>
      <c r="M198" s="167" t="s">
        <v>2842</v>
      </c>
      <c r="N198" s="167" t="s">
        <v>2843</v>
      </c>
      <c r="O198" s="12" t="str">
        <f>_xlfn.DISPIMG("ID_D0E61411E52441859AFE69B7874CA20C",1)</f>
        <v>=DISPIMG("ID_D0E61411E52441859AFE69B7874CA20C",1)</v>
      </c>
      <c r="P198" s="11" t="s">
        <v>2844</v>
      </c>
      <c r="Q198" s="11">
        <v>345</v>
      </c>
      <c r="R198" s="17" t="s">
        <v>4513</v>
      </c>
      <c r="S198" s="18" t="s">
        <v>48</v>
      </c>
      <c r="T198" s="11">
        <v>18</v>
      </c>
    </row>
    <row r="199" s="3" customFormat="1" customHeight="1" spans="1:20">
      <c r="A199" s="167" t="s">
        <v>2847</v>
      </c>
      <c r="B199" s="167" t="s">
        <v>165</v>
      </c>
      <c r="C199" s="167" t="s">
        <v>2848</v>
      </c>
      <c r="D199" s="11">
        <v>18720087898</v>
      </c>
      <c r="E199" s="167" t="s">
        <v>156</v>
      </c>
      <c r="F199" s="167" t="s">
        <v>8</v>
      </c>
      <c r="G199" s="11">
        <v>202102002</v>
      </c>
      <c r="H199" s="167" t="s">
        <v>157</v>
      </c>
      <c r="I199" s="167" t="s">
        <v>1654</v>
      </c>
      <c r="J199" s="167" t="s">
        <v>813</v>
      </c>
      <c r="K199" s="167" t="s">
        <v>160</v>
      </c>
      <c r="L199" s="167" t="s">
        <v>516</v>
      </c>
      <c r="M199" s="167" t="s">
        <v>8</v>
      </c>
      <c r="N199" s="167" t="s">
        <v>2850</v>
      </c>
      <c r="O199" s="12" t="str">
        <f>_xlfn.DISPIMG("ID_B4574457B7EA4998BCE46939492C25E1",1)</f>
        <v>=DISPIMG("ID_B4574457B7EA4998BCE46939492C25E1",1)</v>
      </c>
      <c r="P199" s="11" t="s">
        <v>2851</v>
      </c>
      <c r="Q199" s="11">
        <v>346</v>
      </c>
      <c r="R199" s="17" t="s">
        <v>4514</v>
      </c>
      <c r="S199" s="18" t="s">
        <v>48</v>
      </c>
      <c r="T199" s="11">
        <v>19</v>
      </c>
    </row>
    <row r="200" s="3" customFormat="1" customHeight="1" spans="1:20">
      <c r="A200" s="167" t="s">
        <v>2180</v>
      </c>
      <c r="B200" s="167" t="s">
        <v>153</v>
      </c>
      <c r="C200" s="167" t="s">
        <v>2181</v>
      </c>
      <c r="D200" s="11">
        <v>18779219080</v>
      </c>
      <c r="E200" s="167" t="s">
        <v>506</v>
      </c>
      <c r="F200" s="167" t="s">
        <v>8</v>
      </c>
      <c r="G200" s="11">
        <v>202102015</v>
      </c>
      <c r="H200" s="167" t="s">
        <v>279</v>
      </c>
      <c r="I200" s="167" t="s">
        <v>158</v>
      </c>
      <c r="J200" s="167" t="s">
        <v>497</v>
      </c>
      <c r="K200" s="167" t="s">
        <v>170</v>
      </c>
      <c r="L200" s="167" t="s">
        <v>919</v>
      </c>
      <c r="M200" s="167" t="s">
        <v>2183</v>
      </c>
      <c r="N200" s="167" t="s">
        <v>2184</v>
      </c>
      <c r="O200" s="12" t="str">
        <f>_xlfn.DISPIMG("ID_59BF2512FDA845A780519BF3EE363C98",1)</f>
        <v>=DISPIMG("ID_59BF2512FDA845A780519BF3EE363C98",1)</v>
      </c>
      <c r="P200" s="11" t="s">
        <v>2185</v>
      </c>
      <c r="Q200" s="11">
        <v>358</v>
      </c>
      <c r="R200" s="17" t="s">
        <v>4515</v>
      </c>
      <c r="S200" s="18" t="s">
        <v>48</v>
      </c>
      <c r="T200" s="11">
        <v>5</v>
      </c>
    </row>
    <row r="201" s="3" customFormat="1" customHeight="1" spans="1:20">
      <c r="A201" s="167" t="s">
        <v>2947</v>
      </c>
      <c r="B201" s="167" t="s">
        <v>165</v>
      </c>
      <c r="C201" s="167" t="s">
        <v>2948</v>
      </c>
      <c r="D201" s="11">
        <v>17370852983</v>
      </c>
      <c r="E201" s="167" t="s">
        <v>156</v>
      </c>
      <c r="F201" s="167" t="s">
        <v>8</v>
      </c>
      <c r="G201" s="11">
        <v>202102002</v>
      </c>
      <c r="H201" s="167" t="s">
        <v>157</v>
      </c>
      <c r="I201" s="167" t="s">
        <v>611</v>
      </c>
      <c r="J201" s="167" t="s">
        <v>1832</v>
      </c>
      <c r="K201" s="167" t="s">
        <v>160</v>
      </c>
      <c r="L201" s="167" t="s">
        <v>306</v>
      </c>
      <c r="M201" s="167" t="s">
        <v>2950</v>
      </c>
      <c r="N201" s="167" t="s">
        <v>2951</v>
      </c>
      <c r="O201" s="12" t="str">
        <f>_xlfn.DISPIMG("ID_53C3410979BA49538F1410917AAC183C",1)</f>
        <v>=DISPIMG("ID_53C3410979BA49538F1410917AAC183C",1)</v>
      </c>
      <c r="P201" s="11" t="s">
        <v>2952</v>
      </c>
      <c r="Q201" s="11">
        <v>362</v>
      </c>
      <c r="R201" s="17" t="s">
        <v>4516</v>
      </c>
      <c r="S201" s="18" t="s">
        <v>48</v>
      </c>
      <c r="T201" s="11">
        <v>8</v>
      </c>
    </row>
    <row r="202" s="3" customFormat="1" customHeight="1" spans="1:20">
      <c r="A202" s="167" t="s">
        <v>2983</v>
      </c>
      <c r="B202" s="167" t="s">
        <v>165</v>
      </c>
      <c r="C202" s="167" t="s">
        <v>2984</v>
      </c>
      <c r="D202" s="11">
        <v>13699860392</v>
      </c>
      <c r="E202" s="167" t="s">
        <v>156</v>
      </c>
      <c r="F202" s="167" t="s">
        <v>8</v>
      </c>
      <c r="G202" s="11">
        <v>202102002</v>
      </c>
      <c r="H202" s="167" t="s">
        <v>157</v>
      </c>
      <c r="I202" s="167" t="s">
        <v>187</v>
      </c>
      <c r="J202" s="167" t="s">
        <v>2986</v>
      </c>
      <c r="K202" s="167" t="s">
        <v>160</v>
      </c>
      <c r="L202" s="167" t="s">
        <v>516</v>
      </c>
      <c r="M202" s="167" t="s">
        <v>20</v>
      </c>
      <c r="N202" s="167" t="s">
        <v>2987</v>
      </c>
      <c r="O202" s="12" t="str">
        <f>_xlfn.DISPIMG("ID_60E91D8703D740D9A8AE531BE158A22D",1)</f>
        <v>=DISPIMG("ID_60E91D8703D740D9A8AE531BE158A22D",1)</v>
      </c>
      <c r="P202" s="11" t="s">
        <v>2988</v>
      </c>
      <c r="Q202" s="11">
        <v>367</v>
      </c>
      <c r="R202" s="17" t="s">
        <v>4517</v>
      </c>
      <c r="S202" s="18" t="s">
        <v>48</v>
      </c>
      <c r="T202" s="11">
        <v>17</v>
      </c>
    </row>
    <row r="203" s="3" customFormat="1" customHeight="1" spans="1:20">
      <c r="A203" s="167" t="s">
        <v>2996</v>
      </c>
      <c r="B203" s="167" t="s">
        <v>165</v>
      </c>
      <c r="C203" s="167" t="s">
        <v>2997</v>
      </c>
      <c r="D203" s="11">
        <v>17379208038</v>
      </c>
      <c r="E203" s="167" t="s">
        <v>156</v>
      </c>
      <c r="F203" s="167" t="s">
        <v>8</v>
      </c>
      <c r="G203" s="11">
        <v>202102002</v>
      </c>
      <c r="H203" s="167" t="s">
        <v>157</v>
      </c>
      <c r="I203" s="167" t="s">
        <v>437</v>
      </c>
      <c r="J203" s="167" t="s">
        <v>1481</v>
      </c>
      <c r="K203" s="167" t="s">
        <v>160</v>
      </c>
      <c r="L203" s="167" t="s">
        <v>281</v>
      </c>
      <c r="M203" s="167" t="s">
        <v>8</v>
      </c>
      <c r="N203" s="11">
        <v>0</v>
      </c>
      <c r="O203" s="12" t="str">
        <f>_xlfn.DISPIMG("ID_A119020A43A6495588BAFB55CB082F01",1)</f>
        <v>=DISPIMG("ID_A119020A43A6495588BAFB55CB082F01",1)</v>
      </c>
      <c r="P203" s="11" t="s">
        <v>2999</v>
      </c>
      <c r="Q203" s="11">
        <v>369</v>
      </c>
      <c r="R203" s="17" t="s">
        <v>4518</v>
      </c>
      <c r="S203" s="18" t="s">
        <v>48</v>
      </c>
      <c r="T203" s="11">
        <v>20</v>
      </c>
    </row>
    <row r="204" s="3" customFormat="1" customHeight="1" spans="1:20">
      <c r="A204" s="167" t="s">
        <v>3075</v>
      </c>
      <c r="B204" s="167" t="s">
        <v>165</v>
      </c>
      <c r="C204" s="167" t="s">
        <v>3076</v>
      </c>
      <c r="D204" s="11">
        <v>13122383919</v>
      </c>
      <c r="E204" s="167" t="s">
        <v>156</v>
      </c>
      <c r="F204" s="167" t="s">
        <v>8</v>
      </c>
      <c r="G204" s="11">
        <v>202102002</v>
      </c>
      <c r="H204" s="167" t="s">
        <v>157</v>
      </c>
      <c r="I204" s="167" t="s">
        <v>3078</v>
      </c>
      <c r="J204" s="167" t="s">
        <v>3079</v>
      </c>
      <c r="K204" s="167" t="s">
        <v>160</v>
      </c>
      <c r="L204" s="167" t="s">
        <v>252</v>
      </c>
      <c r="M204" s="167" t="s">
        <v>8</v>
      </c>
      <c r="N204" s="11">
        <v>0</v>
      </c>
      <c r="O204" s="12" t="str">
        <f>_xlfn.DISPIMG("ID_0C5BA3A4E8B245D6AB6AE82F368BFF6A",1)</f>
        <v>=DISPIMG("ID_0C5BA3A4E8B245D6AB6AE82F368BFF6A",1)</v>
      </c>
      <c r="P204" s="11" t="s">
        <v>3080</v>
      </c>
      <c r="Q204" s="11">
        <v>380</v>
      </c>
      <c r="R204" s="17" t="s">
        <v>4519</v>
      </c>
      <c r="S204" s="18" t="s">
        <v>48</v>
      </c>
      <c r="T204" s="11">
        <v>4</v>
      </c>
    </row>
    <row r="205" s="3" customFormat="1" customHeight="1" spans="1:20">
      <c r="A205" s="167" t="s">
        <v>3083</v>
      </c>
      <c r="B205" s="167" t="s">
        <v>165</v>
      </c>
      <c r="C205" s="167" t="s">
        <v>3084</v>
      </c>
      <c r="D205" s="11">
        <v>15070231776</v>
      </c>
      <c r="E205" s="167" t="s">
        <v>156</v>
      </c>
      <c r="F205" s="167" t="s">
        <v>8</v>
      </c>
      <c r="G205" s="11">
        <v>202102002</v>
      </c>
      <c r="H205" s="167" t="s">
        <v>157</v>
      </c>
      <c r="I205" s="167" t="s">
        <v>3086</v>
      </c>
      <c r="J205" s="167" t="s">
        <v>3087</v>
      </c>
      <c r="K205" s="167" t="s">
        <v>160</v>
      </c>
      <c r="L205" s="167" t="s">
        <v>455</v>
      </c>
      <c r="M205" s="167" t="s">
        <v>8</v>
      </c>
      <c r="N205" s="11">
        <v>0</v>
      </c>
      <c r="O205" s="12" t="str">
        <f>_xlfn.DISPIMG("ID_FE0A8F210AE74D2ABEA83714575A775F",1)</f>
        <v>=DISPIMG("ID_FE0A8F210AE74D2ABEA83714575A775F",1)</v>
      </c>
      <c r="P205" s="11" t="s">
        <v>3088</v>
      </c>
      <c r="Q205" s="20">
        <v>381</v>
      </c>
      <c r="R205" s="17" t="s">
        <v>4520</v>
      </c>
      <c r="S205" s="18" t="s">
        <v>48</v>
      </c>
      <c r="T205" s="11">
        <v>9</v>
      </c>
    </row>
    <row r="206" s="3" customFormat="1" customHeight="1" spans="1:20">
      <c r="A206" s="167" t="s">
        <v>3226</v>
      </c>
      <c r="B206" s="167" t="s">
        <v>165</v>
      </c>
      <c r="C206" s="167" t="s">
        <v>3227</v>
      </c>
      <c r="D206" s="11">
        <v>18279226554</v>
      </c>
      <c r="E206" s="167" t="s">
        <v>156</v>
      </c>
      <c r="F206" s="167" t="s">
        <v>8</v>
      </c>
      <c r="G206" s="11">
        <v>202102002</v>
      </c>
      <c r="H206" s="167" t="s">
        <v>157</v>
      </c>
      <c r="I206" s="167" t="s">
        <v>3229</v>
      </c>
      <c r="J206" s="167" t="s">
        <v>1832</v>
      </c>
      <c r="K206" s="167" t="s">
        <v>160</v>
      </c>
      <c r="L206" s="167" t="s">
        <v>235</v>
      </c>
      <c r="M206" s="167" t="s">
        <v>3230</v>
      </c>
      <c r="N206" s="11">
        <v>0</v>
      </c>
      <c r="O206" s="12" t="str">
        <f>_xlfn.DISPIMG("ID_E38CE29681DB4326A5DB290E49AD4AFC",1)</f>
        <v>=DISPIMG("ID_E38CE29681DB4326A5DB290E49AD4AFC",1)</v>
      </c>
      <c r="P206" s="11" t="s">
        <v>3231</v>
      </c>
      <c r="Q206" s="11">
        <v>402</v>
      </c>
      <c r="R206" s="17" t="s">
        <v>4522</v>
      </c>
      <c r="S206" s="18" t="s">
        <v>48</v>
      </c>
      <c r="T206" s="11">
        <v>16</v>
      </c>
    </row>
    <row r="207" s="3" customFormat="1" customHeight="1" spans="1:20">
      <c r="A207" s="167" t="s">
        <v>3416</v>
      </c>
      <c r="B207" s="167" t="s">
        <v>165</v>
      </c>
      <c r="C207" s="167" t="s">
        <v>3417</v>
      </c>
      <c r="D207" s="11">
        <v>15179885806</v>
      </c>
      <c r="E207" s="167" t="s">
        <v>156</v>
      </c>
      <c r="F207" s="167" t="s">
        <v>8</v>
      </c>
      <c r="G207" s="11">
        <v>202102002</v>
      </c>
      <c r="H207" s="167" t="s">
        <v>157</v>
      </c>
      <c r="I207" s="167" t="s">
        <v>242</v>
      </c>
      <c r="J207" s="167" t="s">
        <v>3087</v>
      </c>
      <c r="K207" s="167" t="s">
        <v>160</v>
      </c>
      <c r="L207" s="167" t="s">
        <v>180</v>
      </c>
      <c r="M207" s="167" t="s">
        <v>3418</v>
      </c>
      <c r="N207" s="167" t="s">
        <v>3419</v>
      </c>
      <c r="O207" s="12" t="str">
        <f>_xlfn.DISPIMG("ID_7663A71771F44500AC5AF2DBC8366CB5",1)</f>
        <v>=DISPIMG("ID_7663A71771F44500AC5AF2DBC8366CB5",1)</v>
      </c>
      <c r="P207" s="11" t="s">
        <v>3420</v>
      </c>
      <c r="Q207" s="11">
        <v>431</v>
      </c>
      <c r="R207" s="17" t="s">
        <v>4523</v>
      </c>
      <c r="S207" s="18" t="s">
        <v>48</v>
      </c>
      <c r="T207" s="11">
        <v>21</v>
      </c>
    </row>
    <row r="208" s="3" customFormat="1" customHeight="1" spans="1:20">
      <c r="A208" s="167" t="s">
        <v>3594</v>
      </c>
      <c r="B208" s="167" t="s">
        <v>165</v>
      </c>
      <c r="C208" s="167" t="s">
        <v>3595</v>
      </c>
      <c r="D208" s="11">
        <v>13635983416</v>
      </c>
      <c r="E208" s="167" t="s">
        <v>156</v>
      </c>
      <c r="F208" s="167" t="s">
        <v>8</v>
      </c>
      <c r="G208" s="11">
        <v>202102002</v>
      </c>
      <c r="H208" s="167" t="s">
        <v>279</v>
      </c>
      <c r="I208" s="167" t="s">
        <v>3597</v>
      </c>
      <c r="J208" s="167" t="s">
        <v>497</v>
      </c>
      <c r="K208" s="167" t="s">
        <v>170</v>
      </c>
      <c r="L208" s="167" t="s">
        <v>189</v>
      </c>
      <c r="M208" s="167" t="s">
        <v>989</v>
      </c>
      <c r="N208" s="167" t="s">
        <v>3598</v>
      </c>
      <c r="O208" s="12" t="str">
        <f>_xlfn.DISPIMG("ID_DB80027A676342B6B8178A0E756378C3",1)</f>
        <v>=DISPIMG("ID_DB80027A676342B6B8178A0E756378C3",1)</v>
      </c>
      <c r="P208" s="11" t="s">
        <v>3599</v>
      </c>
      <c r="Q208" s="11">
        <v>457</v>
      </c>
      <c r="R208" s="17" t="s">
        <v>4524</v>
      </c>
      <c r="S208" s="18" t="s">
        <v>48</v>
      </c>
      <c r="T208" s="11">
        <v>3</v>
      </c>
    </row>
    <row r="209" s="4" customFormat="1" customHeight="1" spans="1:20">
      <c r="A209" s="167" t="s">
        <v>1027</v>
      </c>
      <c r="B209" s="167" t="s">
        <v>165</v>
      </c>
      <c r="C209" s="167" t="s">
        <v>3692</v>
      </c>
      <c r="D209" s="11">
        <v>15779259710</v>
      </c>
      <c r="E209" s="167" t="s">
        <v>156</v>
      </c>
      <c r="F209" s="167" t="s">
        <v>8</v>
      </c>
      <c r="G209" s="11">
        <v>202102002</v>
      </c>
      <c r="H209" s="167" t="s">
        <v>279</v>
      </c>
      <c r="I209" s="167" t="s">
        <v>3694</v>
      </c>
      <c r="J209" s="167" t="s">
        <v>497</v>
      </c>
      <c r="K209" s="167" t="s">
        <v>170</v>
      </c>
      <c r="L209" s="167" t="s">
        <v>180</v>
      </c>
      <c r="M209" s="167" t="s">
        <v>8</v>
      </c>
      <c r="N209" s="167" t="s">
        <v>3695</v>
      </c>
      <c r="O209" s="12" t="str">
        <f>_xlfn.DISPIMG("ID_57DB6C2F5BCD45498E344599D2C7D1D8",1)</f>
        <v>=DISPIMG("ID_57DB6C2F5BCD45498E344599D2C7D1D8",1)</v>
      </c>
      <c r="P209" s="11" t="s">
        <v>3696</v>
      </c>
      <c r="Q209" s="20">
        <v>470</v>
      </c>
      <c r="R209" s="17" t="s">
        <v>4525</v>
      </c>
      <c r="S209" s="18" t="s">
        <v>48</v>
      </c>
      <c r="T209" s="11">
        <v>10</v>
      </c>
    </row>
    <row r="210" s="3" customFormat="1" customHeight="1" spans="1:20">
      <c r="A210" s="167" t="s">
        <v>3734</v>
      </c>
      <c r="B210" s="167" t="s">
        <v>165</v>
      </c>
      <c r="C210" s="167" t="s">
        <v>3735</v>
      </c>
      <c r="D210" s="11">
        <v>15070233072</v>
      </c>
      <c r="E210" s="167" t="s">
        <v>156</v>
      </c>
      <c r="F210" s="167" t="s">
        <v>8</v>
      </c>
      <c r="G210" s="11">
        <v>202102002</v>
      </c>
      <c r="H210" s="167" t="s">
        <v>157</v>
      </c>
      <c r="I210" s="167" t="s">
        <v>3737</v>
      </c>
      <c r="J210" s="167" t="s">
        <v>3738</v>
      </c>
      <c r="K210" s="167" t="s">
        <v>160</v>
      </c>
      <c r="L210" s="167" t="s">
        <v>171</v>
      </c>
      <c r="M210" s="167" t="s">
        <v>8</v>
      </c>
      <c r="N210" s="167" t="s">
        <v>3739</v>
      </c>
      <c r="O210" s="12" t="str">
        <f>_xlfn.DISPIMG("ID_B7F470084B4940CBBF67BF60A043E6F0",1)</f>
        <v>=DISPIMG("ID_B7F470084B4940CBBF67BF60A043E6F0",1)</v>
      </c>
      <c r="P210" s="11" t="s">
        <v>3740</v>
      </c>
      <c r="Q210" s="11">
        <v>476</v>
      </c>
      <c r="R210" s="17" t="s">
        <v>4527</v>
      </c>
      <c r="S210" s="18" t="s">
        <v>48</v>
      </c>
      <c r="T210" s="11">
        <v>15</v>
      </c>
    </row>
    <row r="211" s="3" customFormat="1" customHeight="1" spans="1:20">
      <c r="A211" s="167" t="s">
        <v>3766</v>
      </c>
      <c r="B211" s="167" t="s">
        <v>165</v>
      </c>
      <c r="C211" s="167" t="s">
        <v>3767</v>
      </c>
      <c r="D211" s="11">
        <v>18079224740</v>
      </c>
      <c r="E211" s="167" t="s">
        <v>156</v>
      </c>
      <c r="F211" s="167" t="s">
        <v>8</v>
      </c>
      <c r="G211" s="11">
        <v>202102002</v>
      </c>
      <c r="H211" s="167" t="s">
        <v>157</v>
      </c>
      <c r="I211" s="167" t="s">
        <v>233</v>
      </c>
      <c r="J211" s="167" t="s">
        <v>3769</v>
      </c>
      <c r="K211" s="167" t="s">
        <v>160</v>
      </c>
      <c r="L211" s="167" t="s">
        <v>1089</v>
      </c>
      <c r="M211" s="167" t="s">
        <v>8</v>
      </c>
      <c r="N211" s="11">
        <v>0</v>
      </c>
      <c r="O211" s="12" t="str">
        <f>_xlfn.DISPIMG("ID_2E7FF83B7D12427491B1BA1300A2CD7A",1)</f>
        <v>=DISPIMG("ID_2E7FF83B7D12427491B1BA1300A2CD7A",1)</v>
      </c>
      <c r="P211" s="11" t="s">
        <v>3770</v>
      </c>
      <c r="Q211" s="11">
        <v>480</v>
      </c>
      <c r="R211" s="17" t="s">
        <v>4528</v>
      </c>
      <c r="S211" s="18" t="s">
        <v>48</v>
      </c>
      <c r="T211" s="11">
        <v>22</v>
      </c>
    </row>
    <row r="212" s="3" customFormat="1" customHeight="1" spans="1:20">
      <c r="A212" s="167" t="s">
        <v>3811</v>
      </c>
      <c r="B212" s="167" t="s">
        <v>165</v>
      </c>
      <c r="C212" s="167" t="s">
        <v>3812</v>
      </c>
      <c r="D212" s="11">
        <v>18970830560</v>
      </c>
      <c r="E212" s="167" t="s">
        <v>156</v>
      </c>
      <c r="F212" s="167" t="s">
        <v>8</v>
      </c>
      <c r="G212" s="11">
        <v>202102002</v>
      </c>
      <c r="H212" s="167" t="s">
        <v>157</v>
      </c>
      <c r="I212" s="167" t="s">
        <v>2483</v>
      </c>
      <c r="J212" s="167" t="s">
        <v>1832</v>
      </c>
      <c r="K212" s="167" t="s">
        <v>160</v>
      </c>
      <c r="L212" s="167" t="s">
        <v>349</v>
      </c>
      <c r="M212" s="167" t="s">
        <v>8</v>
      </c>
      <c r="N212" s="11">
        <v>0</v>
      </c>
      <c r="O212" s="12" t="str">
        <f>_xlfn.DISPIMG("ID_E15E0A7D91AC4C3983241BCD063880D6",1)</f>
        <v>=DISPIMG("ID_E15E0A7D91AC4C3983241BCD063880D6",1)</v>
      </c>
      <c r="P212" s="11" t="s">
        <v>3814</v>
      </c>
      <c r="Q212" s="11">
        <v>486</v>
      </c>
      <c r="R212" s="17" t="s">
        <v>4529</v>
      </c>
      <c r="S212" s="18" t="s">
        <v>48</v>
      </c>
      <c r="T212" s="11">
        <v>2</v>
      </c>
    </row>
    <row r="213" s="3" customFormat="1" customHeight="1" spans="1:20">
      <c r="A213" s="167" t="s">
        <v>3850</v>
      </c>
      <c r="B213" s="167" t="s">
        <v>165</v>
      </c>
      <c r="C213" s="167" t="s">
        <v>3851</v>
      </c>
      <c r="D213" s="11">
        <v>15797695028</v>
      </c>
      <c r="E213" s="167" t="s">
        <v>156</v>
      </c>
      <c r="F213" s="167" t="s">
        <v>8</v>
      </c>
      <c r="G213" s="11">
        <v>202102002</v>
      </c>
      <c r="H213" s="167" t="s">
        <v>157</v>
      </c>
      <c r="I213" s="167" t="s">
        <v>233</v>
      </c>
      <c r="J213" s="167" t="s">
        <v>3853</v>
      </c>
      <c r="K213" s="167" t="s">
        <v>160</v>
      </c>
      <c r="L213" s="167" t="s">
        <v>235</v>
      </c>
      <c r="M213" s="167" t="s">
        <v>3854</v>
      </c>
      <c r="N213" s="11">
        <v>0</v>
      </c>
      <c r="O213" s="12" t="str">
        <f>_xlfn.DISPIMG("ID_84872379004C4F22BC15C75702A4DBC9",1)</f>
        <v>=DISPIMG("ID_84872379004C4F22BC15C75702A4DBC9",1)</v>
      </c>
      <c r="P213" s="11" t="s">
        <v>3855</v>
      </c>
      <c r="Q213" s="20">
        <v>491</v>
      </c>
      <c r="R213" s="17" t="s">
        <v>4530</v>
      </c>
      <c r="S213" s="18" t="s">
        <v>48</v>
      </c>
      <c r="T213" s="11">
        <v>11</v>
      </c>
    </row>
    <row r="214" s="3" customFormat="1" customHeight="1" spans="1:20">
      <c r="A214" s="167" t="s">
        <v>3865</v>
      </c>
      <c r="B214" s="167" t="s">
        <v>165</v>
      </c>
      <c r="C214" s="167" t="s">
        <v>3866</v>
      </c>
      <c r="D214" s="11">
        <v>18879267212</v>
      </c>
      <c r="E214" s="167" t="s">
        <v>156</v>
      </c>
      <c r="F214" s="167" t="s">
        <v>8</v>
      </c>
      <c r="G214" s="11">
        <v>202102002</v>
      </c>
      <c r="H214" s="167" t="s">
        <v>157</v>
      </c>
      <c r="I214" s="167" t="s">
        <v>827</v>
      </c>
      <c r="J214" s="167" t="s">
        <v>270</v>
      </c>
      <c r="K214" s="167" t="s">
        <v>170</v>
      </c>
      <c r="L214" s="167" t="s">
        <v>171</v>
      </c>
      <c r="M214" s="167" t="s">
        <v>3868</v>
      </c>
      <c r="N214" s="167" t="s">
        <v>3869</v>
      </c>
      <c r="O214" s="12" t="str">
        <f>_xlfn.DISPIMG("ID_60BA691C89BB46A3A629500DC48B1B82",1)</f>
        <v>=DISPIMG("ID_60BA691C89BB46A3A629500DC48B1B82",1)</v>
      </c>
      <c r="P214" s="11" t="s">
        <v>3870</v>
      </c>
      <c r="Q214" s="20">
        <v>493</v>
      </c>
      <c r="R214" s="17" t="s">
        <v>4532</v>
      </c>
      <c r="S214" s="18" t="s">
        <v>48</v>
      </c>
      <c r="T214" s="11">
        <v>14</v>
      </c>
    </row>
    <row r="215" s="3" customFormat="1" customHeight="1" spans="1:20">
      <c r="A215" s="167" t="s">
        <v>3904</v>
      </c>
      <c r="B215" s="167" t="s">
        <v>153</v>
      </c>
      <c r="C215" s="167" t="s">
        <v>3905</v>
      </c>
      <c r="D215" s="11">
        <v>15007027769</v>
      </c>
      <c r="E215" s="167" t="s">
        <v>156</v>
      </c>
      <c r="F215" s="167" t="s">
        <v>8</v>
      </c>
      <c r="G215" s="11">
        <v>202102002</v>
      </c>
      <c r="H215" s="167" t="s">
        <v>157</v>
      </c>
      <c r="I215" s="167" t="s">
        <v>158</v>
      </c>
      <c r="J215" s="167" t="s">
        <v>1481</v>
      </c>
      <c r="K215" s="167" t="s">
        <v>160</v>
      </c>
      <c r="L215" s="167" t="s">
        <v>216</v>
      </c>
      <c r="M215" s="167" t="s">
        <v>8</v>
      </c>
      <c r="N215" s="11">
        <v>0</v>
      </c>
      <c r="O215" s="12" t="str">
        <f>_xlfn.DISPIMG("ID_9F8C123E434549AABE94648B98FC4902",1)</f>
        <v>=DISPIMG("ID_9F8C123E434549AABE94648B98FC4902",1)</v>
      </c>
      <c r="P215" s="11" t="s">
        <v>3907</v>
      </c>
      <c r="Q215" s="20">
        <v>498</v>
      </c>
      <c r="R215" s="17" t="s">
        <v>4533</v>
      </c>
      <c r="S215" s="18" t="s">
        <v>48</v>
      </c>
      <c r="T215" s="11">
        <v>23</v>
      </c>
    </row>
    <row r="216" s="3" customFormat="1" customHeight="1" spans="1:20">
      <c r="A216" s="167" t="s">
        <v>3924</v>
      </c>
      <c r="B216" s="167" t="s">
        <v>165</v>
      </c>
      <c r="C216" s="167" t="s">
        <v>3925</v>
      </c>
      <c r="D216" s="11">
        <v>15797691720</v>
      </c>
      <c r="E216" s="167" t="s">
        <v>156</v>
      </c>
      <c r="F216" s="167" t="s">
        <v>8</v>
      </c>
      <c r="G216" s="11">
        <v>202102002</v>
      </c>
      <c r="H216" s="167" t="s">
        <v>157</v>
      </c>
      <c r="I216" s="167" t="s">
        <v>603</v>
      </c>
      <c r="J216" s="167" t="s">
        <v>2379</v>
      </c>
      <c r="K216" s="167" t="s">
        <v>160</v>
      </c>
      <c r="L216" s="167" t="s">
        <v>306</v>
      </c>
      <c r="M216" s="167" t="s">
        <v>989</v>
      </c>
      <c r="N216" s="167" t="s">
        <v>3927</v>
      </c>
      <c r="O216" s="12" t="str">
        <f>_xlfn.DISPIMG("ID_514B3145E6BD4A2498C42CFECAEF98E2",1)</f>
        <v>=DISPIMG("ID_514B3145E6BD4A2498C42CFECAEF98E2",1)</v>
      </c>
      <c r="P216" s="11" t="s">
        <v>3928</v>
      </c>
      <c r="Q216" s="20">
        <v>501</v>
      </c>
      <c r="R216" s="17" t="s">
        <v>4534</v>
      </c>
      <c r="S216" s="18" t="s">
        <v>48</v>
      </c>
      <c r="T216" s="11">
        <v>26</v>
      </c>
    </row>
    <row r="217" s="3" customFormat="1" customHeight="1" spans="1:20">
      <c r="A217" s="167" t="s">
        <v>3948</v>
      </c>
      <c r="B217" s="167" t="s">
        <v>165</v>
      </c>
      <c r="C217" s="167" t="s">
        <v>3949</v>
      </c>
      <c r="D217" s="11">
        <v>13803563575</v>
      </c>
      <c r="E217" s="167" t="s">
        <v>156</v>
      </c>
      <c r="F217" s="167" t="s">
        <v>8</v>
      </c>
      <c r="G217" s="11">
        <v>202102002</v>
      </c>
      <c r="H217" s="167" t="s">
        <v>279</v>
      </c>
      <c r="I217" s="167" t="s">
        <v>158</v>
      </c>
      <c r="J217" s="167" t="s">
        <v>497</v>
      </c>
      <c r="K217" s="167" t="s">
        <v>170</v>
      </c>
      <c r="L217" s="167" t="s">
        <v>180</v>
      </c>
      <c r="M217" s="167" t="s">
        <v>3230</v>
      </c>
      <c r="N217" s="167" t="s">
        <v>3951</v>
      </c>
      <c r="O217" s="12" t="str">
        <f>_xlfn.DISPIMG("ID_997BB006A29449FB8D35751C6152A872",1)</f>
        <v>=DISPIMG("ID_997BB006A29449FB8D35751C6152A872",1)</v>
      </c>
      <c r="P217" s="11" t="s">
        <v>3952</v>
      </c>
      <c r="Q217" s="11">
        <v>504</v>
      </c>
      <c r="R217" s="17" t="s">
        <v>4535</v>
      </c>
      <c r="S217" s="18" t="s">
        <v>48</v>
      </c>
      <c r="T217" s="11">
        <v>1</v>
      </c>
    </row>
    <row r="218" s="3" customFormat="1" customHeight="1" spans="1:20">
      <c r="A218" s="167" t="s">
        <v>4043</v>
      </c>
      <c r="B218" s="167" t="s">
        <v>165</v>
      </c>
      <c r="C218" s="167" t="s">
        <v>4044</v>
      </c>
      <c r="D218" s="11">
        <v>18046771974</v>
      </c>
      <c r="E218" s="167" t="s">
        <v>156</v>
      </c>
      <c r="F218" s="167" t="s">
        <v>8</v>
      </c>
      <c r="G218" s="11">
        <v>202102002</v>
      </c>
      <c r="H218" s="167" t="s">
        <v>157</v>
      </c>
      <c r="I218" s="167" t="s">
        <v>1368</v>
      </c>
      <c r="J218" s="167" t="s">
        <v>4046</v>
      </c>
      <c r="K218" s="167" t="s">
        <v>170</v>
      </c>
      <c r="L218" s="167" t="s">
        <v>281</v>
      </c>
      <c r="M218" s="167" t="s">
        <v>20</v>
      </c>
      <c r="N218" s="167" t="s">
        <v>4047</v>
      </c>
      <c r="O218" s="12" t="str">
        <f>_xlfn.DISPIMG("ID_5DC4628448F54176A5FF91EC25B128F5",1)</f>
        <v>=DISPIMG("ID_5DC4628448F54176A5FF91EC25B128F5",1)</v>
      </c>
      <c r="P218" s="11" t="s">
        <v>4048</v>
      </c>
      <c r="Q218" s="20">
        <v>517</v>
      </c>
      <c r="R218" s="17" t="s">
        <v>4536</v>
      </c>
      <c r="S218" s="18" t="s">
        <v>48</v>
      </c>
      <c r="T218" s="11">
        <v>12</v>
      </c>
    </row>
    <row r="219" s="3" customFormat="1" customHeight="1" spans="1:20">
      <c r="A219" s="167" t="s">
        <v>4089</v>
      </c>
      <c r="B219" s="167" t="s">
        <v>165</v>
      </c>
      <c r="C219" s="167" t="s">
        <v>4090</v>
      </c>
      <c r="D219" s="11">
        <v>15979951702</v>
      </c>
      <c r="E219" s="167" t="s">
        <v>156</v>
      </c>
      <c r="F219" s="167" t="s">
        <v>8</v>
      </c>
      <c r="G219" s="11">
        <v>202102002</v>
      </c>
      <c r="H219" s="167" t="s">
        <v>157</v>
      </c>
      <c r="I219" s="167" t="s">
        <v>385</v>
      </c>
      <c r="J219" s="167" t="s">
        <v>270</v>
      </c>
      <c r="K219" s="167" t="s">
        <v>170</v>
      </c>
      <c r="L219" s="167" t="s">
        <v>161</v>
      </c>
      <c r="M219" s="167" t="s">
        <v>20</v>
      </c>
      <c r="N219" s="167" t="s">
        <v>4092</v>
      </c>
      <c r="O219" s="12" t="str">
        <f>_xlfn.DISPIMG("ID_9B43E41106094708AAB8E2C3D51BAF21",1)</f>
        <v>=DISPIMG("ID_9B43E41106094708AAB8E2C3D51BAF21",1)</v>
      </c>
      <c r="P219" s="11" t="s">
        <v>4093</v>
      </c>
      <c r="Q219" s="20">
        <v>523</v>
      </c>
      <c r="R219" s="17" t="s">
        <v>4537</v>
      </c>
      <c r="S219" s="18" t="s">
        <v>48</v>
      </c>
      <c r="T219" s="11">
        <v>13</v>
      </c>
    </row>
    <row r="220" s="3" customFormat="1" customHeight="1" spans="1:20">
      <c r="A220" s="167" t="s">
        <v>4191</v>
      </c>
      <c r="B220" s="167" t="s">
        <v>153</v>
      </c>
      <c r="C220" s="167" t="s">
        <v>4192</v>
      </c>
      <c r="D220" s="11">
        <v>15979988511</v>
      </c>
      <c r="E220" s="167" t="s">
        <v>156</v>
      </c>
      <c r="F220" s="167" t="s">
        <v>8</v>
      </c>
      <c r="G220" s="11">
        <v>202102002</v>
      </c>
      <c r="H220" s="167" t="s">
        <v>157</v>
      </c>
      <c r="I220" s="167" t="s">
        <v>789</v>
      </c>
      <c r="J220" s="167" t="s">
        <v>270</v>
      </c>
      <c r="K220" s="167" t="s">
        <v>160</v>
      </c>
      <c r="L220" s="167" t="s">
        <v>180</v>
      </c>
      <c r="M220" s="167" t="s">
        <v>8</v>
      </c>
      <c r="N220" s="167" t="s">
        <v>4194</v>
      </c>
      <c r="O220" s="12" t="str">
        <f>_xlfn.DISPIMG("ID_0D01E0F1A35045CF8FA47A6F17C3312E",1)</f>
        <v>=DISPIMG("ID_0D01E0F1A35045CF8FA47A6F17C3312E",1)</v>
      </c>
      <c r="P220" s="11" t="s">
        <v>4195</v>
      </c>
      <c r="Q220" s="20">
        <v>536</v>
      </c>
      <c r="R220" s="17" t="s">
        <v>4538</v>
      </c>
      <c r="S220" s="18" t="s">
        <v>48</v>
      </c>
      <c r="T220" s="11">
        <v>24</v>
      </c>
    </row>
    <row r="221" s="3" customFormat="1" customHeight="1" spans="1:20">
      <c r="A221" s="167" t="s">
        <v>4230</v>
      </c>
      <c r="B221" s="167" t="s">
        <v>165</v>
      </c>
      <c r="C221" s="167" t="s">
        <v>4231</v>
      </c>
      <c r="D221" s="11">
        <v>15797679627</v>
      </c>
      <c r="E221" s="167" t="s">
        <v>156</v>
      </c>
      <c r="F221" s="167" t="s">
        <v>8</v>
      </c>
      <c r="G221" s="11">
        <v>202102002</v>
      </c>
      <c r="H221" s="167" t="s">
        <v>157</v>
      </c>
      <c r="I221" s="167" t="s">
        <v>876</v>
      </c>
      <c r="J221" s="167" t="s">
        <v>1204</v>
      </c>
      <c r="K221" s="167" t="s">
        <v>160</v>
      </c>
      <c r="L221" s="167" t="s">
        <v>171</v>
      </c>
      <c r="M221" s="167" t="s">
        <v>4233</v>
      </c>
      <c r="N221" s="11">
        <v>0</v>
      </c>
      <c r="O221" s="12" t="str">
        <f>_xlfn.DISPIMG("ID_866D1667729041288352BAC0C5E9F611",1)</f>
        <v>=DISPIMG("ID_866D1667729041288352BAC0C5E9F611",1)</v>
      </c>
      <c r="P221" s="11" t="s">
        <v>4234</v>
      </c>
      <c r="Q221" s="20">
        <v>541</v>
      </c>
      <c r="R221" s="17" t="s">
        <v>4531</v>
      </c>
      <c r="S221" s="18" t="s">
        <v>48</v>
      </c>
      <c r="T221" s="11">
        <v>25</v>
      </c>
    </row>
    <row r="222" s="3" customFormat="1" customHeight="1" spans="1:20">
      <c r="A222" s="167" t="s">
        <v>2210</v>
      </c>
      <c r="B222" s="167" t="s">
        <v>165</v>
      </c>
      <c r="C222" s="167" t="s">
        <v>2211</v>
      </c>
      <c r="D222" s="11">
        <v>15770710161</v>
      </c>
      <c r="E222" s="167" t="s">
        <v>384</v>
      </c>
      <c r="F222" s="167" t="s">
        <v>27</v>
      </c>
      <c r="G222" s="11">
        <v>202101016</v>
      </c>
      <c r="H222" s="167" t="s">
        <v>157</v>
      </c>
      <c r="I222" s="167" t="s">
        <v>1413</v>
      </c>
      <c r="J222" s="167" t="s">
        <v>215</v>
      </c>
      <c r="K222" s="167" t="s">
        <v>170</v>
      </c>
      <c r="L222" s="167" t="s">
        <v>171</v>
      </c>
      <c r="M222" s="167" t="s">
        <v>2213</v>
      </c>
      <c r="N222" s="167" t="s">
        <v>2214</v>
      </c>
      <c r="O222" s="12" t="str">
        <f>_xlfn.DISPIMG("ID_0AC7D7DC948D4142BC7E39C07F0EB7F8",1)</f>
        <v>=DISPIMG("ID_0AC7D7DC948D4142BC7E39C07F0EB7F8",1)</v>
      </c>
      <c r="P222" s="11" t="s">
        <v>2215</v>
      </c>
      <c r="Q222" s="11">
        <v>260</v>
      </c>
      <c r="R222" s="17" t="s">
        <v>4540</v>
      </c>
      <c r="S222" s="18" t="s">
        <v>48</v>
      </c>
      <c r="T222" s="11">
        <v>28</v>
      </c>
    </row>
    <row r="223" s="3" customFormat="1" customHeight="1" spans="1:20">
      <c r="A223" s="167" t="s">
        <v>3667</v>
      </c>
      <c r="B223" s="167" t="s">
        <v>153</v>
      </c>
      <c r="C223" s="167" t="s">
        <v>3668</v>
      </c>
      <c r="D223" s="11">
        <v>15604248160</v>
      </c>
      <c r="E223" s="167" t="s">
        <v>384</v>
      </c>
      <c r="F223" s="167" t="s">
        <v>27</v>
      </c>
      <c r="G223" s="11">
        <v>202101016</v>
      </c>
      <c r="H223" s="167" t="s">
        <v>705</v>
      </c>
      <c r="I223" s="167" t="s">
        <v>3670</v>
      </c>
      <c r="J223" s="167" t="s">
        <v>215</v>
      </c>
      <c r="K223" s="167" t="s">
        <v>160</v>
      </c>
      <c r="L223" s="167" t="s">
        <v>910</v>
      </c>
      <c r="M223" s="167" t="s">
        <v>3671</v>
      </c>
      <c r="N223" s="167" t="s">
        <v>3672</v>
      </c>
      <c r="O223" s="12" t="str">
        <f>_xlfn.DISPIMG("ID_FBBE15C9E10944F892C3BCC99A8EDA31",1)</f>
        <v>=DISPIMG("ID_FBBE15C9E10944F892C3BCC99A8EDA31",1)</v>
      </c>
      <c r="P223" s="11" t="s">
        <v>3673</v>
      </c>
      <c r="Q223" s="20">
        <v>467</v>
      </c>
      <c r="R223" s="17" t="s">
        <v>4541</v>
      </c>
      <c r="S223" s="18" t="s">
        <v>48</v>
      </c>
      <c r="T223" s="11">
        <v>27</v>
      </c>
    </row>
    <row r="224" s="3" customFormat="1" customHeight="1" spans="1:20">
      <c r="A224" s="167" t="s">
        <v>425</v>
      </c>
      <c r="B224" s="167" t="s">
        <v>165</v>
      </c>
      <c r="C224" s="167" t="s">
        <v>426</v>
      </c>
      <c r="D224" s="11">
        <v>18720147865</v>
      </c>
      <c r="E224" s="167" t="s">
        <v>297</v>
      </c>
      <c r="F224" s="167" t="s">
        <v>29</v>
      </c>
      <c r="G224" s="11">
        <v>202101008</v>
      </c>
      <c r="H224" s="167" t="s">
        <v>157</v>
      </c>
      <c r="I224" s="167" t="s">
        <v>428</v>
      </c>
      <c r="J224" s="167" t="s">
        <v>429</v>
      </c>
      <c r="K224" s="167" t="s">
        <v>160</v>
      </c>
      <c r="L224" s="167" t="s">
        <v>235</v>
      </c>
      <c r="M224" s="167" t="s">
        <v>430</v>
      </c>
      <c r="N224" s="11">
        <v>0</v>
      </c>
      <c r="O224" s="12" t="str">
        <f>_xlfn.DISPIMG("ID_9C21E529A1D946A49AECBF1B4E991CC9",1)</f>
        <v>=DISPIMG("ID_9C21E529A1D946A49AECBF1B4E991CC9",1)</v>
      </c>
      <c r="P224" s="11" t="s">
        <v>431</v>
      </c>
      <c r="Q224" s="20">
        <v>32</v>
      </c>
      <c r="R224" s="17" t="s">
        <v>4542</v>
      </c>
      <c r="S224" s="18" t="s">
        <v>48</v>
      </c>
      <c r="T224" s="11">
        <v>29</v>
      </c>
    </row>
    <row r="225" s="3" customFormat="1" customHeight="1" spans="1:20">
      <c r="A225" s="167" t="s">
        <v>194</v>
      </c>
      <c r="B225" s="167" t="s">
        <v>165</v>
      </c>
      <c r="C225" s="167" t="s">
        <v>195</v>
      </c>
      <c r="D225" s="11">
        <v>15079132548</v>
      </c>
      <c r="E225" s="167" t="s">
        <v>156</v>
      </c>
      <c r="F225" s="167" t="s">
        <v>13</v>
      </c>
      <c r="G225" s="11">
        <v>202102003</v>
      </c>
      <c r="H225" s="167" t="s">
        <v>157</v>
      </c>
      <c r="I225" s="167" t="s">
        <v>197</v>
      </c>
      <c r="J225" s="167" t="s">
        <v>198</v>
      </c>
      <c r="K225" s="167" t="s">
        <v>160</v>
      </c>
      <c r="L225" s="167" t="s">
        <v>199</v>
      </c>
      <c r="M225" s="167" t="s">
        <v>13</v>
      </c>
      <c r="N225" s="11">
        <v>0</v>
      </c>
      <c r="O225" s="12" t="str">
        <f>_xlfn.DISPIMG("ID_07DCBF9A6CCC43E7BDA66377D7B2A516",1)</f>
        <v>=DISPIMG("ID_07DCBF9A6CCC43E7BDA66377D7B2A516",1)</v>
      </c>
      <c r="P225" s="11" t="s">
        <v>200</v>
      </c>
      <c r="Q225" s="11">
        <v>6</v>
      </c>
      <c r="R225" s="17" t="s">
        <v>4543</v>
      </c>
      <c r="S225" s="18" t="s">
        <v>52</v>
      </c>
      <c r="T225" s="11">
        <v>6</v>
      </c>
    </row>
    <row r="226" s="3" customFormat="1" customHeight="1" spans="1:20">
      <c r="A226" s="167" t="s">
        <v>220</v>
      </c>
      <c r="B226" s="167" t="s">
        <v>165</v>
      </c>
      <c r="C226" s="167" t="s">
        <v>221</v>
      </c>
      <c r="D226" s="11">
        <v>13330102770</v>
      </c>
      <c r="E226" s="167" t="s">
        <v>156</v>
      </c>
      <c r="F226" s="167" t="s">
        <v>13</v>
      </c>
      <c r="G226" s="11">
        <v>202102003</v>
      </c>
      <c r="H226" s="167" t="s">
        <v>157</v>
      </c>
      <c r="I226" s="167" t="s">
        <v>178</v>
      </c>
      <c r="J226" s="167" t="s">
        <v>223</v>
      </c>
      <c r="K226" s="167" t="s">
        <v>170</v>
      </c>
      <c r="L226" s="167" t="s">
        <v>224</v>
      </c>
      <c r="M226" s="167" t="s">
        <v>225</v>
      </c>
      <c r="N226" s="167" t="s">
        <v>226</v>
      </c>
      <c r="O226" s="12" t="str">
        <f>_xlfn.DISPIMG("ID_331C6355B784470AAD84DC8B9EBD3F4C",1)</f>
        <v>=DISPIMG("ID_331C6355B784470AAD84DC8B9EBD3F4C",1)</v>
      </c>
      <c r="P226" s="11" t="s">
        <v>227</v>
      </c>
      <c r="Q226" s="11">
        <v>9</v>
      </c>
      <c r="R226" s="17" t="s">
        <v>4526</v>
      </c>
      <c r="S226" s="18" t="s">
        <v>52</v>
      </c>
      <c r="T226" s="11">
        <v>7</v>
      </c>
    </row>
    <row r="227" s="3" customFormat="1" customHeight="1" spans="1:20">
      <c r="A227" s="167" t="s">
        <v>230</v>
      </c>
      <c r="B227" s="167" t="s">
        <v>165</v>
      </c>
      <c r="C227" s="167" t="s">
        <v>231</v>
      </c>
      <c r="D227" s="11">
        <v>18317923585</v>
      </c>
      <c r="E227" s="167" t="s">
        <v>156</v>
      </c>
      <c r="F227" s="167" t="s">
        <v>13</v>
      </c>
      <c r="G227" s="11">
        <v>202102003</v>
      </c>
      <c r="H227" s="167" t="s">
        <v>157</v>
      </c>
      <c r="I227" s="167" t="s">
        <v>233</v>
      </c>
      <c r="J227" s="167" t="s">
        <v>234</v>
      </c>
      <c r="K227" s="167" t="s">
        <v>170</v>
      </c>
      <c r="L227" s="167" t="s">
        <v>235</v>
      </c>
      <c r="M227" s="167" t="s">
        <v>13</v>
      </c>
      <c r="N227" s="167" t="s">
        <v>236</v>
      </c>
      <c r="O227" s="12" t="str">
        <f>_xlfn.DISPIMG("ID_5F2C40BDD5324AC2917B018DDF4B26D9",1)</f>
        <v>=DISPIMG("ID_5F2C40BDD5324AC2917B018DDF4B26D9",1)</v>
      </c>
      <c r="P227" s="11" t="s">
        <v>237</v>
      </c>
      <c r="Q227" s="11">
        <v>10</v>
      </c>
      <c r="R227" s="17" t="s">
        <v>4545</v>
      </c>
      <c r="S227" s="18" t="s">
        <v>52</v>
      </c>
      <c r="T227" s="11">
        <v>18</v>
      </c>
    </row>
    <row r="228" s="3" customFormat="1" customHeight="1" spans="1:20">
      <c r="A228" s="167" t="s">
        <v>258</v>
      </c>
      <c r="B228" s="167" t="s">
        <v>165</v>
      </c>
      <c r="C228" s="167" t="s">
        <v>259</v>
      </c>
      <c r="D228" s="11">
        <v>15079252433</v>
      </c>
      <c r="E228" s="167" t="s">
        <v>156</v>
      </c>
      <c r="F228" s="167" t="s">
        <v>13</v>
      </c>
      <c r="G228" s="11">
        <v>202102003</v>
      </c>
      <c r="H228" s="167" t="s">
        <v>157</v>
      </c>
      <c r="I228" s="167" t="s">
        <v>158</v>
      </c>
      <c r="J228" s="167" t="s">
        <v>179</v>
      </c>
      <c r="K228" s="167" t="s">
        <v>170</v>
      </c>
      <c r="L228" s="167" t="s">
        <v>261</v>
      </c>
      <c r="M228" s="167" t="s">
        <v>13</v>
      </c>
      <c r="N228" s="11">
        <v>0</v>
      </c>
      <c r="O228" s="12" t="str">
        <f>_xlfn.DISPIMG("ID_6612D67BD9E1456A9FAE3B7BC6ABC79B",1)</f>
        <v>=DISPIMG("ID_6612D67BD9E1456A9FAE3B7BC6ABC79B",1)</v>
      </c>
      <c r="P228" s="11" t="s">
        <v>262</v>
      </c>
      <c r="Q228" s="11">
        <v>13</v>
      </c>
      <c r="R228" s="17" t="s">
        <v>4546</v>
      </c>
      <c r="S228" s="18" t="s">
        <v>52</v>
      </c>
      <c r="T228" s="11">
        <v>19</v>
      </c>
    </row>
    <row r="229" s="3" customFormat="1" customHeight="1" spans="1:20">
      <c r="A229" s="167" t="s">
        <v>302</v>
      </c>
      <c r="B229" s="167" t="s">
        <v>165</v>
      </c>
      <c r="C229" s="167" t="s">
        <v>303</v>
      </c>
      <c r="D229" s="11">
        <v>18270729426</v>
      </c>
      <c r="E229" s="167" t="s">
        <v>156</v>
      </c>
      <c r="F229" s="167" t="s">
        <v>13</v>
      </c>
      <c r="G229" s="11">
        <v>202102003</v>
      </c>
      <c r="H229" s="167" t="s">
        <v>157</v>
      </c>
      <c r="I229" s="167" t="s">
        <v>305</v>
      </c>
      <c r="J229" s="167" t="s">
        <v>179</v>
      </c>
      <c r="K229" s="167" t="s">
        <v>170</v>
      </c>
      <c r="L229" s="167" t="s">
        <v>306</v>
      </c>
      <c r="M229" s="167" t="s">
        <v>307</v>
      </c>
      <c r="N229" s="167" t="s">
        <v>308</v>
      </c>
      <c r="O229" s="12" t="str">
        <f>_xlfn.DISPIMG("ID_BFA65A737AA14FBDAE88EFBDD5E2990B",1)</f>
        <v>=DISPIMG("ID_BFA65A737AA14FBDAE88EFBDD5E2990B",1)</v>
      </c>
      <c r="P229" s="11" t="s">
        <v>309</v>
      </c>
      <c r="Q229" s="11">
        <v>18</v>
      </c>
      <c r="R229" s="17" t="s">
        <v>4539</v>
      </c>
      <c r="S229" s="18" t="s">
        <v>52</v>
      </c>
      <c r="T229" s="11">
        <v>30</v>
      </c>
    </row>
    <row r="230" s="3" customFormat="1" customHeight="1" spans="1:20">
      <c r="A230" s="167" t="s">
        <v>355</v>
      </c>
      <c r="B230" s="167" t="s">
        <v>165</v>
      </c>
      <c r="C230" s="167" t="s">
        <v>356</v>
      </c>
      <c r="D230" s="11">
        <v>18311315751</v>
      </c>
      <c r="E230" s="167" t="s">
        <v>156</v>
      </c>
      <c r="F230" s="167" t="s">
        <v>13</v>
      </c>
      <c r="G230" s="11">
        <v>202102003</v>
      </c>
      <c r="H230" s="167" t="s">
        <v>157</v>
      </c>
      <c r="I230" s="167" t="s">
        <v>358</v>
      </c>
      <c r="J230" s="167" t="s">
        <v>179</v>
      </c>
      <c r="K230" s="167" t="s">
        <v>160</v>
      </c>
      <c r="L230" s="167" t="s">
        <v>306</v>
      </c>
      <c r="M230" s="167" t="s">
        <v>359</v>
      </c>
      <c r="N230" s="167" t="s">
        <v>360</v>
      </c>
      <c r="O230" s="12" t="str">
        <f>_xlfn.DISPIMG("ID_FD9EEFBCD596495DACB8A95ACD5E222F",1)</f>
        <v>=DISPIMG("ID_FD9EEFBCD596495DACB8A95ACD5E222F",1)</v>
      </c>
      <c r="P230" s="11" t="s">
        <v>361</v>
      </c>
      <c r="Q230" s="11">
        <v>24</v>
      </c>
      <c r="R230" s="17" t="s">
        <v>4544</v>
      </c>
      <c r="S230" s="18" t="s">
        <v>52</v>
      </c>
      <c r="T230" s="11">
        <v>5</v>
      </c>
    </row>
    <row r="231" s="3" customFormat="1" customHeight="1" spans="1:20">
      <c r="A231" s="167" t="s">
        <v>434</v>
      </c>
      <c r="B231" s="167" t="s">
        <v>165</v>
      </c>
      <c r="C231" s="167" t="s">
        <v>435</v>
      </c>
      <c r="D231" s="11">
        <v>18707020389</v>
      </c>
      <c r="E231" s="167" t="s">
        <v>156</v>
      </c>
      <c r="F231" s="167" t="s">
        <v>13</v>
      </c>
      <c r="G231" s="11">
        <v>202102003</v>
      </c>
      <c r="H231" s="167" t="s">
        <v>157</v>
      </c>
      <c r="I231" s="167" t="s">
        <v>437</v>
      </c>
      <c r="J231" s="167" t="s">
        <v>179</v>
      </c>
      <c r="K231" s="167" t="s">
        <v>160</v>
      </c>
      <c r="L231" s="167" t="s">
        <v>161</v>
      </c>
      <c r="M231" s="167" t="s">
        <v>13</v>
      </c>
      <c r="N231" s="167" t="s">
        <v>438</v>
      </c>
      <c r="O231" s="12" t="str">
        <f>_xlfn.DISPIMG("ID_A9E5DA8466964C2D98F0B0FFCCE562D8",1)</f>
        <v>=DISPIMG("ID_A9E5DA8466964C2D98F0B0FFCCE562D8",1)</v>
      </c>
      <c r="P231" s="11" t="s">
        <v>439</v>
      </c>
      <c r="Q231" s="11">
        <v>33</v>
      </c>
      <c r="R231" s="17" t="s">
        <v>4521</v>
      </c>
      <c r="S231" s="18" t="s">
        <v>52</v>
      </c>
      <c r="T231" s="11">
        <v>8</v>
      </c>
    </row>
    <row r="232" s="3" customFormat="1" customHeight="1" spans="1:20">
      <c r="A232" s="167" t="s">
        <v>484</v>
      </c>
      <c r="B232" s="167" t="s">
        <v>165</v>
      </c>
      <c r="C232" s="167" t="s">
        <v>485</v>
      </c>
      <c r="D232" s="11">
        <v>15079175289</v>
      </c>
      <c r="E232" s="167" t="s">
        <v>156</v>
      </c>
      <c r="F232" s="167" t="s">
        <v>13</v>
      </c>
      <c r="G232" s="11">
        <v>202102003</v>
      </c>
      <c r="H232" s="167" t="s">
        <v>279</v>
      </c>
      <c r="I232" s="167" t="s">
        <v>178</v>
      </c>
      <c r="J232" s="167" t="s">
        <v>223</v>
      </c>
      <c r="K232" s="167" t="s">
        <v>170</v>
      </c>
      <c r="L232" s="167" t="s">
        <v>180</v>
      </c>
      <c r="M232" s="167" t="s">
        <v>487</v>
      </c>
      <c r="N232" s="167" t="s">
        <v>488</v>
      </c>
      <c r="O232" s="12" t="str">
        <f>_xlfn.DISPIMG("ID_090E35C53BC1424DB22E97EDD7B66993",1)</f>
        <v>=DISPIMG("ID_090E35C53BC1424DB22E97EDD7B66993",1)</v>
      </c>
      <c r="P232" s="11" t="s">
        <v>489</v>
      </c>
      <c r="Q232" s="11">
        <v>39</v>
      </c>
      <c r="R232" s="17" t="s">
        <v>4547</v>
      </c>
      <c r="S232" s="18" t="s">
        <v>52</v>
      </c>
      <c r="T232" s="11">
        <v>17</v>
      </c>
    </row>
    <row r="233" s="3" customFormat="1" customHeight="1" spans="1:20">
      <c r="A233" s="167" t="s">
        <v>503</v>
      </c>
      <c r="B233" s="167" t="s">
        <v>165</v>
      </c>
      <c r="C233" s="167" t="s">
        <v>504</v>
      </c>
      <c r="D233" s="11">
        <v>18279271412</v>
      </c>
      <c r="E233" s="167" t="s">
        <v>506</v>
      </c>
      <c r="F233" s="167" t="s">
        <v>13</v>
      </c>
      <c r="G233" s="11">
        <v>202102016</v>
      </c>
      <c r="H233" s="167" t="s">
        <v>157</v>
      </c>
      <c r="I233" s="167" t="s">
        <v>507</v>
      </c>
      <c r="J233" s="167" t="s">
        <v>298</v>
      </c>
      <c r="K233" s="167" t="s">
        <v>160</v>
      </c>
      <c r="L233" s="167" t="s">
        <v>252</v>
      </c>
      <c r="M233" s="167" t="s">
        <v>13</v>
      </c>
      <c r="N233" s="167" t="s">
        <v>508</v>
      </c>
      <c r="O233" s="12" t="str">
        <f>_xlfn.DISPIMG("ID_40FEE490C2E64411A9F9A70FED108C60",1)</f>
        <v>=DISPIMG("ID_40FEE490C2E64411A9F9A70FED108C60",1)</v>
      </c>
      <c r="P233" s="11" t="s">
        <v>509</v>
      </c>
      <c r="Q233" s="11">
        <v>42</v>
      </c>
      <c r="R233" s="17" t="s">
        <v>4548</v>
      </c>
      <c r="S233" s="18" t="s">
        <v>52</v>
      </c>
      <c r="T233" s="11">
        <v>20</v>
      </c>
    </row>
    <row r="234" s="3" customFormat="1" customHeight="1" spans="1:20">
      <c r="A234" s="167" t="s">
        <v>537</v>
      </c>
      <c r="B234" s="167" t="s">
        <v>165</v>
      </c>
      <c r="C234" s="167" t="s">
        <v>538</v>
      </c>
      <c r="D234" s="11">
        <v>18720218990</v>
      </c>
      <c r="E234" s="167" t="s">
        <v>156</v>
      </c>
      <c r="F234" s="167" t="s">
        <v>13</v>
      </c>
      <c r="G234" s="11">
        <v>202102003</v>
      </c>
      <c r="H234" s="167" t="s">
        <v>157</v>
      </c>
      <c r="I234" s="167" t="s">
        <v>540</v>
      </c>
      <c r="J234" s="167" t="s">
        <v>179</v>
      </c>
      <c r="K234" s="167" t="s">
        <v>160</v>
      </c>
      <c r="L234" s="167" t="s">
        <v>541</v>
      </c>
      <c r="M234" s="167" t="s">
        <v>25</v>
      </c>
      <c r="N234" s="11">
        <v>0</v>
      </c>
      <c r="O234" s="12" t="str">
        <f>_xlfn.DISPIMG("ID_9605826B48E04C21832E1CDFB6E0AF15",1)</f>
        <v>=DISPIMG("ID_9605826B48E04C21832E1CDFB6E0AF15",1)</v>
      </c>
      <c r="P234" s="11" t="s">
        <v>542</v>
      </c>
      <c r="Q234" s="11">
        <v>46</v>
      </c>
      <c r="R234" s="17" t="s">
        <v>4549</v>
      </c>
      <c r="S234" s="18" t="s">
        <v>52</v>
      </c>
      <c r="T234" s="11">
        <v>29</v>
      </c>
    </row>
    <row r="235" s="3" customFormat="1" customHeight="1" spans="1:20">
      <c r="A235" s="167" t="s">
        <v>600</v>
      </c>
      <c r="B235" s="167" t="s">
        <v>165</v>
      </c>
      <c r="C235" s="167" t="s">
        <v>601</v>
      </c>
      <c r="D235" s="11">
        <v>18170238971</v>
      </c>
      <c r="E235" s="167" t="s">
        <v>506</v>
      </c>
      <c r="F235" s="167" t="s">
        <v>13</v>
      </c>
      <c r="G235" s="11">
        <v>202102016</v>
      </c>
      <c r="H235" s="167" t="s">
        <v>157</v>
      </c>
      <c r="I235" s="167" t="s">
        <v>603</v>
      </c>
      <c r="J235" s="167" t="s">
        <v>179</v>
      </c>
      <c r="K235" s="167" t="s">
        <v>160</v>
      </c>
      <c r="L235" s="167" t="s">
        <v>216</v>
      </c>
      <c r="M235" s="167" t="s">
        <v>13</v>
      </c>
      <c r="N235" s="167" t="s">
        <v>604</v>
      </c>
      <c r="O235" s="12" t="str">
        <f>_xlfn.DISPIMG("ID_274A21E15DE94C9DB65D865C0AE50BA3",1)</f>
        <v>=DISPIMG("ID_274A21E15DE94C9DB65D865C0AE50BA3",1)</v>
      </c>
      <c r="P235" s="11" t="s">
        <v>605</v>
      </c>
      <c r="Q235" s="11">
        <v>53</v>
      </c>
      <c r="R235" s="17" t="s">
        <v>4550</v>
      </c>
      <c r="S235" s="18" t="s">
        <v>52</v>
      </c>
      <c r="T235" s="11">
        <v>4</v>
      </c>
    </row>
    <row r="236" s="3" customFormat="1" customHeight="1" spans="1:20">
      <c r="A236" s="167" t="s">
        <v>608</v>
      </c>
      <c r="B236" s="167" t="s">
        <v>165</v>
      </c>
      <c r="C236" s="167" t="s">
        <v>609</v>
      </c>
      <c r="D236" s="11">
        <v>18779299502</v>
      </c>
      <c r="E236" s="167" t="s">
        <v>156</v>
      </c>
      <c r="F236" s="167" t="s">
        <v>13</v>
      </c>
      <c r="G236" s="11">
        <v>202102003</v>
      </c>
      <c r="H236" s="167" t="s">
        <v>157</v>
      </c>
      <c r="I236" s="167" t="s">
        <v>611</v>
      </c>
      <c r="J236" s="167" t="s">
        <v>179</v>
      </c>
      <c r="K236" s="167" t="s">
        <v>160</v>
      </c>
      <c r="L236" s="167" t="s">
        <v>261</v>
      </c>
      <c r="M236" s="167" t="s">
        <v>13</v>
      </c>
      <c r="N236" s="11">
        <v>0</v>
      </c>
      <c r="O236" s="12" t="str">
        <f>_xlfn.DISPIMG("ID_AED44616ADF34083BED4818BEE7F954D",1)</f>
        <v>=DISPIMG("ID_AED44616ADF34083BED4818BEE7F954D",1)</v>
      </c>
      <c r="P236" s="11" t="s">
        <v>612</v>
      </c>
      <c r="Q236" s="11">
        <v>54</v>
      </c>
      <c r="R236" s="17" t="s">
        <v>4551</v>
      </c>
      <c r="S236" s="18" t="s">
        <v>52</v>
      </c>
      <c r="T236" s="11">
        <v>9</v>
      </c>
    </row>
    <row r="237" s="3" customFormat="1" customHeight="1" spans="1:20">
      <c r="A237" s="167" t="s">
        <v>833</v>
      </c>
      <c r="B237" s="167" t="s">
        <v>165</v>
      </c>
      <c r="C237" s="167" t="s">
        <v>834</v>
      </c>
      <c r="D237" s="11">
        <v>13517923087</v>
      </c>
      <c r="E237" s="167" t="s">
        <v>156</v>
      </c>
      <c r="F237" s="167" t="s">
        <v>13</v>
      </c>
      <c r="G237" s="11">
        <v>202102003</v>
      </c>
      <c r="H237" s="167" t="s">
        <v>279</v>
      </c>
      <c r="I237" s="167" t="s">
        <v>339</v>
      </c>
      <c r="J237" s="167" t="s">
        <v>223</v>
      </c>
      <c r="K237" s="167" t="s">
        <v>170</v>
      </c>
      <c r="L237" s="167" t="s">
        <v>224</v>
      </c>
      <c r="M237" s="167" t="s">
        <v>13</v>
      </c>
      <c r="N237" s="167" t="s">
        <v>836</v>
      </c>
      <c r="O237" s="12" t="str">
        <f>_xlfn.DISPIMG("ID_89C7FFEC948F45D4B7C91F290C37CCB6",1)</f>
        <v>=DISPIMG("ID_89C7FFEC948F45D4B7C91F290C37CCB6",1)</v>
      </c>
      <c r="P237" s="11" t="s">
        <v>837</v>
      </c>
      <c r="Q237" s="11">
        <v>82</v>
      </c>
      <c r="R237" s="17" t="s">
        <v>4552</v>
      </c>
      <c r="S237" s="18" t="s">
        <v>52</v>
      </c>
      <c r="T237" s="11">
        <v>16</v>
      </c>
    </row>
    <row r="238" s="3" customFormat="1" customHeight="1" spans="1:20">
      <c r="A238" s="167" t="s">
        <v>994</v>
      </c>
      <c r="B238" s="167" t="s">
        <v>165</v>
      </c>
      <c r="C238" s="167" t="s">
        <v>995</v>
      </c>
      <c r="D238" s="11">
        <v>15079132554</v>
      </c>
      <c r="E238" s="167" t="s">
        <v>156</v>
      </c>
      <c r="F238" s="167" t="s">
        <v>13</v>
      </c>
      <c r="G238" s="11">
        <v>202102003</v>
      </c>
      <c r="H238" s="167" t="s">
        <v>157</v>
      </c>
      <c r="I238" s="167" t="s">
        <v>197</v>
      </c>
      <c r="J238" s="167" t="s">
        <v>179</v>
      </c>
      <c r="K238" s="167" t="s">
        <v>160</v>
      </c>
      <c r="L238" s="167" t="s">
        <v>180</v>
      </c>
      <c r="M238" s="167" t="s">
        <v>997</v>
      </c>
      <c r="N238" s="167" t="s">
        <v>998</v>
      </c>
      <c r="O238" s="12" t="str">
        <f>_xlfn.DISPIMG("ID_10318FA0EB2E4E7ABCD18627E825B2DF",1)</f>
        <v>=DISPIMG("ID_10318FA0EB2E4E7ABCD18627E825B2DF",1)</v>
      </c>
      <c r="P238" s="11" t="s">
        <v>999</v>
      </c>
      <c r="Q238" s="11">
        <v>101</v>
      </c>
      <c r="R238" s="17" t="s">
        <v>4553</v>
      </c>
      <c r="S238" s="18" t="s">
        <v>52</v>
      </c>
      <c r="T238" s="11">
        <v>21</v>
      </c>
    </row>
    <row r="239" s="3" customFormat="1" customHeight="1" spans="1:20">
      <c r="A239" s="167" t="s">
        <v>1018</v>
      </c>
      <c r="B239" s="167" t="s">
        <v>165</v>
      </c>
      <c r="C239" s="167" t="s">
        <v>1019</v>
      </c>
      <c r="D239" s="11">
        <v>18270832760</v>
      </c>
      <c r="E239" s="167" t="s">
        <v>156</v>
      </c>
      <c r="F239" s="167" t="s">
        <v>13</v>
      </c>
      <c r="G239" s="11">
        <v>202102003</v>
      </c>
      <c r="H239" s="167" t="s">
        <v>157</v>
      </c>
      <c r="I239" s="167" t="s">
        <v>827</v>
      </c>
      <c r="J239" s="167" t="s">
        <v>1021</v>
      </c>
      <c r="K239" s="167" t="s">
        <v>160</v>
      </c>
      <c r="L239" s="167" t="s">
        <v>281</v>
      </c>
      <c r="M239" s="167" t="s">
        <v>1022</v>
      </c>
      <c r="N239" s="167" t="s">
        <v>1023</v>
      </c>
      <c r="O239" s="12" t="str">
        <f>_xlfn.DISPIMG("ID_8ABFE7CB3D4544BB889DAF8FFFAF27BC",1)</f>
        <v>=DISPIMG("ID_8ABFE7CB3D4544BB889DAF8FFFAF27BC",1)</v>
      </c>
      <c r="P239" s="11" t="s">
        <v>1024</v>
      </c>
      <c r="Q239" s="11">
        <v>104</v>
      </c>
      <c r="R239" s="17" t="s">
        <v>4554</v>
      </c>
      <c r="S239" s="18" t="s">
        <v>52</v>
      </c>
      <c r="T239" s="11">
        <v>28</v>
      </c>
    </row>
    <row r="240" s="3" customFormat="1" customHeight="1" spans="1:20">
      <c r="A240" s="167" t="s">
        <v>1118</v>
      </c>
      <c r="B240" s="167" t="s">
        <v>165</v>
      </c>
      <c r="C240" s="167" t="s">
        <v>1119</v>
      </c>
      <c r="D240" s="11">
        <v>15170931048</v>
      </c>
      <c r="E240" s="167" t="s">
        <v>156</v>
      </c>
      <c r="F240" s="167" t="s">
        <v>13</v>
      </c>
      <c r="G240" s="11">
        <v>202102003</v>
      </c>
      <c r="H240" s="167" t="s">
        <v>157</v>
      </c>
      <c r="I240" s="167" t="s">
        <v>1121</v>
      </c>
      <c r="J240" s="167" t="s">
        <v>1122</v>
      </c>
      <c r="K240" s="167" t="s">
        <v>160</v>
      </c>
      <c r="L240" s="167" t="s">
        <v>577</v>
      </c>
      <c r="M240" s="167" t="s">
        <v>13</v>
      </c>
      <c r="N240" s="167" t="s">
        <v>1123</v>
      </c>
      <c r="O240" s="12" t="str">
        <f>_xlfn.DISPIMG("ID_FE9003ADDBCE49A4979CC74582466077",1)</f>
        <v>=DISPIMG("ID_FE9003ADDBCE49A4979CC74582466077",1)</v>
      </c>
      <c r="P240" s="11" t="s">
        <v>1124</v>
      </c>
      <c r="Q240" s="11">
        <v>117</v>
      </c>
      <c r="R240" s="17" t="s">
        <v>4555</v>
      </c>
      <c r="S240" s="18" t="s">
        <v>52</v>
      </c>
      <c r="T240" s="11">
        <v>3</v>
      </c>
    </row>
    <row r="241" s="3" customFormat="1" customHeight="1" spans="1:20">
      <c r="A241" s="167" t="s">
        <v>1176</v>
      </c>
      <c r="B241" s="167" t="s">
        <v>165</v>
      </c>
      <c r="C241" s="167" t="s">
        <v>1177</v>
      </c>
      <c r="D241" s="11">
        <v>13782906805</v>
      </c>
      <c r="E241" s="167" t="s">
        <v>156</v>
      </c>
      <c r="F241" s="167" t="s">
        <v>13</v>
      </c>
      <c r="G241" s="11">
        <v>202102003</v>
      </c>
      <c r="H241" s="167" t="s">
        <v>157</v>
      </c>
      <c r="I241" s="167" t="s">
        <v>1179</v>
      </c>
      <c r="J241" s="167" t="s">
        <v>298</v>
      </c>
      <c r="K241" s="167" t="s">
        <v>160</v>
      </c>
      <c r="L241" s="167" t="s">
        <v>171</v>
      </c>
      <c r="M241" s="167" t="s">
        <v>13</v>
      </c>
      <c r="N241" s="167" t="s">
        <v>1180</v>
      </c>
      <c r="O241" s="12" t="str">
        <f>_xlfn.DISPIMG("ID_DB5AD54F043740C8B3AEB4879C927DCC",1)</f>
        <v>=DISPIMG("ID_DB5AD54F043740C8B3AEB4879C927DCC",1)</v>
      </c>
      <c r="P241" s="11" t="s">
        <v>1181</v>
      </c>
      <c r="Q241" s="11">
        <v>124</v>
      </c>
      <c r="R241" s="17" t="s">
        <v>4556</v>
      </c>
      <c r="S241" s="18" t="s">
        <v>52</v>
      </c>
      <c r="T241" s="11">
        <v>10</v>
      </c>
    </row>
    <row r="242" s="3" customFormat="1" customHeight="1" spans="1:20">
      <c r="A242" s="167" t="s">
        <v>1184</v>
      </c>
      <c r="B242" s="167" t="s">
        <v>165</v>
      </c>
      <c r="C242" s="167" t="s">
        <v>1185</v>
      </c>
      <c r="D242" s="11">
        <v>18379170197</v>
      </c>
      <c r="E242" s="167" t="s">
        <v>156</v>
      </c>
      <c r="F242" s="167" t="s">
        <v>13</v>
      </c>
      <c r="G242" s="11">
        <v>202102003</v>
      </c>
      <c r="H242" s="167" t="s">
        <v>157</v>
      </c>
      <c r="I242" s="167" t="s">
        <v>197</v>
      </c>
      <c r="J242" s="167" t="s">
        <v>179</v>
      </c>
      <c r="K242" s="167" t="s">
        <v>160</v>
      </c>
      <c r="L242" s="167" t="s">
        <v>577</v>
      </c>
      <c r="M242" s="167" t="s">
        <v>1187</v>
      </c>
      <c r="N242" s="167" t="s">
        <v>1188</v>
      </c>
      <c r="O242" s="12" t="str">
        <f>_xlfn.DISPIMG("ID_CF1AB7C1F93745BDBA48E23E3B3C5BFF",1)</f>
        <v>=DISPIMG("ID_CF1AB7C1F93745BDBA48E23E3B3C5BFF",1)</v>
      </c>
      <c r="P242" s="11" t="s">
        <v>1189</v>
      </c>
      <c r="Q242" s="11">
        <v>125</v>
      </c>
      <c r="R242" s="17" t="s">
        <v>4557</v>
      </c>
      <c r="S242" s="18" t="s">
        <v>52</v>
      </c>
      <c r="T242" s="11">
        <v>15</v>
      </c>
    </row>
    <row r="243" s="3" customFormat="1" customHeight="1" spans="1:20">
      <c r="A243" s="167" t="s">
        <v>1192</v>
      </c>
      <c r="B243" s="167" t="s">
        <v>165</v>
      </c>
      <c r="C243" s="167" t="s">
        <v>1193</v>
      </c>
      <c r="D243" s="11">
        <v>18079223375</v>
      </c>
      <c r="E243" s="167" t="s">
        <v>156</v>
      </c>
      <c r="F243" s="167" t="s">
        <v>13</v>
      </c>
      <c r="G243" s="11">
        <v>202102003</v>
      </c>
      <c r="H243" s="167" t="s">
        <v>157</v>
      </c>
      <c r="I243" s="167" t="s">
        <v>233</v>
      </c>
      <c r="J243" s="167" t="s">
        <v>1195</v>
      </c>
      <c r="K243" s="167" t="s">
        <v>170</v>
      </c>
      <c r="L243" s="167" t="s">
        <v>587</v>
      </c>
      <c r="M243" s="167" t="s">
        <v>13</v>
      </c>
      <c r="N243" s="167" t="s">
        <v>1196</v>
      </c>
      <c r="O243" s="12" t="str">
        <f>_xlfn.DISPIMG("ID_1776A5AD18184E18978F80ADFFF4A0AF",1)</f>
        <v>=DISPIMG("ID_1776A5AD18184E18978F80ADFFF4A0AF",1)</v>
      </c>
      <c r="P243" s="11" t="s">
        <v>1197</v>
      </c>
      <c r="Q243" s="11">
        <v>126</v>
      </c>
      <c r="R243" s="17" t="s">
        <v>4558</v>
      </c>
      <c r="S243" s="18" t="s">
        <v>52</v>
      </c>
      <c r="T243" s="11">
        <v>22</v>
      </c>
    </row>
    <row r="244" s="3" customFormat="1" customHeight="1" spans="1:20">
      <c r="A244" s="167" t="s">
        <v>1210</v>
      </c>
      <c r="B244" s="167" t="s">
        <v>165</v>
      </c>
      <c r="C244" s="167" t="s">
        <v>1211</v>
      </c>
      <c r="D244" s="11">
        <v>18279901604</v>
      </c>
      <c r="E244" s="167" t="s">
        <v>156</v>
      </c>
      <c r="F244" s="167" t="s">
        <v>13</v>
      </c>
      <c r="G244" s="11">
        <v>202102003</v>
      </c>
      <c r="H244" s="167" t="s">
        <v>157</v>
      </c>
      <c r="I244" s="167" t="s">
        <v>1213</v>
      </c>
      <c r="J244" s="167" t="s">
        <v>1214</v>
      </c>
      <c r="K244" s="167" t="s">
        <v>160</v>
      </c>
      <c r="L244" s="167" t="s">
        <v>252</v>
      </c>
      <c r="M244" s="167" t="s">
        <v>13</v>
      </c>
      <c r="N244" s="11">
        <v>0</v>
      </c>
      <c r="O244" s="12" t="str">
        <f>_xlfn.DISPIMG("ID_FBB70D9010F74144B210C02BDB9CE6A1",1)</f>
        <v>=DISPIMG("ID_FBB70D9010F74144B210C02BDB9CE6A1",1)</v>
      </c>
      <c r="P244" s="11" t="s">
        <v>1215</v>
      </c>
      <c r="Q244" s="11">
        <v>128</v>
      </c>
      <c r="R244" s="17" t="s">
        <v>4559</v>
      </c>
      <c r="S244" s="18" t="s">
        <v>52</v>
      </c>
      <c r="T244" s="11">
        <v>27</v>
      </c>
    </row>
    <row r="245" s="3" customFormat="1" customHeight="1" spans="1:20">
      <c r="A245" s="167" t="s">
        <v>1270</v>
      </c>
      <c r="B245" s="167" t="s">
        <v>153</v>
      </c>
      <c r="C245" s="167" t="s">
        <v>1271</v>
      </c>
      <c r="D245" s="11">
        <v>18879347903</v>
      </c>
      <c r="E245" s="167" t="s">
        <v>156</v>
      </c>
      <c r="F245" s="167" t="s">
        <v>13</v>
      </c>
      <c r="G245" s="11">
        <v>202102003</v>
      </c>
      <c r="H245" s="167" t="s">
        <v>279</v>
      </c>
      <c r="I245" s="167" t="s">
        <v>1273</v>
      </c>
      <c r="J245" s="167" t="s">
        <v>223</v>
      </c>
      <c r="K245" s="167" t="s">
        <v>170</v>
      </c>
      <c r="L245" s="167" t="s">
        <v>548</v>
      </c>
      <c r="M245" s="167" t="s">
        <v>13</v>
      </c>
      <c r="N245" s="167" t="s">
        <v>1274</v>
      </c>
      <c r="O245" s="12" t="str">
        <f>_xlfn.DISPIMG("ID_DF04DBFB481D40418B898CD7AB20784A",1)</f>
        <v>=DISPIMG("ID_DF04DBFB481D40418B898CD7AB20784A",1)</v>
      </c>
      <c r="P245" s="11" t="s">
        <v>1275</v>
      </c>
      <c r="Q245" s="11">
        <v>136</v>
      </c>
      <c r="R245" s="17" t="s">
        <v>4560</v>
      </c>
      <c r="S245" s="18" t="s">
        <v>52</v>
      </c>
      <c r="T245" s="11">
        <v>2</v>
      </c>
    </row>
    <row r="246" s="3" customFormat="1" customHeight="1" spans="1:20">
      <c r="A246" s="167" t="s">
        <v>1311</v>
      </c>
      <c r="B246" s="167" t="s">
        <v>165</v>
      </c>
      <c r="C246" s="167" t="s">
        <v>1312</v>
      </c>
      <c r="D246" s="11">
        <v>13672224425</v>
      </c>
      <c r="E246" s="167" t="s">
        <v>156</v>
      </c>
      <c r="F246" s="167" t="s">
        <v>13</v>
      </c>
      <c r="G246" s="11">
        <v>202102003</v>
      </c>
      <c r="H246" s="167" t="s">
        <v>157</v>
      </c>
      <c r="I246" s="167" t="s">
        <v>697</v>
      </c>
      <c r="J246" s="167" t="s">
        <v>243</v>
      </c>
      <c r="K246" s="167" t="s">
        <v>160</v>
      </c>
      <c r="L246" s="167" t="s">
        <v>368</v>
      </c>
      <c r="M246" s="167" t="s">
        <v>13</v>
      </c>
      <c r="N246" s="167" t="s">
        <v>1314</v>
      </c>
      <c r="O246" s="12" t="str">
        <f>_xlfn.DISPIMG("ID_7D2290FD7009470AB45B6E90DB94AE0B",1)</f>
        <v>=DISPIMG("ID_7D2290FD7009470AB45B6E90DB94AE0B",1)</v>
      </c>
      <c r="P246" s="11" t="s">
        <v>1315</v>
      </c>
      <c r="Q246" s="11">
        <v>142</v>
      </c>
      <c r="R246" s="17" t="s">
        <v>4561</v>
      </c>
      <c r="S246" s="18" t="s">
        <v>52</v>
      </c>
      <c r="T246" s="11">
        <v>11</v>
      </c>
    </row>
    <row r="247" s="3" customFormat="1" customHeight="1" spans="1:20">
      <c r="A247" s="167" t="s">
        <v>1357</v>
      </c>
      <c r="B247" s="167" t="s">
        <v>165</v>
      </c>
      <c r="C247" s="167" t="s">
        <v>1358</v>
      </c>
      <c r="D247" s="11">
        <v>19977181836</v>
      </c>
      <c r="E247" s="167" t="s">
        <v>156</v>
      </c>
      <c r="F247" s="167" t="s">
        <v>13</v>
      </c>
      <c r="G247" s="11">
        <v>202102003</v>
      </c>
      <c r="H247" s="167" t="s">
        <v>157</v>
      </c>
      <c r="I247" s="167" t="s">
        <v>1360</v>
      </c>
      <c r="J247" s="167" t="s">
        <v>223</v>
      </c>
      <c r="K247" s="167" t="s">
        <v>170</v>
      </c>
      <c r="L247" s="167" t="s">
        <v>587</v>
      </c>
      <c r="M247" s="167" t="s">
        <v>1361</v>
      </c>
      <c r="N247" s="167" t="s">
        <v>1362</v>
      </c>
      <c r="O247" s="12" t="str">
        <f>_xlfn.DISPIMG("ID_F234455BC8F04A26B7C1140CBE7FB1F1",1)</f>
        <v>=DISPIMG("ID_F234455BC8F04A26B7C1140CBE7FB1F1",1)</v>
      </c>
      <c r="P247" s="11" t="s">
        <v>1363</v>
      </c>
      <c r="Q247" s="11">
        <v>148</v>
      </c>
      <c r="R247" s="17" t="s">
        <v>4562</v>
      </c>
      <c r="S247" s="18" t="s">
        <v>52</v>
      </c>
      <c r="T247" s="11">
        <v>14</v>
      </c>
    </row>
    <row r="248" s="3" customFormat="1" customHeight="1" spans="1:20">
      <c r="A248" s="167" t="s">
        <v>1463</v>
      </c>
      <c r="B248" s="167" t="s">
        <v>165</v>
      </c>
      <c r="C248" s="167" t="s">
        <v>1464</v>
      </c>
      <c r="D248" s="11">
        <v>18279171935</v>
      </c>
      <c r="E248" s="167" t="s">
        <v>156</v>
      </c>
      <c r="F248" s="167" t="s">
        <v>13</v>
      </c>
      <c r="G248" s="11">
        <v>202102003</v>
      </c>
      <c r="H248" s="167" t="s">
        <v>157</v>
      </c>
      <c r="I248" s="167" t="s">
        <v>1466</v>
      </c>
      <c r="J248" s="167" t="s">
        <v>179</v>
      </c>
      <c r="K248" s="167" t="s">
        <v>160</v>
      </c>
      <c r="L248" s="167" t="s">
        <v>281</v>
      </c>
      <c r="M248" s="167" t="s">
        <v>1467</v>
      </c>
      <c r="N248" s="167" t="s">
        <v>1468</v>
      </c>
      <c r="O248" s="12" t="str">
        <f>_xlfn.DISPIMG("ID_050656778A6D494197B2CC367B7C8BBA",1)</f>
        <v>=DISPIMG("ID_050656778A6D494197B2CC367B7C8BBA",1)</v>
      </c>
      <c r="P248" s="11" t="s">
        <v>1469</v>
      </c>
      <c r="Q248" s="11">
        <v>162</v>
      </c>
      <c r="R248" s="17" t="s">
        <v>4563</v>
      </c>
      <c r="S248" s="18" t="s">
        <v>52</v>
      </c>
      <c r="T248" s="11">
        <v>23</v>
      </c>
    </row>
    <row r="249" s="3" customFormat="1" customHeight="1" spans="1:20">
      <c r="A249" s="167" t="s">
        <v>1477</v>
      </c>
      <c r="B249" s="167" t="s">
        <v>153</v>
      </c>
      <c r="C249" s="167" t="s">
        <v>1478</v>
      </c>
      <c r="D249" s="11">
        <v>15779705216</v>
      </c>
      <c r="E249" s="167" t="s">
        <v>156</v>
      </c>
      <c r="F249" s="167" t="s">
        <v>13</v>
      </c>
      <c r="G249" s="11">
        <v>202102003</v>
      </c>
      <c r="H249" s="167" t="s">
        <v>157</v>
      </c>
      <c r="I249" s="167" t="s">
        <v>1480</v>
      </c>
      <c r="J249" s="167" t="s">
        <v>1481</v>
      </c>
      <c r="K249" s="167" t="s">
        <v>160</v>
      </c>
      <c r="L249" s="167" t="s">
        <v>235</v>
      </c>
      <c r="M249" s="167" t="s">
        <v>13</v>
      </c>
      <c r="N249" s="167" t="s">
        <v>1482</v>
      </c>
      <c r="O249" s="12" t="str">
        <f>_xlfn.DISPIMG("ID_7EA9DB823A764F28A536B4FEC9EB2A2B",1)</f>
        <v>=DISPIMG("ID_7EA9DB823A764F28A536B4FEC9EB2A2B",1)</v>
      </c>
      <c r="P249" s="11" t="s">
        <v>1483</v>
      </c>
      <c r="Q249" s="11">
        <v>164</v>
      </c>
      <c r="R249" s="17" t="s">
        <v>4564</v>
      </c>
      <c r="S249" s="18" t="s">
        <v>52</v>
      </c>
      <c r="T249" s="11">
        <v>26</v>
      </c>
    </row>
    <row r="250" s="3" customFormat="1" customHeight="1" spans="1:20">
      <c r="A250" s="167" t="s">
        <v>1486</v>
      </c>
      <c r="B250" s="167" t="s">
        <v>165</v>
      </c>
      <c r="C250" s="167" t="s">
        <v>1487</v>
      </c>
      <c r="D250" s="11">
        <v>13979859802</v>
      </c>
      <c r="E250" s="167" t="s">
        <v>156</v>
      </c>
      <c r="F250" s="167" t="s">
        <v>13</v>
      </c>
      <c r="G250" s="11">
        <v>202102003</v>
      </c>
      <c r="H250" s="167" t="s">
        <v>157</v>
      </c>
      <c r="I250" s="167" t="s">
        <v>233</v>
      </c>
      <c r="J250" s="167" t="s">
        <v>1489</v>
      </c>
      <c r="K250" s="167" t="s">
        <v>170</v>
      </c>
      <c r="L250" s="167" t="s">
        <v>1490</v>
      </c>
      <c r="M250" s="167" t="s">
        <v>1491</v>
      </c>
      <c r="N250" s="167" t="s">
        <v>1492</v>
      </c>
      <c r="O250" s="12" t="str">
        <f>_xlfn.DISPIMG("ID_8C3008D7D3C74B79A4E1698AF4E9725F",1)</f>
        <v>=DISPIMG("ID_8C3008D7D3C74B79A4E1698AF4E9725F",1)</v>
      </c>
      <c r="P250" s="11" t="s">
        <v>1493</v>
      </c>
      <c r="Q250" s="11">
        <v>165</v>
      </c>
      <c r="R250" s="17" t="s">
        <v>4565</v>
      </c>
      <c r="S250" s="18" t="s">
        <v>52</v>
      </c>
      <c r="T250" s="11">
        <v>1</v>
      </c>
    </row>
    <row r="251" s="3" customFormat="1" customHeight="1" spans="1:20">
      <c r="A251" s="167" t="s">
        <v>1503</v>
      </c>
      <c r="B251" s="167" t="s">
        <v>165</v>
      </c>
      <c r="C251" s="167" t="s">
        <v>1504</v>
      </c>
      <c r="D251" s="11">
        <v>15070911038</v>
      </c>
      <c r="E251" s="167" t="s">
        <v>156</v>
      </c>
      <c r="F251" s="167" t="s">
        <v>13</v>
      </c>
      <c r="G251" s="11">
        <v>202102003</v>
      </c>
      <c r="H251" s="167" t="s">
        <v>157</v>
      </c>
      <c r="I251" s="167" t="s">
        <v>827</v>
      </c>
      <c r="J251" s="167" t="s">
        <v>223</v>
      </c>
      <c r="K251" s="167" t="s">
        <v>170</v>
      </c>
      <c r="L251" s="167" t="s">
        <v>180</v>
      </c>
      <c r="M251" s="167" t="s">
        <v>1506</v>
      </c>
      <c r="N251" s="167" t="s">
        <v>1507</v>
      </c>
      <c r="O251" s="12" t="str">
        <f>_xlfn.DISPIMG("ID_ADCECB4C3BFF4D9FA761F0B3617DDB20",1)</f>
        <v>=DISPIMG("ID_ADCECB4C3BFF4D9FA761F0B3617DDB20",1)</v>
      </c>
      <c r="P251" s="11" t="s">
        <v>1508</v>
      </c>
      <c r="Q251" s="11">
        <v>167</v>
      </c>
      <c r="R251" s="17" t="s">
        <v>4566</v>
      </c>
      <c r="S251" s="18" t="s">
        <v>52</v>
      </c>
      <c r="T251" s="11">
        <v>12</v>
      </c>
    </row>
    <row r="252" s="3" customFormat="1" customHeight="1" spans="1:20">
      <c r="A252" s="167" t="s">
        <v>1528</v>
      </c>
      <c r="B252" s="167" t="s">
        <v>165</v>
      </c>
      <c r="C252" s="167" t="s">
        <v>1529</v>
      </c>
      <c r="D252" s="11">
        <v>13247705960</v>
      </c>
      <c r="E252" s="167" t="s">
        <v>156</v>
      </c>
      <c r="F252" s="167" t="s">
        <v>13</v>
      </c>
      <c r="G252" s="11">
        <v>202102003</v>
      </c>
      <c r="H252" s="167" t="s">
        <v>157</v>
      </c>
      <c r="I252" s="167" t="s">
        <v>385</v>
      </c>
      <c r="J252" s="167" t="s">
        <v>179</v>
      </c>
      <c r="K252" s="167" t="s">
        <v>160</v>
      </c>
      <c r="L252" s="167" t="s">
        <v>548</v>
      </c>
      <c r="M252" s="167" t="s">
        <v>25</v>
      </c>
      <c r="N252" s="167" t="s">
        <v>1531</v>
      </c>
      <c r="O252" s="12" t="str">
        <f>_xlfn.DISPIMG("ID_8A933BECC5A94F3D8B394A9689736C52",1)</f>
        <v>=DISPIMG("ID_8A933BECC5A94F3D8B394A9689736C52",1)</v>
      </c>
      <c r="P252" s="11" t="s">
        <v>1532</v>
      </c>
      <c r="Q252" s="11">
        <v>170</v>
      </c>
      <c r="R252" s="17" t="s">
        <v>4567</v>
      </c>
      <c r="S252" s="18" t="s">
        <v>52</v>
      </c>
      <c r="T252" s="11">
        <v>13</v>
      </c>
    </row>
    <row r="253" s="3" customFormat="1" customHeight="1" spans="1:20">
      <c r="A253" s="167" t="s">
        <v>1643</v>
      </c>
      <c r="B253" s="167" t="s">
        <v>153</v>
      </c>
      <c r="C253" s="167" t="s">
        <v>1644</v>
      </c>
      <c r="D253" s="11">
        <v>18351336229</v>
      </c>
      <c r="E253" s="167" t="s">
        <v>156</v>
      </c>
      <c r="F253" s="167" t="s">
        <v>13</v>
      </c>
      <c r="G253" s="11">
        <v>202102003</v>
      </c>
      <c r="H253" s="167" t="s">
        <v>157</v>
      </c>
      <c r="I253" s="167" t="s">
        <v>1646</v>
      </c>
      <c r="J253" s="167" t="s">
        <v>1647</v>
      </c>
      <c r="K253" s="167" t="s">
        <v>160</v>
      </c>
      <c r="L253" s="167" t="s">
        <v>261</v>
      </c>
      <c r="M253" s="167" t="s">
        <v>1506</v>
      </c>
      <c r="N253" s="11">
        <v>0</v>
      </c>
      <c r="O253" s="12" t="str">
        <f>_xlfn.DISPIMG("ID_B4AD11310DDA4138B05F8034BA3D88DD",1)</f>
        <v>=DISPIMG("ID_B4AD11310DDA4138B05F8034BA3D88DD",1)</v>
      </c>
      <c r="P253" s="11" t="s">
        <v>1648</v>
      </c>
      <c r="Q253" s="11">
        <v>185</v>
      </c>
      <c r="R253" s="17" t="s">
        <v>4568</v>
      </c>
      <c r="S253" s="18" t="s">
        <v>52</v>
      </c>
      <c r="T253" s="11">
        <v>24</v>
      </c>
    </row>
    <row r="254" s="3" customFormat="1" customHeight="1" spans="1:20">
      <c r="A254" s="167" t="s">
        <v>1651</v>
      </c>
      <c r="B254" s="167" t="s">
        <v>165</v>
      </c>
      <c r="C254" s="167" t="s">
        <v>1652</v>
      </c>
      <c r="D254" s="11">
        <v>15870862742</v>
      </c>
      <c r="E254" s="167" t="s">
        <v>156</v>
      </c>
      <c r="F254" s="167" t="s">
        <v>13</v>
      </c>
      <c r="G254" s="11">
        <v>202102003</v>
      </c>
      <c r="H254" s="167" t="s">
        <v>157</v>
      </c>
      <c r="I254" s="167" t="s">
        <v>1654</v>
      </c>
      <c r="J254" s="167" t="s">
        <v>179</v>
      </c>
      <c r="K254" s="167" t="s">
        <v>160</v>
      </c>
      <c r="L254" s="167" t="s">
        <v>235</v>
      </c>
      <c r="M254" s="167" t="s">
        <v>13</v>
      </c>
      <c r="N254" s="11">
        <v>0</v>
      </c>
      <c r="O254" s="12" t="str">
        <f>_xlfn.DISPIMG("ID_3972EE6FED8B40BFAB5CECB7F30981FD",1)</f>
        <v>=DISPIMG("ID_3972EE6FED8B40BFAB5CECB7F30981FD",1)</v>
      </c>
      <c r="P254" s="11" t="s">
        <v>1655</v>
      </c>
      <c r="Q254" s="11">
        <v>186</v>
      </c>
      <c r="R254" s="17" t="s">
        <v>4569</v>
      </c>
      <c r="S254" s="18" t="s">
        <v>52</v>
      </c>
      <c r="T254" s="11">
        <v>25</v>
      </c>
    </row>
    <row r="255" s="3" customFormat="1" customHeight="1" spans="1:20">
      <c r="A255" s="167" t="s">
        <v>1715</v>
      </c>
      <c r="B255" s="167" t="s">
        <v>165</v>
      </c>
      <c r="C255" s="167" t="s">
        <v>1716</v>
      </c>
      <c r="D255" s="11">
        <v>15070075457</v>
      </c>
      <c r="E255" s="167" t="s">
        <v>156</v>
      </c>
      <c r="F255" s="167" t="s">
        <v>13</v>
      </c>
      <c r="G255" s="11">
        <v>202102003</v>
      </c>
      <c r="H255" s="167" t="s">
        <v>157</v>
      </c>
      <c r="I255" s="167" t="s">
        <v>1718</v>
      </c>
      <c r="J255" s="167" t="s">
        <v>1195</v>
      </c>
      <c r="K255" s="167" t="s">
        <v>170</v>
      </c>
      <c r="L255" s="167" t="s">
        <v>281</v>
      </c>
      <c r="M255" s="167" t="s">
        <v>13</v>
      </c>
      <c r="N255" s="167" t="s">
        <v>1719</v>
      </c>
      <c r="O255" s="12" t="str">
        <f>_xlfn.DISPIMG("ID_33BA8978EFEE4AA59909527B43B2E1C1",1)</f>
        <v>=DISPIMG("ID_33BA8978EFEE4AA59909527B43B2E1C1",1)</v>
      </c>
      <c r="P255" s="11" t="s">
        <v>1720</v>
      </c>
      <c r="Q255" s="11">
        <v>194</v>
      </c>
      <c r="R255" s="17" t="s">
        <v>4570</v>
      </c>
      <c r="S255" s="18" t="s">
        <v>54</v>
      </c>
      <c r="T255" s="11">
        <v>6</v>
      </c>
    </row>
    <row r="256" s="3" customFormat="1" customHeight="1" spans="1:20">
      <c r="A256" s="167" t="s">
        <v>1759</v>
      </c>
      <c r="B256" s="167" t="s">
        <v>165</v>
      </c>
      <c r="C256" s="167" t="s">
        <v>1760</v>
      </c>
      <c r="D256" s="11">
        <v>13450834436</v>
      </c>
      <c r="E256" s="167" t="s">
        <v>156</v>
      </c>
      <c r="F256" s="167" t="s">
        <v>13</v>
      </c>
      <c r="G256" s="11">
        <v>202102003</v>
      </c>
      <c r="H256" s="167" t="s">
        <v>279</v>
      </c>
      <c r="I256" s="167" t="s">
        <v>158</v>
      </c>
      <c r="J256" s="167" t="s">
        <v>298</v>
      </c>
      <c r="K256" s="167" t="s">
        <v>160</v>
      </c>
      <c r="L256" s="167" t="s">
        <v>910</v>
      </c>
      <c r="M256" s="167" t="s">
        <v>13</v>
      </c>
      <c r="N256" s="167" t="s">
        <v>1762</v>
      </c>
      <c r="O256" s="12" t="str">
        <f>_xlfn.DISPIMG("ID_6061453C50E94D60AD50D7D119779DE5",1)</f>
        <v>=DISPIMG("ID_6061453C50E94D60AD50D7D119779DE5",1)</v>
      </c>
      <c r="P256" s="11" t="s">
        <v>1763</v>
      </c>
      <c r="Q256" s="11">
        <v>200</v>
      </c>
      <c r="R256" s="17" t="s">
        <v>4571</v>
      </c>
      <c r="S256" s="18" t="s">
        <v>54</v>
      </c>
      <c r="T256" s="11">
        <v>7</v>
      </c>
    </row>
    <row r="257" s="3" customFormat="1" customHeight="1" spans="1:20">
      <c r="A257" s="167" t="s">
        <v>1781</v>
      </c>
      <c r="B257" s="167" t="s">
        <v>165</v>
      </c>
      <c r="C257" s="167" t="s">
        <v>1782</v>
      </c>
      <c r="D257" s="11">
        <v>18379139309</v>
      </c>
      <c r="E257" s="167" t="s">
        <v>156</v>
      </c>
      <c r="F257" s="167" t="s">
        <v>13</v>
      </c>
      <c r="G257" s="11">
        <v>202102003</v>
      </c>
      <c r="H257" s="167" t="s">
        <v>157</v>
      </c>
      <c r="I257" s="167" t="s">
        <v>1784</v>
      </c>
      <c r="J257" s="167" t="s">
        <v>243</v>
      </c>
      <c r="K257" s="167" t="s">
        <v>160</v>
      </c>
      <c r="L257" s="167" t="s">
        <v>516</v>
      </c>
      <c r="M257" s="167" t="s">
        <v>25</v>
      </c>
      <c r="N257" s="167" t="s">
        <v>1785</v>
      </c>
      <c r="O257" s="12" t="str">
        <f>_xlfn.DISPIMG("ID_FAA9DF7D97144F66A8EC0127C6ABD49F",1)</f>
        <v>=DISPIMG("ID_FAA9DF7D97144F66A8EC0127C6ABD49F",1)</v>
      </c>
      <c r="P257" s="11" t="s">
        <v>1786</v>
      </c>
      <c r="Q257" s="11">
        <v>203</v>
      </c>
      <c r="R257" s="17" t="s">
        <v>4572</v>
      </c>
      <c r="S257" s="18" t="s">
        <v>54</v>
      </c>
      <c r="T257" s="11">
        <v>18</v>
      </c>
    </row>
    <row r="258" s="3" customFormat="1" customHeight="1" spans="1:20">
      <c r="A258" s="167" t="s">
        <v>1868</v>
      </c>
      <c r="B258" s="167" t="s">
        <v>165</v>
      </c>
      <c r="C258" s="167" t="s">
        <v>1869</v>
      </c>
      <c r="D258" s="11">
        <v>18270285866</v>
      </c>
      <c r="E258" s="167" t="s">
        <v>156</v>
      </c>
      <c r="F258" s="167" t="s">
        <v>13</v>
      </c>
      <c r="G258" s="11">
        <v>202102003</v>
      </c>
      <c r="H258" s="167" t="s">
        <v>157</v>
      </c>
      <c r="I258" s="167" t="s">
        <v>697</v>
      </c>
      <c r="J258" s="167" t="s">
        <v>179</v>
      </c>
      <c r="K258" s="167" t="s">
        <v>160</v>
      </c>
      <c r="L258" s="167" t="s">
        <v>161</v>
      </c>
      <c r="M258" s="167" t="s">
        <v>13</v>
      </c>
      <c r="N258" s="167" t="s">
        <v>1871</v>
      </c>
      <c r="O258" s="12" t="str">
        <f>_xlfn.DISPIMG("ID_8FA08A92AF314DECB56C8C1E101E9B2E",1)</f>
        <v>=DISPIMG("ID_8FA08A92AF314DECB56C8C1E101E9B2E",1)</v>
      </c>
      <c r="P258" s="11" t="s">
        <v>1872</v>
      </c>
      <c r="Q258" s="11">
        <v>214</v>
      </c>
      <c r="R258" s="17" t="s">
        <v>4573</v>
      </c>
      <c r="S258" s="18" t="s">
        <v>54</v>
      </c>
      <c r="T258" s="11">
        <v>19</v>
      </c>
    </row>
    <row r="259" s="3" customFormat="1" customHeight="1" spans="1:20">
      <c r="A259" s="167" t="s">
        <v>1890</v>
      </c>
      <c r="B259" s="167" t="s">
        <v>165</v>
      </c>
      <c r="C259" s="167" t="s">
        <v>1891</v>
      </c>
      <c r="D259" s="11">
        <v>18770267494</v>
      </c>
      <c r="E259" s="167" t="s">
        <v>156</v>
      </c>
      <c r="F259" s="167" t="s">
        <v>13</v>
      </c>
      <c r="G259" s="11">
        <v>202102003</v>
      </c>
      <c r="H259" s="167" t="s">
        <v>157</v>
      </c>
      <c r="I259" s="167" t="s">
        <v>646</v>
      </c>
      <c r="J259" s="167" t="s">
        <v>179</v>
      </c>
      <c r="K259" s="167" t="s">
        <v>160</v>
      </c>
      <c r="L259" s="167" t="s">
        <v>161</v>
      </c>
      <c r="M259" s="167" t="s">
        <v>25</v>
      </c>
      <c r="N259" s="167" t="s">
        <v>1893</v>
      </c>
      <c r="O259" s="12" t="str">
        <f>_xlfn.DISPIMG("ID_E3FEEF4304AD40319195B6CB72FAB7DA",1)</f>
        <v>=DISPIMG("ID_E3FEEF4304AD40319195B6CB72FAB7DA",1)</v>
      </c>
      <c r="P259" s="11" t="s">
        <v>1894</v>
      </c>
      <c r="Q259" s="11">
        <v>217</v>
      </c>
      <c r="R259" s="17" t="s">
        <v>4574</v>
      </c>
      <c r="S259" s="18" t="s">
        <v>54</v>
      </c>
      <c r="T259" s="11">
        <v>30</v>
      </c>
    </row>
    <row r="260" s="3" customFormat="1" customHeight="1" spans="1:20">
      <c r="A260" s="167" t="s">
        <v>1925</v>
      </c>
      <c r="B260" s="167" t="s">
        <v>165</v>
      </c>
      <c r="C260" s="167" t="s">
        <v>1926</v>
      </c>
      <c r="D260" s="11">
        <v>18000203663</v>
      </c>
      <c r="E260" s="167" t="s">
        <v>156</v>
      </c>
      <c r="F260" s="167" t="s">
        <v>13</v>
      </c>
      <c r="G260" s="11">
        <v>202102003</v>
      </c>
      <c r="H260" s="167" t="s">
        <v>157</v>
      </c>
      <c r="I260" s="167" t="s">
        <v>611</v>
      </c>
      <c r="J260" s="167" t="s">
        <v>179</v>
      </c>
      <c r="K260" s="167" t="s">
        <v>160</v>
      </c>
      <c r="L260" s="167" t="s">
        <v>281</v>
      </c>
      <c r="M260" s="167" t="s">
        <v>13</v>
      </c>
      <c r="N260" s="167" t="s">
        <v>1928</v>
      </c>
      <c r="O260" s="12" t="str">
        <f>_xlfn.DISPIMG("ID_F763BF131F364181A17D865B8B797D97",1)</f>
        <v>=DISPIMG("ID_F763BF131F364181A17D865B8B797D97",1)</v>
      </c>
      <c r="P260" s="11" t="s">
        <v>1929</v>
      </c>
      <c r="Q260" s="11">
        <v>222</v>
      </c>
      <c r="R260" s="17" t="s">
        <v>4575</v>
      </c>
      <c r="S260" s="18" t="s">
        <v>54</v>
      </c>
      <c r="T260" s="11">
        <v>5</v>
      </c>
    </row>
    <row r="261" s="3" customFormat="1" customHeight="1" spans="1:20">
      <c r="A261" s="167" t="s">
        <v>1997</v>
      </c>
      <c r="B261" s="167" t="s">
        <v>165</v>
      </c>
      <c r="C261" s="167" t="s">
        <v>1998</v>
      </c>
      <c r="D261" s="11">
        <v>15270177023</v>
      </c>
      <c r="E261" s="167" t="s">
        <v>156</v>
      </c>
      <c r="F261" s="167" t="s">
        <v>13</v>
      </c>
      <c r="G261" s="11">
        <v>202102003</v>
      </c>
      <c r="H261" s="167" t="s">
        <v>157</v>
      </c>
      <c r="I261" s="167" t="s">
        <v>158</v>
      </c>
      <c r="J261" s="167" t="s">
        <v>2000</v>
      </c>
      <c r="K261" s="167" t="s">
        <v>160</v>
      </c>
      <c r="L261" s="167" t="s">
        <v>161</v>
      </c>
      <c r="M261" s="167" t="s">
        <v>13</v>
      </c>
      <c r="N261" s="11">
        <v>0</v>
      </c>
      <c r="O261" s="12" t="str">
        <f>_xlfn.DISPIMG("ID_08A4D05852A0412E805E12227EDF1C33",1)</f>
        <v>=DISPIMG("ID_08A4D05852A0412E805E12227EDF1C33",1)</v>
      </c>
      <c r="P261" s="11" t="s">
        <v>2001</v>
      </c>
      <c r="Q261" s="11">
        <v>232</v>
      </c>
      <c r="R261" s="17" t="s">
        <v>4576</v>
      </c>
      <c r="S261" s="18" t="s">
        <v>54</v>
      </c>
      <c r="T261" s="11">
        <v>8</v>
      </c>
    </row>
    <row r="262" s="3" customFormat="1" customHeight="1" spans="1:20">
      <c r="A262" s="167" t="s">
        <v>2012</v>
      </c>
      <c r="B262" s="167" t="s">
        <v>165</v>
      </c>
      <c r="C262" s="167" t="s">
        <v>2013</v>
      </c>
      <c r="D262" s="11">
        <v>18970612776</v>
      </c>
      <c r="E262" s="167" t="s">
        <v>156</v>
      </c>
      <c r="F262" s="167" t="s">
        <v>13</v>
      </c>
      <c r="G262" s="11">
        <v>202102003</v>
      </c>
      <c r="H262" s="167" t="s">
        <v>279</v>
      </c>
      <c r="I262" s="167" t="s">
        <v>2015</v>
      </c>
      <c r="J262" s="167" t="s">
        <v>223</v>
      </c>
      <c r="K262" s="167" t="s">
        <v>170</v>
      </c>
      <c r="L262" s="167" t="s">
        <v>216</v>
      </c>
      <c r="M262" s="167" t="s">
        <v>2016</v>
      </c>
      <c r="N262" s="167" t="s">
        <v>2017</v>
      </c>
      <c r="O262" s="12" t="str">
        <f>_xlfn.DISPIMG("ID_DBB8A81F2D854EDC847C805211582887",1)</f>
        <v>=DISPIMG("ID_DBB8A81F2D854EDC847C805211582887",1)</v>
      </c>
      <c r="P262" s="11" t="s">
        <v>2018</v>
      </c>
      <c r="Q262" s="11">
        <v>234</v>
      </c>
      <c r="R262" s="17" t="s">
        <v>4577</v>
      </c>
      <c r="S262" s="18" t="s">
        <v>54</v>
      </c>
      <c r="T262" s="11">
        <v>17</v>
      </c>
    </row>
    <row r="263" s="3" customFormat="1" customHeight="1" spans="1:20">
      <c r="A263" s="167" t="s">
        <v>2020</v>
      </c>
      <c r="B263" s="167" t="s">
        <v>165</v>
      </c>
      <c r="C263" s="167" t="s">
        <v>2021</v>
      </c>
      <c r="D263" s="11">
        <v>13607094902</v>
      </c>
      <c r="E263" s="167" t="s">
        <v>506</v>
      </c>
      <c r="F263" s="167" t="s">
        <v>13</v>
      </c>
      <c r="G263" s="11">
        <v>202102016</v>
      </c>
      <c r="H263" s="167" t="s">
        <v>157</v>
      </c>
      <c r="I263" s="167" t="s">
        <v>2015</v>
      </c>
      <c r="J263" s="167" t="s">
        <v>179</v>
      </c>
      <c r="K263" s="167" t="s">
        <v>170</v>
      </c>
      <c r="L263" s="167" t="s">
        <v>2023</v>
      </c>
      <c r="M263" s="167" t="s">
        <v>13</v>
      </c>
      <c r="N263" s="167" t="s">
        <v>2024</v>
      </c>
      <c r="O263" s="12" t="str">
        <f>_xlfn.DISPIMG("ID_391065F92F2843D5ABEC64E49971BF9B",1)</f>
        <v>=DISPIMG("ID_391065F92F2843D5ABEC64E49971BF9B",1)</v>
      </c>
      <c r="P263" s="11" t="s">
        <v>2025</v>
      </c>
      <c r="Q263" s="11">
        <v>235</v>
      </c>
      <c r="R263" s="17" t="s">
        <v>4578</v>
      </c>
      <c r="S263" s="18" t="s">
        <v>54</v>
      </c>
      <c r="T263" s="11">
        <v>20</v>
      </c>
    </row>
    <row r="264" s="3" customFormat="1" customHeight="1" spans="1:20">
      <c r="A264" s="167" t="s">
        <v>2090</v>
      </c>
      <c r="B264" s="167" t="s">
        <v>153</v>
      </c>
      <c r="C264" s="167" t="s">
        <v>2091</v>
      </c>
      <c r="D264" s="11">
        <v>18079635877</v>
      </c>
      <c r="E264" s="167" t="s">
        <v>156</v>
      </c>
      <c r="F264" s="167" t="s">
        <v>13</v>
      </c>
      <c r="G264" s="11">
        <v>202102003</v>
      </c>
      <c r="H264" s="167" t="s">
        <v>157</v>
      </c>
      <c r="I264" s="167" t="s">
        <v>507</v>
      </c>
      <c r="J264" s="167" t="s">
        <v>2093</v>
      </c>
      <c r="K264" s="167" t="s">
        <v>160</v>
      </c>
      <c r="L264" s="167" t="s">
        <v>281</v>
      </c>
      <c r="M264" s="167" t="s">
        <v>25</v>
      </c>
      <c r="N264" s="167" t="s">
        <v>2094</v>
      </c>
      <c r="O264" s="12" t="str">
        <f>_xlfn.DISPIMG("ID_C4F6E9DAFE344DCCAABCAAE0A2F04564",1)</f>
        <v>=DISPIMG("ID_C4F6E9DAFE344DCCAABCAAE0A2F04564",1)</v>
      </c>
      <c r="P264" s="11" t="s">
        <v>2095</v>
      </c>
      <c r="Q264" s="11">
        <v>244</v>
      </c>
      <c r="R264" s="17" t="s">
        <v>4579</v>
      </c>
      <c r="S264" s="18" t="s">
        <v>54</v>
      </c>
      <c r="T264" s="11">
        <v>29</v>
      </c>
    </row>
    <row r="265" s="3" customFormat="1" customHeight="1" spans="1:20">
      <c r="A265" s="167" t="s">
        <v>2113</v>
      </c>
      <c r="B265" s="167" t="s">
        <v>165</v>
      </c>
      <c r="C265" s="167" t="s">
        <v>2114</v>
      </c>
      <c r="D265" s="11">
        <v>18779262393</v>
      </c>
      <c r="E265" s="167" t="s">
        <v>156</v>
      </c>
      <c r="F265" s="167" t="s">
        <v>13</v>
      </c>
      <c r="G265" s="11">
        <v>202102003</v>
      </c>
      <c r="H265" s="167" t="s">
        <v>157</v>
      </c>
      <c r="I265" s="167" t="s">
        <v>168</v>
      </c>
      <c r="J265" s="167" t="s">
        <v>179</v>
      </c>
      <c r="K265" s="167" t="s">
        <v>170</v>
      </c>
      <c r="L265" s="167" t="s">
        <v>261</v>
      </c>
      <c r="M265" s="167" t="s">
        <v>13</v>
      </c>
      <c r="N265" s="167" t="s">
        <v>2116</v>
      </c>
      <c r="O265" s="12" t="str">
        <f>_xlfn.DISPIMG("ID_FD96452CC72B491AA69A0DC966FE8814",1)</f>
        <v>=DISPIMG("ID_FD96452CC72B491AA69A0DC966FE8814",1)</v>
      </c>
      <c r="P265" s="11" t="s">
        <v>2117</v>
      </c>
      <c r="Q265" s="11">
        <v>247</v>
      </c>
      <c r="R265" s="17" t="s">
        <v>4580</v>
      </c>
      <c r="S265" s="18" t="s">
        <v>54</v>
      </c>
      <c r="T265" s="11">
        <v>4</v>
      </c>
    </row>
    <row r="266" s="3" customFormat="1" customHeight="1" spans="1:20">
      <c r="A266" s="167" t="s">
        <v>2120</v>
      </c>
      <c r="B266" s="167" t="s">
        <v>165</v>
      </c>
      <c r="C266" s="167" t="s">
        <v>2121</v>
      </c>
      <c r="D266" s="11">
        <v>15070693643</v>
      </c>
      <c r="E266" s="167" t="s">
        <v>156</v>
      </c>
      <c r="F266" s="167" t="s">
        <v>13</v>
      </c>
      <c r="G266" s="11">
        <v>202102003</v>
      </c>
      <c r="H266" s="167" t="s">
        <v>157</v>
      </c>
      <c r="I266" s="167" t="s">
        <v>197</v>
      </c>
      <c r="J266" s="167" t="s">
        <v>179</v>
      </c>
      <c r="K266" s="167" t="s">
        <v>160</v>
      </c>
      <c r="L266" s="167" t="s">
        <v>455</v>
      </c>
      <c r="M266" s="167" t="s">
        <v>225</v>
      </c>
      <c r="N266" s="11">
        <v>0</v>
      </c>
      <c r="O266" s="12" t="str">
        <f>_xlfn.DISPIMG("ID_BB45129897024B4183D09C0AA547B197",1)</f>
        <v>=DISPIMG("ID_BB45129897024B4183D09C0AA547B197",1)</v>
      </c>
      <c r="P266" s="11" t="s">
        <v>2123</v>
      </c>
      <c r="Q266" s="11">
        <v>248</v>
      </c>
      <c r="R266" s="17" t="s">
        <v>4581</v>
      </c>
      <c r="S266" s="18" t="s">
        <v>54</v>
      </c>
      <c r="T266" s="11">
        <v>9</v>
      </c>
    </row>
    <row r="267" s="3" customFormat="1" customHeight="1" spans="1:20">
      <c r="A267" s="167" t="s">
        <v>2140</v>
      </c>
      <c r="B267" s="167" t="s">
        <v>165</v>
      </c>
      <c r="C267" s="167" t="s">
        <v>2141</v>
      </c>
      <c r="D267" s="11">
        <v>13576909746</v>
      </c>
      <c r="E267" s="167" t="s">
        <v>156</v>
      </c>
      <c r="F267" s="167" t="s">
        <v>13</v>
      </c>
      <c r="G267" s="11">
        <v>202102003</v>
      </c>
      <c r="H267" s="167" t="s">
        <v>157</v>
      </c>
      <c r="I267" s="167" t="s">
        <v>540</v>
      </c>
      <c r="J267" s="167" t="s">
        <v>298</v>
      </c>
      <c r="K267" s="167" t="s">
        <v>160</v>
      </c>
      <c r="L267" s="167" t="s">
        <v>180</v>
      </c>
      <c r="M267" s="167" t="s">
        <v>13</v>
      </c>
      <c r="N267" s="167" t="s">
        <v>2143</v>
      </c>
      <c r="O267" s="12" t="str">
        <f>_xlfn.DISPIMG("ID_5B22FFE3C77C4E8C9BD243D72EC649E2",1)</f>
        <v>=DISPIMG("ID_5B22FFE3C77C4E8C9BD243D72EC649E2",1)</v>
      </c>
      <c r="P267" s="11" t="s">
        <v>2144</v>
      </c>
      <c r="Q267" s="11">
        <v>251</v>
      </c>
      <c r="R267" s="17" t="s">
        <v>4582</v>
      </c>
      <c r="S267" s="18" t="s">
        <v>54</v>
      </c>
      <c r="T267" s="11">
        <v>16</v>
      </c>
    </row>
    <row r="268" s="3" customFormat="1" customHeight="1" spans="1:20">
      <c r="A268" s="167" t="s">
        <v>2147</v>
      </c>
      <c r="B268" s="167" t="s">
        <v>165</v>
      </c>
      <c r="C268" s="167" t="s">
        <v>2148</v>
      </c>
      <c r="D268" s="11">
        <v>18870849075</v>
      </c>
      <c r="E268" s="167" t="s">
        <v>156</v>
      </c>
      <c r="F268" s="167" t="s">
        <v>13</v>
      </c>
      <c r="G268" s="11">
        <v>202102003</v>
      </c>
      <c r="H268" s="167" t="s">
        <v>157</v>
      </c>
      <c r="I268" s="167" t="s">
        <v>2150</v>
      </c>
      <c r="J268" s="167" t="s">
        <v>1832</v>
      </c>
      <c r="K268" s="167" t="s">
        <v>160</v>
      </c>
      <c r="L268" s="167" t="s">
        <v>2151</v>
      </c>
      <c r="M268" s="167" t="s">
        <v>13</v>
      </c>
      <c r="N268" s="167" t="s">
        <v>2152</v>
      </c>
      <c r="O268" s="12" t="str">
        <f>_xlfn.DISPIMG("ID_AE861B6E26D2460C9E654A52BE43B6F4",1)</f>
        <v>=DISPIMG("ID_AE861B6E26D2460C9E654A52BE43B6F4",1)</v>
      </c>
      <c r="P268" s="11" t="s">
        <v>2153</v>
      </c>
      <c r="Q268" s="11">
        <v>252</v>
      </c>
      <c r="R268" s="17" t="s">
        <v>4583</v>
      </c>
      <c r="S268" s="18" t="s">
        <v>54</v>
      </c>
      <c r="T268" s="11">
        <v>21</v>
      </c>
    </row>
    <row r="269" s="3" customFormat="1" customHeight="1" spans="1:20">
      <c r="A269" s="167" t="s">
        <v>2156</v>
      </c>
      <c r="B269" s="167" t="s">
        <v>165</v>
      </c>
      <c r="C269" s="167" t="s">
        <v>2157</v>
      </c>
      <c r="D269" s="11">
        <v>17707083376</v>
      </c>
      <c r="E269" s="167" t="s">
        <v>156</v>
      </c>
      <c r="F269" s="167" t="s">
        <v>13</v>
      </c>
      <c r="G269" s="11">
        <v>202102003</v>
      </c>
      <c r="H269" s="167" t="s">
        <v>157</v>
      </c>
      <c r="I269" s="167" t="s">
        <v>2159</v>
      </c>
      <c r="J269" s="167" t="s">
        <v>179</v>
      </c>
      <c r="K269" s="167" t="s">
        <v>170</v>
      </c>
      <c r="L269" s="167" t="s">
        <v>2160</v>
      </c>
      <c r="M269" s="167" t="s">
        <v>13</v>
      </c>
      <c r="N269" s="167" t="s">
        <v>2161</v>
      </c>
      <c r="O269" s="12" t="str">
        <f>_xlfn.DISPIMG("ID_40A8AEA41DF44D5AB3229E18DF729A74",1)</f>
        <v>=DISPIMG("ID_40A8AEA41DF44D5AB3229E18DF729A74",1)</v>
      </c>
      <c r="P269" s="11" t="s">
        <v>2162</v>
      </c>
      <c r="Q269" s="11">
        <v>253</v>
      </c>
      <c r="R269" s="17" t="s">
        <v>4584</v>
      </c>
      <c r="S269" s="18" t="s">
        <v>54</v>
      </c>
      <c r="T269" s="11">
        <v>28</v>
      </c>
    </row>
    <row r="270" s="3" customFormat="1" customHeight="1" spans="1:20">
      <c r="A270" s="167" t="s">
        <v>2188</v>
      </c>
      <c r="B270" s="167" t="s">
        <v>165</v>
      </c>
      <c r="C270" s="167" t="s">
        <v>2189</v>
      </c>
      <c r="D270" s="11">
        <v>15297925516</v>
      </c>
      <c r="E270" s="167" t="s">
        <v>156</v>
      </c>
      <c r="F270" s="167" t="s">
        <v>13</v>
      </c>
      <c r="G270" s="11">
        <v>202102003</v>
      </c>
      <c r="H270" s="167" t="s">
        <v>157</v>
      </c>
      <c r="I270" s="167" t="s">
        <v>178</v>
      </c>
      <c r="J270" s="167" t="s">
        <v>179</v>
      </c>
      <c r="K270" s="167" t="s">
        <v>170</v>
      </c>
      <c r="L270" s="167" t="s">
        <v>161</v>
      </c>
      <c r="M270" s="167" t="s">
        <v>25</v>
      </c>
      <c r="N270" s="11">
        <v>0</v>
      </c>
      <c r="O270" s="12" t="str">
        <f>_xlfn.DISPIMG("ID_D5F43AB9EBAD44A4B07E87AF936A6299",1)</f>
        <v>=DISPIMG("ID_D5F43AB9EBAD44A4B07E87AF936A6299",1)</v>
      </c>
      <c r="P270" s="11" t="s">
        <v>2191</v>
      </c>
      <c r="Q270" s="11">
        <v>257</v>
      </c>
      <c r="R270" s="17" t="s">
        <v>4585</v>
      </c>
      <c r="S270" s="18" t="s">
        <v>54</v>
      </c>
      <c r="T270" s="11">
        <v>3</v>
      </c>
    </row>
    <row r="271" s="3" customFormat="1" customHeight="1" spans="1:20">
      <c r="A271" s="167" t="s">
        <v>2203</v>
      </c>
      <c r="B271" s="167" t="s">
        <v>165</v>
      </c>
      <c r="C271" s="167" t="s">
        <v>2204</v>
      </c>
      <c r="D271" s="11">
        <v>18702523558</v>
      </c>
      <c r="E271" s="167" t="s">
        <v>156</v>
      </c>
      <c r="F271" s="167" t="s">
        <v>13</v>
      </c>
      <c r="G271" s="11">
        <v>202102003</v>
      </c>
      <c r="H271" s="167" t="s">
        <v>157</v>
      </c>
      <c r="I271" s="167" t="s">
        <v>646</v>
      </c>
      <c r="J271" s="167" t="s">
        <v>179</v>
      </c>
      <c r="K271" s="167" t="s">
        <v>170</v>
      </c>
      <c r="L271" s="167" t="s">
        <v>368</v>
      </c>
      <c r="M271" s="167" t="s">
        <v>25</v>
      </c>
      <c r="N271" s="167" t="s">
        <v>2206</v>
      </c>
      <c r="O271" s="12" t="str">
        <f>_xlfn.DISPIMG("ID_06812EDB7CE84D14BCAEC56B86A3FB64",1)</f>
        <v>=DISPIMG("ID_06812EDB7CE84D14BCAEC56B86A3FB64",1)</v>
      </c>
      <c r="P271" s="11" t="s">
        <v>2207</v>
      </c>
      <c r="Q271" s="11">
        <v>259</v>
      </c>
      <c r="R271" s="17" t="s">
        <v>4586</v>
      </c>
      <c r="S271" s="18" t="s">
        <v>54</v>
      </c>
      <c r="T271" s="11">
        <v>10</v>
      </c>
    </row>
    <row r="272" s="3" customFormat="1" customHeight="1" spans="1:20">
      <c r="A272" s="167" t="s">
        <v>2256</v>
      </c>
      <c r="B272" s="167" t="s">
        <v>165</v>
      </c>
      <c r="C272" s="167" t="s">
        <v>2257</v>
      </c>
      <c r="D272" s="11">
        <v>18379620695</v>
      </c>
      <c r="E272" s="167" t="s">
        <v>156</v>
      </c>
      <c r="F272" s="167" t="s">
        <v>13</v>
      </c>
      <c r="G272" s="11">
        <v>202102003</v>
      </c>
      <c r="H272" s="167" t="s">
        <v>157</v>
      </c>
      <c r="I272" s="167" t="s">
        <v>2259</v>
      </c>
      <c r="J272" s="167" t="s">
        <v>2260</v>
      </c>
      <c r="K272" s="167" t="s">
        <v>170</v>
      </c>
      <c r="L272" s="167" t="s">
        <v>252</v>
      </c>
      <c r="M272" s="167" t="s">
        <v>13</v>
      </c>
      <c r="N272" s="167" t="s">
        <v>2261</v>
      </c>
      <c r="O272" s="12" t="str">
        <f>_xlfn.DISPIMG("ID_796E86B7DB7B4E23A74B2B041E7E25B9",1)</f>
        <v>=DISPIMG("ID_796E86B7DB7B4E23A74B2B041E7E25B9",1)</v>
      </c>
      <c r="P272" s="11" t="s">
        <v>2262</v>
      </c>
      <c r="Q272" s="11">
        <v>266</v>
      </c>
      <c r="R272" s="17" t="s">
        <v>4587</v>
      </c>
      <c r="S272" s="18" t="s">
        <v>54</v>
      </c>
      <c r="T272" s="11">
        <v>15</v>
      </c>
    </row>
    <row r="273" s="3" customFormat="1" customHeight="1" spans="1:20">
      <c r="A273" s="167" t="s">
        <v>2280</v>
      </c>
      <c r="B273" s="167" t="s">
        <v>153</v>
      </c>
      <c r="C273" s="167" t="s">
        <v>2281</v>
      </c>
      <c r="D273" s="11">
        <v>18679290186</v>
      </c>
      <c r="E273" s="167" t="s">
        <v>156</v>
      </c>
      <c r="F273" s="167" t="s">
        <v>13</v>
      </c>
      <c r="G273" s="11">
        <v>202102003</v>
      </c>
      <c r="H273" s="167" t="s">
        <v>279</v>
      </c>
      <c r="I273" s="167" t="s">
        <v>233</v>
      </c>
      <c r="J273" s="167" t="s">
        <v>223</v>
      </c>
      <c r="K273" s="167" t="s">
        <v>170</v>
      </c>
      <c r="L273" s="167" t="s">
        <v>2283</v>
      </c>
      <c r="M273" s="167" t="s">
        <v>2284</v>
      </c>
      <c r="N273" s="167" t="s">
        <v>2285</v>
      </c>
      <c r="O273" s="12" t="str">
        <f>_xlfn.DISPIMG("ID_89FA20207CD0456DA5278484203F3141",1)</f>
        <v>=DISPIMG("ID_89FA20207CD0456DA5278484203F3141",1)</v>
      </c>
      <c r="P273" s="11" t="s">
        <v>2286</v>
      </c>
      <c r="Q273" s="11">
        <v>269</v>
      </c>
      <c r="R273" s="17" t="s">
        <v>4588</v>
      </c>
      <c r="S273" s="18" t="s">
        <v>54</v>
      </c>
      <c r="T273" s="11">
        <v>22</v>
      </c>
    </row>
    <row r="274" s="3" customFormat="1" customHeight="1" spans="1:20">
      <c r="A274" s="167" t="s">
        <v>2289</v>
      </c>
      <c r="B274" s="167" t="s">
        <v>165</v>
      </c>
      <c r="C274" s="167" t="s">
        <v>2290</v>
      </c>
      <c r="D274" s="11">
        <v>18170815855</v>
      </c>
      <c r="E274" s="167" t="s">
        <v>156</v>
      </c>
      <c r="F274" s="167" t="s">
        <v>13</v>
      </c>
      <c r="G274" s="11">
        <v>202102003</v>
      </c>
      <c r="H274" s="167" t="s">
        <v>157</v>
      </c>
      <c r="I274" s="167" t="s">
        <v>158</v>
      </c>
      <c r="J274" s="167" t="s">
        <v>223</v>
      </c>
      <c r="K274" s="167" t="s">
        <v>170</v>
      </c>
      <c r="L274" s="167" t="s">
        <v>349</v>
      </c>
      <c r="M274" s="167" t="s">
        <v>1692</v>
      </c>
      <c r="N274" s="167" t="s">
        <v>2290</v>
      </c>
      <c r="O274" s="12" t="str">
        <f>_xlfn.DISPIMG("ID_BC3CD3F4A07B4F5DB131E901992815BA",1)</f>
        <v>=DISPIMG("ID_BC3CD3F4A07B4F5DB131E901992815BA",1)</v>
      </c>
      <c r="P274" s="11" t="s">
        <v>2291</v>
      </c>
      <c r="Q274" s="11">
        <v>270</v>
      </c>
      <c r="R274" s="17" t="s">
        <v>4589</v>
      </c>
      <c r="S274" s="18" t="s">
        <v>54</v>
      </c>
      <c r="T274" s="11">
        <v>27</v>
      </c>
    </row>
    <row r="275" s="3" customFormat="1" customHeight="1" spans="1:20">
      <c r="A275" s="167" t="s">
        <v>2303</v>
      </c>
      <c r="B275" s="167" t="s">
        <v>165</v>
      </c>
      <c r="C275" s="167" t="s">
        <v>2304</v>
      </c>
      <c r="D275" s="11">
        <v>18397921329</v>
      </c>
      <c r="E275" s="167" t="s">
        <v>156</v>
      </c>
      <c r="F275" s="167" t="s">
        <v>13</v>
      </c>
      <c r="G275" s="11">
        <v>202102003</v>
      </c>
      <c r="H275" s="167" t="s">
        <v>157</v>
      </c>
      <c r="I275" s="167" t="s">
        <v>233</v>
      </c>
      <c r="J275" s="167" t="s">
        <v>1832</v>
      </c>
      <c r="K275" s="167" t="s">
        <v>160</v>
      </c>
      <c r="L275" s="167" t="s">
        <v>161</v>
      </c>
      <c r="M275" s="167" t="s">
        <v>2284</v>
      </c>
      <c r="N275" s="11">
        <v>0</v>
      </c>
      <c r="O275" s="12" t="str">
        <f>_xlfn.DISPIMG("ID_D3E1E42587914F6EA2229B8441CD1EF2",1)</f>
        <v>=DISPIMG("ID_D3E1E42587914F6EA2229B8441CD1EF2",1)</v>
      </c>
      <c r="P275" s="11" t="s">
        <v>2306</v>
      </c>
      <c r="Q275" s="11">
        <v>272</v>
      </c>
      <c r="R275" s="17" t="s">
        <v>4590</v>
      </c>
      <c r="S275" s="18" t="s">
        <v>54</v>
      </c>
      <c r="T275" s="11">
        <v>2</v>
      </c>
    </row>
    <row r="276" s="3" customFormat="1" customHeight="1" spans="1:20">
      <c r="A276" s="167" t="s">
        <v>2422</v>
      </c>
      <c r="B276" s="167" t="s">
        <v>165</v>
      </c>
      <c r="C276" s="167" t="s">
        <v>2423</v>
      </c>
      <c r="D276" s="11">
        <v>18720291058</v>
      </c>
      <c r="E276" s="167" t="s">
        <v>156</v>
      </c>
      <c r="F276" s="167" t="s">
        <v>13</v>
      </c>
      <c r="G276" s="11">
        <v>202102003</v>
      </c>
      <c r="H276" s="167" t="s">
        <v>157</v>
      </c>
      <c r="I276" s="167" t="s">
        <v>2425</v>
      </c>
      <c r="J276" s="167" t="s">
        <v>395</v>
      </c>
      <c r="K276" s="167" t="s">
        <v>160</v>
      </c>
      <c r="L276" s="167" t="s">
        <v>577</v>
      </c>
      <c r="M276" s="167" t="s">
        <v>324</v>
      </c>
      <c r="N276" s="167" t="s">
        <v>2426</v>
      </c>
      <c r="O276" s="12" t="str">
        <f>_xlfn.DISPIMG("ID_93FC4398D0D24B119D9D1B8E0038C2BD",1)</f>
        <v>=DISPIMG("ID_93FC4398D0D24B119D9D1B8E0038C2BD",1)</v>
      </c>
      <c r="P276" s="11" t="s">
        <v>2427</v>
      </c>
      <c r="Q276" s="11">
        <v>288</v>
      </c>
      <c r="R276" s="17" t="s">
        <v>4591</v>
      </c>
      <c r="S276" s="18" t="s">
        <v>54</v>
      </c>
      <c r="T276" s="11">
        <v>11</v>
      </c>
    </row>
    <row r="277" s="3" customFormat="1" customHeight="1" spans="1:20">
      <c r="A277" s="167" t="s">
        <v>2532</v>
      </c>
      <c r="B277" s="167" t="s">
        <v>165</v>
      </c>
      <c r="C277" s="167" t="s">
        <v>2533</v>
      </c>
      <c r="D277" s="11">
        <v>13687926524</v>
      </c>
      <c r="E277" s="167" t="s">
        <v>156</v>
      </c>
      <c r="F277" s="167" t="s">
        <v>13</v>
      </c>
      <c r="G277" s="11">
        <v>202102003</v>
      </c>
      <c r="H277" s="167" t="s">
        <v>157</v>
      </c>
      <c r="I277" s="167" t="s">
        <v>2535</v>
      </c>
      <c r="J277" s="167" t="s">
        <v>179</v>
      </c>
      <c r="K277" s="167" t="s">
        <v>160</v>
      </c>
      <c r="L277" s="167" t="s">
        <v>161</v>
      </c>
      <c r="M277" s="167" t="s">
        <v>13</v>
      </c>
      <c r="N277" s="11">
        <v>0</v>
      </c>
      <c r="O277" s="12" t="str">
        <f>_xlfn.DISPIMG("ID_B2A378810E7443059EBD825CE991BFE9",1)</f>
        <v>=DISPIMG("ID_B2A378810E7443059EBD825CE991BFE9",1)</v>
      </c>
      <c r="P277" s="11" t="s">
        <v>2536</v>
      </c>
      <c r="Q277" s="11">
        <v>303</v>
      </c>
      <c r="R277" s="17" t="s">
        <v>4592</v>
      </c>
      <c r="S277" s="18" t="s">
        <v>54</v>
      </c>
      <c r="T277" s="11">
        <v>14</v>
      </c>
    </row>
    <row r="278" s="3" customFormat="1" customHeight="1" spans="1:20">
      <c r="A278" s="167" t="s">
        <v>2547</v>
      </c>
      <c r="B278" s="167" t="s">
        <v>165</v>
      </c>
      <c r="C278" s="167" t="s">
        <v>2548</v>
      </c>
      <c r="D278" s="11">
        <v>18779213164</v>
      </c>
      <c r="E278" s="167" t="s">
        <v>156</v>
      </c>
      <c r="F278" s="167" t="s">
        <v>13</v>
      </c>
      <c r="G278" s="11">
        <v>202102003</v>
      </c>
      <c r="H278" s="167" t="s">
        <v>157</v>
      </c>
      <c r="I278" s="167" t="s">
        <v>158</v>
      </c>
      <c r="J278" s="167" t="s">
        <v>179</v>
      </c>
      <c r="K278" s="167" t="s">
        <v>170</v>
      </c>
      <c r="L278" s="167" t="s">
        <v>2550</v>
      </c>
      <c r="M278" s="167" t="s">
        <v>2551</v>
      </c>
      <c r="N278" s="167" t="s">
        <v>2552</v>
      </c>
      <c r="O278" s="12" t="str">
        <f>_xlfn.DISPIMG("ID_4531DA1F574D4F7CA2AF28BAD514AF1A",1)</f>
        <v>=DISPIMG("ID_4531DA1F574D4F7CA2AF28BAD514AF1A",1)</v>
      </c>
      <c r="P278" s="11" t="s">
        <v>2553</v>
      </c>
      <c r="Q278" s="11">
        <v>305</v>
      </c>
      <c r="R278" s="17" t="s">
        <v>4593</v>
      </c>
      <c r="S278" s="18" t="s">
        <v>54</v>
      </c>
      <c r="T278" s="11">
        <v>23</v>
      </c>
    </row>
    <row r="279" s="3" customFormat="1" customHeight="1" spans="1:20">
      <c r="A279" s="167" t="s">
        <v>2578</v>
      </c>
      <c r="B279" s="167" t="s">
        <v>165</v>
      </c>
      <c r="C279" s="167" t="s">
        <v>2579</v>
      </c>
      <c r="D279" s="11">
        <v>13907924069</v>
      </c>
      <c r="E279" s="167" t="s">
        <v>506</v>
      </c>
      <c r="F279" s="167" t="s">
        <v>13</v>
      </c>
      <c r="G279" s="11">
        <v>202102016</v>
      </c>
      <c r="H279" s="167" t="s">
        <v>279</v>
      </c>
      <c r="I279" s="167" t="s">
        <v>1237</v>
      </c>
      <c r="J279" s="167" t="s">
        <v>169</v>
      </c>
      <c r="K279" s="167" t="s">
        <v>170</v>
      </c>
      <c r="L279" s="167" t="s">
        <v>161</v>
      </c>
      <c r="M279" s="167" t="s">
        <v>2284</v>
      </c>
      <c r="N279" s="167" t="s">
        <v>2581</v>
      </c>
      <c r="O279" s="12" t="str">
        <f>_xlfn.DISPIMG("ID_1B69D0009E5944278A43199D519E50CB",1)</f>
        <v>=DISPIMG("ID_1B69D0009E5944278A43199D519E50CB",1)</v>
      </c>
      <c r="P279" s="11" t="s">
        <v>2582</v>
      </c>
      <c r="Q279" s="11">
        <v>309</v>
      </c>
      <c r="R279" s="17" t="s">
        <v>4594</v>
      </c>
      <c r="S279" s="18" t="s">
        <v>54</v>
      </c>
      <c r="T279" s="11">
        <v>26</v>
      </c>
    </row>
    <row r="280" s="3" customFormat="1" customHeight="1" spans="1:20">
      <c r="A280" s="167" t="s">
        <v>2585</v>
      </c>
      <c r="B280" s="167" t="s">
        <v>153</v>
      </c>
      <c r="C280" s="167" t="s">
        <v>2586</v>
      </c>
      <c r="D280" s="11">
        <v>18870098307</v>
      </c>
      <c r="E280" s="167" t="s">
        <v>156</v>
      </c>
      <c r="F280" s="167" t="s">
        <v>13</v>
      </c>
      <c r="G280" s="11">
        <v>202102003</v>
      </c>
      <c r="H280" s="167" t="s">
        <v>157</v>
      </c>
      <c r="I280" s="167" t="s">
        <v>233</v>
      </c>
      <c r="J280" s="167" t="s">
        <v>179</v>
      </c>
      <c r="K280" s="167" t="s">
        <v>160</v>
      </c>
      <c r="L280" s="167" t="s">
        <v>2298</v>
      </c>
      <c r="M280" s="167" t="s">
        <v>1692</v>
      </c>
      <c r="N280" s="167" t="s">
        <v>2588</v>
      </c>
      <c r="O280" s="12" t="str">
        <f>_xlfn.DISPIMG("ID_C226BACFF043492F9C2831E3F2035CBF",1)</f>
        <v>=DISPIMG("ID_C226BACFF043492F9C2831E3F2035CBF",1)</v>
      </c>
      <c r="P280" s="11" t="s">
        <v>2589</v>
      </c>
      <c r="Q280" s="11">
        <v>310</v>
      </c>
      <c r="R280" s="17" t="s">
        <v>4595</v>
      </c>
      <c r="S280" s="18" t="s">
        <v>54</v>
      </c>
      <c r="T280" s="11">
        <v>1</v>
      </c>
    </row>
    <row r="281" s="3" customFormat="1" customHeight="1" spans="1:20">
      <c r="A281" s="167" t="s">
        <v>2592</v>
      </c>
      <c r="B281" s="167" t="s">
        <v>165</v>
      </c>
      <c r="C281" s="167" t="s">
        <v>2593</v>
      </c>
      <c r="D281" s="11">
        <v>15179254283</v>
      </c>
      <c r="E281" s="167" t="s">
        <v>156</v>
      </c>
      <c r="F281" s="167" t="s">
        <v>13</v>
      </c>
      <c r="G281" s="11">
        <v>202102003</v>
      </c>
      <c r="H281" s="167" t="s">
        <v>157</v>
      </c>
      <c r="I281" s="167" t="s">
        <v>269</v>
      </c>
      <c r="J281" s="167" t="s">
        <v>298</v>
      </c>
      <c r="K281" s="167" t="s">
        <v>160</v>
      </c>
      <c r="L281" s="167" t="s">
        <v>161</v>
      </c>
      <c r="M281" s="167" t="s">
        <v>13</v>
      </c>
      <c r="N281" s="167" t="s">
        <v>2595</v>
      </c>
      <c r="O281" s="12" t="str">
        <f>_xlfn.DISPIMG("ID_4B5E37E946EA4E60BDCBA196E50050B9",1)</f>
        <v>=DISPIMG("ID_4B5E37E946EA4E60BDCBA196E50050B9",1)</v>
      </c>
      <c r="P281" s="11" t="s">
        <v>2596</v>
      </c>
      <c r="Q281" s="11">
        <v>311</v>
      </c>
      <c r="R281" s="17" t="s">
        <v>4596</v>
      </c>
      <c r="S281" s="18" t="s">
        <v>54</v>
      </c>
      <c r="T281" s="11">
        <v>12</v>
      </c>
    </row>
    <row r="282" s="3" customFormat="1" customHeight="1" spans="1:20">
      <c r="A282" s="167" t="s">
        <v>2620</v>
      </c>
      <c r="B282" s="167" t="s">
        <v>165</v>
      </c>
      <c r="C282" s="167" t="s">
        <v>2621</v>
      </c>
      <c r="D282" s="11">
        <v>15374326855</v>
      </c>
      <c r="E282" s="167" t="s">
        <v>156</v>
      </c>
      <c r="F282" s="167" t="s">
        <v>13</v>
      </c>
      <c r="G282" s="11">
        <v>202102003</v>
      </c>
      <c r="H282" s="167" t="s">
        <v>279</v>
      </c>
      <c r="I282" s="167" t="s">
        <v>2623</v>
      </c>
      <c r="J282" s="167" t="s">
        <v>223</v>
      </c>
      <c r="K282" s="167" t="s">
        <v>170</v>
      </c>
      <c r="L282" s="167" t="s">
        <v>587</v>
      </c>
      <c r="M282" s="167" t="s">
        <v>487</v>
      </c>
      <c r="N282" s="167" t="s">
        <v>2624</v>
      </c>
      <c r="O282" s="12" t="str">
        <f>_xlfn.DISPIMG("ID_2F48B8B967A44C168C6D69CE2A1FBAF0",1)</f>
        <v>=DISPIMG("ID_2F48B8B967A44C168C6D69CE2A1FBAF0",1)</v>
      </c>
      <c r="P282" s="11" t="s">
        <v>2625</v>
      </c>
      <c r="Q282" s="11">
        <v>315</v>
      </c>
      <c r="R282" s="17" t="s">
        <v>4597</v>
      </c>
      <c r="S282" s="18" t="s">
        <v>54</v>
      </c>
      <c r="T282" s="11">
        <v>13</v>
      </c>
    </row>
    <row r="283" s="3" customFormat="1" customHeight="1" spans="1:20">
      <c r="A283" s="167" t="s">
        <v>2698</v>
      </c>
      <c r="B283" s="167" t="s">
        <v>165</v>
      </c>
      <c r="C283" s="167" t="s">
        <v>2699</v>
      </c>
      <c r="D283" s="11">
        <v>17879865970</v>
      </c>
      <c r="E283" s="167" t="s">
        <v>156</v>
      </c>
      <c r="F283" s="167" t="s">
        <v>13</v>
      </c>
      <c r="G283" s="11">
        <v>202102003</v>
      </c>
      <c r="H283" s="167" t="s">
        <v>157</v>
      </c>
      <c r="I283" s="167" t="s">
        <v>603</v>
      </c>
      <c r="J283" s="167" t="s">
        <v>179</v>
      </c>
      <c r="K283" s="167" t="s">
        <v>160</v>
      </c>
      <c r="L283" s="167" t="s">
        <v>161</v>
      </c>
      <c r="M283" s="167" t="s">
        <v>13</v>
      </c>
      <c r="N283" s="167" t="s">
        <v>2701</v>
      </c>
      <c r="O283" s="12" t="str">
        <f>_xlfn.DISPIMG("ID_F144CD0E4B7B43F08EC41420B132D7BF",1)</f>
        <v>=DISPIMG("ID_F144CD0E4B7B43F08EC41420B132D7BF",1)</v>
      </c>
      <c r="P283" s="11" t="s">
        <v>2702</v>
      </c>
      <c r="Q283" s="11">
        <v>325</v>
      </c>
      <c r="R283" s="17" t="s">
        <v>4598</v>
      </c>
      <c r="S283" s="18" t="s">
        <v>54</v>
      </c>
      <c r="T283" s="11">
        <v>24</v>
      </c>
    </row>
    <row r="284" s="3" customFormat="1" customHeight="1" spans="1:20">
      <c r="A284" s="167" t="s">
        <v>2711</v>
      </c>
      <c r="B284" s="167" t="s">
        <v>165</v>
      </c>
      <c r="C284" s="167" t="s">
        <v>2712</v>
      </c>
      <c r="D284" s="11">
        <v>17722507024</v>
      </c>
      <c r="E284" s="167" t="s">
        <v>156</v>
      </c>
      <c r="F284" s="167" t="s">
        <v>13</v>
      </c>
      <c r="G284" s="11">
        <v>202102003</v>
      </c>
      <c r="H284" s="167" t="s">
        <v>157</v>
      </c>
      <c r="I284" s="167" t="s">
        <v>2714</v>
      </c>
      <c r="J284" s="167" t="s">
        <v>179</v>
      </c>
      <c r="K284" s="167" t="s">
        <v>160</v>
      </c>
      <c r="L284" s="167" t="s">
        <v>216</v>
      </c>
      <c r="M284" s="167" t="s">
        <v>13</v>
      </c>
      <c r="N284" s="11">
        <v>0</v>
      </c>
      <c r="O284" s="12" t="str">
        <f>_xlfn.DISPIMG("ID_8518D0C3018F4000B213F1115E41EEAA",1)</f>
        <v>=DISPIMG("ID_8518D0C3018F4000B213F1115E41EEAA",1)</v>
      </c>
      <c r="P284" s="11" t="s">
        <v>2715</v>
      </c>
      <c r="Q284" s="11">
        <v>327</v>
      </c>
      <c r="R284" s="17" t="s">
        <v>4599</v>
      </c>
      <c r="S284" s="18" t="s">
        <v>54</v>
      </c>
      <c r="T284" s="11">
        <v>25</v>
      </c>
    </row>
    <row r="285" s="3" customFormat="1" customHeight="1" spans="1:20">
      <c r="A285" s="167" t="s">
        <v>2753</v>
      </c>
      <c r="B285" s="167" t="s">
        <v>165</v>
      </c>
      <c r="C285" s="167" t="s">
        <v>2754</v>
      </c>
      <c r="D285" s="11">
        <v>18770057517</v>
      </c>
      <c r="E285" s="167" t="s">
        <v>156</v>
      </c>
      <c r="F285" s="167" t="s">
        <v>13</v>
      </c>
      <c r="G285" s="11">
        <v>202102003</v>
      </c>
      <c r="H285" s="167" t="s">
        <v>157</v>
      </c>
      <c r="I285" s="167" t="s">
        <v>646</v>
      </c>
      <c r="J285" s="167" t="s">
        <v>179</v>
      </c>
      <c r="K285" s="167" t="s">
        <v>160</v>
      </c>
      <c r="L285" s="167" t="s">
        <v>548</v>
      </c>
      <c r="M285" s="167" t="s">
        <v>2284</v>
      </c>
      <c r="N285" s="167" t="s">
        <v>2756</v>
      </c>
      <c r="O285" s="12" t="str">
        <f>_xlfn.DISPIMG("ID_2E6C674524F0427FBB4E2C3FFA53D3DF",1)</f>
        <v>=DISPIMG("ID_2E6C674524F0427FBB4E2C3FFA53D3DF",1)</v>
      </c>
      <c r="P285" s="11" t="s">
        <v>2757</v>
      </c>
      <c r="Q285" s="11">
        <v>333</v>
      </c>
      <c r="R285" s="17" t="s">
        <v>4600</v>
      </c>
      <c r="S285" s="18" t="s">
        <v>55</v>
      </c>
      <c r="T285" s="11">
        <v>6</v>
      </c>
    </row>
    <row r="286" s="3" customFormat="1" customHeight="1" spans="1:20">
      <c r="A286" s="167" t="s">
        <v>2760</v>
      </c>
      <c r="B286" s="167" t="s">
        <v>165</v>
      </c>
      <c r="C286" s="167" t="s">
        <v>2761</v>
      </c>
      <c r="D286" s="11">
        <v>18296291050</v>
      </c>
      <c r="E286" s="167" t="s">
        <v>156</v>
      </c>
      <c r="F286" s="167" t="s">
        <v>13</v>
      </c>
      <c r="G286" s="11">
        <v>202102003</v>
      </c>
      <c r="H286" s="167" t="s">
        <v>157</v>
      </c>
      <c r="I286" s="167" t="s">
        <v>2763</v>
      </c>
      <c r="J286" s="167" t="s">
        <v>179</v>
      </c>
      <c r="K286" s="167" t="s">
        <v>160</v>
      </c>
      <c r="L286" s="167" t="s">
        <v>261</v>
      </c>
      <c r="M286" s="167" t="s">
        <v>487</v>
      </c>
      <c r="N286" s="11">
        <v>0</v>
      </c>
      <c r="O286" s="12" t="str">
        <f>_xlfn.DISPIMG("ID_345E5ECE839B455186CF8C80E701C44C",1)</f>
        <v>=DISPIMG("ID_345E5ECE839B455186CF8C80E701C44C",1)</v>
      </c>
      <c r="P286" s="11" t="s">
        <v>2764</v>
      </c>
      <c r="Q286" s="11">
        <v>334</v>
      </c>
      <c r="R286" s="17" t="s">
        <v>4601</v>
      </c>
      <c r="S286" s="18" t="s">
        <v>55</v>
      </c>
      <c r="T286" s="11">
        <v>7</v>
      </c>
    </row>
    <row r="287" s="3" customFormat="1" customHeight="1" spans="1:20">
      <c r="A287" s="167" t="s">
        <v>2781</v>
      </c>
      <c r="B287" s="167" t="s">
        <v>165</v>
      </c>
      <c r="C287" s="167" t="s">
        <v>2782</v>
      </c>
      <c r="D287" s="11">
        <v>15720953943</v>
      </c>
      <c r="E287" s="167" t="s">
        <v>156</v>
      </c>
      <c r="F287" s="167" t="s">
        <v>13</v>
      </c>
      <c r="G287" s="11">
        <v>202102003</v>
      </c>
      <c r="H287" s="167" t="s">
        <v>279</v>
      </c>
      <c r="I287" s="167" t="s">
        <v>178</v>
      </c>
      <c r="J287" s="167" t="s">
        <v>223</v>
      </c>
      <c r="K287" s="167" t="s">
        <v>170</v>
      </c>
      <c r="L287" s="167" t="s">
        <v>281</v>
      </c>
      <c r="M287" s="167" t="s">
        <v>13</v>
      </c>
      <c r="N287" s="167" t="s">
        <v>2784</v>
      </c>
      <c r="O287" s="12" t="str">
        <f>_xlfn.DISPIMG("ID_88B18CBF153241AE8E07B8EDC59079D6",1)</f>
        <v>=DISPIMG("ID_88B18CBF153241AE8E07B8EDC59079D6",1)</v>
      </c>
      <c r="P287" s="11" t="s">
        <v>2785</v>
      </c>
      <c r="Q287" s="11">
        <v>337</v>
      </c>
      <c r="R287" s="17" t="s">
        <v>4602</v>
      </c>
      <c r="S287" s="18" t="s">
        <v>55</v>
      </c>
      <c r="T287" s="11">
        <v>18</v>
      </c>
    </row>
    <row r="288" s="3" customFormat="1" customHeight="1" spans="1:20">
      <c r="A288" s="167" t="s">
        <v>2788</v>
      </c>
      <c r="B288" s="167" t="s">
        <v>165</v>
      </c>
      <c r="C288" s="167" t="s">
        <v>2789</v>
      </c>
      <c r="D288" s="11">
        <v>15727651558</v>
      </c>
      <c r="E288" s="167" t="s">
        <v>156</v>
      </c>
      <c r="F288" s="167" t="s">
        <v>13</v>
      </c>
      <c r="G288" s="11">
        <v>202102003</v>
      </c>
      <c r="H288" s="167" t="s">
        <v>157</v>
      </c>
      <c r="I288" s="167" t="s">
        <v>827</v>
      </c>
      <c r="J288" s="167" t="s">
        <v>223</v>
      </c>
      <c r="K288" s="167" t="s">
        <v>170</v>
      </c>
      <c r="L288" s="167" t="s">
        <v>306</v>
      </c>
      <c r="M288" s="167" t="s">
        <v>2791</v>
      </c>
      <c r="N288" s="167" t="s">
        <v>2792</v>
      </c>
      <c r="O288" s="12" t="str">
        <f>_xlfn.DISPIMG("ID_5273CD0F4AF44426A565D4F4C926815B",1)</f>
        <v>=DISPIMG("ID_5273CD0F4AF44426A565D4F4C926815B",1)</v>
      </c>
      <c r="P288" s="11" t="s">
        <v>2793</v>
      </c>
      <c r="Q288" s="11">
        <v>338</v>
      </c>
      <c r="R288" s="17" t="s">
        <v>4603</v>
      </c>
      <c r="S288" s="18" t="s">
        <v>55</v>
      </c>
      <c r="T288" s="11">
        <v>19</v>
      </c>
    </row>
    <row r="289" s="3" customFormat="1" customHeight="1" spans="1:20">
      <c r="A289" s="167" t="s">
        <v>2812</v>
      </c>
      <c r="B289" s="167" t="s">
        <v>165</v>
      </c>
      <c r="C289" s="167" t="s">
        <v>2813</v>
      </c>
      <c r="D289" s="11">
        <v>17770890987</v>
      </c>
      <c r="E289" s="167" t="s">
        <v>156</v>
      </c>
      <c r="F289" s="167" t="s">
        <v>13</v>
      </c>
      <c r="G289" s="11">
        <v>202102003</v>
      </c>
      <c r="H289" s="167" t="s">
        <v>157</v>
      </c>
      <c r="I289" s="167" t="s">
        <v>385</v>
      </c>
      <c r="J289" s="167" t="s">
        <v>179</v>
      </c>
      <c r="K289" s="167" t="s">
        <v>170</v>
      </c>
      <c r="L289" s="167" t="s">
        <v>2047</v>
      </c>
      <c r="M289" s="167" t="s">
        <v>1692</v>
      </c>
      <c r="N289" s="167" t="s">
        <v>2815</v>
      </c>
      <c r="O289" s="12" t="str">
        <f>_xlfn.DISPIMG("ID_5757AB93890A4F58A4EA7B46206D2416",1)</f>
        <v>=DISPIMG("ID_5757AB93890A4F58A4EA7B46206D2416",1)</v>
      </c>
      <c r="P289" s="11" t="s">
        <v>2816</v>
      </c>
      <c r="Q289" s="11">
        <v>341</v>
      </c>
      <c r="R289" s="17" t="s">
        <v>4604</v>
      </c>
      <c r="S289" s="18" t="s">
        <v>55</v>
      </c>
      <c r="T289" s="11">
        <v>30</v>
      </c>
    </row>
    <row r="290" s="3" customFormat="1" customHeight="1" spans="1:20">
      <c r="A290" s="167" t="s">
        <v>2819</v>
      </c>
      <c r="B290" s="167" t="s">
        <v>165</v>
      </c>
      <c r="C290" s="167" t="s">
        <v>2820</v>
      </c>
      <c r="D290" s="11">
        <v>18720151872</v>
      </c>
      <c r="E290" s="167" t="s">
        <v>156</v>
      </c>
      <c r="F290" s="167" t="s">
        <v>13</v>
      </c>
      <c r="G290" s="11">
        <v>202102003</v>
      </c>
      <c r="H290" s="167" t="s">
        <v>157</v>
      </c>
      <c r="I290" s="167" t="s">
        <v>269</v>
      </c>
      <c r="J290" s="167" t="s">
        <v>2821</v>
      </c>
      <c r="K290" s="167" t="s">
        <v>170</v>
      </c>
      <c r="L290" s="167" t="s">
        <v>455</v>
      </c>
      <c r="M290" s="167" t="s">
        <v>13</v>
      </c>
      <c r="N290" s="11">
        <v>0</v>
      </c>
      <c r="O290" s="12" t="str">
        <f>_xlfn.DISPIMG("ID_3C9269A8B40D486AA589E83B191F62F8",1)</f>
        <v>=DISPIMG("ID_3C9269A8B40D486AA589E83B191F62F8",1)</v>
      </c>
      <c r="P290" s="11" t="s">
        <v>2822</v>
      </c>
      <c r="Q290" s="11">
        <v>342</v>
      </c>
      <c r="R290" s="17" t="s">
        <v>4605</v>
      </c>
      <c r="S290" s="18" t="s">
        <v>55</v>
      </c>
      <c r="T290" s="11">
        <v>5</v>
      </c>
    </row>
    <row r="291" s="3" customFormat="1" customHeight="1" spans="1:20">
      <c r="A291" s="167" t="s">
        <v>2895</v>
      </c>
      <c r="B291" s="167" t="s">
        <v>165</v>
      </c>
      <c r="C291" s="167" t="s">
        <v>2896</v>
      </c>
      <c r="D291" s="11">
        <v>13667020095</v>
      </c>
      <c r="E291" s="167" t="s">
        <v>156</v>
      </c>
      <c r="F291" s="167" t="s">
        <v>13</v>
      </c>
      <c r="G291" s="11">
        <v>202102003</v>
      </c>
      <c r="H291" s="167" t="s">
        <v>157</v>
      </c>
      <c r="I291" s="167" t="s">
        <v>1413</v>
      </c>
      <c r="J291" s="167" t="s">
        <v>298</v>
      </c>
      <c r="K291" s="167" t="s">
        <v>160</v>
      </c>
      <c r="L291" s="167" t="s">
        <v>455</v>
      </c>
      <c r="M291" s="167" t="s">
        <v>13</v>
      </c>
      <c r="N291" s="11">
        <v>0</v>
      </c>
      <c r="O291" s="12" t="str">
        <f>_xlfn.DISPIMG("ID_C271EED4B7664E51B0603E12A2C5BA93",1)</f>
        <v>=DISPIMG("ID_C271EED4B7664E51B0603E12A2C5BA93",1)</v>
      </c>
      <c r="P291" s="11" t="s">
        <v>2898</v>
      </c>
      <c r="Q291" s="11">
        <v>352</v>
      </c>
      <c r="R291" s="17" t="s">
        <v>4606</v>
      </c>
      <c r="S291" s="18" t="s">
        <v>55</v>
      </c>
      <c r="T291" s="11">
        <v>8</v>
      </c>
    </row>
    <row r="292" s="3" customFormat="1" customHeight="1" spans="1:20">
      <c r="A292" s="167" t="s">
        <v>2901</v>
      </c>
      <c r="B292" s="167" t="s">
        <v>165</v>
      </c>
      <c r="C292" s="167" t="s">
        <v>2902</v>
      </c>
      <c r="D292" s="11">
        <v>18070124707</v>
      </c>
      <c r="E292" s="167" t="s">
        <v>156</v>
      </c>
      <c r="F292" s="167" t="s">
        <v>13</v>
      </c>
      <c r="G292" s="11">
        <v>202102003</v>
      </c>
      <c r="H292" s="167" t="s">
        <v>157</v>
      </c>
      <c r="I292" s="167" t="s">
        <v>2904</v>
      </c>
      <c r="J292" s="167" t="s">
        <v>2379</v>
      </c>
      <c r="K292" s="167" t="s">
        <v>160</v>
      </c>
      <c r="L292" s="167" t="s">
        <v>396</v>
      </c>
      <c r="M292" s="167" t="s">
        <v>13</v>
      </c>
      <c r="N292" s="11">
        <v>0</v>
      </c>
      <c r="O292" s="12" t="str">
        <f>_xlfn.DISPIMG("ID_C611D78CF3534BF4A6063B88C3B55BD9",1)</f>
        <v>=DISPIMG("ID_C611D78CF3534BF4A6063B88C3B55BD9",1)</v>
      </c>
      <c r="P292" s="11" t="s">
        <v>2905</v>
      </c>
      <c r="Q292" s="11">
        <v>353</v>
      </c>
      <c r="R292" s="17" t="s">
        <v>4607</v>
      </c>
      <c r="S292" s="18" t="s">
        <v>55</v>
      </c>
      <c r="T292" s="11">
        <v>17</v>
      </c>
    </row>
    <row r="293" s="6" customFormat="1" customHeight="1" spans="1:20">
      <c r="A293" s="167" t="s">
        <v>2932</v>
      </c>
      <c r="B293" s="167" t="s">
        <v>165</v>
      </c>
      <c r="C293" s="167" t="s">
        <v>2933</v>
      </c>
      <c r="D293" s="11">
        <v>13870255583</v>
      </c>
      <c r="E293" s="167" t="s">
        <v>156</v>
      </c>
      <c r="F293" s="167" t="s">
        <v>13</v>
      </c>
      <c r="G293" s="11">
        <v>202102003</v>
      </c>
      <c r="H293" s="167" t="s">
        <v>157</v>
      </c>
      <c r="I293" s="167" t="s">
        <v>385</v>
      </c>
      <c r="J293" s="167" t="s">
        <v>1832</v>
      </c>
      <c r="K293" s="167" t="s">
        <v>160</v>
      </c>
      <c r="L293" s="167" t="s">
        <v>2935</v>
      </c>
      <c r="M293" s="167" t="s">
        <v>487</v>
      </c>
      <c r="N293" s="167" t="s">
        <v>2936</v>
      </c>
      <c r="O293" s="12" t="str">
        <f>_xlfn.DISPIMG("ID_63C75D62D3BC4F35AC4FD3D224F21D03",1)</f>
        <v>=DISPIMG("ID_63C75D62D3BC4F35AC4FD3D224F21D03",1)</v>
      </c>
      <c r="P293" s="11" t="s">
        <v>2937</v>
      </c>
      <c r="Q293" s="11">
        <v>360</v>
      </c>
      <c r="R293" s="17" t="s">
        <v>4608</v>
      </c>
      <c r="S293" s="18" t="s">
        <v>55</v>
      </c>
      <c r="T293" s="11">
        <v>20</v>
      </c>
    </row>
    <row r="294" s="3" customFormat="1" customHeight="1" spans="1:20">
      <c r="A294" s="167" t="s">
        <v>3008</v>
      </c>
      <c r="B294" s="167" t="s">
        <v>165</v>
      </c>
      <c r="C294" s="167" t="s">
        <v>3009</v>
      </c>
      <c r="D294" s="11">
        <v>15180626109</v>
      </c>
      <c r="E294" s="167" t="s">
        <v>156</v>
      </c>
      <c r="F294" s="167" t="s">
        <v>13</v>
      </c>
      <c r="G294" s="11">
        <v>202102003</v>
      </c>
      <c r="H294" s="167" t="s">
        <v>157</v>
      </c>
      <c r="I294" s="167" t="s">
        <v>197</v>
      </c>
      <c r="J294" s="167" t="s">
        <v>179</v>
      </c>
      <c r="K294" s="167" t="s">
        <v>160</v>
      </c>
      <c r="L294" s="167" t="s">
        <v>261</v>
      </c>
      <c r="M294" s="167" t="s">
        <v>3011</v>
      </c>
      <c r="N294" s="11">
        <v>0</v>
      </c>
      <c r="O294" s="12" t="str">
        <f>_xlfn.DISPIMG("ID_81E01CE746794A43971E9E864E9A0098",1)</f>
        <v>=DISPIMG("ID_81E01CE746794A43971E9E864E9A0098",1)</v>
      </c>
      <c r="P294" s="11" t="s">
        <v>3012</v>
      </c>
      <c r="Q294" s="11">
        <v>371</v>
      </c>
      <c r="R294" s="17" t="s">
        <v>4609</v>
      </c>
      <c r="S294" s="18" t="s">
        <v>55</v>
      </c>
      <c r="T294" s="11">
        <v>29</v>
      </c>
    </row>
    <row r="295" s="3" customFormat="1" customHeight="1" spans="1:20">
      <c r="A295" s="167" t="s">
        <v>3151</v>
      </c>
      <c r="B295" s="167" t="s">
        <v>165</v>
      </c>
      <c r="C295" s="167" t="s">
        <v>3152</v>
      </c>
      <c r="D295" s="11">
        <v>15807046137</v>
      </c>
      <c r="E295" s="167" t="s">
        <v>156</v>
      </c>
      <c r="F295" s="167" t="s">
        <v>13</v>
      </c>
      <c r="G295" s="11">
        <v>202102003</v>
      </c>
      <c r="H295" s="167" t="s">
        <v>157</v>
      </c>
      <c r="I295" s="167" t="s">
        <v>611</v>
      </c>
      <c r="J295" s="167" t="s">
        <v>179</v>
      </c>
      <c r="K295" s="167" t="s">
        <v>160</v>
      </c>
      <c r="L295" s="167" t="s">
        <v>261</v>
      </c>
      <c r="M295" s="167" t="s">
        <v>13</v>
      </c>
      <c r="N295" s="167" t="s">
        <v>3154</v>
      </c>
      <c r="O295" s="12" t="str">
        <f>_xlfn.DISPIMG("ID_677BA8871B344518950747C60527229E",1)</f>
        <v>=DISPIMG("ID_677BA8871B344518950747C60527229E",1)</v>
      </c>
      <c r="P295" s="11" t="s">
        <v>3155</v>
      </c>
      <c r="Q295" s="11">
        <v>390</v>
      </c>
      <c r="R295" s="17" t="s">
        <v>4610</v>
      </c>
      <c r="S295" s="18" t="s">
        <v>55</v>
      </c>
      <c r="T295" s="11">
        <v>4</v>
      </c>
    </row>
    <row r="296" s="3" customFormat="1" customHeight="1" spans="1:20">
      <c r="A296" s="167" t="s">
        <v>3204</v>
      </c>
      <c r="B296" s="167" t="s">
        <v>165</v>
      </c>
      <c r="C296" s="167" t="s">
        <v>3205</v>
      </c>
      <c r="D296" s="11">
        <v>18270304769</v>
      </c>
      <c r="E296" s="167" t="s">
        <v>156</v>
      </c>
      <c r="F296" s="167" t="s">
        <v>13</v>
      </c>
      <c r="G296" s="11">
        <v>202102003</v>
      </c>
      <c r="H296" s="167" t="s">
        <v>279</v>
      </c>
      <c r="I296" s="167" t="s">
        <v>168</v>
      </c>
      <c r="J296" s="167" t="s">
        <v>223</v>
      </c>
      <c r="K296" s="167" t="s">
        <v>170</v>
      </c>
      <c r="L296" s="167" t="s">
        <v>171</v>
      </c>
      <c r="M296" s="167" t="s">
        <v>13</v>
      </c>
      <c r="N296" s="167" t="s">
        <v>3207</v>
      </c>
      <c r="O296" s="12" t="str">
        <f>_xlfn.DISPIMG("ID_51BC672EACDF4F87BCFEE4B4000126C2",1)</f>
        <v>=DISPIMG("ID_51BC672EACDF4F87BCFEE4B4000126C2",1)</v>
      </c>
      <c r="P296" s="11" t="s">
        <v>3208</v>
      </c>
      <c r="Q296" s="11">
        <v>399</v>
      </c>
      <c r="R296" s="17" t="s">
        <v>4611</v>
      </c>
      <c r="S296" s="18" t="s">
        <v>55</v>
      </c>
      <c r="T296" s="11">
        <v>9</v>
      </c>
    </row>
    <row r="297" s="3" customFormat="1" customHeight="1" spans="1:20">
      <c r="A297" s="167" t="s">
        <v>3241</v>
      </c>
      <c r="B297" s="167" t="s">
        <v>165</v>
      </c>
      <c r="C297" s="167" t="s">
        <v>3242</v>
      </c>
      <c r="D297" s="11">
        <v>15390868523</v>
      </c>
      <c r="E297" s="167" t="s">
        <v>156</v>
      </c>
      <c r="F297" s="167" t="s">
        <v>13</v>
      </c>
      <c r="G297" s="11">
        <v>202102003</v>
      </c>
      <c r="H297" s="167" t="s">
        <v>157</v>
      </c>
      <c r="I297" s="167" t="s">
        <v>3244</v>
      </c>
      <c r="J297" s="167" t="s">
        <v>179</v>
      </c>
      <c r="K297" s="167" t="s">
        <v>160</v>
      </c>
      <c r="L297" s="167" t="s">
        <v>161</v>
      </c>
      <c r="M297" s="167" t="s">
        <v>190</v>
      </c>
      <c r="N297" s="11">
        <v>0</v>
      </c>
      <c r="O297" s="12" t="str">
        <f>_xlfn.DISPIMG("ID_AED07D8F3E8D4336A7B785D8FBC52BF4",1)</f>
        <v>=DISPIMG("ID_AED07D8F3E8D4336A7B785D8FBC52BF4",1)</v>
      </c>
      <c r="P297" s="11" t="s">
        <v>3245</v>
      </c>
      <c r="Q297" s="11">
        <v>404</v>
      </c>
      <c r="R297" s="17" t="s">
        <v>4612</v>
      </c>
      <c r="S297" s="18" t="s">
        <v>55</v>
      </c>
      <c r="T297" s="11">
        <v>16</v>
      </c>
    </row>
    <row r="298" s="4" customFormat="1" customHeight="1" spans="1:20">
      <c r="A298" s="167" t="s">
        <v>3255</v>
      </c>
      <c r="B298" s="167" t="s">
        <v>165</v>
      </c>
      <c r="C298" s="167" t="s">
        <v>3256</v>
      </c>
      <c r="D298" s="11">
        <v>18770283607</v>
      </c>
      <c r="E298" s="167" t="s">
        <v>156</v>
      </c>
      <c r="F298" s="167" t="s">
        <v>13</v>
      </c>
      <c r="G298" s="11">
        <v>202102003</v>
      </c>
      <c r="H298" s="167" t="s">
        <v>157</v>
      </c>
      <c r="I298" s="167" t="s">
        <v>611</v>
      </c>
      <c r="J298" s="167" t="s">
        <v>179</v>
      </c>
      <c r="K298" s="167" t="s">
        <v>160</v>
      </c>
      <c r="L298" s="167" t="s">
        <v>577</v>
      </c>
      <c r="M298" s="167" t="s">
        <v>3258</v>
      </c>
      <c r="N298" s="167" t="s">
        <v>3259</v>
      </c>
      <c r="O298" s="12" t="str">
        <f>_xlfn.DISPIMG("ID_9640DE1808F9498F8612547EA44506E8",1)</f>
        <v>=DISPIMG("ID_9640DE1808F9498F8612547EA44506E8",1)</v>
      </c>
      <c r="P298" s="11" t="s">
        <v>3260</v>
      </c>
      <c r="Q298" s="11">
        <v>406</v>
      </c>
      <c r="R298" s="17" t="s">
        <v>4613</v>
      </c>
      <c r="S298" s="18" t="s">
        <v>55</v>
      </c>
      <c r="T298" s="11">
        <v>21</v>
      </c>
    </row>
    <row r="299" s="3" customFormat="1" customHeight="1" spans="1:20">
      <c r="A299" s="167" t="s">
        <v>3314</v>
      </c>
      <c r="B299" s="167" t="s">
        <v>165</v>
      </c>
      <c r="C299" s="167" t="s">
        <v>3315</v>
      </c>
      <c r="D299" s="11">
        <v>18070403284</v>
      </c>
      <c r="E299" s="167" t="s">
        <v>156</v>
      </c>
      <c r="F299" s="167" t="s">
        <v>13</v>
      </c>
      <c r="G299" s="11">
        <v>202102003</v>
      </c>
      <c r="H299" s="167" t="s">
        <v>157</v>
      </c>
      <c r="I299" s="167" t="s">
        <v>385</v>
      </c>
      <c r="J299" s="167" t="s">
        <v>2821</v>
      </c>
      <c r="K299" s="167" t="s">
        <v>170</v>
      </c>
      <c r="L299" s="167" t="s">
        <v>281</v>
      </c>
      <c r="M299" s="167" t="s">
        <v>25</v>
      </c>
      <c r="N299" s="167" t="s">
        <v>3317</v>
      </c>
      <c r="O299" s="12" t="str">
        <f>_xlfn.DISPIMG("ID_395A3D0BD71445EA85EA2ACA292A2801",1)</f>
        <v>=DISPIMG("ID_395A3D0BD71445EA85EA2ACA292A2801",1)</v>
      </c>
      <c r="P299" s="11" t="s">
        <v>3318</v>
      </c>
      <c r="Q299" s="11">
        <v>416</v>
      </c>
      <c r="R299" s="17" t="s">
        <v>4614</v>
      </c>
      <c r="S299" s="18" t="s">
        <v>55</v>
      </c>
      <c r="T299" s="11">
        <v>28</v>
      </c>
    </row>
    <row r="300" s="3" customFormat="1" customHeight="1" spans="1:20">
      <c r="A300" s="167" t="s">
        <v>3351</v>
      </c>
      <c r="B300" s="167" t="s">
        <v>165</v>
      </c>
      <c r="C300" s="167" t="s">
        <v>3352</v>
      </c>
      <c r="D300" s="11">
        <v>18720295129</v>
      </c>
      <c r="E300" s="167" t="s">
        <v>156</v>
      </c>
      <c r="F300" s="167" t="s">
        <v>13</v>
      </c>
      <c r="G300" s="11">
        <v>202102003</v>
      </c>
      <c r="H300" s="167" t="s">
        <v>279</v>
      </c>
      <c r="I300" s="167" t="s">
        <v>158</v>
      </c>
      <c r="J300" s="167" t="s">
        <v>223</v>
      </c>
      <c r="K300" s="167" t="s">
        <v>170</v>
      </c>
      <c r="L300" s="167" t="s">
        <v>180</v>
      </c>
      <c r="M300" s="167" t="s">
        <v>3354</v>
      </c>
      <c r="N300" s="167" t="s">
        <v>3355</v>
      </c>
      <c r="O300" s="12" t="str">
        <f>_xlfn.DISPIMG("ID_74A8F2037BB844E7BAC2F04950084CD2",1)</f>
        <v>=DISPIMG("ID_74A8F2037BB844E7BAC2F04950084CD2",1)</v>
      </c>
      <c r="P300" s="11" t="s">
        <v>3356</v>
      </c>
      <c r="Q300" s="11">
        <v>422</v>
      </c>
      <c r="R300" s="17" t="s">
        <v>4615</v>
      </c>
      <c r="S300" s="18" t="s">
        <v>55</v>
      </c>
      <c r="T300" s="11">
        <v>3</v>
      </c>
    </row>
    <row r="301" s="3" customFormat="1" customHeight="1" spans="1:20">
      <c r="A301" s="167" t="s">
        <v>3409</v>
      </c>
      <c r="B301" s="167" t="s">
        <v>165</v>
      </c>
      <c r="C301" s="167" t="s">
        <v>3410</v>
      </c>
      <c r="D301" s="11">
        <v>15079270221</v>
      </c>
      <c r="E301" s="167" t="s">
        <v>156</v>
      </c>
      <c r="F301" s="167" t="s">
        <v>13</v>
      </c>
      <c r="G301" s="11">
        <v>202102003</v>
      </c>
      <c r="H301" s="167" t="s">
        <v>157</v>
      </c>
      <c r="I301" s="167" t="s">
        <v>158</v>
      </c>
      <c r="J301" s="167" t="s">
        <v>298</v>
      </c>
      <c r="K301" s="167" t="s">
        <v>160</v>
      </c>
      <c r="L301" s="167" t="s">
        <v>306</v>
      </c>
      <c r="M301" s="167" t="s">
        <v>13</v>
      </c>
      <c r="N301" s="167" t="s">
        <v>3412</v>
      </c>
      <c r="O301" s="12" t="str">
        <f>_xlfn.DISPIMG("ID_36F8A707A81B40EC83CC116E77C5C07D",1)</f>
        <v>=DISPIMG("ID_36F8A707A81B40EC83CC116E77C5C07D",1)</v>
      </c>
      <c r="P301" s="11" t="s">
        <v>3413</v>
      </c>
      <c r="Q301" s="11">
        <v>430</v>
      </c>
      <c r="R301" s="17" t="s">
        <v>4616</v>
      </c>
      <c r="S301" s="18" t="s">
        <v>55</v>
      </c>
      <c r="T301" s="11">
        <v>10</v>
      </c>
    </row>
    <row r="302" s="3" customFormat="1" customHeight="1" spans="1:20">
      <c r="A302" s="167" t="s">
        <v>3458</v>
      </c>
      <c r="B302" s="167" t="s">
        <v>165</v>
      </c>
      <c r="C302" s="167" t="s">
        <v>3459</v>
      </c>
      <c r="D302" s="11">
        <v>18207577354</v>
      </c>
      <c r="E302" s="167" t="s">
        <v>156</v>
      </c>
      <c r="F302" s="167" t="s">
        <v>13</v>
      </c>
      <c r="G302" s="11">
        <v>202102003</v>
      </c>
      <c r="H302" s="167" t="s">
        <v>157</v>
      </c>
      <c r="I302" s="167" t="s">
        <v>385</v>
      </c>
      <c r="J302" s="167" t="s">
        <v>3461</v>
      </c>
      <c r="K302" s="167" t="s">
        <v>160</v>
      </c>
      <c r="L302" s="167" t="s">
        <v>368</v>
      </c>
      <c r="M302" s="167" t="s">
        <v>3011</v>
      </c>
      <c r="N302" s="167" t="s">
        <v>3462</v>
      </c>
      <c r="O302" s="12" t="str">
        <f>_xlfn.DISPIMG("ID_D2C4D691F93F4717949BB5BBCD3994DD",1)</f>
        <v>=DISPIMG("ID_D2C4D691F93F4717949BB5BBCD3994DD",1)</v>
      </c>
      <c r="P302" s="11" t="s">
        <v>3463</v>
      </c>
      <c r="Q302" s="11">
        <v>437</v>
      </c>
      <c r="R302" s="17" t="s">
        <v>4617</v>
      </c>
      <c r="S302" s="18" t="s">
        <v>55</v>
      </c>
      <c r="T302" s="11">
        <v>15</v>
      </c>
    </row>
    <row r="303" s="3" customFormat="1" customHeight="1" spans="1:20">
      <c r="A303" s="167" t="s">
        <v>3481</v>
      </c>
      <c r="B303" s="167" t="s">
        <v>153</v>
      </c>
      <c r="C303" s="167" t="s">
        <v>3482</v>
      </c>
      <c r="D303" s="11">
        <v>13119548929</v>
      </c>
      <c r="E303" s="167" t="s">
        <v>506</v>
      </c>
      <c r="F303" s="167" t="s">
        <v>13</v>
      </c>
      <c r="G303" s="11">
        <v>202102016</v>
      </c>
      <c r="H303" s="167" t="s">
        <v>157</v>
      </c>
      <c r="I303" s="167" t="s">
        <v>1112</v>
      </c>
      <c r="J303" s="167" t="s">
        <v>3484</v>
      </c>
      <c r="K303" s="167" t="s">
        <v>160</v>
      </c>
      <c r="L303" s="167" t="s">
        <v>216</v>
      </c>
      <c r="M303" s="167" t="s">
        <v>2284</v>
      </c>
      <c r="N303" s="167" t="s">
        <v>3485</v>
      </c>
      <c r="O303" s="12" t="str">
        <f>_xlfn.DISPIMG("ID_9C9702A9D71D49F4A0D4283BE0B57A8D",1)</f>
        <v>=DISPIMG("ID_9C9702A9D71D49F4A0D4283BE0B57A8D",1)</v>
      </c>
      <c r="P303" s="11" t="s">
        <v>3486</v>
      </c>
      <c r="Q303" s="11">
        <v>440</v>
      </c>
      <c r="R303" s="17" t="s">
        <v>4618</v>
      </c>
      <c r="S303" s="18" t="s">
        <v>55</v>
      </c>
      <c r="T303" s="11">
        <v>22</v>
      </c>
    </row>
    <row r="304" s="3" customFormat="1" customHeight="1" spans="1:20">
      <c r="A304" s="167" t="s">
        <v>3647</v>
      </c>
      <c r="B304" s="167" t="s">
        <v>165</v>
      </c>
      <c r="C304" s="167" t="s">
        <v>3648</v>
      </c>
      <c r="D304" s="11">
        <v>19914728112</v>
      </c>
      <c r="E304" s="167" t="s">
        <v>156</v>
      </c>
      <c r="F304" s="167" t="s">
        <v>13</v>
      </c>
      <c r="G304" s="11">
        <v>202102003</v>
      </c>
      <c r="H304" s="167" t="s">
        <v>705</v>
      </c>
      <c r="I304" s="167" t="s">
        <v>1413</v>
      </c>
      <c r="J304" s="167" t="s">
        <v>3650</v>
      </c>
      <c r="K304" s="167" t="s">
        <v>170</v>
      </c>
      <c r="L304" s="167" t="s">
        <v>455</v>
      </c>
      <c r="M304" s="167" t="s">
        <v>3651</v>
      </c>
      <c r="N304" s="11">
        <v>0</v>
      </c>
      <c r="O304" s="12" t="str">
        <f>_xlfn.DISPIMG("ID_5D17E050202348DFAA14EEF8D985F66D",1)</f>
        <v>=DISPIMG("ID_5D17E050202348DFAA14EEF8D985F66D",1)</v>
      </c>
      <c r="P304" s="11" t="s">
        <v>3652</v>
      </c>
      <c r="Q304" s="11">
        <v>464</v>
      </c>
      <c r="R304" s="17" t="s">
        <v>4619</v>
      </c>
      <c r="S304" s="18" t="s">
        <v>55</v>
      </c>
      <c r="T304" s="11">
        <v>27</v>
      </c>
    </row>
    <row r="305" s="3" customFormat="1" customHeight="1" spans="1:20">
      <c r="A305" s="167" t="s">
        <v>3804</v>
      </c>
      <c r="B305" s="167" t="s">
        <v>165</v>
      </c>
      <c r="C305" s="167" t="s">
        <v>3805</v>
      </c>
      <c r="D305" s="11">
        <v>18859568610</v>
      </c>
      <c r="E305" s="167" t="s">
        <v>156</v>
      </c>
      <c r="F305" s="167" t="s">
        <v>13</v>
      </c>
      <c r="G305" s="11">
        <v>202102003</v>
      </c>
      <c r="H305" s="167" t="s">
        <v>157</v>
      </c>
      <c r="I305" s="167" t="s">
        <v>2943</v>
      </c>
      <c r="J305" s="167" t="s">
        <v>179</v>
      </c>
      <c r="K305" s="167" t="s">
        <v>160</v>
      </c>
      <c r="L305" s="167" t="s">
        <v>235</v>
      </c>
      <c r="M305" s="167" t="s">
        <v>1187</v>
      </c>
      <c r="N305" s="167" t="s">
        <v>3807</v>
      </c>
      <c r="O305" s="12" t="str">
        <f>_xlfn.DISPIMG("ID_958C237DE20E4119882FD97115456597",1)</f>
        <v>=DISPIMG("ID_958C237DE20E4119882FD97115456597",1)</v>
      </c>
      <c r="P305" s="11" t="s">
        <v>3808</v>
      </c>
      <c r="Q305" s="20">
        <v>485</v>
      </c>
      <c r="R305" s="17" t="s">
        <v>4620</v>
      </c>
      <c r="S305" s="18" t="s">
        <v>55</v>
      </c>
      <c r="T305" s="11">
        <v>2</v>
      </c>
    </row>
    <row r="306" s="3" customFormat="1" customHeight="1" spans="1:20">
      <c r="A306" s="167" t="s">
        <v>3826</v>
      </c>
      <c r="B306" s="167" t="s">
        <v>165</v>
      </c>
      <c r="C306" s="167" t="s">
        <v>3827</v>
      </c>
      <c r="D306" s="11">
        <v>18379207307</v>
      </c>
      <c r="E306" s="167" t="s">
        <v>156</v>
      </c>
      <c r="F306" s="167" t="s">
        <v>13</v>
      </c>
      <c r="G306" s="11">
        <v>202102003</v>
      </c>
      <c r="H306" s="167" t="s">
        <v>279</v>
      </c>
      <c r="I306" s="167" t="s">
        <v>158</v>
      </c>
      <c r="J306" s="167" t="s">
        <v>223</v>
      </c>
      <c r="K306" s="167" t="s">
        <v>170</v>
      </c>
      <c r="L306" s="167" t="s">
        <v>180</v>
      </c>
      <c r="M306" s="167" t="s">
        <v>487</v>
      </c>
      <c r="N306" s="167" t="s">
        <v>3829</v>
      </c>
      <c r="O306" s="12" t="str">
        <f>_xlfn.DISPIMG("ID_0F27C17184DB40E4ADCCEAF2E242F8D5",1)</f>
        <v>=DISPIMG("ID_0F27C17184DB40E4ADCCEAF2E242F8D5",1)</v>
      </c>
      <c r="P306" s="11" t="s">
        <v>3830</v>
      </c>
      <c r="Q306" s="20">
        <v>488</v>
      </c>
      <c r="R306" s="17" t="s">
        <v>4621</v>
      </c>
      <c r="S306" s="18" t="s">
        <v>55</v>
      </c>
      <c r="T306" s="11">
        <v>11</v>
      </c>
    </row>
    <row r="307" s="3" customFormat="1" customHeight="1" spans="1:20">
      <c r="A307" s="167" t="s">
        <v>3970</v>
      </c>
      <c r="B307" s="167" t="s">
        <v>165</v>
      </c>
      <c r="C307" s="167" t="s">
        <v>3971</v>
      </c>
      <c r="D307" s="11">
        <v>18279298177</v>
      </c>
      <c r="E307" s="167" t="s">
        <v>156</v>
      </c>
      <c r="F307" s="167" t="s">
        <v>13</v>
      </c>
      <c r="G307" s="11">
        <v>202102003</v>
      </c>
      <c r="H307" s="167" t="s">
        <v>157</v>
      </c>
      <c r="I307" s="167" t="s">
        <v>233</v>
      </c>
      <c r="J307" s="167" t="s">
        <v>3973</v>
      </c>
      <c r="K307" s="167" t="s">
        <v>160</v>
      </c>
      <c r="L307" s="167" t="s">
        <v>161</v>
      </c>
      <c r="M307" s="167" t="s">
        <v>25</v>
      </c>
      <c r="N307" s="167" t="s">
        <v>3974</v>
      </c>
      <c r="O307" s="12" t="str">
        <f>_xlfn.DISPIMG("ID_B1F0BA2C377444B08B7692E1B53E42C5",1)</f>
        <v>=DISPIMG("ID_B1F0BA2C377444B08B7692E1B53E42C5",1)</v>
      </c>
      <c r="P307" s="11" t="s">
        <v>3975</v>
      </c>
      <c r="Q307" s="20">
        <v>507</v>
      </c>
      <c r="R307" s="17" t="s">
        <v>4622</v>
      </c>
      <c r="S307" s="18" t="s">
        <v>55</v>
      </c>
      <c r="T307" s="11">
        <v>14</v>
      </c>
    </row>
    <row r="308" s="3" customFormat="1" customHeight="1" spans="1:20">
      <c r="A308" s="167" t="s">
        <v>3991</v>
      </c>
      <c r="B308" s="167" t="s">
        <v>165</v>
      </c>
      <c r="C308" s="167" t="s">
        <v>3992</v>
      </c>
      <c r="D308" s="11">
        <v>15779276924</v>
      </c>
      <c r="E308" s="167" t="s">
        <v>156</v>
      </c>
      <c r="F308" s="167" t="s">
        <v>13</v>
      </c>
      <c r="G308" s="11">
        <v>202102003</v>
      </c>
      <c r="H308" s="167" t="s">
        <v>157</v>
      </c>
      <c r="I308" s="167" t="s">
        <v>158</v>
      </c>
      <c r="J308" s="167" t="s">
        <v>298</v>
      </c>
      <c r="K308" s="167" t="s">
        <v>160</v>
      </c>
      <c r="L308" s="167" t="s">
        <v>171</v>
      </c>
      <c r="M308" s="167" t="s">
        <v>1692</v>
      </c>
      <c r="N308" s="167" t="s">
        <v>3994</v>
      </c>
      <c r="O308" s="12" t="str">
        <f>_xlfn.DISPIMG("ID_78A88502741143D5850B496E71BE5DA0",1)</f>
        <v>=DISPIMG("ID_78A88502741143D5850B496E71BE5DA0",1)</v>
      </c>
      <c r="P308" s="11" t="s">
        <v>3995</v>
      </c>
      <c r="Q308" s="20">
        <v>510</v>
      </c>
      <c r="R308" s="17" t="s">
        <v>4623</v>
      </c>
      <c r="S308" s="18" t="s">
        <v>55</v>
      </c>
      <c r="T308" s="11">
        <v>23</v>
      </c>
    </row>
    <row r="309" s="3" customFormat="1" customHeight="1" spans="1:20">
      <c r="A309" s="167" t="s">
        <v>4013</v>
      </c>
      <c r="B309" s="167" t="s">
        <v>165</v>
      </c>
      <c r="C309" s="167" t="s">
        <v>4014</v>
      </c>
      <c r="D309" s="11">
        <v>18870236365</v>
      </c>
      <c r="E309" s="167" t="s">
        <v>156</v>
      </c>
      <c r="F309" s="167" t="s">
        <v>13</v>
      </c>
      <c r="G309" s="11">
        <v>202102003</v>
      </c>
      <c r="H309" s="167" t="s">
        <v>279</v>
      </c>
      <c r="I309" s="167" t="s">
        <v>158</v>
      </c>
      <c r="J309" s="167" t="s">
        <v>223</v>
      </c>
      <c r="K309" s="167" t="s">
        <v>170</v>
      </c>
      <c r="L309" s="167" t="s">
        <v>306</v>
      </c>
      <c r="M309" s="167" t="s">
        <v>4016</v>
      </c>
      <c r="N309" s="167" t="s">
        <v>4017</v>
      </c>
      <c r="O309" s="12" t="str">
        <f>_xlfn.DISPIMG("ID_4B6C2F7765194334A42FC9F1088827FE",1)</f>
        <v>=DISPIMG("ID_4B6C2F7765194334A42FC9F1088827FE",1)</v>
      </c>
      <c r="P309" s="11" t="s">
        <v>4018</v>
      </c>
      <c r="Q309" s="20">
        <v>513</v>
      </c>
      <c r="R309" s="17" t="s">
        <v>4624</v>
      </c>
      <c r="S309" s="18" t="s">
        <v>55</v>
      </c>
      <c r="T309" s="11">
        <v>26</v>
      </c>
    </row>
    <row r="310" s="3" customFormat="1" customHeight="1" spans="1:20">
      <c r="A310" s="167" t="s">
        <v>4021</v>
      </c>
      <c r="B310" s="167" t="s">
        <v>165</v>
      </c>
      <c r="C310" s="167" t="s">
        <v>4022</v>
      </c>
      <c r="D310" s="11">
        <v>15870639139</v>
      </c>
      <c r="E310" s="167" t="s">
        <v>156</v>
      </c>
      <c r="F310" s="167" t="s">
        <v>13</v>
      </c>
      <c r="G310" s="11">
        <v>202102003</v>
      </c>
      <c r="H310" s="167" t="s">
        <v>157</v>
      </c>
      <c r="I310" s="167" t="s">
        <v>1413</v>
      </c>
      <c r="J310" s="167" t="s">
        <v>1122</v>
      </c>
      <c r="K310" s="167" t="s">
        <v>160</v>
      </c>
      <c r="L310" s="167" t="s">
        <v>235</v>
      </c>
      <c r="M310" s="167" t="s">
        <v>487</v>
      </c>
      <c r="N310" s="167" t="s">
        <v>4024</v>
      </c>
      <c r="O310" s="12" t="str">
        <f>_xlfn.DISPIMG("ID_678965A481D64CEABA15E59CA2B84698",1)</f>
        <v>=DISPIMG("ID_678965A481D64CEABA15E59CA2B84698",1)</v>
      </c>
      <c r="P310" s="11" t="s">
        <v>4025</v>
      </c>
      <c r="Q310" s="20">
        <v>514</v>
      </c>
      <c r="R310" s="17" t="s">
        <v>4625</v>
      </c>
      <c r="S310" s="18" t="s">
        <v>55</v>
      </c>
      <c r="T310" s="11">
        <v>1</v>
      </c>
    </row>
    <row r="311" s="3" customFormat="1" customHeight="1" spans="1:20">
      <c r="A311" s="167" t="s">
        <v>4065</v>
      </c>
      <c r="B311" s="167" t="s">
        <v>165</v>
      </c>
      <c r="C311" s="167" t="s">
        <v>4066</v>
      </c>
      <c r="D311" s="11">
        <v>15797987795</v>
      </c>
      <c r="E311" s="167" t="s">
        <v>506</v>
      </c>
      <c r="F311" s="167" t="s">
        <v>13</v>
      </c>
      <c r="G311" s="11">
        <v>202102016</v>
      </c>
      <c r="H311" s="167" t="s">
        <v>279</v>
      </c>
      <c r="I311" s="167" t="s">
        <v>158</v>
      </c>
      <c r="J311" s="167" t="s">
        <v>223</v>
      </c>
      <c r="K311" s="167" t="s">
        <v>170</v>
      </c>
      <c r="L311" s="167" t="s">
        <v>368</v>
      </c>
      <c r="M311" s="167" t="s">
        <v>4068</v>
      </c>
      <c r="N311" s="167" t="s">
        <v>4069</v>
      </c>
      <c r="O311" s="12" t="str">
        <f>_xlfn.DISPIMG("ID_699B420D06BD4D209FB40A52E07C758F",1)</f>
        <v>=DISPIMG("ID_699B420D06BD4D209FB40A52E07C758F",1)</v>
      </c>
      <c r="P311" s="11" t="s">
        <v>4070</v>
      </c>
      <c r="Q311" s="11">
        <v>520</v>
      </c>
      <c r="R311" s="17" t="s">
        <v>4626</v>
      </c>
      <c r="S311" s="18" t="s">
        <v>55</v>
      </c>
      <c r="T311" s="11">
        <v>12</v>
      </c>
    </row>
    <row r="312" s="3" customFormat="1" customHeight="1" spans="1:20">
      <c r="A312" s="167" t="s">
        <v>4096</v>
      </c>
      <c r="B312" s="167" t="s">
        <v>165</v>
      </c>
      <c r="C312" s="167" t="s">
        <v>4097</v>
      </c>
      <c r="D312" s="11">
        <v>18279205166</v>
      </c>
      <c r="E312" s="167" t="s">
        <v>506</v>
      </c>
      <c r="F312" s="167" t="s">
        <v>13</v>
      </c>
      <c r="G312" s="11">
        <v>202102016</v>
      </c>
      <c r="H312" s="167" t="s">
        <v>157</v>
      </c>
      <c r="I312" s="167" t="s">
        <v>1121</v>
      </c>
      <c r="J312" s="167" t="s">
        <v>179</v>
      </c>
      <c r="K312" s="167" t="s">
        <v>160</v>
      </c>
      <c r="L312" s="167" t="s">
        <v>199</v>
      </c>
      <c r="M312" s="167" t="s">
        <v>13</v>
      </c>
      <c r="N312" s="167" t="s">
        <v>4099</v>
      </c>
      <c r="O312" s="12" t="str">
        <f>_xlfn.DISPIMG("ID_AF2EA5B71B5B4904B17F83B386FDD8B5",1)</f>
        <v>=DISPIMG("ID_AF2EA5B71B5B4904B17F83B386FDD8B5",1)</v>
      </c>
      <c r="P312" s="11" t="s">
        <v>4100</v>
      </c>
      <c r="Q312" s="11">
        <v>524</v>
      </c>
      <c r="R312" s="17" t="s">
        <v>4627</v>
      </c>
      <c r="S312" s="18" t="s">
        <v>55</v>
      </c>
      <c r="T312" s="11">
        <v>13</v>
      </c>
    </row>
    <row r="313" s="3" customFormat="1" customHeight="1" spans="1:20">
      <c r="A313" s="167" t="s">
        <v>4120</v>
      </c>
      <c r="B313" s="167" t="s">
        <v>153</v>
      </c>
      <c r="C313" s="167" t="s">
        <v>4121</v>
      </c>
      <c r="D313" s="11">
        <v>15070281790</v>
      </c>
      <c r="E313" s="167" t="s">
        <v>506</v>
      </c>
      <c r="F313" s="167" t="s">
        <v>13</v>
      </c>
      <c r="G313" s="11">
        <v>202102016</v>
      </c>
      <c r="H313" s="167" t="s">
        <v>157</v>
      </c>
      <c r="I313" s="167" t="s">
        <v>269</v>
      </c>
      <c r="J313" s="167" t="s">
        <v>179</v>
      </c>
      <c r="K313" s="167" t="s">
        <v>170</v>
      </c>
      <c r="L313" s="167" t="s">
        <v>3039</v>
      </c>
      <c r="M313" s="167" t="s">
        <v>307</v>
      </c>
      <c r="N313" s="167" t="s">
        <v>4123</v>
      </c>
      <c r="O313" s="12" t="str">
        <f>_xlfn.DISPIMG("ID_E27C6548F4194D02B9DC397724E0FA4F",1)</f>
        <v>=DISPIMG("ID_E27C6548F4194D02B9DC397724E0FA4F",1)</v>
      </c>
      <c r="P313" s="11" t="s">
        <v>4124</v>
      </c>
      <c r="Q313" s="11">
        <v>527</v>
      </c>
      <c r="R313" s="17" t="s">
        <v>4628</v>
      </c>
      <c r="S313" s="18" t="s">
        <v>55</v>
      </c>
      <c r="T313" s="11">
        <v>24</v>
      </c>
    </row>
    <row r="314" s="3" customFormat="1" customHeight="1" spans="1:20">
      <c r="A314" s="167" t="s">
        <v>4169</v>
      </c>
      <c r="B314" s="167" t="s">
        <v>165</v>
      </c>
      <c r="C314" s="167" t="s">
        <v>4170</v>
      </c>
      <c r="D314" s="11">
        <v>13970241382</v>
      </c>
      <c r="E314" s="167" t="s">
        <v>156</v>
      </c>
      <c r="F314" s="167" t="s">
        <v>13</v>
      </c>
      <c r="G314" s="11">
        <v>202102003</v>
      </c>
      <c r="H314" s="167" t="s">
        <v>157</v>
      </c>
      <c r="I314" s="167" t="s">
        <v>233</v>
      </c>
      <c r="J314" s="167" t="s">
        <v>4172</v>
      </c>
      <c r="K314" s="167" t="s">
        <v>170</v>
      </c>
      <c r="L314" s="167" t="s">
        <v>161</v>
      </c>
      <c r="M314" s="167" t="s">
        <v>4173</v>
      </c>
      <c r="N314" s="11">
        <v>0</v>
      </c>
      <c r="O314" s="12" t="str">
        <f>_xlfn.DISPIMG("ID_5B6CA2E5A2044344BC4069C94E27DF22",1)</f>
        <v>=DISPIMG("ID_5B6CA2E5A2044344BC4069C94E27DF22",1)</v>
      </c>
      <c r="P314" s="11" t="s">
        <v>4174</v>
      </c>
      <c r="Q314" s="20">
        <v>533</v>
      </c>
      <c r="R314" s="17" t="s">
        <v>4629</v>
      </c>
      <c r="S314" s="18" t="s">
        <v>55</v>
      </c>
      <c r="T314" s="11">
        <v>25</v>
      </c>
    </row>
    <row r="315" s="3" customFormat="1" customHeight="1" spans="1:20">
      <c r="A315" s="167" t="s">
        <v>4244</v>
      </c>
      <c r="B315" s="167" t="s">
        <v>165</v>
      </c>
      <c r="C315" s="167" t="s">
        <v>4245</v>
      </c>
      <c r="D315" s="11">
        <v>18296230426</v>
      </c>
      <c r="E315" s="167" t="s">
        <v>156</v>
      </c>
      <c r="F315" s="167" t="s">
        <v>13</v>
      </c>
      <c r="G315" s="11">
        <v>202102003</v>
      </c>
      <c r="H315" s="167" t="s">
        <v>157</v>
      </c>
      <c r="I315" s="167" t="s">
        <v>646</v>
      </c>
      <c r="J315" s="167" t="s">
        <v>179</v>
      </c>
      <c r="K315" s="167" t="s">
        <v>160</v>
      </c>
      <c r="L315" s="167" t="s">
        <v>180</v>
      </c>
      <c r="M315" s="167" t="s">
        <v>25</v>
      </c>
      <c r="N315" s="167" t="s">
        <v>4247</v>
      </c>
      <c r="O315" s="12" t="str">
        <f>_xlfn.DISPIMG("ID_36DA19808F4346CB8F6359485B7E0248",1)</f>
        <v>=DISPIMG("ID_36DA19808F4346CB8F6359485B7E0248",1)</v>
      </c>
      <c r="P315" s="11" t="s">
        <v>4248</v>
      </c>
      <c r="Q315" s="20">
        <v>543</v>
      </c>
      <c r="R315" s="17" t="s">
        <v>4630</v>
      </c>
      <c r="S315" s="18" t="s">
        <v>56</v>
      </c>
      <c r="T315" s="25">
        <v>6</v>
      </c>
    </row>
    <row r="316" s="3" customFormat="1" customHeight="1" spans="1:20">
      <c r="A316" s="167" t="s">
        <v>4273</v>
      </c>
      <c r="B316" s="167" t="s">
        <v>165</v>
      </c>
      <c r="C316" s="167" t="s">
        <v>4274</v>
      </c>
      <c r="D316" s="11">
        <v>18317912297</v>
      </c>
      <c r="E316" s="167" t="s">
        <v>156</v>
      </c>
      <c r="F316" s="167" t="s">
        <v>13</v>
      </c>
      <c r="G316" s="11">
        <v>202102003</v>
      </c>
      <c r="H316" s="167" t="s">
        <v>157</v>
      </c>
      <c r="I316" s="167" t="s">
        <v>1513</v>
      </c>
      <c r="J316" s="167" t="s">
        <v>1331</v>
      </c>
      <c r="K316" s="167" t="s">
        <v>160</v>
      </c>
      <c r="L316" s="167" t="s">
        <v>368</v>
      </c>
      <c r="M316" s="167" t="s">
        <v>13</v>
      </c>
      <c r="N316" s="167" t="s">
        <v>4276</v>
      </c>
      <c r="O316" s="12" t="str">
        <f>_xlfn.DISPIMG("ID_BFA48D3AEAE641428A104A2BB93F50F8",1)</f>
        <v>=DISPIMG("ID_BFA48D3AEAE641428A104A2BB93F50F8",1)</v>
      </c>
      <c r="P316" s="11" t="s">
        <v>4277</v>
      </c>
      <c r="Q316" s="20">
        <v>547</v>
      </c>
      <c r="R316" s="17" t="s">
        <v>4631</v>
      </c>
      <c r="S316" s="18" t="s">
        <v>56</v>
      </c>
      <c r="T316" s="25">
        <v>5</v>
      </c>
    </row>
    <row r="317" s="3" customFormat="1" customHeight="1" spans="1:20">
      <c r="A317" s="167" t="s">
        <v>4280</v>
      </c>
      <c r="B317" s="167" t="s">
        <v>165</v>
      </c>
      <c r="C317" s="167" t="s">
        <v>4281</v>
      </c>
      <c r="D317" s="11">
        <v>15949551660</v>
      </c>
      <c r="E317" s="167" t="s">
        <v>156</v>
      </c>
      <c r="F317" s="167" t="s">
        <v>13</v>
      </c>
      <c r="G317" s="11">
        <v>202102003</v>
      </c>
      <c r="H317" s="167" t="s">
        <v>157</v>
      </c>
      <c r="I317" s="167" t="s">
        <v>158</v>
      </c>
      <c r="J317" s="167" t="s">
        <v>298</v>
      </c>
      <c r="K317" s="167" t="s">
        <v>160</v>
      </c>
      <c r="L317" s="167" t="s">
        <v>252</v>
      </c>
      <c r="M317" s="167" t="s">
        <v>13</v>
      </c>
      <c r="N317" s="167" t="s">
        <v>4283</v>
      </c>
      <c r="O317" s="12" t="str">
        <f>_xlfn.DISPIMG("ID_0A7C024448EB4671A840FBA92AB35983",1)</f>
        <v>=DISPIMG("ID_0A7C024448EB4671A840FBA92AB35983",1)</v>
      </c>
      <c r="P317" s="11" t="s">
        <v>4284</v>
      </c>
      <c r="Q317" s="11">
        <v>548</v>
      </c>
      <c r="R317" s="17" t="s">
        <v>4632</v>
      </c>
      <c r="S317" s="18" t="s">
        <v>56</v>
      </c>
      <c r="T317" s="25">
        <v>4</v>
      </c>
    </row>
    <row r="318" s="3" customFormat="1" customHeight="1" spans="1:20">
      <c r="A318" s="167" t="s">
        <v>4287</v>
      </c>
      <c r="B318" s="167" t="s">
        <v>165</v>
      </c>
      <c r="C318" s="167" t="s">
        <v>4288</v>
      </c>
      <c r="D318" s="11">
        <v>15067121965</v>
      </c>
      <c r="E318" s="167" t="s">
        <v>156</v>
      </c>
      <c r="F318" s="167" t="s">
        <v>13</v>
      </c>
      <c r="G318" s="11">
        <v>202102003</v>
      </c>
      <c r="H318" s="167" t="s">
        <v>279</v>
      </c>
      <c r="I318" s="167" t="s">
        <v>4290</v>
      </c>
      <c r="J318" s="167" t="s">
        <v>4291</v>
      </c>
      <c r="K318" s="167" t="s">
        <v>170</v>
      </c>
      <c r="L318" s="167" t="s">
        <v>224</v>
      </c>
      <c r="M318" s="167" t="s">
        <v>1398</v>
      </c>
      <c r="N318" s="11">
        <v>0</v>
      </c>
      <c r="O318" s="12" t="str">
        <f>_xlfn.DISPIMG("ID_722A9A1419ED4209B5078EB200B4615A",1)</f>
        <v>=DISPIMG("ID_722A9A1419ED4209B5078EB200B4615A",1)</v>
      </c>
      <c r="P318" s="11" t="s">
        <v>4292</v>
      </c>
      <c r="Q318" s="11">
        <v>549</v>
      </c>
      <c r="R318" s="17" t="s">
        <v>4633</v>
      </c>
      <c r="S318" s="18" t="s">
        <v>56</v>
      </c>
      <c r="T318" s="25">
        <v>3</v>
      </c>
    </row>
    <row r="319" s="3" customFormat="1" customHeight="1" spans="1:20">
      <c r="A319" s="167" t="s">
        <v>4295</v>
      </c>
      <c r="B319" s="167" t="s">
        <v>165</v>
      </c>
      <c r="C319" s="167" t="s">
        <v>4296</v>
      </c>
      <c r="D319" s="11">
        <v>18174018729</v>
      </c>
      <c r="E319" s="167" t="s">
        <v>156</v>
      </c>
      <c r="F319" s="167" t="s">
        <v>13</v>
      </c>
      <c r="G319" s="11">
        <v>202102003</v>
      </c>
      <c r="H319" s="167" t="s">
        <v>157</v>
      </c>
      <c r="I319" s="167" t="s">
        <v>3054</v>
      </c>
      <c r="J319" s="167" t="s">
        <v>4298</v>
      </c>
      <c r="K319" s="167" t="s">
        <v>160</v>
      </c>
      <c r="L319" s="167" t="s">
        <v>261</v>
      </c>
      <c r="M319" s="167" t="s">
        <v>13</v>
      </c>
      <c r="N319" s="11">
        <v>0</v>
      </c>
      <c r="O319" s="12" t="str">
        <f>_xlfn.DISPIMG("ID_AB63EA744ECF442183CACE9AA5A6EA85",1)</f>
        <v>=DISPIMG("ID_AB63EA744ECF442183CACE9AA5A6EA85",1)</v>
      </c>
      <c r="P319" s="11" t="s">
        <v>4299</v>
      </c>
      <c r="Q319" s="20">
        <v>550</v>
      </c>
      <c r="R319" s="17" t="s">
        <v>4634</v>
      </c>
      <c r="S319" s="18" t="s">
        <v>56</v>
      </c>
      <c r="T319" s="25">
        <v>2</v>
      </c>
    </row>
    <row r="320" s="3" customFormat="1" customHeight="1" spans="1:20">
      <c r="A320" s="167" t="s">
        <v>4302</v>
      </c>
      <c r="B320" s="167" t="s">
        <v>165</v>
      </c>
      <c r="C320" s="167" t="s">
        <v>4303</v>
      </c>
      <c r="D320" s="11">
        <v>15279209806</v>
      </c>
      <c r="E320" s="167" t="s">
        <v>506</v>
      </c>
      <c r="F320" s="167" t="s">
        <v>13</v>
      </c>
      <c r="G320" s="11">
        <v>202102016</v>
      </c>
      <c r="H320" s="167" t="s">
        <v>279</v>
      </c>
      <c r="I320" s="167" t="s">
        <v>168</v>
      </c>
      <c r="J320" s="167" t="s">
        <v>223</v>
      </c>
      <c r="K320" s="167" t="s">
        <v>170</v>
      </c>
      <c r="L320" s="167" t="s">
        <v>577</v>
      </c>
      <c r="M320" s="167" t="s">
        <v>487</v>
      </c>
      <c r="N320" s="167" t="s">
        <v>4304</v>
      </c>
      <c r="O320" s="12" t="str">
        <f>_xlfn.DISPIMG("ID_2F1FB7C94C004C5BAD8EEBBBB9C7D0C9",1)</f>
        <v>=DISPIMG("ID_2F1FB7C94C004C5BAD8EEBBBB9C7D0C9",1)</v>
      </c>
      <c r="P320" s="11" t="s">
        <v>4305</v>
      </c>
      <c r="Q320" s="11">
        <v>551</v>
      </c>
      <c r="R320" s="17" t="s">
        <v>4635</v>
      </c>
      <c r="S320" s="18" t="s">
        <v>56</v>
      </c>
      <c r="T320" s="25">
        <v>1</v>
      </c>
    </row>
    <row r="321" s="3" customFormat="1" customHeight="1" spans="1:20">
      <c r="A321" s="167" t="s">
        <v>441</v>
      </c>
      <c r="B321" s="167" t="s">
        <v>165</v>
      </c>
      <c r="C321" s="167" t="s">
        <v>442</v>
      </c>
      <c r="D321" s="11">
        <v>15172397471</v>
      </c>
      <c r="E321" s="167" t="s">
        <v>156</v>
      </c>
      <c r="F321" s="167" t="s">
        <v>12</v>
      </c>
      <c r="G321" s="11">
        <v>202102010</v>
      </c>
      <c r="H321" s="167" t="s">
        <v>157</v>
      </c>
      <c r="I321" s="167" t="s">
        <v>444</v>
      </c>
      <c r="J321" s="167" t="s">
        <v>445</v>
      </c>
      <c r="K321" s="167" t="s">
        <v>160</v>
      </c>
      <c r="L321" s="167" t="s">
        <v>252</v>
      </c>
      <c r="M321" s="167" t="s">
        <v>446</v>
      </c>
      <c r="N321" s="167" t="s">
        <v>447</v>
      </c>
      <c r="O321" s="12" t="str">
        <f>_xlfn.DISPIMG("ID_8FDFD8CDACA94911BFEF3051E2235221",1)</f>
        <v>=DISPIMG("ID_8FDFD8CDACA94911BFEF3051E2235221",1)</v>
      </c>
      <c r="P321" s="11" t="s">
        <v>448</v>
      </c>
      <c r="Q321" s="11">
        <v>34</v>
      </c>
      <c r="R321" s="17" t="s">
        <v>4636</v>
      </c>
      <c r="S321" s="18" t="s">
        <v>56</v>
      </c>
      <c r="T321" s="25">
        <v>7</v>
      </c>
    </row>
    <row r="322" s="3" customFormat="1" customHeight="1" spans="1:20">
      <c r="A322" s="167" t="s">
        <v>906</v>
      </c>
      <c r="B322" s="167" t="s">
        <v>165</v>
      </c>
      <c r="C322" s="167" t="s">
        <v>907</v>
      </c>
      <c r="D322" s="11">
        <v>18872969481</v>
      </c>
      <c r="E322" s="167" t="s">
        <v>156</v>
      </c>
      <c r="F322" s="167" t="s">
        <v>12</v>
      </c>
      <c r="G322" s="11">
        <v>202102010</v>
      </c>
      <c r="H322" s="167" t="s">
        <v>157</v>
      </c>
      <c r="I322" s="167" t="s">
        <v>909</v>
      </c>
      <c r="J322" s="167" t="s">
        <v>445</v>
      </c>
      <c r="K322" s="167" t="s">
        <v>170</v>
      </c>
      <c r="L322" s="167" t="s">
        <v>910</v>
      </c>
      <c r="M322" s="167" t="s">
        <v>911</v>
      </c>
      <c r="N322" s="167" t="s">
        <v>912</v>
      </c>
      <c r="O322" s="12" t="str">
        <f>_xlfn.DISPIMG("ID_5478E78BEF25454AA0569457DA503AEE",1)</f>
        <v>=DISPIMG("ID_5478E78BEF25454AA0569457DA503AEE",1)</v>
      </c>
      <c r="P322" s="11" t="s">
        <v>913</v>
      </c>
      <c r="Q322" s="11">
        <v>91</v>
      </c>
      <c r="R322" s="17" t="s">
        <v>4637</v>
      </c>
      <c r="S322" s="18" t="s">
        <v>56</v>
      </c>
      <c r="T322" s="25">
        <v>8</v>
      </c>
    </row>
    <row r="323" s="3" customFormat="1" customHeight="1" spans="1:20">
      <c r="A323" s="167" t="s">
        <v>1034</v>
      </c>
      <c r="B323" s="167" t="s">
        <v>165</v>
      </c>
      <c r="C323" s="167" t="s">
        <v>1035</v>
      </c>
      <c r="D323" s="11">
        <v>18270651805</v>
      </c>
      <c r="E323" s="167" t="s">
        <v>156</v>
      </c>
      <c r="F323" s="167" t="s">
        <v>12</v>
      </c>
      <c r="G323" s="11">
        <v>202102010</v>
      </c>
      <c r="H323" s="167" t="s">
        <v>157</v>
      </c>
      <c r="I323" s="167" t="s">
        <v>178</v>
      </c>
      <c r="J323" s="167" t="s">
        <v>1037</v>
      </c>
      <c r="K323" s="167" t="s">
        <v>170</v>
      </c>
      <c r="L323" s="167" t="s">
        <v>161</v>
      </c>
      <c r="M323" s="167" t="s">
        <v>1038</v>
      </c>
      <c r="N323" s="167" t="s">
        <v>1039</v>
      </c>
      <c r="O323" s="12" t="str">
        <f>_xlfn.DISPIMG("ID_0FA5FFDB4D0442D5AB7C6CB6A0A51E2D",1)</f>
        <v>=DISPIMG("ID_0FA5FFDB4D0442D5AB7C6CB6A0A51E2D",1)</v>
      </c>
      <c r="P323" s="11" t="s">
        <v>1040</v>
      </c>
      <c r="Q323" s="20">
        <v>106</v>
      </c>
      <c r="R323" s="17" t="s">
        <v>4638</v>
      </c>
      <c r="S323" s="18" t="s">
        <v>56</v>
      </c>
      <c r="T323" s="25">
        <v>9</v>
      </c>
    </row>
    <row r="324" s="3" customFormat="1" customHeight="1" spans="1:20">
      <c r="A324" s="167" t="s">
        <v>1153</v>
      </c>
      <c r="B324" s="167" t="s">
        <v>165</v>
      </c>
      <c r="C324" s="167" t="s">
        <v>1154</v>
      </c>
      <c r="D324" s="11">
        <v>13803552587</v>
      </c>
      <c r="E324" s="167" t="s">
        <v>156</v>
      </c>
      <c r="F324" s="167" t="s">
        <v>12</v>
      </c>
      <c r="G324" s="11">
        <v>202102010</v>
      </c>
      <c r="H324" s="167" t="s">
        <v>157</v>
      </c>
      <c r="I324" s="167" t="s">
        <v>385</v>
      </c>
      <c r="J324" s="167" t="s">
        <v>445</v>
      </c>
      <c r="K324" s="167" t="s">
        <v>160</v>
      </c>
      <c r="L324" s="167" t="s">
        <v>261</v>
      </c>
      <c r="M324" s="167" t="s">
        <v>1156</v>
      </c>
      <c r="N324" s="167" t="s">
        <v>1157</v>
      </c>
      <c r="O324" s="12" t="str">
        <f>_xlfn.DISPIMG("ID_2A6402E44B2C4CB5B00B003CEEB85AA0",1)</f>
        <v>=DISPIMG("ID_2A6402E44B2C4CB5B00B003CEEB85AA0",1)</v>
      </c>
      <c r="P324" s="11" t="s">
        <v>1158</v>
      </c>
      <c r="Q324" s="11">
        <v>121</v>
      </c>
      <c r="R324" s="17" t="s">
        <v>4642</v>
      </c>
      <c r="S324" s="18" t="s">
        <v>56</v>
      </c>
      <c r="T324" s="25">
        <v>10</v>
      </c>
    </row>
    <row r="325" s="3" customFormat="1" customHeight="1" spans="1:20">
      <c r="A325" s="167" t="s">
        <v>1439</v>
      </c>
      <c r="B325" s="167" t="s">
        <v>165</v>
      </c>
      <c r="C325" s="167" t="s">
        <v>1440</v>
      </c>
      <c r="D325" s="11">
        <v>13687083396</v>
      </c>
      <c r="E325" s="167" t="s">
        <v>156</v>
      </c>
      <c r="F325" s="167" t="s">
        <v>12</v>
      </c>
      <c r="G325" s="11">
        <v>202102010</v>
      </c>
      <c r="H325" s="167" t="s">
        <v>157</v>
      </c>
      <c r="I325" s="167" t="s">
        <v>444</v>
      </c>
      <c r="J325" s="167" t="s">
        <v>1442</v>
      </c>
      <c r="K325" s="167" t="s">
        <v>160</v>
      </c>
      <c r="L325" s="167" t="s">
        <v>396</v>
      </c>
      <c r="M325" s="167" t="s">
        <v>24</v>
      </c>
      <c r="N325" s="11">
        <v>0</v>
      </c>
      <c r="O325" s="12" t="str">
        <f>_xlfn.DISPIMG("ID_4F7FAD79CF244D82AC4A116B39238E93",1)</f>
        <v>=DISPIMG("ID_4F7FAD79CF244D82AC4A116B39238E93",1)</v>
      </c>
      <c r="P325" s="11" t="s">
        <v>1443</v>
      </c>
      <c r="Q325" s="11">
        <v>159</v>
      </c>
      <c r="R325" s="17" t="s">
        <v>4643</v>
      </c>
      <c r="S325" s="18" t="s">
        <v>56</v>
      </c>
      <c r="T325" s="25">
        <v>15</v>
      </c>
    </row>
    <row r="326" s="3" customFormat="1" customHeight="1" spans="1:20">
      <c r="A326" s="167" t="s">
        <v>2240</v>
      </c>
      <c r="B326" s="167" t="s">
        <v>153</v>
      </c>
      <c r="C326" s="167" t="s">
        <v>2241</v>
      </c>
      <c r="D326" s="11">
        <v>18079253586</v>
      </c>
      <c r="E326" s="167" t="s">
        <v>156</v>
      </c>
      <c r="F326" s="167" t="s">
        <v>12</v>
      </c>
      <c r="G326" s="11">
        <v>202102010</v>
      </c>
      <c r="H326" s="167" t="s">
        <v>157</v>
      </c>
      <c r="I326" s="167" t="s">
        <v>2243</v>
      </c>
      <c r="J326" s="167" t="s">
        <v>445</v>
      </c>
      <c r="K326" s="167" t="s">
        <v>160</v>
      </c>
      <c r="L326" s="167" t="s">
        <v>368</v>
      </c>
      <c r="M326" s="167" t="s">
        <v>2244</v>
      </c>
      <c r="N326" s="167" t="s">
        <v>2245</v>
      </c>
      <c r="O326" s="12" t="str">
        <f>_xlfn.DISPIMG("ID_36DB22886E2542F0B08D8BC7EEC58760",1)</f>
        <v>=DISPIMG("ID_36DB22886E2542F0B08D8BC7EEC58760",1)</v>
      </c>
      <c r="P326" s="11" t="s">
        <v>2246</v>
      </c>
      <c r="Q326" s="20">
        <v>264</v>
      </c>
      <c r="R326" s="17" t="s">
        <v>4647</v>
      </c>
      <c r="S326" s="18" t="s">
        <v>56</v>
      </c>
      <c r="T326" s="25">
        <v>11</v>
      </c>
    </row>
    <row r="327" s="3" customFormat="1" customHeight="1" spans="1:20">
      <c r="A327" s="167" t="s">
        <v>3274</v>
      </c>
      <c r="B327" s="167" t="s">
        <v>165</v>
      </c>
      <c r="C327" s="167" t="s">
        <v>3275</v>
      </c>
      <c r="D327" s="11">
        <v>15870802185</v>
      </c>
      <c r="E327" s="167" t="s">
        <v>156</v>
      </c>
      <c r="F327" s="167" t="s">
        <v>12</v>
      </c>
      <c r="G327" s="11">
        <v>202102010</v>
      </c>
      <c r="H327" s="167" t="s">
        <v>157</v>
      </c>
      <c r="I327" s="167" t="s">
        <v>3276</v>
      </c>
      <c r="J327" s="167" t="s">
        <v>3277</v>
      </c>
      <c r="K327" s="167" t="s">
        <v>170</v>
      </c>
      <c r="L327" s="167" t="s">
        <v>516</v>
      </c>
      <c r="M327" s="167" t="s">
        <v>3278</v>
      </c>
      <c r="N327" s="167" t="s">
        <v>3279</v>
      </c>
      <c r="O327" s="12" t="str">
        <f>_xlfn.DISPIMG("ID_CA7F81D47ACB4FA38E0278F330AEC9F9",1)</f>
        <v>=DISPIMG("ID_CA7F81D47ACB4FA38E0278F330AEC9F9",1)</v>
      </c>
      <c r="P327" s="11" t="s">
        <v>3280</v>
      </c>
      <c r="Q327" s="20">
        <v>409</v>
      </c>
      <c r="R327" s="17" t="s">
        <v>4648</v>
      </c>
      <c r="S327" s="18" t="s">
        <v>56</v>
      </c>
      <c r="T327" s="25">
        <v>14</v>
      </c>
    </row>
    <row r="328" s="3" customFormat="1" customHeight="1" spans="1:20">
      <c r="A328" s="167" t="s">
        <v>4134</v>
      </c>
      <c r="B328" s="167" t="s">
        <v>165</v>
      </c>
      <c r="C328" s="167" t="s">
        <v>4135</v>
      </c>
      <c r="D328" s="11">
        <v>15207926555</v>
      </c>
      <c r="E328" s="167" t="s">
        <v>156</v>
      </c>
      <c r="F328" s="167" t="s">
        <v>12</v>
      </c>
      <c r="G328" s="11">
        <v>202102010</v>
      </c>
      <c r="H328" s="167" t="s">
        <v>157</v>
      </c>
      <c r="I328" s="167" t="s">
        <v>4137</v>
      </c>
      <c r="J328" s="167" t="s">
        <v>1442</v>
      </c>
      <c r="K328" s="167" t="s">
        <v>160</v>
      </c>
      <c r="L328" s="167" t="s">
        <v>368</v>
      </c>
      <c r="M328" s="167" t="s">
        <v>4138</v>
      </c>
      <c r="N328" s="11">
        <v>0</v>
      </c>
      <c r="O328" s="12" t="str">
        <f>_xlfn.DISPIMG("ID_911EFC838815489D872B9030D6735741",1)</f>
        <v>=DISPIMG("ID_911EFC838815489D872B9030D6735741",1)</v>
      </c>
      <c r="P328" s="11" t="s">
        <v>4139</v>
      </c>
      <c r="Q328" s="11">
        <v>529</v>
      </c>
      <c r="R328" s="17" t="s">
        <v>4652</v>
      </c>
      <c r="S328" s="18" t="s">
        <v>56</v>
      </c>
      <c r="T328" s="25">
        <v>12</v>
      </c>
    </row>
    <row r="329" s="3" customFormat="1" customHeight="1" spans="1:20">
      <c r="A329" s="167" t="s">
        <v>4198</v>
      </c>
      <c r="B329" s="167" t="s">
        <v>165</v>
      </c>
      <c r="C329" s="167" t="s">
        <v>4199</v>
      </c>
      <c r="D329" s="11">
        <v>18160796883</v>
      </c>
      <c r="E329" s="167" t="s">
        <v>156</v>
      </c>
      <c r="F329" s="167" t="s">
        <v>12</v>
      </c>
      <c r="G329" s="11">
        <v>202102010</v>
      </c>
      <c r="H329" s="167" t="s">
        <v>157</v>
      </c>
      <c r="I329" s="167" t="s">
        <v>4201</v>
      </c>
      <c r="J329" s="167" t="s">
        <v>445</v>
      </c>
      <c r="K329" s="167" t="s">
        <v>170</v>
      </c>
      <c r="L329" s="167" t="s">
        <v>199</v>
      </c>
      <c r="M329" s="167" t="s">
        <v>359</v>
      </c>
      <c r="N329" s="167" t="s">
        <v>4202</v>
      </c>
      <c r="O329" s="12" t="str">
        <f>_xlfn.DISPIMG("ID_85E134BF0AB1468FAAB0CB1A9F9C4F34",1)</f>
        <v>=DISPIMG("ID_85E134BF0AB1468FAAB0CB1A9F9C4F34",1)</v>
      </c>
      <c r="P329" s="11" t="s">
        <v>4203</v>
      </c>
      <c r="Q329" s="11">
        <v>537</v>
      </c>
      <c r="R329" s="17" t="s">
        <v>4653</v>
      </c>
      <c r="S329" s="18" t="s">
        <v>56</v>
      </c>
      <c r="T329" s="25">
        <v>13</v>
      </c>
    </row>
    <row r="330" s="3" customFormat="1" customHeight="1" spans="1:20">
      <c r="A330" s="167" t="s">
        <v>239</v>
      </c>
      <c r="B330" s="167" t="s">
        <v>165</v>
      </c>
      <c r="C330" s="167" t="s">
        <v>240</v>
      </c>
      <c r="D330" s="11">
        <v>13697988167</v>
      </c>
      <c r="E330" s="167" t="s">
        <v>156</v>
      </c>
      <c r="F330" s="167" t="s">
        <v>5</v>
      </c>
      <c r="G330" s="11">
        <v>202102008</v>
      </c>
      <c r="H330" s="167" t="s">
        <v>157</v>
      </c>
      <c r="I330" s="167" t="s">
        <v>242</v>
      </c>
      <c r="J330" s="167" t="s">
        <v>243</v>
      </c>
      <c r="K330" s="167" t="s">
        <v>160</v>
      </c>
      <c r="L330" s="167" t="s">
        <v>161</v>
      </c>
      <c r="M330" s="167" t="s">
        <v>5</v>
      </c>
      <c r="N330" s="11">
        <v>0</v>
      </c>
      <c r="O330" s="12" t="str">
        <f>_xlfn.DISPIMG("ID_9CBFB21D3F5B4658948522EF0C2AECE4",1)</f>
        <v>=DISPIMG("ID_9CBFB21D3F5B4658948522EF0C2AECE4",1)</v>
      </c>
      <c r="P330" s="11" t="s">
        <v>244</v>
      </c>
      <c r="Q330" s="20">
        <v>11</v>
      </c>
      <c r="R330" s="17" t="s">
        <v>4657</v>
      </c>
      <c r="S330" s="18" t="s">
        <v>56</v>
      </c>
      <c r="T330" s="25">
        <v>18</v>
      </c>
    </row>
    <row r="331" s="3" customFormat="1" customHeight="1" spans="1:20">
      <c r="A331" s="167" t="s">
        <v>286</v>
      </c>
      <c r="B331" s="167" t="s">
        <v>153</v>
      </c>
      <c r="C331" s="167" t="s">
        <v>287</v>
      </c>
      <c r="D331" s="11">
        <v>18755672832</v>
      </c>
      <c r="E331" s="167" t="s">
        <v>156</v>
      </c>
      <c r="F331" s="167" t="s">
        <v>5</v>
      </c>
      <c r="G331" s="11">
        <v>202102008</v>
      </c>
      <c r="H331" s="167" t="s">
        <v>157</v>
      </c>
      <c r="I331" s="167" t="s">
        <v>289</v>
      </c>
      <c r="J331" s="167" t="s">
        <v>290</v>
      </c>
      <c r="K331" s="167" t="s">
        <v>170</v>
      </c>
      <c r="L331" s="167" t="s">
        <v>261</v>
      </c>
      <c r="M331" s="167" t="s">
        <v>5</v>
      </c>
      <c r="N331" s="11">
        <v>0</v>
      </c>
      <c r="O331" s="12" t="str">
        <f>_xlfn.DISPIMG("ID_5BB4AA0F377240A584934BCE0D4B941B",1)</f>
        <v>=DISPIMG("ID_5BB4AA0F377240A584934BCE0D4B941B",1)</v>
      </c>
      <c r="P331" s="11" t="s">
        <v>291</v>
      </c>
      <c r="Q331" s="20">
        <v>16</v>
      </c>
      <c r="R331" s="17" t="s">
        <v>4658</v>
      </c>
      <c r="S331" s="18" t="s">
        <v>56</v>
      </c>
      <c r="T331" s="25">
        <v>19</v>
      </c>
    </row>
    <row r="332" s="3" customFormat="1" customHeight="1" spans="1:20">
      <c r="A332" s="167" t="s">
        <v>1630</v>
      </c>
      <c r="B332" s="167" t="s">
        <v>153</v>
      </c>
      <c r="C332" s="167" t="s">
        <v>1631</v>
      </c>
      <c r="D332" s="11">
        <v>18437922593</v>
      </c>
      <c r="E332" s="167" t="s">
        <v>156</v>
      </c>
      <c r="F332" s="167" t="s">
        <v>5</v>
      </c>
      <c r="G332" s="11">
        <v>202102008</v>
      </c>
      <c r="H332" s="167" t="s">
        <v>157</v>
      </c>
      <c r="I332" s="167" t="s">
        <v>1633</v>
      </c>
      <c r="J332" s="167" t="s">
        <v>280</v>
      </c>
      <c r="K332" s="167" t="s">
        <v>170</v>
      </c>
      <c r="L332" s="167" t="s">
        <v>199</v>
      </c>
      <c r="M332" s="167" t="s">
        <v>5</v>
      </c>
      <c r="N332" s="11">
        <v>0</v>
      </c>
      <c r="O332" s="12" t="str">
        <f>_xlfn.DISPIMG("ID_30389EE5D2254B4693F3D201E2C25479",1)</f>
        <v>=DISPIMG("ID_30389EE5D2254B4693F3D201E2C25479",1)</v>
      </c>
      <c r="P332" s="11" t="s">
        <v>1634</v>
      </c>
      <c r="Q332" s="20">
        <v>183</v>
      </c>
      <c r="R332" s="17" t="s">
        <v>4662</v>
      </c>
      <c r="S332" s="18" t="s">
        <v>56</v>
      </c>
      <c r="T332" s="25">
        <v>17</v>
      </c>
    </row>
    <row r="333" s="3" customFormat="1" customHeight="1" spans="1:20">
      <c r="A333" s="167" t="s">
        <v>1706</v>
      </c>
      <c r="B333" s="167" t="s">
        <v>153</v>
      </c>
      <c r="C333" s="167" t="s">
        <v>1707</v>
      </c>
      <c r="D333" s="11">
        <v>15070040825</v>
      </c>
      <c r="E333" s="167" t="s">
        <v>506</v>
      </c>
      <c r="F333" s="167" t="s">
        <v>5</v>
      </c>
      <c r="G333" s="11">
        <v>202102020</v>
      </c>
      <c r="H333" s="167" t="s">
        <v>157</v>
      </c>
      <c r="I333" s="167" t="s">
        <v>789</v>
      </c>
      <c r="J333" s="167" t="s">
        <v>1709</v>
      </c>
      <c r="K333" s="167" t="s">
        <v>160</v>
      </c>
      <c r="L333" s="167" t="s">
        <v>1346</v>
      </c>
      <c r="M333" s="167" t="s">
        <v>1710</v>
      </c>
      <c r="N333" s="167" t="s">
        <v>1711</v>
      </c>
      <c r="O333" s="12" t="str">
        <f>_xlfn.DISPIMG("ID_B3E8781AF7454377842FD7EC53A6E781",1)</f>
        <v>=DISPIMG("ID_B3E8781AF7454377842FD7EC53A6E781",1)</v>
      </c>
      <c r="P333" s="11" t="s">
        <v>1712</v>
      </c>
      <c r="Q333" s="20">
        <v>193</v>
      </c>
      <c r="R333" s="17" t="s">
        <v>4663</v>
      </c>
      <c r="S333" s="18" t="s">
        <v>56</v>
      </c>
      <c r="T333" s="25">
        <v>20</v>
      </c>
    </row>
    <row r="334" s="3" customFormat="1" customHeight="1" spans="1:20">
      <c r="A334" s="167" t="s">
        <v>1846</v>
      </c>
      <c r="B334" s="167" t="s">
        <v>165</v>
      </c>
      <c r="C334" s="167" t="s">
        <v>1847</v>
      </c>
      <c r="D334" s="11">
        <v>18879254089</v>
      </c>
      <c r="E334" s="167" t="s">
        <v>156</v>
      </c>
      <c r="F334" s="167" t="s">
        <v>5</v>
      </c>
      <c r="G334" s="11">
        <v>202102008</v>
      </c>
      <c r="H334" s="167" t="s">
        <v>279</v>
      </c>
      <c r="I334" s="167" t="s">
        <v>158</v>
      </c>
      <c r="J334" s="167" t="s">
        <v>1849</v>
      </c>
      <c r="K334" s="167" t="s">
        <v>170</v>
      </c>
      <c r="L334" s="167" t="s">
        <v>396</v>
      </c>
      <c r="M334" s="167" t="s">
        <v>1850</v>
      </c>
      <c r="N334" s="167" t="s">
        <v>1851</v>
      </c>
      <c r="O334" s="12" t="str">
        <f>_xlfn.DISPIMG("ID_19DBAF911A5F41D795A3B7585DA543D3",1)</f>
        <v>=DISPIMG("ID_19DBAF911A5F41D795A3B7585DA543D3",1)</v>
      </c>
      <c r="P334" s="11" t="s">
        <v>1852</v>
      </c>
      <c r="Q334" s="20">
        <v>211</v>
      </c>
      <c r="R334" s="17" t="s">
        <v>4664</v>
      </c>
      <c r="S334" s="18" t="s">
        <v>56</v>
      </c>
      <c r="T334" s="25">
        <v>16</v>
      </c>
    </row>
    <row r="335" s="3" customFormat="1" customHeight="1" spans="1:20">
      <c r="A335" s="167" t="s">
        <v>2294</v>
      </c>
      <c r="B335" s="167" t="s">
        <v>153</v>
      </c>
      <c r="C335" s="167" t="s">
        <v>2295</v>
      </c>
      <c r="D335" s="11">
        <v>18179457855</v>
      </c>
      <c r="E335" s="167" t="s">
        <v>156</v>
      </c>
      <c r="F335" s="167" t="s">
        <v>5</v>
      </c>
      <c r="G335" s="11">
        <v>202102008</v>
      </c>
      <c r="H335" s="167" t="s">
        <v>157</v>
      </c>
      <c r="I335" s="167" t="s">
        <v>1654</v>
      </c>
      <c r="J335" s="167" t="s">
        <v>2297</v>
      </c>
      <c r="K335" s="167" t="s">
        <v>160</v>
      </c>
      <c r="L335" s="167" t="s">
        <v>2298</v>
      </c>
      <c r="M335" s="167" t="s">
        <v>2299</v>
      </c>
      <c r="N335" s="11">
        <v>0</v>
      </c>
      <c r="O335" s="12" t="str">
        <f>_xlfn.DISPIMG("ID_2348B3C3CCB6443B92AD1A08F0A487FA",1)</f>
        <v>=DISPIMG("ID_2348B3C3CCB6443B92AD1A08F0A487FA",1)</v>
      </c>
      <c r="P335" s="11" t="s">
        <v>2300</v>
      </c>
      <c r="Q335" s="11">
        <v>271</v>
      </c>
      <c r="R335" s="17" t="s">
        <v>4639</v>
      </c>
      <c r="S335" s="18" t="s">
        <v>56</v>
      </c>
      <c r="T335" s="25">
        <v>21</v>
      </c>
    </row>
    <row r="336" s="3" customFormat="1" customHeight="1" spans="1:20">
      <c r="A336" s="167" t="s">
        <v>2459</v>
      </c>
      <c r="B336" s="167" t="s">
        <v>165</v>
      </c>
      <c r="C336" s="167" t="s">
        <v>2460</v>
      </c>
      <c r="D336" s="11">
        <v>18702519372</v>
      </c>
      <c r="E336" s="167" t="s">
        <v>156</v>
      </c>
      <c r="F336" s="167" t="s">
        <v>5</v>
      </c>
      <c r="G336" s="11">
        <v>202102008</v>
      </c>
      <c r="H336" s="167" t="s">
        <v>279</v>
      </c>
      <c r="I336" s="167" t="s">
        <v>662</v>
      </c>
      <c r="J336" s="167" t="s">
        <v>348</v>
      </c>
      <c r="K336" s="167" t="s">
        <v>170</v>
      </c>
      <c r="L336" s="167" t="s">
        <v>199</v>
      </c>
      <c r="M336" s="167" t="s">
        <v>2462</v>
      </c>
      <c r="N336" s="11">
        <v>0</v>
      </c>
      <c r="O336" s="12" t="str">
        <f>_xlfn.DISPIMG("ID_C162899F9DDD4F8CA771F69FFB2795AD",1)</f>
        <v>=DISPIMG("ID_C162899F9DDD4F8CA771F69FFB2795AD",1)</v>
      </c>
      <c r="P336" s="11" t="s">
        <v>2463</v>
      </c>
      <c r="Q336" s="20">
        <v>293</v>
      </c>
      <c r="R336" s="17" t="s">
        <v>4640</v>
      </c>
      <c r="S336" s="18" t="s">
        <v>56</v>
      </c>
      <c r="T336" s="25">
        <v>22</v>
      </c>
    </row>
    <row r="337" s="3" customFormat="1" customHeight="1" spans="1:20">
      <c r="A337" s="167" t="s">
        <v>3873</v>
      </c>
      <c r="B337" s="167" t="s">
        <v>153</v>
      </c>
      <c r="C337" s="167" t="s">
        <v>3874</v>
      </c>
      <c r="D337" s="11">
        <v>13317434772</v>
      </c>
      <c r="E337" s="167" t="s">
        <v>156</v>
      </c>
      <c r="F337" s="167" t="s">
        <v>5</v>
      </c>
      <c r="G337" s="11">
        <v>202102008</v>
      </c>
      <c r="H337" s="167" t="s">
        <v>157</v>
      </c>
      <c r="I337" s="167" t="s">
        <v>3876</v>
      </c>
      <c r="J337" s="167" t="s">
        <v>290</v>
      </c>
      <c r="K337" s="167" t="s">
        <v>170</v>
      </c>
      <c r="L337" s="167" t="s">
        <v>171</v>
      </c>
      <c r="M337" s="167" t="s">
        <v>1064</v>
      </c>
      <c r="N337" s="167" t="s">
        <v>3877</v>
      </c>
      <c r="O337" s="12" t="str">
        <f>_xlfn.DISPIMG("ID_707B86616C5E4D0A96852FA2ECC7652E",1)</f>
        <v>=DISPIMG("ID_707B86616C5E4D0A96852FA2ECC7652E",1)</v>
      </c>
      <c r="P337" s="11" t="s">
        <v>3878</v>
      </c>
      <c r="Q337" s="20">
        <v>494</v>
      </c>
      <c r="R337" s="17" t="s">
        <v>4644</v>
      </c>
      <c r="S337" s="18" t="s">
        <v>56</v>
      </c>
      <c r="T337" s="25">
        <v>23</v>
      </c>
    </row>
    <row r="338" s="3" customFormat="1" customHeight="1" spans="1:20">
      <c r="A338" s="167" t="s">
        <v>184</v>
      </c>
      <c r="B338" s="167" t="s">
        <v>153</v>
      </c>
      <c r="C338" s="167" t="s">
        <v>185</v>
      </c>
      <c r="D338" s="11">
        <v>18038082134</v>
      </c>
      <c r="E338" s="167" t="s">
        <v>156</v>
      </c>
      <c r="F338" s="167" t="s">
        <v>6</v>
      </c>
      <c r="G338" s="11">
        <v>202102012</v>
      </c>
      <c r="H338" s="167" t="s">
        <v>157</v>
      </c>
      <c r="I338" s="167" t="s">
        <v>187</v>
      </c>
      <c r="J338" s="167" t="s">
        <v>188</v>
      </c>
      <c r="K338" s="167" t="s">
        <v>160</v>
      </c>
      <c r="L338" s="167" t="s">
        <v>189</v>
      </c>
      <c r="M338" s="167" t="s">
        <v>190</v>
      </c>
      <c r="N338" s="11">
        <v>0</v>
      </c>
      <c r="O338" s="12" t="str">
        <f>_xlfn.DISPIMG("ID_F9EC90828AC344EC8EE9AB75C1318672",1)</f>
        <v>=DISPIMG("ID_F9EC90828AC344EC8EE9AB75C1318672",1)</v>
      </c>
      <c r="P338" s="11" t="s">
        <v>191</v>
      </c>
      <c r="Q338" s="11">
        <v>5</v>
      </c>
      <c r="R338" s="17" t="s">
        <v>4645</v>
      </c>
      <c r="S338" s="18" t="s">
        <v>60</v>
      </c>
      <c r="T338" s="11">
        <v>6</v>
      </c>
    </row>
    <row r="339" s="3" customFormat="1" customHeight="1" spans="1:20">
      <c r="A339" s="167" t="s">
        <v>203</v>
      </c>
      <c r="B339" s="167" t="s">
        <v>165</v>
      </c>
      <c r="C339" s="167" t="s">
        <v>204</v>
      </c>
      <c r="D339" s="11">
        <v>18451114131</v>
      </c>
      <c r="E339" s="167" t="s">
        <v>156</v>
      </c>
      <c r="F339" s="167" t="s">
        <v>6</v>
      </c>
      <c r="G339" s="11">
        <v>202102012</v>
      </c>
      <c r="H339" s="167" t="s">
        <v>157</v>
      </c>
      <c r="I339" s="167" t="s">
        <v>206</v>
      </c>
      <c r="J339" s="167" t="s">
        <v>207</v>
      </c>
      <c r="K339" s="167" t="s">
        <v>160</v>
      </c>
      <c r="L339" s="167" t="s">
        <v>199</v>
      </c>
      <c r="M339" s="167" t="s">
        <v>6</v>
      </c>
      <c r="N339" s="167" t="s">
        <v>208</v>
      </c>
      <c r="O339" s="12" t="str">
        <f>_xlfn.DISPIMG("ID_F7457C8055E845839E12BBC94DC0151A",1)</f>
        <v>=DISPIMG("ID_F7457C8055E845839E12BBC94DC0151A",1)</v>
      </c>
      <c r="P339" s="11" t="s">
        <v>209</v>
      </c>
      <c r="Q339" s="11">
        <v>7</v>
      </c>
      <c r="R339" s="17" t="s">
        <v>4649</v>
      </c>
      <c r="S339" s="18" t="s">
        <v>60</v>
      </c>
      <c r="T339" s="11">
        <v>7</v>
      </c>
    </row>
    <row r="340" s="3" customFormat="1" customHeight="1" spans="1:20">
      <c r="A340" s="167" t="s">
        <v>247</v>
      </c>
      <c r="B340" s="167" t="s">
        <v>165</v>
      </c>
      <c r="C340" s="167" t="s">
        <v>248</v>
      </c>
      <c r="D340" s="11">
        <v>18194294670</v>
      </c>
      <c r="E340" s="167" t="s">
        <v>156</v>
      </c>
      <c r="F340" s="167" t="s">
        <v>6</v>
      </c>
      <c r="G340" s="11">
        <v>202102012</v>
      </c>
      <c r="H340" s="167" t="s">
        <v>157</v>
      </c>
      <c r="I340" s="167" t="s">
        <v>250</v>
      </c>
      <c r="J340" s="167" t="s">
        <v>251</v>
      </c>
      <c r="K340" s="167" t="s">
        <v>160</v>
      </c>
      <c r="L340" s="167" t="s">
        <v>252</v>
      </c>
      <c r="M340" s="167" t="s">
        <v>253</v>
      </c>
      <c r="N340" s="167" t="s">
        <v>254</v>
      </c>
      <c r="O340" s="12" t="str">
        <f>_xlfn.DISPIMG("ID_75E1D16F2E6F48168F32947A4DF07EC3",1)</f>
        <v>=DISPIMG("ID_75E1D16F2E6F48168F32947A4DF07EC3",1)</v>
      </c>
      <c r="P340" s="11" t="s">
        <v>255</v>
      </c>
      <c r="Q340" s="11">
        <v>12</v>
      </c>
      <c r="R340" s="17" t="s">
        <v>4650</v>
      </c>
      <c r="S340" s="18" t="s">
        <v>60</v>
      </c>
      <c r="T340" s="11">
        <v>18</v>
      </c>
    </row>
    <row r="341" s="3" customFormat="1" customHeight="1" spans="1:20">
      <c r="A341" s="167" t="s">
        <v>319</v>
      </c>
      <c r="B341" s="167" t="s">
        <v>165</v>
      </c>
      <c r="C341" s="167" t="s">
        <v>320</v>
      </c>
      <c r="D341" s="11">
        <v>18679938518</v>
      </c>
      <c r="E341" s="167" t="s">
        <v>156</v>
      </c>
      <c r="F341" s="167" t="s">
        <v>6</v>
      </c>
      <c r="G341" s="11">
        <v>202102012</v>
      </c>
      <c r="H341" s="167" t="s">
        <v>157</v>
      </c>
      <c r="I341" s="167" t="s">
        <v>322</v>
      </c>
      <c r="J341" s="167" t="s">
        <v>323</v>
      </c>
      <c r="K341" s="167" t="s">
        <v>170</v>
      </c>
      <c r="L341" s="167" t="s">
        <v>180</v>
      </c>
      <c r="M341" s="167" t="s">
        <v>324</v>
      </c>
      <c r="N341" s="167" t="s">
        <v>325</v>
      </c>
      <c r="O341" s="12" t="str">
        <f>_xlfn.DISPIMG("ID_7D94F98EB3D041FA910044FDF5DF1027",1)</f>
        <v>=DISPIMG("ID_7D94F98EB3D041FA910044FDF5DF1027",1)</v>
      </c>
      <c r="P341" s="11" t="s">
        <v>326</v>
      </c>
      <c r="Q341" s="11">
        <v>20</v>
      </c>
      <c r="R341" s="17" t="s">
        <v>4654</v>
      </c>
      <c r="S341" s="18" t="s">
        <v>60</v>
      </c>
      <c r="T341" s="11">
        <v>19</v>
      </c>
    </row>
    <row r="342" s="3" customFormat="1" customHeight="1" spans="1:20">
      <c r="A342" s="167" t="s">
        <v>400</v>
      </c>
      <c r="B342" s="167" t="s">
        <v>165</v>
      </c>
      <c r="C342" s="167" t="s">
        <v>401</v>
      </c>
      <c r="D342" s="11">
        <v>18279242907</v>
      </c>
      <c r="E342" s="167" t="s">
        <v>156</v>
      </c>
      <c r="F342" s="167" t="s">
        <v>6</v>
      </c>
      <c r="G342" s="11">
        <v>202102012</v>
      </c>
      <c r="H342" s="167" t="s">
        <v>157</v>
      </c>
      <c r="I342" s="167" t="s">
        <v>403</v>
      </c>
      <c r="J342" s="167" t="s">
        <v>404</v>
      </c>
      <c r="K342" s="167" t="s">
        <v>160</v>
      </c>
      <c r="L342" s="167" t="s">
        <v>252</v>
      </c>
      <c r="M342" s="167" t="s">
        <v>6</v>
      </c>
      <c r="N342" s="167" t="s">
        <v>405</v>
      </c>
      <c r="O342" s="12" t="str">
        <f>_xlfn.DISPIMG("ID_CF4959AF4AC44C8391DB8D257F1D8B87",1)</f>
        <v>=DISPIMG("ID_CF4959AF4AC44C8391DB8D257F1D8B87",1)</v>
      </c>
      <c r="P342" s="11" t="s">
        <v>406</v>
      </c>
      <c r="Q342" s="11">
        <v>29</v>
      </c>
      <c r="R342" s="17" t="s">
        <v>4655</v>
      </c>
      <c r="S342" s="18" t="s">
        <v>60</v>
      </c>
      <c r="T342" s="11">
        <v>30</v>
      </c>
    </row>
    <row r="343" s="3" customFormat="1" customHeight="1" spans="1:20">
      <c r="A343" s="167" t="s">
        <v>409</v>
      </c>
      <c r="B343" s="167" t="s">
        <v>153</v>
      </c>
      <c r="C343" s="167" t="s">
        <v>410</v>
      </c>
      <c r="D343" s="11">
        <v>13177702893</v>
      </c>
      <c r="E343" s="167" t="s">
        <v>156</v>
      </c>
      <c r="F343" s="167" t="s">
        <v>6</v>
      </c>
      <c r="G343" s="11">
        <v>202102012</v>
      </c>
      <c r="H343" s="167" t="s">
        <v>157</v>
      </c>
      <c r="I343" s="167" t="s">
        <v>412</v>
      </c>
      <c r="J343" s="167" t="s">
        <v>323</v>
      </c>
      <c r="K343" s="167" t="s">
        <v>170</v>
      </c>
      <c r="L343" s="167" t="s">
        <v>252</v>
      </c>
      <c r="M343" s="167" t="s">
        <v>413</v>
      </c>
      <c r="N343" s="167" t="s">
        <v>414</v>
      </c>
      <c r="O343" s="12" t="str">
        <f>_xlfn.DISPIMG("ID_C929C0A6F3B54FF18F2B98BE28643203",1)</f>
        <v>=DISPIMG("ID_C929C0A6F3B54FF18F2B98BE28643203",1)</v>
      </c>
      <c r="P343" s="11" t="s">
        <v>415</v>
      </c>
      <c r="Q343" s="11">
        <v>30</v>
      </c>
      <c r="R343" s="17" t="s">
        <v>4659</v>
      </c>
      <c r="S343" s="18" t="s">
        <v>60</v>
      </c>
      <c r="T343" s="11">
        <v>5</v>
      </c>
    </row>
    <row r="344" s="3" customFormat="1" customHeight="1" spans="1:20">
      <c r="A344" s="167" t="s">
        <v>627</v>
      </c>
      <c r="B344" s="167" t="s">
        <v>165</v>
      </c>
      <c r="C344" s="167" t="s">
        <v>628</v>
      </c>
      <c r="D344" s="11">
        <v>18162269962</v>
      </c>
      <c r="E344" s="167" t="s">
        <v>156</v>
      </c>
      <c r="F344" s="167" t="s">
        <v>6</v>
      </c>
      <c r="G344" s="11">
        <v>202102012</v>
      </c>
      <c r="H344" s="167" t="s">
        <v>157</v>
      </c>
      <c r="I344" s="167" t="s">
        <v>630</v>
      </c>
      <c r="J344" s="167" t="s">
        <v>207</v>
      </c>
      <c r="K344" s="167" t="s">
        <v>160</v>
      </c>
      <c r="L344" s="167" t="s">
        <v>541</v>
      </c>
      <c r="M344" s="167" t="s">
        <v>18</v>
      </c>
      <c r="N344" s="167" t="s">
        <v>631</v>
      </c>
      <c r="O344" s="12" t="str">
        <f>_xlfn.DISPIMG("ID_50ADA4D0B38B42B786E2DD18C78CCC60",1)</f>
        <v>=DISPIMG("ID_50ADA4D0B38B42B786E2DD18C78CCC60",1)</v>
      </c>
      <c r="P344" s="11" t="s">
        <v>632</v>
      </c>
      <c r="Q344" s="11">
        <v>57</v>
      </c>
      <c r="R344" s="17" t="s">
        <v>4641</v>
      </c>
      <c r="S344" s="18" t="s">
        <v>60</v>
      </c>
      <c r="T344" s="11">
        <v>8</v>
      </c>
    </row>
    <row r="345" s="3" customFormat="1" customHeight="1" spans="1:20">
      <c r="A345" s="167" t="s">
        <v>746</v>
      </c>
      <c r="B345" s="167" t="s">
        <v>165</v>
      </c>
      <c r="C345" s="167" t="s">
        <v>747</v>
      </c>
      <c r="D345" s="11">
        <v>15641592275</v>
      </c>
      <c r="E345" s="167" t="s">
        <v>156</v>
      </c>
      <c r="F345" s="167" t="s">
        <v>6</v>
      </c>
      <c r="G345" s="11">
        <v>202102012</v>
      </c>
      <c r="H345" s="167" t="s">
        <v>157</v>
      </c>
      <c r="I345" s="167" t="s">
        <v>749</v>
      </c>
      <c r="J345" s="167" t="s">
        <v>750</v>
      </c>
      <c r="K345" s="167" t="s">
        <v>160</v>
      </c>
      <c r="L345" s="167" t="s">
        <v>252</v>
      </c>
      <c r="M345" s="167" t="s">
        <v>6</v>
      </c>
      <c r="N345" s="11">
        <v>0</v>
      </c>
      <c r="O345" s="12" t="str">
        <f>_xlfn.DISPIMG("ID_7B1FBC3D2E8F42D28CA9AC35B8C2D010",1)</f>
        <v>=DISPIMG("ID_7B1FBC3D2E8F42D28CA9AC35B8C2D010",1)</v>
      </c>
      <c r="P345" s="11" t="s">
        <v>751</v>
      </c>
      <c r="Q345" s="11">
        <v>71</v>
      </c>
      <c r="R345" s="17" t="s">
        <v>4646</v>
      </c>
      <c r="S345" s="18" t="s">
        <v>60</v>
      </c>
      <c r="T345" s="11">
        <v>17</v>
      </c>
    </row>
    <row r="346" s="3" customFormat="1" customHeight="1" spans="1:20">
      <c r="A346" s="167" t="s">
        <v>770</v>
      </c>
      <c r="B346" s="167" t="s">
        <v>165</v>
      </c>
      <c r="C346" s="167" t="s">
        <v>771</v>
      </c>
      <c r="D346" s="11">
        <v>13360075847</v>
      </c>
      <c r="E346" s="167" t="s">
        <v>156</v>
      </c>
      <c r="F346" s="167" t="s">
        <v>6</v>
      </c>
      <c r="G346" s="11">
        <v>202102012</v>
      </c>
      <c r="H346" s="167" t="s">
        <v>157</v>
      </c>
      <c r="I346" s="167" t="s">
        <v>773</v>
      </c>
      <c r="J346" s="167" t="s">
        <v>188</v>
      </c>
      <c r="K346" s="167" t="s">
        <v>160</v>
      </c>
      <c r="L346" s="167" t="s">
        <v>516</v>
      </c>
      <c r="M346" s="167" t="s">
        <v>774</v>
      </c>
      <c r="N346" s="167" t="s">
        <v>775</v>
      </c>
      <c r="O346" s="12" t="str">
        <f>_xlfn.DISPIMG("ID_F0D9772787374E2C95921274F505EDAD",1)</f>
        <v>=DISPIMG("ID_F0D9772787374E2C95921274F505EDAD",1)</v>
      </c>
      <c r="P346" s="11" t="s">
        <v>776</v>
      </c>
      <c r="Q346" s="11">
        <v>74</v>
      </c>
      <c r="R346" s="17" t="s">
        <v>4651</v>
      </c>
      <c r="S346" s="18" t="s">
        <v>60</v>
      </c>
      <c r="T346" s="11">
        <v>20</v>
      </c>
    </row>
    <row r="347" s="3" customFormat="1" customHeight="1" spans="1:20">
      <c r="A347" s="167" t="s">
        <v>1076</v>
      </c>
      <c r="B347" s="167" t="s">
        <v>165</v>
      </c>
      <c r="C347" s="167" t="s">
        <v>1077</v>
      </c>
      <c r="D347" s="11">
        <v>18870203440</v>
      </c>
      <c r="E347" s="167" t="s">
        <v>156</v>
      </c>
      <c r="F347" s="167" t="s">
        <v>6</v>
      </c>
      <c r="G347" s="11">
        <v>202102012</v>
      </c>
      <c r="H347" s="167" t="s">
        <v>157</v>
      </c>
      <c r="I347" s="167" t="s">
        <v>1079</v>
      </c>
      <c r="J347" s="167" t="s">
        <v>1080</v>
      </c>
      <c r="K347" s="167" t="s">
        <v>160</v>
      </c>
      <c r="L347" s="167" t="s">
        <v>235</v>
      </c>
      <c r="M347" s="167" t="s">
        <v>413</v>
      </c>
      <c r="N347" s="167" t="s">
        <v>1081</v>
      </c>
      <c r="O347" s="12" t="str">
        <f>_xlfn.DISPIMG("ID_78C412614C7B42A0AA2A4D942DD9F1A2",1)</f>
        <v>=DISPIMG("ID_78C412614C7B42A0AA2A4D942DD9F1A2",1)</v>
      </c>
      <c r="P347" s="11" t="s">
        <v>1082</v>
      </c>
      <c r="Q347" s="11">
        <v>112</v>
      </c>
      <c r="R347" s="17" t="s">
        <v>4656</v>
      </c>
      <c r="S347" s="18" t="s">
        <v>60</v>
      </c>
      <c r="T347" s="11">
        <v>29</v>
      </c>
    </row>
    <row r="348" s="3" customFormat="1" customHeight="1" spans="1:20">
      <c r="A348" s="167" t="s">
        <v>1135</v>
      </c>
      <c r="B348" s="167" t="s">
        <v>165</v>
      </c>
      <c r="C348" s="167" t="s">
        <v>1136</v>
      </c>
      <c r="D348" s="11">
        <v>13767277916</v>
      </c>
      <c r="E348" s="167" t="s">
        <v>506</v>
      </c>
      <c r="F348" s="167" t="s">
        <v>6</v>
      </c>
      <c r="G348" s="11">
        <v>202102021</v>
      </c>
      <c r="H348" s="167" t="s">
        <v>279</v>
      </c>
      <c r="I348" s="167" t="s">
        <v>158</v>
      </c>
      <c r="J348" s="167" t="s">
        <v>1138</v>
      </c>
      <c r="K348" s="167" t="s">
        <v>170</v>
      </c>
      <c r="L348" s="167" t="s">
        <v>673</v>
      </c>
      <c r="M348" s="167" t="s">
        <v>6</v>
      </c>
      <c r="N348" s="167" t="s">
        <v>1139</v>
      </c>
      <c r="O348" s="12" t="str">
        <f>_xlfn.DISPIMG("ID_18B5B97762B948069F50AE4DD03BA465",1)</f>
        <v>=DISPIMG("ID_18B5B97762B948069F50AE4DD03BA465",1)</v>
      </c>
      <c r="P348" s="11" t="s">
        <v>1140</v>
      </c>
      <c r="Q348" s="11">
        <v>119</v>
      </c>
      <c r="R348" s="17" t="s">
        <v>4660</v>
      </c>
      <c r="S348" s="18" t="s">
        <v>60</v>
      </c>
      <c r="T348" s="11">
        <v>4</v>
      </c>
    </row>
    <row r="349" s="3" customFormat="1" customHeight="1" spans="1:20">
      <c r="A349" s="167" t="s">
        <v>1227</v>
      </c>
      <c r="B349" s="167" t="s">
        <v>165</v>
      </c>
      <c r="C349" s="167" t="s">
        <v>1228</v>
      </c>
      <c r="D349" s="11">
        <v>18279868722</v>
      </c>
      <c r="E349" s="167" t="s">
        <v>156</v>
      </c>
      <c r="F349" s="167" t="s">
        <v>6</v>
      </c>
      <c r="G349" s="11">
        <v>202102012</v>
      </c>
      <c r="H349" s="167" t="s">
        <v>279</v>
      </c>
      <c r="I349" s="167" t="s">
        <v>168</v>
      </c>
      <c r="J349" s="167" t="s">
        <v>1138</v>
      </c>
      <c r="K349" s="167" t="s">
        <v>170</v>
      </c>
      <c r="L349" s="167" t="s">
        <v>368</v>
      </c>
      <c r="M349" s="167" t="s">
        <v>498</v>
      </c>
      <c r="N349" s="167" t="s">
        <v>1230</v>
      </c>
      <c r="O349" s="12" t="str">
        <f>_xlfn.DISPIMG("ID_F7BC6213D6E44840BB6BEB26E73F83E9",1)</f>
        <v>=DISPIMG("ID_F7BC6213D6E44840BB6BEB26E73F83E9",1)</v>
      </c>
      <c r="P349" s="11" t="s">
        <v>1231</v>
      </c>
      <c r="Q349" s="11">
        <v>130</v>
      </c>
      <c r="R349" s="17" t="s">
        <v>4661</v>
      </c>
      <c r="S349" s="18" t="s">
        <v>60</v>
      </c>
      <c r="T349" s="11">
        <v>9</v>
      </c>
    </row>
    <row r="350" s="3" customFormat="1" customHeight="1" spans="1:20">
      <c r="A350" s="167" t="s">
        <v>1068</v>
      </c>
      <c r="B350" s="167" t="s">
        <v>165</v>
      </c>
      <c r="C350" s="167" t="s">
        <v>1069</v>
      </c>
      <c r="D350" s="11">
        <v>18279237136</v>
      </c>
      <c r="E350" s="167" t="s">
        <v>506</v>
      </c>
      <c r="F350" s="167" t="s">
        <v>6</v>
      </c>
      <c r="G350" s="11">
        <v>202102021</v>
      </c>
      <c r="H350" s="167" t="s">
        <v>157</v>
      </c>
      <c r="I350" s="167" t="s">
        <v>1071</v>
      </c>
      <c r="J350" s="167" t="s">
        <v>454</v>
      </c>
      <c r="K350" s="167" t="s">
        <v>160</v>
      </c>
      <c r="L350" s="167" t="s">
        <v>161</v>
      </c>
      <c r="M350" s="167" t="s">
        <v>413</v>
      </c>
      <c r="N350" s="167" t="s">
        <v>1072</v>
      </c>
      <c r="O350" s="12" t="str">
        <f>_xlfn.DISPIMG("ID_4A5DEA3E498746E9A9AC483CF4ABDF91",1)</f>
        <v>=DISPIMG("ID_4A5DEA3E498746E9A9AC483CF4ABDF91",1)</v>
      </c>
      <c r="P350" s="11" t="s">
        <v>1073</v>
      </c>
      <c r="Q350" s="11">
        <v>137</v>
      </c>
      <c r="R350" s="17" t="s">
        <v>4665</v>
      </c>
      <c r="S350" s="18" t="s">
        <v>60</v>
      </c>
      <c r="T350" s="11">
        <v>16</v>
      </c>
    </row>
    <row r="351" s="3" customFormat="1" customHeight="1" spans="1:20">
      <c r="A351" s="167" t="s">
        <v>1336</v>
      </c>
      <c r="B351" s="167" t="s">
        <v>165</v>
      </c>
      <c r="C351" s="167" t="s">
        <v>1337</v>
      </c>
      <c r="D351" s="11">
        <v>15827758062</v>
      </c>
      <c r="E351" s="167" t="s">
        <v>506</v>
      </c>
      <c r="F351" s="167" t="s">
        <v>6</v>
      </c>
      <c r="G351" s="11">
        <v>202102021</v>
      </c>
      <c r="H351" s="167" t="s">
        <v>157</v>
      </c>
      <c r="I351" s="167" t="s">
        <v>909</v>
      </c>
      <c r="J351" s="167" t="s">
        <v>323</v>
      </c>
      <c r="K351" s="167" t="s">
        <v>170</v>
      </c>
      <c r="L351" s="167" t="s">
        <v>235</v>
      </c>
      <c r="M351" s="167" t="s">
        <v>1339</v>
      </c>
      <c r="N351" s="167" t="s">
        <v>1340</v>
      </c>
      <c r="O351" s="12" t="str">
        <f>_xlfn.DISPIMG("ID_59602C342648425A87CF8C12540A5579",1)</f>
        <v>=DISPIMG("ID_59602C342648425A87CF8C12540A5579",1)</v>
      </c>
      <c r="P351" s="11" t="s">
        <v>1341</v>
      </c>
      <c r="Q351" s="11">
        <v>145</v>
      </c>
      <c r="R351" s="17" t="s">
        <v>4666</v>
      </c>
      <c r="S351" s="18" t="s">
        <v>60</v>
      </c>
      <c r="T351" s="11">
        <v>21</v>
      </c>
    </row>
    <row r="352" s="3" customFormat="1" customHeight="1" spans="1:20">
      <c r="A352" s="167" t="s">
        <v>1622</v>
      </c>
      <c r="B352" s="167" t="s">
        <v>165</v>
      </c>
      <c r="C352" s="167" t="s">
        <v>1623</v>
      </c>
      <c r="D352" s="11">
        <v>15170969760</v>
      </c>
      <c r="E352" s="167" t="s">
        <v>506</v>
      </c>
      <c r="F352" s="167" t="s">
        <v>6</v>
      </c>
      <c r="G352" s="11">
        <v>202102021</v>
      </c>
      <c r="H352" s="167" t="s">
        <v>157</v>
      </c>
      <c r="I352" s="167" t="s">
        <v>1625</v>
      </c>
      <c r="J352" s="167" t="s">
        <v>750</v>
      </c>
      <c r="K352" s="167" t="s">
        <v>160</v>
      </c>
      <c r="L352" s="167" t="s">
        <v>1089</v>
      </c>
      <c r="M352" s="167" t="s">
        <v>6</v>
      </c>
      <c r="N352" s="167" t="s">
        <v>1626</v>
      </c>
      <c r="O352" s="12" t="str">
        <f>_xlfn.DISPIMG("ID_F5B5B7553FD14A38A3CEAB4A3171FC0C",1)</f>
        <v>=DISPIMG("ID_F5B5B7553FD14A38A3CEAB4A3171FC0C",1)</v>
      </c>
      <c r="P352" s="11" t="s">
        <v>1627</v>
      </c>
      <c r="Q352" s="11">
        <v>182</v>
      </c>
      <c r="R352" s="17" t="s">
        <v>4667</v>
      </c>
      <c r="S352" s="18" t="s">
        <v>60</v>
      </c>
      <c r="T352" s="11">
        <v>28</v>
      </c>
    </row>
    <row r="353" s="3" customFormat="1" customHeight="1" spans="1:20">
      <c r="A353" s="167" t="s">
        <v>1798</v>
      </c>
      <c r="B353" s="167" t="s">
        <v>165</v>
      </c>
      <c r="C353" s="167" t="s">
        <v>1799</v>
      </c>
      <c r="D353" s="11">
        <v>18070223507</v>
      </c>
      <c r="E353" s="167" t="s">
        <v>506</v>
      </c>
      <c r="F353" s="167" t="s">
        <v>6</v>
      </c>
      <c r="G353" s="11">
        <v>202102021</v>
      </c>
      <c r="H353" s="167" t="s">
        <v>157</v>
      </c>
      <c r="I353" s="167" t="s">
        <v>1801</v>
      </c>
      <c r="J353" s="167" t="s">
        <v>1802</v>
      </c>
      <c r="K353" s="167" t="s">
        <v>160</v>
      </c>
      <c r="L353" s="167" t="s">
        <v>161</v>
      </c>
      <c r="M353" s="167" t="s">
        <v>6</v>
      </c>
      <c r="N353" s="167" t="s">
        <v>1803</v>
      </c>
      <c r="O353" s="12" t="str">
        <f>_xlfn.DISPIMG("ID_054E9F37DEBB4C16973D352603A54499",1)</f>
        <v>=DISPIMG("ID_054E9F37DEBB4C16973D352603A54499",1)</v>
      </c>
      <c r="P353" s="11" t="s">
        <v>1804</v>
      </c>
      <c r="Q353" s="11">
        <v>205</v>
      </c>
      <c r="R353" s="17" t="s">
        <v>4668</v>
      </c>
      <c r="S353" s="18" t="s">
        <v>60</v>
      </c>
      <c r="T353" s="11">
        <v>3</v>
      </c>
    </row>
    <row r="354" s="3" customFormat="1" customHeight="1" spans="1:20">
      <c r="A354" s="167" t="s">
        <v>2233</v>
      </c>
      <c r="B354" s="167" t="s">
        <v>165</v>
      </c>
      <c r="C354" s="167" t="s">
        <v>2234</v>
      </c>
      <c r="D354" s="11">
        <v>18279238026</v>
      </c>
      <c r="E354" s="167" t="s">
        <v>156</v>
      </c>
      <c r="F354" s="167" t="s">
        <v>6</v>
      </c>
      <c r="G354" s="11">
        <v>202102012</v>
      </c>
      <c r="H354" s="167" t="s">
        <v>157</v>
      </c>
      <c r="I354" s="167" t="s">
        <v>2236</v>
      </c>
      <c r="J354" s="167" t="s">
        <v>188</v>
      </c>
      <c r="K354" s="167" t="s">
        <v>160</v>
      </c>
      <c r="L354" s="167" t="s">
        <v>516</v>
      </c>
      <c r="M354" s="167" t="s">
        <v>18</v>
      </c>
      <c r="N354" s="11">
        <v>0</v>
      </c>
      <c r="O354" s="12" t="str">
        <f>_xlfn.DISPIMG("ID_B83409D3E833484EAA2409A5675BAA5D",1)</f>
        <v>=DISPIMG("ID_B83409D3E833484EAA2409A5675BAA5D",1)</v>
      </c>
      <c r="P354" s="11" t="s">
        <v>2237</v>
      </c>
      <c r="Q354" s="11">
        <v>263</v>
      </c>
      <c r="R354" s="17" t="s">
        <v>4669</v>
      </c>
      <c r="S354" s="18" t="s">
        <v>60</v>
      </c>
      <c r="T354" s="11">
        <v>10</v>
      </c>
    </row>
    <row r="355" s="3" customFormat="1" customHeight="1" spans="1:20">
      <c r="A355" s="167" t="s">
        <v>2264</v>
      </c>
      <c r="B355" s="167" t="s">
        <v>153</v>
      </c>
      <c r="C355" s="167" t="s">
        <v>2265</v>
      </c>
      <c r="D355" s="11">
        <v>13755257750</v>
      </c>
      <c r="E355" s="167" t="s">
        <v>506</v>
      </c>
      <c r="F355" s="167" t="s">
        <v>6</v>
      </c>
      <c r="G355" s="11">
        <v>202102021</v>
      </c>
      <c r="H355" s="167" t="s">
        <v>157</v>
      </c>
      <c r="I355" s="167" t="s">
        <v>2267</v>
      </c>
      <c r="J355" s="167" t="s">
        <v>2268</v>
      </c>
      <c r="K355" s="167" t="s">
        <v>160</v>
      </c>
      <c r="L355" s="167" t="s">
        <v>161</v>
      </c>
      <c r="M355" s="167" t="s">
        <v>2269</v>
      </c>
      <c r="N355" s="11">
        <v>0</v>
      </c>
      <c r="O355" s="12" t="str">
        <f>_xlfn.DISPIMG("ID_73D56986F7DE44CDB5B00B7AF01CF017",1)</f>
        <v>=DISPIMG("ID_73D56986F7DE44CDB5B00B7AF01CF017",1)</v>
      </c>
      <c r="P355" s="11" t="s">
        <v>2270</v>
      </c>
      <c r="Q355" s="11">
        <v>267</v>
      </c>
      <c r="R355" s="17" t="s">
        <v>4670</v>
      </c>
      <c r="S355" s="18" t="s">
        <v>60</v>
      </c>
      <c r="T355" s="11">
        <v>15</v>
      </c>
    </row>
    <row r="356" s="3" customFormat="1" customHeight="1" spans="1:20">
      <c r="A356" s="167" t="s">
        <v>2316</v>
      </c>
      <c r="B356" s="167" t="s">
        <v>165</v>
      </c>
      <c r="C356" s="167" t="s">
        <v>2317</v>
      </c>
      <c r="D356" s="11">
        <v>18790256284</v>
      </c>
      <c r="E356" s="167" t="s">
        <v>156</v>
      </c>
      <c r="F356" s="167" t="s">
        <v>6</v>
      </c>
      <c r="G356" s="11">
        <v>202102012</v>
      </c>
      <c r="H356" s="167" t="s">
        <v>157</v>
      </c>
      <c r="I356" s="167" t="s">
        <v>403</v>
      </c>
      <c r="J356" s="167" t="s">
        <v>207</v>
      </c>
      <c r="K356" s="167" t="s">
        <v>160</v>
      </c>
      <c r="L356" s="167" t="s">
        <v>161</v>
      </c>
      <c r="M356" s="167" t="s">
        <v>1156</v>
      </c>
      <c r="N356" s="167" t="s">
        <v>2319</v>
      </c>
      <c r="O356" s="12" t="str">
        <f>_xlfn.DISPIMG("ID_CE4D4038789D4DF1AB53AB5B07B379E6",1)</f>
        <v>=DISPIMG("ID_CE4D4038789D4DF1AB53AB5B07B379E6",1)</v>
      </c>
      <c r="P356" s="11" t="s">
        <v>2320</v>
      </c>
      <c r="Q356" s="11">
        <v>274</v>
      </c>
      <c r="R356" s="17" t="s">
        <v>4671</v>
      </c>
      <c r="S356" s="18" t="s">
        <v>60</v>
      </c>
      <c r="T356" s="11">
        <v>22</v>
      </c>
    </row>
    <row r="357" s="3" customFormat="1" customHeight="1" spans="1:20">
      <c r="A357" s="167" t="s">
        <v>2643</v>
      </c>
      <c r="B357" s="167" t="s">
        <v>165</v>
      </c>
      <c r="C357" s="167" t="s">
        <v>2644</v>
      </c>
      <c r="D357" s="11">
        <v>15779267017</v>
      </c>
      <c r="E357" s="167" t="s">
        <v>156</v>
      </c>
      <c r="F357" s="167" t="s">
        <v>6</v>
      </c>
      <c r="G357" s="11">
        <v>202102012</v>
      </c>
      <c r="H357" s="167" t="s">
        <v>157</v>
      </c>
      <c r="I357" s="167" t="s">
        <v>2646</v>
      </c>
      <c r="J357" s="167" t="s">
        <v>2647</v>
      </c>
      <c r="K357" s="167" t="s">
        <v>160</v>
      </c>
      <c r="L357" s="167" t="s">
        <v>306</v>
      </c>
      <c r="M357" s="167" t="s">
        <v>18</v>
      </c>
      <c r="N357" s="167" t="s">
        <v>2648</v>
      </c>
      <c r="O357" s="12" t="str">
        <f>_xlfn.DISPIMG("ID_5444703683DB4591A53B76ECB3D8FAE4",1)</f>
        <v>=DISPIMG("ID_5444703683DB4591A53B76ECB3D8FAE4",1)</v>
      </c>
      <c r="P357" s="11" t="s">
        <v>2649</v>
      </c>
      <c r="Q357" s="11">
        <v>318</v>
      </c>
      <c r="R357" s="17" t="s">
        <v>4672</v>
      </c>
      <c r="S357" s="18" t="s">
        <v>60</v>
      </c>
      <c r="T357" s="11">
        <v>27</v>
      </c>
    </row>
    <row r="358" s="3" customFormat="1" customHeight="1" spans="1:20">
      <c r="A358" s="167" t="s">
        <v>2705</v>
      </c>
      <c r="B358" s="167" t="s">
        <v>165</v>
      </c>
      <c r="C358" s="167" t="s">
        <v>2706</v>
      </c>
      <c r="D358" s="11">
        <v>18879206969</v>
      </c>
      <c r="E358" s="167" t="s">
        <v>156</v>
      </c>
      <c r="F358" s="167" t="s">
        <v>6</v>
      </c>
      <c r="G358" s="11">
        <v>202102012</v>
      </c>
      <c r="H358" s="167" t="s">
        <v>157</v>
      </c>
      <c r="I358" s="167" t="s">
        <v>2708</v>
      </c>
      <c r="J358" s="167" t="s">
        <v>750</v>
      </c>
      <c r="K358" s="167" t="s">
        <v>160</v>
      </c>
      <c r="L358" s="167" t="s">
        <v>216</v>
      </c>
      <c r="M358" s="167" t="s">
        <v>18</v>
      </c>
      <c r="N358" s="11">
        <v>0</v>
      </c>
      <c r="O358" s="12" t="str">
        <f>_xlfn.DISPIMG("ID_4ECDECBC23404DF3A6E316268C69D43E",1)</f>
        <v>=DISPIMG("ID_4ECDECBC23404DF3A6E316268C69D43E",1)</v>
      </c>
      <c r="P358" s="11" t="s">
        <v>2709</v>
      </c>
      <c r="Q358" s="11">
        <v>326</v>
      </c>
      <c r="R358" s="17" t="s">
        <v>4673</v>
      </c>
      <c r="S358" s="18" t="s">
        <v>60</v>
      </c>
      <c r="T358" s="11">
        <v>2</v>
      </c>
    </row>
    <row r="359" s="3" customFormat="1" customHeight="1" spans="1:20">
      <c r="A359" s="167" t="s">
        <v>2718</v>
      </c>
      <c r="B359" s="167" t="s">
        <v>153</v>
      </c>
      <c r="C359" s="167" t="s">
        <v>2719</v>
      </c>
      <c r="D359" s="11">
        <v>15779215230</v>
      </c>
      <c r="E359" s="167" t="s">
        <v>156</v>
      </c>
      <c r="F359" s="167" t="s">
        <v>6</v>
      </c>
      <c r="G359" s="11">
        <v>202102012</v>
      </c>
      <c r="H359" s="167" t="s">
        <v>157</v>
      </c>
      <c r="I359" s="167" t="s">
        <v>168</v>
      </c>
      <c r="J359" s="167" t="s">
        <v>2721</v>
      </c>
      <c r="K359" s="167" t="s">
        <v>160</v>
      </c>
      <c r="L359" s="167" t="s">
        <v>455</v>
      </c>
      <c r="M359" s="167" t="s">
        <v>18</v>
      </c>
      <c r="N359" s="167" t="s">
        <v>2722</v>
      </c>
      <c r="O359" s="12" t="str">
        <f>_xlfn.DISPIMG("ID_2B62698B077F4147874AB6F7E19938E7",1)</f>
        <v>=DISPIMG("ID_2B62698B077F4147874AB6F7E19938E7",1)</v>
      </c>
      <c r="P359" s="11" t="s">
        <v>2723</v>
      </c>
      <c r="Q359" s="11">
        <v>328</v>
      </c>
      <c r="R359" s="17" t="s">
        <v>4674</v>
      </c>
      <c r="S359" s="18" t="s">
        <v>60</v>
      </c>
      <c r="T359" s="11">
        <v>11</v>
      </c>
    </row>
    <row r="360" s="3" customFormat="1" customHeight="1" spans="1:20">
      <c r="A360" s="167" t="s">
        <v>2922</v>
      </c>
      <c r="B360" s="167" t="s">
        <v>165</v>
      </c>
      <c r="C360" s="167" t="s">
        <v>2923</v>
      </c>
      <c r="D360" s="11">
        <v>18079240698</v>
      </c>
      <c r="E360" s="167" t="s">
        <v>156</v>
      </c>
      <c r="F360" s="167" t="s">
        <v>6</v>
      </c>
      <c r="G360" s="11">
        <v>202102012</v>
      </c>
      <c r="H360" s="167" t="s">
        <v>157</v>
      </c>
      <c r="I360" s="167" t="s">
        <v>322</v>
      </c>
      <c r="J360" s="167" t="s">
        <v>2268</v>
      </c>
      <c r="K360" s="167" t="s">
        <v>160</v>
      </c>
      <c r="L360" s="167" t="s">
        <v>455</v>
      </c>
      <c r="M360" s="167" t="s">
        <v>2925</v>
      </c>
      <c r="N360" s="11">
        <v>0</v>
      </c>
      <c r="O360" s="12" t="str">
        <f>_xlfn.DISPIMG("ID_40B4A1C67261465298C744E0F0D93767",1)</f>
        <v>=DISPIMG("ID_40B4A1C67261465298C744E0F0D93767",1)</v>
      </c>
      <c r="P360" s="11" t="s">
        <v>2926</v>
      </c>
      <c r="Q360" s="11">
        <v>356</v>
      </c>
      <c r="R360" s="17" t="s">
        <v>4675</v>
      </c>
      <c r="S360" s="18" t="s">
        <v>60</v>
      </c>
      <c r="T360" s="11">
        <v>14</v>
      </c>
    </row>
    <row r="361" s="3" customFormat="1" customHeight="1" spans="1:20">
      <c r="A361" s="167" t="s">
        <v>3091</v>
      </c>
      <c r="B361" s="167" t="s">
        <v>165</v>
      </c>
      <c r="C361" s="167" t="s">
        <v>3092</v>
      </c>
      <c r="D361" s="11">
        <v>18679162461</v>
      </c>
      <c r="E361" s="167" t="s">
        <v>156</v>
      </c>
      <c r="F361" s="167" t="s">
        <v>6</v>
      </c>
      <c r="G361" s="11">
        <v>202102012</v>
      </c>
      <c r="H361" s="167" t="s">
        <v>157</v>
      </c>
      <c r="I361" s="167" t="s">
        <v>3094</v>
      </c>
      <c r="J361" s="167" t="s">
        <v>3095</v>
      </c>
      <c r="K361" s="167" t="s">
        <v>160</v>
      </c>
      <c r="L361" s="167" t="s">
        <v>171</v>
      </c>
      <c r="M361" s="167" t="s">
        <v>18</v>
      </c>
      <c r="N361" s="167" t="s">
        <v>3096</v>
      </c>
      <c r="O361" s="12" t="str">
        <f>_xlfn.DISPIMG("ID_26230D3A7A254FB387523A67FAC705F7",1)</f>
        <v>=DISPIMG("ID_26230D3A7A254FB387523A67FAC705F7",1)</v>
      </c>
      <c r="P361" s="11" t="s">
        <v>3097</v>
      </c>
      <c r="Q361" s="11">
        <v>382</v>
      </c>
      <c r="R361" s="17" t="s">
        <v>4676</v>
      </c>
      <c r="S361" s="18" t="s">
        <v>60</v>
      </c>
      <c r="T361" s="11">
        <v>23</v>
      </c>
    </row>
    <row r="362" s="3" customFormat="1" customHeight="1" spans="1:20">
      <c r="A362" s="167" t="s">
        <v>3123</v>
      </c>
      <c r="B362" s="167" t="s">
        <v>165</v>
      </c>
      <c r="C362" s="167" t="s">
        <v>3124</v>
      </c>
      <c r="D362" s="11">
        <v>19979611731</v>
      </c>
      <c r="E362" s="167" t="s">
        <v>156</v>
      </c>
      <c r="F362" s="167" t="s">
        <v>6</v>
      </c>
      <c r="G362" s="11">
        <v>202102012</v>
      </c>
      <c r="H362" s="167" t="s">
        <v>157</v>
      </c>
      <c r="I362" s="167" t="s">
        <v>3126</v>
      </c>
      <c r="J362" s="167" t="s">
        <v>404</v>
      </c>
      <c r="K362" s="167" t="s">
        <v>160</v>
      </c>
      <c r="L362" s="167" t="s">
        <v>199</v>
      </c>
      <c r="M362" s="167" t="s">
        <v>18</v>
      </c>
      <c r="N362" s="11">
        <v>0</v>
      </c>
      <c r="O362" s="12" t="str">
        <f>_xlfn.DISPIMG("ID_A2488CA19AE844B4BBFD68619FFEAA1D",1)</f>
        <v>=DISPIMG("ID_A2488CA19AE844B4BBFD68619FFEAA1D",1)</v>
      </c>
      <c r="P362" s="11" t="s">
        <v>3127</v>
      </c>
      <c r="Q362" s="11">
        <v>386</v>
      </c>
      <c r="R362" s="17" t="s">
        <v>4677</v>
      </c>
      <c r="S362" s="18" t="s">
        <v>60</v>
      </c>
      <c r="T362" s="11">
        <v>26</v>
      </c>
    </row>
    <row r="363" s="3" customFormat="1" customHeight="1" spans="1:20">
      <c r="A363" s="167" t="s">
        <v>3366</v>
      </c>
      <c r="B363" s="167" t="s">
        <v>153</v>
      </c>
      <c r="C363" s="167" t="s">
        <v>3367</v>
      </c>
      <c r="D363" s="11">
        <v>13755682208</v>
      </c>
      <c r="E363" s="167" t="s">
        <v>506</v>
      </c>
      <c r="F363" s="167" t="s">
        <v>6</v>
      </c>
      <c r="G363" s="11">
        <v>202102021</v>
      </c>
      <c r="H363" s="167" t="s">
        <v>279</v>
      </c>
      <c r="I363" s="167" t="s">
        <v>178</v>
      </c>
      <c r="J363" s="167" t="s">
        <v>1138</v>
      </c>
      <c r="K363" s="167" t="s">
        <v>170</v>
      </c>
      <c r="L363" s="167" t="s">
        <v>216</v>
      </c>
      <c r="M363" s="167" t="s">
        <v>3369</v>
      </c>
      <c r="N363" s="167" t="s">
        <v>3370</v>
      </c>
      <c r="O363" s="12" t="str">
        <f>_xlfn.DISPIMG("ID_5C988A3540504C69ADD9A8ABF15446E0",1)</f>
        <v>=DISPIMG("ID_5C988A3540504C69ADD9A8ABF15446E0",1)</v>
      </c>
      <c r="P363" s="11" t="s">
        <v>3371</v>
      </c>
      <c r="Q363" s="11">
        <v>424</v>
      </c>
      <c r="R363" s="17" t="s">
        <v>4678</v>
      </c>
      <c r="S363" s="18" t="s">
        <v>60</v>
      </c>
      <c r="T363" s="11">
        <v>1</v>
      </c>
    </row>
    <row r="364" s="3" customFormat="1" customHeight="1" spans="1:20">
      <c r="A364" s="167" t="s">
        <v>3423</v>
      </c>
      <c r="B364" s="167" t="s">
        <v>165</v>
      </c>
      <c r="C364" s="167" t="s">
        <v>3424</v>
      </c>
      <c r="D364" s="11">
        <v>18720214779</v>
      </c>
      <c r="E364" s="167" t="s">
        <v>156</v>
      </c>
      <c r="F364" s="167" t="s">
        <v>6</v>
      </c>
      <c r="G364" s="11">
        <v>202102012</v>
      </c>
      <c r="H364" s="167" t="s">
        <v>157</v>
      </c>
      <c r="I364" s="167" t="s">
        <v>1424</v>
      </c>
      <c r="J364" s="167" t="s">
        <v>404</v>
      </c>
      <c r="K364" s="167" t="s">
        <v>160</v>
      </c>
      <c r="L364" s="167" t="s">
        <v>171</v>
      </c>
      <c r="M364" s="167" t="s">
        <v>18</v>
      </c>
      <c r="N364" s="167" t="s">
        <v>3425</v>
      </c>
      <c r="O364" s="12" t="str">
        <f>_xlfn.DISPIMG("ID_F35EB404C32C41B8B6B9DFFF6A73D9A8",1)</f>
        <v>=DISPIMG("ID_F35EB404C32C41B8B6B9DFFF6A73D9A8",1)</v>
      </c>
      <c r="P364" s="11" t="s">
        <v>3426</v>
      </c>
      <c r="Q364" s="11">
        <v>432</v>
      </c>
      <c r="R364" s="17" t="s">
        <v>4679</v>
      </c>
      <c r="S364" s="18" t="s">
        <v>60</v>
      </c>
      <c r="T364" s="11">
        <v>12</v>
      </c>
    </row>
    <row r="365" s="3" customFormat="1" customHeight="1" spans="1:20">
      <c r="A365" s="167" t="s">
        <v>3450</v>
      </c>
      <c r="B365" s="167" t="s">
        <v>165</v>
      </c>
      <c r="C365" s="167" t="s">
        <v>3451</v>
      </c>
      <c r="D365" s="11">
        <v>13122970585</v>
      </c>
      <c r="E365" s="167" t="s">
        <v>156</v>
      </c>
      <c r="F365" s="167" t="s">
        <v>6</v>
      </c>
      <c r="G365" s="11">
        <v>202102012</v>
      </c>
      <c r="H365" s="167" t="s">
        <v>157</v>
      </c>
      <c r="I365" s="167" t="s">
        <v>3453</v>
      </c>
      <c r="J365" s="167" t="s">
        <v>323</v>
      </c>
      <c r="K365" s="167" t="s">
        <v>170</v>
      </c>
      <c r="L365" s="167" t="s">
        <v>396</v>
      </c>
      <c r="M365" s="167" t="s">
        <v>2244</v>
      </c>
      <c r="N365" s="167" t="s">
        <v>3454</v>
      </c>
      <c r="O365" s="12" t="str">
        <f>_xlfn.DISPIMG("ID_75AF34168E0448D4A462EFA2E90CB632",1)</f>
        <v>=DISPIMG("ID_75AF34168E0448D4A462EFA2E90CB632",1)</v>
      </c>
      <c r="P365" s="11" t="s">
        <v>3455</v>
      </c>
      <c r="Q365" s="11">
        <v>436</v>
      </c>
      <c r="R365" s="17" t="s">
        <v>4680</v>
      </c>
      <c r="S365" s="18" t="s">
        <v>60</v>
      </c>
      <c r="T365" s="11">
        <v>13</v>
      </c>
    </row>
    <row r="366" s="3" customFormat="1" customHeight="1" spans="1:20">
      <c r="A366" s="167" t="s">
        <v>3466</v>
      </c>
      <c r="B366" s="167" t="s">
        <v>165</v>
      </c>
      <c r="C366" s="167" t="s">
        <v>3467</v>
      </c>
      <c r="D366" s="11">
        <v>15879126790</v>
      </c>
      <c r="E366" s="167" t="s">
        <v>156</v>
      </c>
      <c r="F366" s="167" t="s">
        <v>6</v>
      </c>
      <c r="G366" s="11">
        <v>202102012</v>
      </c>
      <c r="H366" s="167" t="s">
        <v>157</v>
      </c>
      <c r="I366" s="167" t="s">
        <v>901</v>
      </c>
      <c r="J366" s="167" t="s">
        <v>188</v>
      </c>
      <c r="K366" s="167" t="s">
        <v>160</v>
      </c>
      <c r="L366" s="167" t="s">
        <v>281</v>
      </c>
      <c r="M366" s="167" t="s">
        <v>1579</v>
      </c>
      <c r="N366" s="167" t="s">
        <v>3469</v>
      </c>
      <c r="O366" s="12" t="str">
        <f>_xlfn.DISPIMG("ID_F4E1B2AC46944606B0ACE14F8CC9918C",1)</f>
        <v>=DISPIMG("ID_F4E1B2AC46944606B0ACE14F8CC9918C",1)</v>
      </c>
      <c r="P366" s="11" t="s">
        <v>3470</v>
      </c>
      <c r="Q366" s="11">
        <v>438</v>
      </c>
      <c r="R366" s="17" t="s">
        <v>4681</v>
      </c>
      <c r="S366" s="18" t="s">
        <v>60</v>
      </c>
      <c r="T366" s="11">
        <v>24</v>
      </c>
    </row>
    <row r="367" s="3" customFormat="1" customHeight="1" spans="1:20">
      <c r="A367" s="167" t="s">
        <v>3630</v>
      </c>
      <c r="B367" s="167" t="s">
        <v>153</v>
      </c>
      <c r="C367" s="167" t="s">
        <v>3631</v>
      </c>
      <c r="D367" s="11">
        <v>19979468695</v>
      </c>
      <c r="E367" s="167" t="s">
        <v>506</v>
      </c>
      <c r="F367" s="167" t="s">
        <v>6</v>
      </c>
      <c r="G367" s="11">
        <v>202102021</v>
      </c>
      <c r="H367" s="167" t="s">
        <v>157</v>
      </c>
      <c r="I367" s="167" t="s">
        <v>3633</v>
      </c>
      <c r="J367" s="167" t="s">
        <v>323</v>
      </c>
      <c r="K367" s="167" t="s">
        <v>170</v>
      </c>
      <c r="L367" s="167" t="s">
        <v>171</v>
      </c>
      <c r="M367" s="167" t="s">
        <v>3634</v>
      </c>
      <c r="N367" s="167" t="s">
        <v>3635</v>
      </c>
      <c r="O367" s="12" t="str">
        <f>_xlfn.DISPIMG("ID_7CE83E02BD574BEF88ED6441327C41EF",1)</f>
        <v>=DISPIMG("ID_7CE83E02BD574BEF88ED6441327C41EF",1)</v>
      </c>
      <c r="P367" s="11" t="s">
        <v>3636</v>
      </c>
      <c r="Q367" s="11">
        <v>462</v>
      </c>
      <c r="R367" s="17" t="s">
        <v>4682</v>
      </c>
      <c r="S367" s="18" t="s">
        <v>60</v>
      </c>
      <c r="T367" s="11">
        <v>25</v>
      </c>
    </row>
    <row r="368" s="3" customFormat="1" customHeight="1" spans="1:20">
      <c r="A368" s="167" t="s">
        <v>3743</v>
      </c>
      <c r="B368" s="167" t="s">
        <v>165</v>
      </c>
      <c r="C368" s="167" t="s">
        <v>3744</v>
      </c>
      <c r="D368" s="11">
        <v>15679201300</v>
      </c>
      <c r="E368" s="167" t="s">
        <v>156</v>
      </c>
      <c r="F368" s="167" t="s">
        <v>6</v>
      </c>
      <c r="G368" s="11">
        <v>202102012</v>
      </c>
      <c r="H368" s="167" t="s">
        <v>157</v>
      </c>
      <c r="I368" s="167" t="s">
        <v>437</v>
      </c>
      <c r="J368" s="167" t="s">
        <v>3746</v>
      </c>
      <c r="K368" s="167" t="s">
        <v>160</v>
      </c>
      <c r="L368" s="167" t="s">
        <v>216</v>
      </c>
      <c r="M368" s="167" t="s">
        <v>18</v>
      </c>
      <c r="N368" s="167" t="s">
        <v>3747</v>
      </c>
      <c r="O368" s="12" t="str">
        <f>_xlfn.DISPIMG("ID_B41ADE81115D4115B428E62357BC8F70",1)</f>
        <v>=DISPIMG("ID_B41ADE81115D4115B428E62357BC8F70",1)</v>
      </c>
      <c r="P368" s="11" t="s">
        <v>3748</v>
      </c>
      <c r="Q368" s="20">
        <v>477</v>
      </c>
      <c r="R368" s="17" t="s">
        <v>4683</v>
      </c>
      <c r="S368" s="18" t="s">
        <v>62</v>
      </c>
      <c r="T368" s="25">
        <v>6</v>
      </c>
    </row>
    <row r="369" s="3" customFormat="1" customHeight="1" spans="1:20">
      <c r="A369" s="167" t="s">
        <v>3758</v>
      </c>
      <c r="B369" s="167" t="s">
        <v>165</v>
      </c>
      <c r="C369" s="167" t="s">
        <v>3759</v>
      </c>
      <c r="D369" s="11">
        <v>15946993908</v>
      </c>
      <c r="E369" s="167" t="s">
        <v>156</v>
      </c>
      <c r="F369" s="167" t="s">
        <v>6</v>
      </c>
      <c r="G369" s="11">
        <v>202102012</v>
      </c>
      <c r="H369" s="167" t="s">
        <v>157</v>
      </c>
      <c r="I369" s="167" t="s">
        <v>3761</v>
      </c>
      <c r="J369" s="167" t="s">
        <v>404</v>
      </c>
      <c r="K369" s="167" t="s">
        <v>160</v>
      </c>
      <c r="L369" s="167" t="s">
        <v>252</v>
      </c>
      <c r="M369" s="167" t="s">
        <v>6</v>
      </c>
      <c r="N369" s="167" t="s">
        <v>3762</v>
      </c>
      <c r="O369" s="12" t="str">
        <f>_xlfn.DISPIMG("ID_C2F02D4F7B2D4545A16075F83680F752",1)</f>
        <v>=DISPIMG("ID_C2F02D4F7B2D4545A16075F83680F752",1)</v>
      </c>
      <c r="P369" s="11" t="s">
        <v>3763</v>
      </c>
      <c r="Q369" s="11">
        <v>479</v>
      </c>
      <c r="R369" s="17" t="s">
        <v>4684</v>
      </c>
      <c r="S369" s="18" t="s">
        <v>62</v>
      </c>
      <c r="T369" s="25">
        <v>5</v>
      </c>
    </row>
    <row r="370" s="3" customFormat="1" customHeight="1" spans="1:20">
      <c r="A370" s="167" t="s">
        <v>3780</v>
      </c>
      <c r="B370" s="167" t="s">
        <v>165</v>
      </c>
      <c r="C370" s="167" t="s">
        <v>3781</v>
      </c>
      <c r="D370" s="11">
        <v>18372112404</v>
      </c>
      <c r="E370" s="167" t="s">
        <v>156</v>
      </c>
      <c r="F370" s="167" t="s">
        <v>6</v>
      </c>
      <c r="G370" s="11">
        <v>202102012</v>
      </c>
      <c r="H370" s="167" t="s">
        <v>157</v>
      </c>
      <c r="I370" s="167" t="s">
        <v>3783</v>
      </c>
      <c r="J370" s="167" t="s">
        <v>3784</v>
      </c>
      <c r="K370" s="167" t="s">
        <v>160</v>
      </c>
      <c r="L370" s="167" t="s">
        <v>252</v>
      </c>
      <c r="M370" s="167" t="s">
        <v>6</v>
      </c>
      <c r="N370" s="167" t="s">
        <v>3785</v>
      </c>
      <c r="O370" s="12" t="str">
        <f>_xlfn.DISPIMG("ID_D2BC3DB6B6B24D07A1729D0ECE731594",1)</f>
        <v>=DISPIMG("ID_D2BC3DB6B6B24D07A1729D0ECE731594",1)</v>
      </c>
      <c r="P370" s="11" t="s">
        <v>3786</v>
      </c>
      <c r="Q370" s="11">
        <v>482</v>
      </c>
      <c r="R370" s="17" t="s">
        <v>4685</v>
      </c>
      <c r="S370" s="18" t="s">
        <v>62</v>
      </c>
      <c r="T370" s="25">
        <v>4</v>
      </c>
    </row>
    <row r="371" s="3" customFormat="1" customHeight="1" spans="1:20">
      <c r="A371" s="167" t="s">
        <v>3797</v>
      </c>
      <c r="B371" s="167" t="s">
        <v>165</v>
      </c>
      <c r="C371" s="167" t="s">
        <v>3798</v>
      </c>
      <c r="D371" s="11">
        <v>15879245873</v>
      </c>
      <c r="E371" s="167" t="s">
        <v>506</v>
      </c>
      <c r="F371" s="167" t="s">
        <v>6</v>
      </c>
      <c r="G371" s="11">
        <v>202102021</v>
      </c>
      <c r="H371" s="167" t="s">
        <v>157</v>
      </c>
      <c r="I371" s="167" t="s">
        <v>158</v>
      </c>
      <c r="J371" s="167" t="s">
        <v>188</v>
      </c>
      <c r="K371" s="167" t="s">
        <v>160</v>
      </c>
      <c r="L371" s="167" t="s">
        <v>306</v>
      </c>
      <c r="M371" s="167" t="s">
        <v>3800</v>
      </c>
      <c r="N371" s="11">
        <v>0</v>
      </c>
      <c r="O371" s="12" t="str">
        <f>_xlfn.DISPIMG("ID_B80DCC3A028B4FB2A6977287EC2BFAD8",1)</f>
        <v>=DISPIMG("ID_B80DCC3A028B4FB2A6977287EC2BFAD8",1)</v>
      </c>
      <c r="P371" s="11" t="s">
        <v>3801</v>
      </c>
      <c r="Q371" s="11">
        <v>484</v>
      </c>
      <c r="R371" s="17" t="s">
        <v>4686</v>
      </c>
      <c r="S371" s="18" t="s">
        <v>62</v>
      </c>
      <c r="T371" s="25">
        <v>3</v>
      </c>
    </row>
    <row r="372" s="3" customFormat="1" customHeight="1" spans="1:20">
      <c r="A372" s="167" t="s">
        <v>3895</v>
      </c>
      <c r="B372" s="167" t="s">
        <v>165</v>
      </c>
      <c r="C372" s="167" t="s">
        <v>3896</v>
      </c>
      <c r="D372" s="11">
        <v>17859733350</v>
      </c>
      <c r="E372" s="167" t="s">
        <v>156</v>
      </c>
      <c r="F372" s="167" t="s">
        <v>6</v>
      </c>
      <c r="G372" s="11">
        <v>202102012</v>
      </c>
      <c r="H372" s="167" t="s">
        <v>157</v>
      </c>
      <c r="I372" s="167" t="s">
        <v>3898</v>
      </c>
      <c r="J372" s="167" t="s">
        <v>3784</v>
      </c>
      <c r="K372" s="167" t="s">
        <v>160</v>
      </c>
      <c r="L372" s="167" t="s">
        <v>235</v>
      </c>
      <c r="M372" s="167" t="s">
        <v>3899</v>
      </c>
      <c r="N372" s="167" t="s">
        <v>3900</v>
      </c>
      <c r="O372" s="12" t="str">
        <f>_xlfn.DISPIMG("ID_BC241117C250469C89F85CEC4B64E8AA",1)</f>
        <v>=DISPIMG("ID_BC241117C250469C89F85CEC4B64E8AA",1)</v>
      </c>
      <c r="P372" s="11" t="s">
        <v>3901</v>
      </c>
      <c r="Q372" s="20">
        <v>497</v>
      </c>
      <c r="R372" s="17" t="s">
        <v>4687</v>
      </c>
      <c r="S372" s="18" t="s">
        <v>62</v>
      </c>
      <c r="T372" s="25">
        <v>2</v>
      </c>
    </row>
    <row r="373" s="4" customFormat="1" customHeight="1" spans="1:20">
      <c r="A373" s="167" t="s">
        <v>4058</v>
      </c>
      <c r="B373" s="167" t="s">
        <v>165</v>
      </c>
      <c r="C373" s="167" t="s">
        <v>4059</v>
      </c>
      <c r="D373" s="11">
        <v>15679268911</v>
      </c>
      <c r="E373" s="167" t="s">
        <v>156</v>
      </c>
      <c r="F373" s="167" t="s">
        <v>6</v>
      </c>
      <c r="G373" s="11">
        <v>202102022</v>
      </c>
      <c r="H373" s="167" t="s">
        <v>157</v>
      </c>
      <c r="I373" s="167" t="s">
        <v>3054</v>
      </c>
      <c r="J373" s="167" t="s">
        <v>404</v>
      </c>
      <c r="K373" s="167" t="s">
        <v>160</v>
      </c>
      <c r="L373" s="167" t="s">
        <v>261</v>
      </c>
      <c r="M373" s="167" t="s">
        <v>4061</v>
      </c>
      <c r="N373" s="11">
        <v>0</v>
      </c>
      <c r="O373" s="12" t="str">
        <f>_xlfn.DISPIMG("ID_9ECCE1798899427AA809C16B6659E359",1)</f>
        <v>=DISPIMG("ID_9ECCE1798899427AA809C16B6659E359",1)</v>
      </c>
      <c r="P373" s="11" t="s">
        <v>4062</v>
      </c>
      <c r="Q373" s="11">
        <v>519</v>
      </c>
      <c r="R373" s="17" t="s">
        <v>4688</v>
      </c>
      <c r="S373" s="18" t="s">
        <v>62</v>
      </c>
      <c r="T373" s="25">
        <v>1</v>
      </c>
    </row>
    <row r="374" s="3" customFormat="1" customHeight="1" spans="1:20">
      <c r="A374" s="167" t="s">
        <v>164</v>
      </c>
      <c r="B374" s="167" t="s">
        <v>165</v>
      </c>
      <c r="C374" s="167" t="s">
        <v>166</v>
      </c>
      <c r="D374" s="11">
        <v>15879299279</v>
      </c>
      <c r="E374" s="167" t="s">
        <v>156</v>
      </c>
      <c r="F374" s="167" t="s">
        <v>4</v>
      </c>
      <c r="G374" s="11">
        <v>202102005</v>
      </c>
      <c r="H374" s="167" t="s">
        <v>157</v>
      </c>
      <c r="I374" s="167" t="s">
        <v>168</v>
      </c>
      <c r="J374" s="167" t="s">
        <v>169</v>
      </c>
      <c r="K374" s="167" t="s">
        <v>170</v>
      </c>
      <c r="L374" s="167" t="s">
        <v>171</v>
      </c>
      <c r="M374" s="167" t="s">
        <v>4</v>
      </c>
      <c r="N374" s="11">
        <v>0</v>
      </c>
      <c r="O374" s="12" t="str">
        <f>_xlfn.DISPIMG("ID_7D4B330FD7544FC19CF8CAA4A42A6F11",1)</f>
        <v>=DISPIMG("ID_7D4B330FD7544FC19CF8CAA4A42A6F11",1)</v>
      </c>
      <c r="P374" s="11" t="s">
        <v>172</v>
      </c>
      <c r="Q374" s="11">
        <v>3</v>
      </c>
      <c r="R374" s="17" t="s">
        <v>4689</v>
      </c>
      <c r="S374" s="18" t="s">
        <v>62</v>
      </c>
      <c r="T374" s="25">
        <v>7</v>
      </c>
    </row>
    <row r="375" s="3" customFormat="1" customHeight="1" spans="1:20">
      <c r="A375" s="167" t="s">
        <v>1085</v>
      </c>
      <c r="B375" s="167" t="s">
        <v>165</v>
      </c>
      <c r="C375" s="167" t="s">
        <v>1086</v>
      </c>
      <c r="D375" s="11">
        <v>15179282018</v>
      </c>
      <c r="E375" s="167" t="s">
        <v>156</v>
      </c>
      <c r="F375" s="167" t="s">
        <v>4</v>
      </c>
      <c r="G375" s="11">
        <v>202102005</v>
      </c>
      <c r="H375" s="167" t="s">
        <v>279</v>
      </c>
      <c r="I375" s="167" t="s">
        <v>158</v>
      </c>
      <c r="J375" s="167" t="s">
        <v>1088</v>
      </c>
      <c r="K375" s="167" t="s">
        <v>170</v>
      </c>
      <c r="L375" s="167" t="s">
        <v>1089</v>
      </c>
      <c r="M375" s="167" t="s">
        <v>4</v>
      </c>
      <c r="N375" s="167" t="s">
        <v>1090</v>
      </c>
      <c r="O375" s="12" t="str">
        <f>_xlfn.DISPIMG("ID_2B72C85721DF4DA8A46A71B57C490F39",1)</f>
        <v>=DISPIMG("ID_2B72C85721DF4DA8A46A71B57C490F39",1)</v>
      </c>
      <c r="P375" s="11" t="s">
        <v>1091</v>
      </c>
      <c r="Q375" s="11">
        <v>113</v>
      </c>
      <c r="R375" s="17" t="s">
        <v>4690</v>
      </c>
      <c r="S375" s="18" t="s">
        <v>62</v>
      </c>
      <c r="T375" s="25">
        <v>18</v>
      </c>
    </row>
    <row r="376" s="3" customFormat="1" customHeight="1" spans="1:20">
      <c r="A376" s="167" t="s">
        <v>1393</v>
      </c>
      <c r="B376" s="167" t="s">
        <v>165</v>
      </c>
      <c r="C376" s="167" t="s">
        <v>1394</v>
      </c>
      <c r="D376" s="11">
        <v>18807004721</v>
      </c>
      <c r="E376" s="167" t="s">
        <v>156</v>
      </c>
      <c r="F376" s="167" t="s">
        <v>4</v>
      </c>
      <c r="G376" s="11">
        <v>202102005</v>
      </c>
      <c r="H376" s="167" t="s">
        <v>157</v>
      </c>
      <c r="I376" s="167" t="s">
        <v>1396</v>
      </c>
      <c r="J376" s="167" t="s">
        <v>1397</v>
      </c>
      <c r="K376" s="167" t="s">
        <v>160</v>
      </c>
      <c r="L376" s="167" t="s">
        <v>548</v>
      </c>
      <c r="M376" s="167" t="s">
        <v>1398</v>
      </c>
      <c r="N376" s="167" t="s">
        <v>1399</v>
      </c>
      <c r="O376" s="12" t="str">
        <f>_xlfn.DISPIMG("ID_55E386EEE22A4F28AA3DFCB82607D0EC",1)</f>
        <v>=DISPIMG("ID_55E386EEE22A4F28AA3DFCB82607D0EC",1)</v>
      </c>
      <c r="P376" s="11" t="s">
        <v>1400</v>
      </c>
      <c r="Q376" s="11">
        <v>153</v>
      </c>
      <c r="R376" s="17" t="s">
        <v>4691</v>
      </c>
      <c r="S376" s="18" t="s">
        <v>62</v>
      </c>
      <c r="T376" s="25">
        <v>8</v>
      </c>
    </row>
    <row r="377" s="3" customFormat="1" customHeight="1" spans="1:20">
      <c r="A377" s="167" t="s">
        <v>1511</v>
      </c>
      <c r="B377" s="167" t="s">
        <v>165</v>
      </c>
      <c r="C377" s="167" t="s">
        <v>1512</v>
      </c>
      <c r="D377" s="11">
        <v>15179159428</v>
      </c>
      <c r="E377" s="167" t="s">
        <v>156</v>
      </c>
      <c r="F377" s="167" t="s">
        <v>4</v>
      </c>
      <c r="G377" s="11">
        <v>202102005</v>
      </c>
      <c r="H377" s="167" t="s">
        <v>157</v>
      </c>
      <c r="I377" s="167" t="s">
        <v>1513</v>
      </c>
      <c r="J377" s="167" t="s">
        <v>1514</v>
      </c>
      <c r="K377" s="167" t="s">
        <v>160</v>
      </c>
      <c r="L377" s="167" t="s">
        <v>396</v>
      </c>
      <c r="M377" s="167" t="s">
        <v>1515</v>
      </c>
      <c r="N377" s="167" t="s">
        <v>1516</v>
      </c>
      <c r="O377" s="12" t="str">
        <f>_xlfn.DISPIMG("ID_0409F7F95EEA403395B315D31E8491E7",1)</f>
        <v>=DISPIMG("ID_0409F7F95EEA403395B315D31E8491E7",1)</v>
      </c>
      <c r="P377" s="11" t="s">
        <v>1517</v>
      </c>
      <c r="Q377" s="20">
        <v>168</v>
      </c>
      <c r="R377" s="17" t="s">
        <v>4692</v>
      </c>
      <c r="S377" s="18" t="s">
        <v>62</v>
      </c>
      <c r="T377" s="25">
        <v>17</v>
      </c>
    </row>
    <row r="378" s="3" customFormat="1" customHeight="1" spans="1:20">
      <c r="A378" s="167" t="s">
        <v>1882</v>
      </c>
      <c r="B378" s="167" t="s">
        <v>165</v>
      </c>
      <c r="C378" s="167" t="s">
        <v>1883</v>
      </c>
      <c r="D378" s="11">
        <v>19807985498</v>
      </c>
      <c r="E378" s="167" t="s">
        <v>156</v>
      </c>
      <c r="F378" s="167" t="s">
        <v>4</v>
      </c>
      <c r="G378" s="11">
        <v>202102005</v>
      </c>
      <c r="H378" s="167" t="s">
        <v>279</v>
      </c>
      <c r="I378" s="167" t="s">
        <v>269</v>
      </c>
      <c r="J378" s="167" t="s">
        <v>1088</v>
      </c>
      <c r="K378" s="167" t="s">
        <v>170</v>
      </c>
      <c r="L378" s="167" t="s">
        <v>171</v>
      </c>
      <c r="M378" s="167" t="s">
        <v>1885</v>
      </c>
      <c r="N378" s="167" t="s">
        <v>1886</v>
      </c>
      <c r="O378" s="12" t="str">
        <f>_xlfn.DISPIMG("ID_D29EC84107E94871B7B70E677BC40AB8",1)</f>
        <v>=DISPIMG("ID_D29EC84107E94871B7B70E677BC40AB8",1)</v>
      </c>
      <c r="P378" s="11" t="s">
        <v>1887</v>
      </c>
      <c r="Q378" s="11">
        <v>216</v>
      </c>
      <c r="R378" s="17" t="s">
        <v>4693</v>
      </c>
      <c r="S378" s="18" t="s">
        <v>62</v>
      </c>
      <c r="T378" s="25">
        <v>9</v>
      </c>
    </row>
    <row r="379" s="3" customFormat="1" customHeight="1" spans="1:20">
      <c r="A379" s="167" t="s">
        <v>2878</v>
      </c>
      <c r="B379" s="167" t="s">
        <v>165</v>
      </c>
      <c r="C379" s="167" t="s">
        <v>2879</v>
      </c>
      <c r="D379" s="11">
        <v>17310085449</v>
      </c>
      <c r="E379" s="167" t="s">
        <v>156</v>
      </c>
      <c r="F379" s="167" t="s">
        <v>4</v>
      </c>
      <c r="G379" s="11">
        <v>202102005</v>
      </c>
      <c r="H379" s="167" t="s">
        <v>157</v>
      </c>
      <c r="I379" s="167" t="s">
        <v>385</v>
      </c>
      <c r="J379" s="167" t="s">
        <v>2881</v>
      </c>
      <c r="K379" s="167" t="s">
        <v>170</v>
      </c>
      <c r="L379" s="167" t="s">
        <v>306</v>
      </c>
      <c r="M379" s="167" t="s">
        <v>2882</v>
      </c>
      <c r="N379" s="167" t="s">
        <v>2883</v>
      </c>
      <c r="O379" s="12" t="str">
        <f>_xlfn.DISPIMG("ID_EC7DE1A270244013822D2AF30798D0D0",1)</f>
        <v>=DISPIMG("ID_EC7DE1A270244013822D2AF30798D0D0",1)</v>
      </c>
      <c r="P379" s="11" t="s">
        <v>2884</v>
      </c>
      <c r="Q379" s="11">
        <v>350</v>
      </c>
      <c r="R379" s="17" t="s">
        <v>4694</v>
      </c>
      <c r="S379" s="18" t="s">
        <v>62</v>
      </c>
      <c r="T379" s="25">
        <v>16</v>
      </c>
    </row>
    <row r="380" s="3" customFormat="1" customHeight="1" spans="1:20">
      <c r="A380" s="167" t="s">
        <v>3586</v>
      </c>
      <c r="B380" s="167" t="s">
        <v>165</v>
      </c>
      <c r="C380" s="167" t="s">
        <v>3587</v>
      </c>
      <c r="D380" s="11">
        <v>13970222797</v>
      </c>
      <c r="E380" s="167" t="s">
        <v>156</v>
      </c>
      <c r="F380" s="167" t="s">
        <v>4</v>
      </c>
      <c r="G380" s="11">
        <v>202102006</v>
      </c>
      <c r="H380" s="167" t="s">
        <v>157</v>
      </c>
      <c r="I380" s="167" t="s">
        <v>158</v>
      </c>
      <c r="J380" s="167" t="s">
        <v>3589</v>
      </c>
      <c r="K380" s="167" t="s">
        <v>160</v>
      </c>
      <c r="L380" s="167" t="s">
        <v>235</v>
      </c>
      <c r="M380" s="167" t="s">
        <v>4</v>
      </c>
      <c r="N380" s="167" t="s">
        <v>3590</v>
      </c>
      <c r="O380" s="12" t="str">
        <f>_xlfn.DISPIMG("ID_1E4E55AF2274433A8809E53B95627C78",1)</f>
        <v>=DISPIMG("ID_1E4E55AF2274433A8809E53B95627C78",1)</v>
      </c>
      <c r="P380" s="11" t="s">
        <v>3591</v>
      </c>
      <c r="Q380" s="11">
        <v>456</v>
      </c>
      <c r="R380" s="17" t="s">
        <v>4695</v>
      </c>
      <c r="S380" s="18" t="s">
        <v>62</v>
      </c>
      <c r="T380" s="25">
        <v>10</v>
      </c>
    </row>
    <row r="381" s="4" customFormat="1" customHeight="1" spans="1:20">
      <c r="A381" s="167" t="s">
        <v>3655</v>
      </c>
      <c r="B381" s="167" t="s">
        <v>153</v>
      </c>
      <c r="C381" s="167" t="s">
        <v>3656</v>
      </c>
      <c r="D381" s="11">
        <v>13177872440</v>
      </c>
      <c r="E381" s="167" t="s">
        <v>156</v>
      </c>
      <c r="F381" s="167" t="s">
        <v>4</v>
      </c>
      <c r="G381" s="11">
        <v>202102005</v>
      </c>
      <c r="H381" s="167" t="s">
        <v>157</v>
      </c>
      <c r="I381" s="167" t="s">
        <v>385</v>
      </c>
      <c r="J381" s="167" t="s">
        <v>179</v>
      </c>
      <c r="K381" s="167" t="s">
        <v>170</v>
      </c>
      <c r="L381" s="167" t="s">
        <v>368</v>
      </c>
      <c r="M381" s="167" t="s">
        <v>4</v>
      </c>
      <c r="N381" s="11">
        <v>0</v>
      </c>
      <c r="O381" s="12" t="str">
        <f>_xlfn.DISPIMG("ID_252B07FFDA0E4134A421E2449004C504",1)</f>
        <v>=DISPIMG("ID_252B07FFDA0E4134A421E2449004C504",1)</v>
      </c>
      <c r="P381" s="11" t="s">
        <v>3658</v>
      </c>
      <c r="Q381" s="11">
        <v>465</v>
      </c>
      <c r="R381" s="17" t="s">
        <v>4696</v>
      </c>
      <c r="S381" s="18" t="s">
        <v>62</v>
      </c>
      <c r="T381" s="25">
        <v>15</v>
      </c>
    </row>
    <row r="382" s="3" customFormat="1" customHeight="1" spans="1:20">
      <c r="A382" s="167" t="s">
        <v>3817</v>
      </c>
      <c r="B382" s="167" t="s">
        <v>165</v>
      </c>
      <c r="C382" s="167" t="s">
        <v>3818</v>
      </c>
      <c r="D382" s="11">
        <v>13002997695</v>
      </c>
      <c r="E382" s="167" t="s">
        <v>156</v>
      </c>
      <c r="F382" s="167" t="s">
        <v>4</v>
      </c>
      <c r="G382" s="11">
        <v>202102005</v>
      </c>
      <c r="H382" s="167" t="s">
        <v>157</v>
      </c>
      <c r="I382" s="167" t="s">
        <v>3820</v>
      </c>
      <c r="J382" s="167" t="s">
        <v>3821</v>
      </c>
      <c r="K382" s="167" t="s">
        <v>160</v>
      </c>
      <c r="L382" s="167" t="s">
        <v>199</v>
      </c>
      <c r="M382" s="167" t="s">
        <v>4</v>
      </c>
      <c r="N382" s="167" t="s">
        <v>3822</v>
      </c>
      <c r="O382" s="12" t="str">
        <f>_xlfn.DISPIMG("ID_F12BD6FEE7C74060A499738E5A967A51",1)</f>
        <v>=DISPIMG("ID_F12BD6FEE7C74060A499738E5A967A51",1)</v>
      </c>
      <c r="P382" s="11" t="s">
        <v>3823</v>
      </c>
      <c r="Q382" s="20">
        <v>487</v>
      </c>
      <c r="R382" s="17" t="s">
        <v>4697</v>
      </c>
      <c r="S382" s="18" t="s">
        <v>62</v>
      </c>
      <c r="T382" s="25">
        <v>11</v>
      </c>
    </row>
    <row r="383" s="3" customFormat="1" customHeight="1" spans="1:20">
      <c r="A383" s="167" t="s">
        <v>3940</v>
      </c>
      <c r="B383" s="167" t="s">
        <v>165</v>
      </c>
      <c r="C383" s="167" t="s">
        <v>3941</v>
      </c>
      <c r="D383" s="11">
        <v>13699503652</v>
      </c>
      <c r="E383" s="167" t="s">
        <v>156</v>
      </c>
      <c r="F383" s="167" t="s">
        <v>4</v>
      </c>
      <c r="G383" s="11">
        <v>202102005</v>
      </c>
      <c r="H383" s="167" t="s">
        <v>157</v>
      </c>
      <c r="I383" s="167" t="s">
        <v>385</v>
      </c>
      <c r="J383" s="167" t="s">
        <v>3943</v>
      </c>
      <c r="K383" s="167" t="s">
        <v>170</v>
      </c>
      <c r="L383" s="167" t="s">
        <v>180</v>
      </c>
      <c r="M383" s="167" t="s">
        <v>4</v>
      </c>
      <c r="N383" s="167" t="s">
        <v>3944</v>
      </c>
      <c r="O383" s="12" t="str">
        <f>_xlfn.DISPIMG("ID_5F49521312D540BAA0750C7E0D3B723B",1)</f>
        <v>=DISPIMG("ID_5F49521312D540BAA0750C7E0D3B723B",1)</v>
      </c>
      <c r="P383" s="11" t="s">
        <v>3945</v>
      </c>
      <c r="Q383" s="11">
        <v>503</v>
      </c>
      <c r="R383" s="17" t="s">
        <v>4701</v>
      </c>
      <c r="S383" s="18" t="s">
        <v>62</v>
      </c>
      <c r="T383" s="25">
        <v>14</v>
      </c>
    </row>
    <row r="384" s="3" customFormat="1" customHeight="1" spans="1:20">
      <c r="A384" s="167" t="s">
        <v>3962</v>
      </c>
      <c r="B384" s="167" t="s">
        <v>165</v>
      </c>
      <c r="C384" s="167" t="s">
        <v>3963</v>
      </c>
      <c r="D384" s="11">
        <v>18870866549</v>
      </c>
      <c r="E384" s="167" t="s">
        <v>156</v>
      </c>
      <c r="F384" s="167" t="s">
        <v>4</v>
      </c>
      <c r="G384" s="11">
        <v>202102005</v>
      </c>
      <c r="H384" s="167" t="s">
        <v>157</v>
      </c>
      <c r="I384" s="167" t="s">
        <v>3965</v>
      </c>
      <c r="J384" s="167" t="s">
        <v>3966</v>
      </c>
      <c r="K384" s="167" t="s">
        <v>160</v>
      </c>
      <c r="L384" s="167" t="s">
        <v>216</v>
      </c>
      <c r="M384" s="167" t="s">
        <v>4</v>
      </c>
      <c r="N384" s="11">
        <v>0</v>
      </c>
      <c r="O384" s="12" t="str">
        <f>_xlfn.DISPIMG("ID_B16A7073492C47F799EB61B1BAB98F3E",1)</f>
        <v>=DISPIMG("ID_B16A7073492C47F799EB61B1BAB98F3E",1)</v>
      </c>
      <c r="P384" s="11" t="s">
        <v>3967</v>
      </c>
      <c r="Q384" s="11">
        <v>506</v>
      </c>
      <c r="R384" s="17" t="s">
        <v>4706</v>
      </c>
      <c r="S384" s="18" t="s">
        <v>62</v>
      </c>
      <c r="T384" s="25">
        <v>12</v>
      </c>
    </row>
    <row r="385" s="3" customFormat="1" customHeight="1" spans="1:20">
      <c r="A385" s="167" t="s">
        <v>4267</v>
      </c>
      <c r="B385" s="167" t="s">
        <v>165</v>
      </c>
      <c r="C385" s="167" t="s">
        <v>4268</v>
      </c>
      <c r="D385" s="11">
        <v>15979953990</v>
      </c>
      <c r="E385" s="167" t="s">
        <v>156</v>
      </c>
      <c r="F385" s="167" t="s">
        <v>4</v>
      </c>
      <c r="G385" s="11">
        <v>202102005</v>
      </c>
      <c r="H385" s="167" t="s">
        <v>279</v>
      </c>
      <c r="I385" s="167" t="s">
        <v>269</v>
      </c>
      <c r="J385" s="167" t="s">
        <v>1088</v>
      </c>
      <c r="K385" s="167" t="s">
        <v>170</v>
      </c>
      <c r="L385" s="167" t="s">
        <v>235</v>
      </c>
      <c r="M385" s="167" t="s">
        <v>4</v>
      </c>
      <c r="N385" s="11">
        <v>0</v>
      </c>
      <c r="O385" s="12" t="str">
        <f>_xlfn.DISPIMG("ID_6B663AA29D5341758E4C0EAB0E013B9E",1)</f>
        <v>=DISPIMG("ID_6B663AA29D5341758E4C0EAB0E013B9E",1)</v>
      </c>
      <c r="P385" s="11" t="s">
        <v>4270</v>
      </c>
      <c r="Q385" s="11">
        <v>546</v>
      </c>
      <c r="R385" s="17" t="s">
        <v>4711</v>
      </c>
      <c r="S385" s="18" t="s">
        <v>62</v>
      </c>
      <c r="T385" s="25">
        <v>13</v>
      </c>
    </row>
    <row r="386" s="3" customFormat="1" customHeight="1" spans="1:20">
      <c r="A386" s="167" t="s">
        <v>212</v>
      </c>
      <c r="B386" s="167" t="s">
        <v>165</v>
      </c>
      <c r="C386" s="167" t="s">
        <v>213</v>
      </c>
      <c r="D386" s="11">
        <v>13197911998</v>
      </c>
      <c r="E386" s="167" t="s">
        <v>156</v>
      </c>
      <c r="F386" s="167" t="s">
        <v>15</v>
      </c>
      <c r="G386" s="11">
        <v>202102007</v>
      </c>
      <c r="H386" s="167" t="s">
        <v>157</v>
      </c>
      <c r="I386" s="167" t="s">
        <v>178</v>
      </c>
      <c r="J386" s="167" t="s">
        <v>215</v>
      </c>
      <c r="K386" s="167" t="s">
        <v>170</v>
      </c>
      <c r="L386" s="167" t="s">
        <v>216</v>
      </c>
      <c r="M386" s="167" t="s">
        <v>15</v>
      </c>
      <c r="N386" s="11">
        <v>0</v>
      </c>
      <c r="O386" s="12" t="str">
        <f>_xlfn.DISPIMG("ID_A8B2B34FEB1F4C29AD364FF328B946F1",1)</f>
        <v>=DISPIMG("ID_A8B2B34FEB1F4C29AD364FF328B946F1",1)</v>
      </c>
      <c r="P386" s="11" t="s">
        <v>217</v>
      </c>
      <c r="Q386" s="11">
        <v>8</v>
      </c>
      <c r="R386" s="17" t="s">
        <v>4716</v>
      </c>
      <c r="S386" s="18" t="s">
        <v>62</v>
      </c>
      <c r="T386" s="25">
        <v>19</v>
      </c>
    </row>
    <row r="387" s="3" customFormat="1" customHeight="1" spans="1:20">
      <c r="A387" s="167" t="s">
        <v>391</v>
      </c>
      <c r="B387" s="167" t="s">
        <v>165</v>
      </c>
      <c r="C387" s="167" t="s">
        <v>392</v>
      </c>
      <c r="D387" s="11">
        <v>17620119411</v>
      </c>
      <c r="E387" s="167" t="s">
        <v>156</v>
      </c>
      <c r="F387" s="167" t="s">
        <v>15</v>
      </c>
      <c r="G387" s="11">
        <v>202102007</v>
      </c>
      <c r="H387" s="167" t="s">
        <v>157</v>
      </c>
      <c r="I387" s="167" t="s">
        <v>394</v>
      </c>
      <c r="J387" s="167" t="s">
        <v>395</v>
      </c>
      <c r="K387" s="167" t="s">
        <v>160</v>
      </c>
      <c r="L387" s="167" t="s">
        <v>396</v>
      </c>
      <c r="M387" s="167" t="s">
        <v>15</v>
      </c>
      <c r="N387" s="11">
        <v>0</v>
      </c>
      <c r="O387" s="12" t="str">
        <f>_xlfn.DISPIMG("ID_EBB3EDBB16514C57957D178C829CE459",1)</f>
        <v>=DISPIMG("ID_EBB3EDBB16514C57957D178C829CE459",1)</v>
      </c>
      <c r="P387" s="11" t="s">
        <v>397</v>
      </c>
      <c r="Q387" s="20">
        <v>28</v>
      </c>
      <c r="R387" s="17" t="s">
        <v>4721</v>
      </c>
      <c r="S387" s="18" t="s">
        <v>62</v>
      </c>
      <c r="T387" s="25">
        <v>20</v>
      </c>
    </row>
    <row r="388" s="3" customFormat="1" customHeight="1" spans="1:20">
      <c r="A388" s="167" t="s">
        <v>856</v>
      </c>
      <c r="B388" s="167" t="s">
        <v>165</v>
      </c>
      <c r="C388" s="167" t="s">
        <v>857</v>
      </c>
      <c r="D388" s="11">
        <v>18296159294</v>
      </c>
      <c r="E388" s="167" t="s">
        <v>156</v>
      </c>
      <c r="F388" s="167" t="s">
        <v>15</v>
      </c>
      <c r="G388" s="11">
        <v>202102007</v>
      </c>
      <c r="H388" s="167" t="s">
        <v>279</v>
      </c>
      <c r="I388" s="167" t="s">
        <v>178</v>
      </c>
      <c r="J388" s="167" t="s">
        <v>215</v>
      </c>
      <c r="K388" s="167" t="s">
        <v>170</v>
      </c>
      <c r="L388" s="167" t="s">
        <v>216</v>
      </c>
      <c r="M388" s="167" t="s">
        <v>859</v>
      </c>
      <c r="N388" s="167" t="s">
        <v>860</v>
      </c>
      <c r="O388" s="12" t="str">
        <f>_xlfn.DISPIMG("ID_D74EFBEA1A81482A857D7A1473663067",1)</f>
        <v>=DISPIMG("ID_D74EFBEA1A81482A857D7A1473663067",1)</v>
      </c>
      <c r="P388" s="11" t="s">
        <v>861</v>
      </c>
      <c r="Q388" s="20">
        <v>85</v>
      </c>
      <c r="R388" s="17" t="s">
        <v>4698</v>
      </c>
      <c r="S388" s="18" t="s">
        <v>62</v>
      </c>
      <c r="T388" s="25">
        <v>21</v>
      </c>
    </row>
    <row r="389" s="3" customFormat="1" customHeight="1" spans="1:20">
      <c r="A389" s="167" t="s">
        <v>1658</v>
      </c>
      <c r="B389" s="167" t="s">
        <v>153</v>
      </c>
      <c r="C389" s="167" t="s">
        <v>1659</v>
      </c>
      <c r="D389" s="11">
        <v>15170625945</v>
      </c>
      <c r="E389" s="167" t="s">
        <v>506</v>
      </c>
      <c r="F389" s="167" t="s">
        <v>15</v>
      </c>
      <c r="G389" s="11">
        <v>202102019</v>
      </c>
      <c r="H389" s="167" t="s">
        <v>157</v>
      </c>
      <c r="I389" s="167" t="s">
        <v>611</v>
      </c>
      <c r="J389" s="167" t="s">
        <v>454</v>
      </c>
      <c r="K389" s="167" t="s">
        <v>160</v>
      </c>
      <c r="L389" s="167" t="s">
        <v>261</v>
      </c>
      <c r="M389" s="167" t="s">
        <v>1661</v>
      </c>
      <c r="N389" s="11">
        <v>0</v>
      </c>
      <c r="O389" s="12" t="str">
        <f>_xlfn.DISPIMG("ID_40EE23CAD6BE466D8A6330DBB5734F8E",1)</f>
        <v>=DISPIMG("ID_40EE23CAD6BE466D8A6330DBB5734F8E",1)</v>
      </c>
      <c r="P389" s="11" t="s">
        <v>1662</v>
      </c>
      <c r="Q389" s="20">
        <v>187</v>
      </c>
      <c r="R389" s="17" t="s">
        <v>4699</v>
      </c>
      <c r="S389" s="18" t="s">
        <v>62</v>
      </c>
      <c r="T389" s="25">
        <v>28</v>
      </c>
    </row>
    <row r="390" s="3" customFormat="1" customHeight="1" spans="1:20">
      <c r="A390" s="167" t="s">
        <v>1897</v>
      </c>
      <c r="B390" s="167" t="s">
        <v>165</v>
      </c>
      <c r="C390" s="167" t="s">
        <v>1898</v>
      </c>
      <c r="D390" s="11">
        <v>13588255405</v>
      </c>
      <c r="E390" s="167" t="s">
        <v>156</v>
      </c>
      <c r="F390" s="167" t="s">
        <v>15</v>
      </c>
      <c r="G390" s="11">
        <v>202102007</v>
      </c>
      <c r="H390" s="167" t="s">
        <v>157</v>
      </c>
      <c r="I390" s="167" t="s">
        <v>1900</v>
      </c>
      <c r="J390" s="167" t="s">
        <v>179</v>
      </c>
      <c r="K390" s="167" t="s">
        <v>160</v>
      </c>
      <c r="L390" s="167" t="s">
        <v>235</v>
      </c>
      <c r="M390" s="167" t="s">
        <v>15</v>
      </c>
      <c r="N390" s="11">
        <v>0</v>
      </c>
      <c r="O390" s="12" t="str">
        <f>_xlfn.DISPIMG("ID_427E6301FF984C74BA8E87820A04494C",1)</f>
        <v>=DISPIMG("ID_427E6301FF984C74BA8E87820A04494C",1)</v>
      </c>
      <c r="P390" s="11" t="s">
        <v>1901</v>
      </c>
      <c r="Q390" s="11">
        <v>218</v>
      </c>
      <c r="R390" s="17" t="s">
        <v>4702</v>
      </c>
      <c r="S390" s="18" t="s">
        <v>62</v>
      </c>
      <c r="T390" s="25">
        <v>22</v>
      </c>
    </row>
    <row r="391" s="3" customFormat="1" customHeight="1" spans="1:20">
      <c r="A391" s="167" t="s">
        <v>2407</v>
      </c>
      <c r="B391" s="167" t="s">
        <v>165</v>
      </c>
      <c r="C391" s="167" t="s">
        <v>2408</v>
      </c>
      <c r="D391" s="11">
        <v>15070401093</v>
      </c>
      <c r="E391" s="167" t="s">
        <v>156</v>
      </c>
      <c r="F391" s="167" t="s">
        <v>15</v>
      </c>
      <c r="G391" s="11">
        <v>202102007</v>
      </c>
      <c r="H391" s="167" t="s">
        <v>157</v>
      </c>
      <c r="I391" s="167" t="s">
        <v>827</v>
      </c>
      <c r="J391" s="167" t="s">
        <v>2394</v>
      </c>
      <c r="K391" s="167" t="s">
        <v>160</v>
      </c>
      <c r="L391" s="167" t="s">
        <v>171</v>
      </c>
      <c r="M391" s="167" t="s">
        <v>2410</v>
      </c>
      <c r="N391" s="167" t="s">
        <v>2411</v>
      </c>
      <c r="O391" s="12" t="str">
        <f>_xlfn.DISPIMG("ID_AC752CE0DFA24D83A60721AFA892E1C6",1)</f>
        <v>=DISPIMG("ID_AC752CE0DFA24D83A60721AFA892E1C6",1)</v>
      </c>
      <c r="P391" s="11" t="s">
        <v>2412</v>
      </c>
      <c r="Q391" s="11">
        <v>286</v>
      </c>
      <c r="R391" s="17" t="s">
        <v>4703</v>
      </c>
      <c r="S391" s="18" t="s">
        <v>62</v>
      </c>
      <c r="T391" s="25">
        <v>27</v>
      </c>
    </row>
    <row r="392" s="3" customFormat="1" customHeight="1" spans="1:20">
      <c r="A392" s="167" t="s">
        <v>2915</v>
      </c>
      <c r="B392" s="167" t="s">
        <v>165</v>
      </c>
      <c r="C392" s="167" t="s">
        <v>2916</v>
      </c>
      <c r="D392" s="11">
        <v>18779224246</v>
      </c>
      <c r="E392" s="167" t="s">
        <v>506</v>
      </c>
      <c r="F392" s="167" t="s">
        <v>15</v>
      </c>
      <c r="G392" s="11">
        <v>202102019</v>
      </c>
      <c r="H392" s="167" t="s">
        <v>279</v>
      </c>
      <c r="I392" s="167" t="s">
        <v>367</v>
      </c>
      <c r="J392" s="167" t="s">
        <v>348</v>
      </c>
      <c r="K392" s="167" t="s">
        <v>170</v>
      </c>
      <c r="L392" s="167" t="s">
        <v>180</v>
      </c>
      <c r="M392" s="167" t="s">
        <v>2918</v>
      </c>
      <c r="N392" s="11">
        <v>0</v>
      </c>
      <c r="O392" s="12" t="str">
        <f>_xlfn.DISPIMG("ID_0C4A3B774E384F888DCC2803C749C7F6",1)</f>
        <v>=DISPIMG("ID_0C4A3B774E384F888DCC2803C749C7F6",1)</v>
      </c>
      <c r="P392" s="11" t="s">
        <v>2919</v>
      </c>
      <c r="Q392" s="20">
        <v>355</v>
      </c>
      <c r="R392" s="17" t="s">
        <v>4707</v>
      </c>
      <c r="S392" s="18" t="s">
        <v>62</v>
      </c>
      <c r="T392" s="25">
        <v>23</v>
      </c>
    </row>
    <row r="393" s="3" customFormat="1" customHeight="1" spans="1:20">
      <c r="A393" s="167" t="s">
        <v>3570</v>
      </c>
      <c r="B393" s="167" t="s">
        <v>165</v>
      </c>
      <c r="C393" s="167" t="s">
        <v>3571</v>
      </c>
      <c r="D393" s="11">
        <v>13879176428</v>
      </c>
      <c r="E393" s="167" t="s">
        <v>156</v>
      </c>
      <c r="F393" s="167" t="s">
        <v>15</v>
      </c>
      <c r="G393" s="11">
        <v>202102007</v>
      </c>
      <c r="H393" s="167" t="s">
        <v>157</v>
      </c>
      <c r="I393" s="167" t="s">
        <v>233</v>
      </c>
      <c r="J393" s="167" t="s">
        <v>454</v>
      </c>
      <c r="K393" s="167" t="s">
        <v>170</v>
      </c>
      <c r="L393" s="167" t="s">
        <v>3573</v>
      </c>
      <c r="M393" s="167" t="s">
        <v>3574</v>
      </c>
      <c r="N393" s="167" t="s">
        <v>3575</v>
      </c>
      <c r="O393" s="12" t="str">
        <f>_xlfn.DISPIMG("ID_4E9B8A157E55446AAA9BAC9D6541DF67",1)</f>
        <v>=DISPIMG("ID_4E9B8A157E55446AAA9BAC9D6541DF67",1)</v>
      </c>
      <c r="P393" s="11" t="s">
        <v>3576</v>
      </c>
      <c r="Q393" s="20">
        <v>454</v>
      </c>
      <c r="R393" s="17" t="s">
        <v>4708</v>
      </c>
      <c r="S393" s="18" t="s">
        <v>62</v>
      </c>
      <c r="T393" s="25">
        <v>26</v>
      </c>
    </row>
    <row r="394" s="3" customFormat="1" customHeight="1" spans="1:20">
      <c r="A394" s="167" t="s">
        <v>3579</v>
      </c>
      <c r="B394" s="167" t="s">
        <v>153</v>
      </c>
      <c r="C394" s="167" t="s">
        <v>3580</v>
      </c>
      <c r="D394" s="11">
        <v>15179270292</v>
      </c>
      <c r="E394" s="167" t="s">
        <v>156</v>
      </c>
      <c r="F394" s="167" t="s">
        <v>15</v>
      </c>
      <c r="G394" s="11">
        <v>202102007</v>
      </c>
      <c r="H394" s="167" t="s">
        <v>157</v>
      </c>
      <c r="I394" s="167" t="s">
        <v>158</v>
      </c>
      <c r="J394" s="167" t="s">
        <v>1832</v>
      </c>
      <c r="K394" s="167" t="s">
        <v>160</v>
      </c>
      <c r="L394" s="167" t="s">
        <v>368</v>
      </c>
      <c r="M394" s="167" t="s">
        <v>3582</v>
      </c>
      <c r="N394" s="11">
        <v>0</v>
      </c>
      <c r="O394" s="12" t="str">
        <f>_xlfn.DISPIMG("ID_10B7637016814F53B0B0689821F0D756",1)</f>
        <v>=DISPIMG("ID_10B7637016814F53B0B0689821F0D756",1)</v>
      </c>
      <c r="P394" s="11" t="s">
        <v>3583</v>
      </c>
      <c r="Q394" s="11">
        <v>455</v>
      </c>
      <c r="R394" s="17" t="s">
        <v>4712</v>
      </c>
      <c r="S394" s="18" t="s">
        <v>62</v>
      </c>
      <c r="T394" s="25">
        <v>24</v>
      </c>
    </row>
    <row r="395" s="3" customFormat="1" customHeight="1" spans="1:20">
      <c r="A395" s="167" t="s">
        <v>3841</v>
      </c>
      <c r="B395" s="167" t="s">
        <v>165</v>
      </c>
      <c r="C395" s="167" t="s">
        <v>3842</v>
      </c>
      <c r="D395" s="11">
        <v>13177873876</v>
      </c>
      <c r="E395" s="167" t="s">
        <v>156</v>
      </c>
      <c r="F395" s="167" t="s">
        <v>15</v>
      </c>
      <c r="G395" s="11">
        <v>202102007</v>
      </c>
      <c r="H395" s="167" t="s">
        <v>157</v>
      </c>
      <c r="I395" s="167" t="s">
        <v>233</v>
      </c>
      <c r="J395" s="167" t="s">
        <v>169</v>
      </c>
      <c r="K395" s="167" t="s">
        <v>170</v>
      </c>
      <c r="L395" s="167" t="s">
        <v>3844</v>
      </c>
      <c r="M395" s="167" t="s">
        <v>3845</v>
      </c>
      <c r="N395" s="167" t="s">
        <v>3846</v>
      </c>
      <c r="O395" s="12" t="str">
        <f>_xlfn.DISPIMG("ID_0D39E07DE3FA4F1EAFE382357648332E",1)</f>
        <v>=DISPIMG("ID_0D39E07DE3FA4F1EAFE382357648332E",1)</v>
      </c>
      <c r="P395" s="11" t="s">
        <v>3847</v>
      </c>
      <c r="Q395" s="20">
        <v>490</v>
      </c>
      <c r="R395" s="17" t="s">
        <v>4713</v>
      </c>
      <c r="S395" s="18" t="s">
        <v>62</v>
      </c>
      <c r="T395" s="25">
        <v>25</v>
      </c>
    </row>
    <row r="396" s="3" customFormat="1" customHeight="1" spans="1:20">
      <c r="A396" s="167" t="s">
        <v>1671</v>
      </c>
      <c r="B396" s="167" t="s">
        <v>153</v>
      </c>
      <c r="C396" s="167" t="s">
        <v>1672</v>
      </c>
      <c r="D396" s="11">
        <v>13576944053</v>
      </c>
      <c r="E396" s="167" t="s">
        <v>156</v>
      </c>
      <c r="F396" s="167" t="s">
        <v>7</v>
      </c>
      <c r="G396" s="11">
        <v>202102006</v>
      </c>
      <c r="H396" s="167" t="s">
        <v>157</v>
      </c>
      <c r="I396" s="167" t="s">
        <v>1674</v>
      </c>
      <c r="J396" s="167" t="s">
        <v>1675</v>
      </c>
      <c r="K396" s="167" t="s">
        <v>170</v>
      </c>
      <c r="L396" s="167" t="s">
        <v>1676</v>
      </c>
      <c r="M396" s="167" t="s">
        <v>7</v>
      </c>
      <c r="N396" s="167" t="s">
        <v>1677</v>
      </c>
      <c r="O396" s="12" t="str">
        <f>_xlfn.DISPIMG("ID_834E256FE11F482DB22CD6E09A0E87FD",1)</f>
        <v>=DISPIMG("ID_834E256FE11F482DB22CD6E09A0E87FD",1)</v>
      </c>
      <c r="P396" s="11" t="s">
        <v>1678</v>
      </c>
      <c r="Q396" s="11">
        <v>189</v>
      </c>
      <c r="R396" s="17" t="s">
        <v>4717</v>
      </c>
      <c r="S396" s="18" t="s">
        <v>66</v>
      </c>
      <c r="T396" s="25">
        <v>6</v>
      </c>
    </row>
    <row r="397" s="3" customFormat="1" customHeight="1" spans="1:20">
      <c r="A397" s="167" t="s">
        <v>2004</v>
      </c>
      <c r="B397" s="167" t="s">
        <v>153</v>
      </c>
      <c r="C397" s="167" t="s">
        <v>2005</v>
      </c>
      <c r="D397" s="11">
        <v>18296155146</v>
      </c>
      <c r="E397" s="167" t="s">
        <v>156</v>
      </c>
      <c r="F397" s="167" t="s">
        <v>7</v>
      </c>
      <c r="G397" s="11">
        <v>202102006</v>
      </c>
      <c r="H397" s="167" t="s">
        <v>157</v>
      </c>
      <c r="I397" s="167" t="s">
        <v>1112</v>
      </c>
      <c r="J397" s="167" t="s">
        <v>159</v>
      </c>
      <c r="K397" s="167" t="s">
        <v>160</v>
      </c>
      <c r="L397" s="167" t="s">
        <v>368</v>
      </c>
      <c r="M397" s="167" t="s">
        <v>2007</v>
      </c>
      <c r="N397" s="167" t="s">
        <v>2008</v>
      </c>
      <c r="O397" s="12" t="str">
        <f>_xlfn.DISPIMG("ID_56BCD58120C9403E8AA33B4C6EF6927A",1)</f>
        <v>=DISPIMG("ID_56BCD58120C9403E8AA33B4C6EF6927A",1)</v>
      </c>
      <c r="P397" s="11" t="s">
        <v>2009</v>
      </c>
      <c r="Q397" s="11">
        <v>233</v>
      </c>
      <c r="R397" s="17" t="s">
        <v>4718</v>
      </c>
      <c r="S397" s="18" t="s">
        <v>66</v>
      </c>
      <c r="T397" s="25">
        <v>5</v>
      </c>
    </row>
    <row r="398" s="3" customFormat="1" customHeight="1" spans="1:20">
      <c r="A398" s="167" t="s">
        <v>2732</v>
      </c>
      <c r="B398" s="167" t="s">
        <v>165</v>
      </c>
      <c r="C398" s="167" t="s">
        <v>2733</v>
      </c>
      <c r="D398" s="11">
        <v>15079218024</v>
      </c>
      <c r="E398" s="167" t="s">
        <v>156</v>
      </c>
      <c r="F398" s="167" t="s">
        <v>7</v>
      </c>
      <c r="G398" s="11">
        <v>202102006</v>
      </c>
      <c r="H398" s="167" t="s">
        <v>157</v>
      </c>
      <c r="I398" s="167" t="s">
        <v>1112</v>
      </c>
      <c r="J398" s="167" t="s">
        <v>159</v>
      </c>
      <c r="K398" s="167" t="s">
        <v>160</v>
      </c>
      <c r="L398" s="167" t="s">
        <v>199</v>
      </c>
      <c r="M398" s="167" t="s">
        <v>19</v>
      </c>
      <c r="N398" s="167" t="s">
        <v>2735</v>
      </c>
      <c r="O398" s="12" t="str">
        <f>_xlfn.DISPIMG("ID_8B921756A8224507AE26B26EA7A47E29",1)</f>
        <v>=DISPIMG("ID_8B921756A8224507AE26B26EA7A47E29",1)</v>
      </c>
      <c r="P398" s="11" t="s">
        <v>2736</v>
      </c>
      <c r="Q398" s="11">
        <v>330</v>
      </c>
      <c r="R398" s="17" t="s">
        <v>4722</v>
      </c>
      <c r="S398" s="18" t="s">
        <v>66</v>
      </c>
      <c r="T398" s="25">
        <v>4</v>
      </c>
    </row>
    <row r="399" s="3" customFormat="1" customHeight="1" spans="1:20">
      <c r="A399" s="167" t="s">
        <v>2774</v>
      </c>
      <c r="B399" s="167" t="s">
        <v>165</v>
      </c>
      <c r="C399" s="167" t="s">
        <v>2775</v>
      </c>
      <c r="D399" s="11">
        <v>18720298910</v>
      </c>
      <c r="E399" s="167" t="s">
        <v>156</v>
      </c>
      <c r="F399" s="167" t="s">
        <v>7</v>
      </c>
      <c r="G399" s="11">
        <v>202102006</v>
      </c>
      <c r="H399" s="167" t="s">
        <v>157</v>
      </c>
      <c r="I399" s="167" t="s">
        <v>158</v>
      </c>
      <c r="J399" s="167" t="s">
        <v>1639</v>
      </c>
      <c r="K399" s="167" t="s">
        <v>170</v>
      </c>
      <c r="L399" s="167" t="s">
        <v>306</v>
      </c>
      <c r="M399" s="167" t="s">
        <v>19</v>
      </c>
      <c r="N399" s="167" t="s">
        <v>2777</v>
      </c>
      <c r="O399" s="12" t="str">
        <f>_xlfn.DISPIMG("ID_DC860A7FCB384FE48AFC2F135021FF6F",1)</f>
        <v>=DISPIMG("ID_DC860A7FCB384FE48AFC2F135021FF6F",1)</v>
      </c>
      <c r="P399" s="11" t="s">
        <v>2778</v>
      </c>
      <c r="Q399" s="11">
        <v>336</v>
      </c>
      <c r="R399" s="17" t="s">
        <v>4723</v>
      </c>
      <c r="S399" s="18" t="s">
        <v>66</v>
      </c>
      <c r="T399" s="25">
        <v>3</v>
      </c>
    </row>
    <row r="400" s="3" customFormat="1" customHeight="1" spans="1:20">
      <c r="A400" s="167" t="s">
        <v>3263</v>
      </c>
      <c r="B400" s="167" t="s">
        <v>165</v>
      </c>
      <c r="C400" s="167" t="s">
        <v>3264</v>
      </c>
      <c r="D400" s="11">
        <v>15297923055</v>
      </c>
      <c r="E400" s="167" t="s">
        <v>156</v>
      </c>
      <c r="F400" s="167" t="s">
        <v>7</v>
      </c>
      <c r="G400" s="11">
        <v>202102006</v>
      </c>
      <c r="H400" s="167" t="s">
        <v>157</v>
      </c>
      <c r="I400" s="167" t="s">
        <v>507</v>
      </c>
      <c r="J400" s="167" t="s">
        <v>243</v>
      </c>
      <c r="K400" s="167" t="s">
        <v>160</v>
      </c>
      <c r="L400" s="167" t="s">
        <v>1089</v>
      </c>
      <c r="M400" s="167" t="s">
        <v>13</v>
      </c>
      <c r="N400" s="11">
        <v>0</v>
      </c>
      <c r="O400" s="12" t="str">
        <f>_xlfn.DISPIMG("ID_E2A16755D9294F19AC6C5724406D1776",1)</f>
        <v>=DISPIMG("ID_E2A16755D9294F19AC6C5724406D1776",1)</v>
      </c>
      <c r="P400" s="11" t="s">
        <v>3265</v>
      </c>
      <c r="Q400" s="11">
        <v>407</v>
      </c>
      <c r="R400" s="17" t="s">
        <v>4700</v>
      </c>
      <c r="S400" s="18" t="s">
        <v>66</v>
      </c>
      <c r="T400" s="25">
        <v>2</v>
      </c>
    </row>
    <row r="401" s="3" customFormat="1" customHeight="1" spans="1:20">
      <c r="A401" s="167" t="s">
        <v>3685</v>
      </c>
      <c r="B401" s="167" t="s">
        <v>165</v>
      </c>
      <c r="C401" s="167" t="s">
        <v>3686</v>
      </c>
      <c r="D401" s="11">
        <v>18270929326</v>
      </c>
      <c r="E401" s="167" t="s">
        <v>156</v>
      </c>
      <c r="F401" s="167" t="s">
        <v>7</v>
      </c>
      <c r="G401" s="11">
        <v>202102006</v>
      </c>
      <c r="H401" s="167" t="s">
        <v>157</v>
      </c>
      <c r="I401" s="167" t="s">
        <v>884</v>
      </c>
      <c r="J401" s="167" t="s">
        <v>454</v>
      </c>
      <c r="K401" s="167" t="s">
        <v>170</v>
      </c>
      <c r="L401" s="167" t="s">
        <v>3687</v>
      </c>
      <c r="M401" s="167" t="s">
        <v>7</v>
      </c>
      <c r="N401" s="167" t="s">
        <v>3688</v>
      </c>
      <c r="O401" s="12" t="str">
        <f>_xlfn.DISPIMG("ID_E15A59AE3AB3482DA375DB6FC21D8F4C",1)</f>
        <v>=DISPIMG("ID_E15A59AE3AB3482DA375DB6FC21D8F4C",1)</v>
      </c>
      <c r="P401" s="11" t="s">
        <v>3689</v>
      </c>
      <c r="Q401" s="11">
        <v>469</v>
      </c>
      <c r="R401" s="17" t="s">
        <v>4704</v>
      </c>
      <c r="S401" s="18" t="s">
        <v>66</v>
      </c>
      <c r="T401" s="25">
        <v>1</v>
      </c>
    </row>
    <row r="402" s="3" customFormat="1" customHeight="1" spans="1:20">
      <c r="A402" s="167" t="s">
        <v>459</v>
      </c>
      <c r="B402" s="167" t="s">
        <v>153</v>
      </c>
      <c r="C402" s="167" t="s">
        <v>460</v>
      </c>
      <c r="D402" s="11">
        <v>13265072773</v>
      </c>
      <c r="E402" s="167" t="s">
        <v>156</v>
      </c>
      <c r="F402" s="167" t="s">
        <v>9</v>
      </c>
      <c r="G402" s="11">
        <v>202102011</v>
      </c>
      <c r="H402" s="167" t="s">
        <v>157</v>
      </c>
      <c r="I402" s="167" t="s">
        <v>462</v>
      </c>
      <c r="J402" s="167" t="s">
        <v>463</v>
      </c>
      <c r="K402" s="167" t="s">
        <v>160</v>
      </c>
      <c r="L402" s="167" t="s">
        <v>161</v>
      </c>
      <c r="M402" s="167" t="s">
        <v>464</v>
      </c>
      <c r="N402" s="11">
        <v>0</v>
      </c>
      <c r="O402" s="12" t="str">
        <f>_xlfn.DISPIMG("ID_DCCAD4E9E505474E946107D340C03662",1)</f>
        <v>=DISPIMG("ID_DCCAD4E9E505474E946107D340C03662",1)</v>
      </c>
      <c r="P402" s="11" t="s">
        <v>465</v>
      </c>
      <c r="Q402" s="11">
        <v>36</v>
      </c>
      <c r="R402" s="17" t="s">
        <v>4705</v>
      </c>
      <c r="S402" s="18" t="s">
        <v>66</v>
      </c>
      <c r="T402" s="25">
        <v>7</v>
      </c>
    </row>
    <row r="403" s="3" customFormat="1" customHeight="1" spans="1:20">
      <c r="A403" s="167" t="s">
        <v>1167</v>
      </c>
      <c r="B403" s="167" t="s">
        <v>153</v>
      </c>
      <c r="C403" s="167" t="s">
        <v>1168</v>
      </c>
      <c r="D403" s="11">
        <v>18370130888</v>
      </c>
      <c r="E403" s="167" t="s">
        <v>156</v>
      </c>
      <c r="F403" s="167" t="s">
        <v>9</v>
      </c>
      <c r="G403" s="11">
        <v>202102011</v>
      </c>
      <c r="H403" s="167" t="s">
        <v>279</v>
      </c>
      <c r="I403" s="167" t="s">
        <v>158</v>
      </c>
      <c r="J403" s="167" t="s">
        <v>682</v>
      </c>
      <c r="K403" s="167" t="s">
        <v>170</v>
      </c>
      <c r="L403" s="167" t="s">
        <v>1170</v>
      </c>
      <c r="M403" s="167" t="s">
        <v>1171</v>
      </c>
      <c r="N403" s="167" t="s">
        <v>1172</v>
      </c>
      <c r="O403" s="12" t="str">
        <f>_xlfn.DISPIMG("ID_A11E1242B6CE401EA988641535D09239",1)</f>
        <v>=DISPIMG("ID_A11E1242B6CE401EA988641535D09239",1)</v>
      </c>
      <c r="P403" s="11" t="s">
        <v>1173</v>
      </c>
      <c r="Q403" s="11">
        <v>123</v>
      </c>
      <c r="R403" s="17" t="s">
        <v>4709</v>
      </c>
      <c r="S403" s="18" t="s">
        <v>66</v>
      </c>
      <c r="T403" s="25">
        <v>8</v>
      </c>
    </row>
    <row r="404" s="3" customFormat="1" customHeight="1" spans="1:20">
      <c r="A404" s="167" t="s">
        <v>1403</v>
      </c>
      <c r="B404" s="167" t="s">
        <v>153</v>
      </c>
      <c r="C404" s="167" t="s">
        <v>1404</v>
      </c>
      <c r="D404" s="11">
        <v>15779981835</v>
      </c>
      <c r="E404" s="167" t="s">
        <v>156</v>
      </c>
      <c r="F404" s="167" t="s">
        <v>9</v>
      </c>
      <c r="G404" s="11">
        <v>202102011</v>
      </c>
      <c r="H404" s="167" t="s">
        <v>157</v>
      </c>
      <c r="I404" s="167" t="s">
        <v>827</v>
      </c>
      <c r="J404" s="167" t="s">
        <v>682</v>
      </c>
      <c r="K404" s="167" t="s">
        <v>170</v>
      </c>
      <c r="L404" s="167" t="s">
        <v>261</v>
      </c>
      <c r="M404" s="167" t="s">
        <v>1406</v>
      </c>
      <c r="N404" s="11">
        <v>0</v>
      </c>
      <c r="O404" s="12" t="str">
        <f>_xlfn.DISPIMG("ID_FA69E1E4EF8743A583B1A39075AAAF21",1)</f>
        <v>=DISPIMG("ID_FA69E1E4EF8743A583B1A39075AAAF21",1)</v>
      </c>
      <c r="P404" s="11" t="s">
        <v>1407</v>
      </c>
      <c r="Q404" s="11">
        <v>154</v>
      </c>
      <c r="R404" s="17" t="s">
        <v>4710</v>
      </c>
      <c r="S404" s="18" t="s">
        <v>66</v>
      </c>
      <c r="T404" s="25">
        <v>17</v>
      </c>
    </row>
    <row r="405" s="4" customFormat="1" customHeight="1" spans="1:20">
      <c r="A405" s="167" t="s">
        <v>1821</v>
      </c>
      <c r="B405" s="167" t="s">
        <v>153</v>
      </c>
      <c r="C405" s="167" t="s">
        <v>1822</v>
      </c>
      <c r="D405" s="11">
        <v>15083520312</v>
      </c>
      <c r="E405" s="167" t="s">
        <v>156</v>
      </c>
      <c r="F405" s="167" t="s">
        <v>9</v>
      </c>
      <c r="G405" s="11">
        <v>202102011</v>
      </c>
      <c r="H405" s="167" t="s">
        <v>157</v>
      </c>
      <c r="I405" s="167" t="s">
        <v>437</v>
      </c>
      <c r="J405" s="167" t="s">
        <v>682</v>
      </c>
      <c r="K405" s="167" t="s">
        <v>170</v>
      </c>
      <c r="L405" s="167" t="s">
        <v>455</v>
      </c>
      <c r="M405" s="167" t="s">
        <v>1824</v>
      </c>
      <c r="N405" s="11">
        <v>0</v>
      </c>
      <c r="O405" s="12" t="str">
        <f>_xlfn.DISPIMG("ID_DDBA99C80B934FEAA0E6DE75BE0B792D",1)</f>
        <v>=DISPIMG("ID_DDBA99C80B934FEAA0E6DE75BE0B792D",1)</v>
      </c>
      <c r="P405" s="11" t="s">
        <v>1825</v>
      </c>
      <c r="Q405" s="11">
        <v>208</v>
      </c>
      <c r="R405" s="17" t="s">
        <v>4714</v>
      </c>
      <c r="S405" s="18" t="s">
        <v>66</v>
      </c>
      <c r="T405" s="25">
        <v>9</v>
      </c>
    </row>
    <row r="406" s="4" customFormat="1" customHeight="1" spans="1:20">
      <c r="A406" s="167" t="s">
        <v>2330</v>
      </c>
      <c r="B406" s="167" t="s">
        <v>165</v>
      </c>
      <c r="C406" s="167" t="s">
        <v>2331</v>
      </c>
      <c r="D406" s="11">
        <v>13627002257</v>
      </c>
      <c r="E406" s="167" t="s">
        <v>156</v>
      </c>
      <c r="F406" s="167" t="s">
        <v>9</v>
      </c>
      <c r="G406" s="11">
        <v>202102011</v>
      </c>
      <c r="H406" s="167" t="s">
        <v>157</v>
      </c>
      <c r="I406" s="167" t="s">
        <v>233</v>
      </c>
      <c r="J406" s="167" t="s">
        <v>2333</v>
      </c>
      <c r="K406" s="167" t="s">
        <v>160</v>
      </c>
      <c r="L406" s="167" t="s">
        <v>455</v>
      </c>
      <c r="M406" s="167" t="s">
        <v>9</v>
      </c>
      <c r="N406" s="11">
        <v>0</v>
      </c>
      <c r="O406" s="12" t="str">
        <f>_xlfn.DISPIMG("ID_1491B19669C14541B371C6C8BBB97425",1)</f>
        <v>=DISPIMG("ID_1491B19669C14541B371C6C8BBB97425",1)</v>
      </c>
      <c r="P406" s="11" t="s">
        <v>2334</v>
      </c>
      <c r="Q406" s="11">
        <v>276</v>
      </c>
      <c r="R406" s="17" t="s">
        <v>4715</v>
      </c>
      <c r="S406" s="18" t="s">
        <v>66</v>
      </c>
      <c r="T406" s="25">
        <v>16</v>
      </c>
    </row>
    <row r="407" s="5" customFormat="1" customHeight="1" spans="1:20">
      <c r="A407" s="167" t="s">
        <v>2598</v>
      </c>
      <c r="B407" s="167" t="s">
        <v>153</v>
      </c>
      <c r="C407" s="167" t="s">
        <v>2599</v>
      </c>
      <c r="D407" s="11">
        <v>15979967100</v>
      </c>
      <c r="E407" s="167" t="s">
        <v>156</v>
      </c>
      <c r="F407" s="167" t="s">
        <v>9</v>
      </c>
      <c r="G407" s="11">
        <v>202102011</v>
      </c>
      <c r="H407" s="167" t="s">
        <v>157</v>
      </c>
      <c r="I407" s="167" t="s">
        <v>2601</v>
      </c>
      <c r="J407" s="167" t="s">
        <v>463</v>
      </c>
      <c r="K407" s="167" t="s">
        <v>160</v>
      </c>
      <c r="L407" s="167" t="s">
        <v>368</v>
      </c>
      <c r="M407" s="167" t="s">
        <v>1406</v>
      </c>
      <c r="N407" s="167" t="s">
        <v>2602</v>
      </c>
      <c r="O407" s="12" t="str">
        <f>_xlfn.DISPIMG("ID_6E5E26FD0608404987009AB35A215594",1)</f>
        <v>=DISPIMG("ID_6E5E26FD0608404987009AB35A215594",1)</v>
      </c>
      <c r="P407" s="11" t="s">
        <v>2603</v>
      </c>
      <c r="Q407" s="11">
        <v>312</v>
      </c>
      <c r="R407" s="17" t="s">
        <v>4719</v>
      </c>
      <c r="S407" s="18" t="s">
        <v>66</v>
      </c>
      <c r="T407" s="25">
        <v>10</v>
      </c>
    </row>
    <row r="408" s="3" customFormat="1" customHeight="1" spans="1:20">
      <c r="A408" s="167" t="s">
        <v>3538</v>
      </c>
      <c r="B408" s="167" t="s">
        <v>153</v>
      </c>
      <c r="C408" s="167" t="s">
        <v>3539</v>
      </c>
      <c r="D408" s="11">
        <v>15770899535</v>
      </c>
      <c r="E408" s="167" t="s">
        <v>156</v>
      </c>
      <c r="F408" s="167" t="s">
        <v>9</v>
      </c>
      <c r="G408" s="11">
        <v>202102011</v>
      </c>
      <c r="H408" s="167" t="s">
        <v>157</v>
      </c>
      <c r="I408" s="167" t="s">
        <v>3518</v>
      </c>
      <c r="J408" s="167" t="s">
        <v>472</v>
      </c>
      <c r="K408" s="167" t="s">
        <v>160</v>
      </c>
      <c r="L408" s="167" t="s">
        <v>455</v>
      </c>
      <c r="M408" s="167" t="s">
        <v>3519</v>
      </c>
      <c r="N408" s="167" t="s">
        <v>3519</v>
      </c>
      <c r="O408" s="12" t="str">
        <f>_xlfn.DISPIMG("ID_0BCC1778ACA14DBF957E729E6605C713",1)</f>
        <v>=DISPIMG("ID_0BCC1778ACA14DBF957E729E6605C713",1)</v>
      </c>
      <c r="P408" s="11" t="s">
        <v>3541</v>
      </c>
      <c r="Q408" s="11">
        <v>449</v>
      </c>
      <c r="R408" s="17" t="s">
        <v>4720</v>
      </c>
      <c r="S408" s="18" t="s">
        <v>66</v>
      </c>
      <c r="T408" s="25">
        <v>15</v>
      </c>
    </row>
    <row r="409" s="3" customFormat="1" customHeight="1" spans="1:20">
      <c r="A409" s="167" t="s">
        <v>3543</v>
      </c>
      <c r="B409" s="167" t="s">
        <v>153</v>
      </c>
      <c r="C409" s="167" t="s">
        <v>3544</v>
      </c>
      <c r="D409" s="11">
        <v>17683950767</v>
      </c>
      <c r="E409" s="167" t="s">
        <v>156</v>
      </c>
      <c r="F409" s="167" t="s">
        <v>9</v>
      </c>
      <c r="G409" s="11">
        <v>202102011</v>
      </c>
      <c r="H409" s="167" t="s">
        <v>157</v>
      </c>
      <c r="I409" s="167" t="s">
        <v>3518</v>
      </c>
      <c r="J409" s="167" t="s">
        <v>472</v>
      </c>
      <c r="K409" s="167" t="s">
        <v>160</v>
      </c>
      <c r="L409" s="167" t="s">
        <v>455</v>
      </c>
      <c r="M409" s="167" t="s">
        <v>3519</v>
      </c>
      <c r="N409" s="11">
        <v>0</v>
      </c>
      <c r="O409" s="12" t="str">
        <f>_xlfn.DISPIMG("ID_2D99CEE979EF4ECAAD8A877BAF74FBA6",1)</f>
        <v>=DISPIMG("ID_2D99CEE979EF4ECAAD8A877BAF74FBA6",1)</v>
      </c>
      <c r="P409" s="11" t="s">
        <v>3546</v>
      </c>
      <c r="Q409" s="11">
        <v>450</v>
      </c>
      <c r="R409" s="17" t="s">
        <v>4724</v>
      </c>
      <c r="S409" s="18" t="s">
        <v>66</v>
      </c>
      <c r="T409" s="25">
        <v>11</v>
      </c>
    </row>
    <row r="410" s="3" customFormat="1" customHeight="1" spans="1:20">
      <c r="A410" s="167" t="s">
        <v>3549</v>
      </c>
      <c r="B410" s="167" t="s">
        <v>153</v>
      </c>
      <c r="C410" s="167" t="s">
        <v>3550</v>
      </c>
      <c r="D410" s="11">
        <v>15879724111</v>
      </c>
      <c r="E410" s="167" t="s">
        <v>156</v>
      </c>
      <c r="F410" s="167" t="s">
        <v>9</v>
      </c>
      <c r="G410" s="11">
        <v>202102011</v>
      </c>
      <c r="H410" s="167" t="s">
        <v>157</v>
      </c>
      <c r="I410" s="167" t="s">
        <v>1413</v>
      </c>
      <c r="J410" s="167" t="s">
        <v>682</v>
      </c>
      <c r="K410" s="167" t="s">
        <v>170</v>
      </c>
      <c r="L410" s="167" t="s">
        <v>261</v>
      </c>
      <c r="M410" s="167" t="s">
        <v>3552</v>
      </c>
      <c r="N410" s="11">
        <v>0</v>
      </c>
      <c r="O410" s="12" t="str">
        <f>_xlfn.DISPIMG("ID_DB61A8C4A58C4CD3A7E5339498EDC8D8",1)</f>
        <v>=DISPIMG("ID_DB61A8C4A58C4CD3A7E5339498EDC8D8",1)</v>
      </c>
      <c r="P410" s="11" t="s">
        <v>3553</v>
      </c>
      <c r="Q410" s="11">
        <v>451</v>
      </c>
      <c r="R410" s="17" t="s">
        <v>4725</v>
      </c>
      <c r="S410" s="18" t="s">
        <v>66</v>
      </c>
      <c r="T410" s="25">
        <v>14</v>
      </c>
    </row>
    <row r="411" s="4" customFormat="1" customHeight="1" spans="1:20">
      <c r="A411" s="167" t="s">
        <v>3556</v>
      </c>
      <c r="B411" s="167" t="s">
        <v>153</v>
      </c>
      <c r="C411" s="167" t="s">
        <v>3557</v>
      </c>
      <c r="D411" s="11">
        <v>17346719580</v>
      </c>
      <c r="E411" s="167" t="s">
        <v>156</v>
      </c>
      <c r="F411" s="167" t="s">
        <v>9</v>
      </c>
      <c r="G411" s="11">
        <v>202102011</v>
      </c>
      <c r="H411" s="167" t="s">
        <v>157</v>
      </c>
      <c r="I411" s="167" t="s">
        <v>3518</v>
      </c>
      <c r="J411" s="167" t="s">
        <v>3559</v>
      </c>
      <c r="K411" s="167" t="s">
        <v>160</v>
      </c>
      <c r="L411" s="167" t="s">
        <v>455</v>
      </c>
      <c r="M411" s="167" t="s">
        <v>3519</v>
      </c>
      <c r="N411" s="11">
        <v>0</v>
      </c>
      <c r="O411" s="12" t="str">
        <f>_xlfn.DISPIMG("ID_21EB11AFC3FB431C8DEC9B4C05162E66",1)</f>
        <v>=DISPIMG("ID_21EB11AFC3FB431C8DEC9B4C05162E66",1)</v>
      </c>
      <c r="P411" s="11" t="s">
        <v>3560</v>
      </c>
      <c r="Q411" s="11">
        <v>452</v>
      </c>
      <c r="R411" s="17" t="s">
        <v>4726</v>
      </c>
      <c r="S411" s="18" t="s">
        <v>66</v>
      </c>
      <c r="T411" s="25">
        <v>12</v>
      </c>
    </row>
    <row r="412" s="3" customFormat="1" customHeight="1" spans="1:20">
      <c r="A412" s="167" t="s">
        <v>3563</v>
      </c>
      <c r="B412" s="167" t="s">
        <v>153</v>
      </c>
      <c r="C412" s="167" t="s">
        <v>3564</v>
      </c>
      <c r="D412" s="11">
        <v>15907977787</v>
      </c>
      <c r="E412" s="167" t="s">
        <v>156</v>
      </c>
      <c r="F412" s="167" t="s">
        <v>9</v>
      </c>
      <c r="G412" s="11">
        <v>202102011</v>
      </c>
      <c r="H412" s="167" t="s">
        <v>157</v>
      </c>
      <c r="I412" s="167" t="s">
        <v>233</v>
      </c>
      <c r="J412" s="167" t="s">
        <v>3566</v>
      </c>
      <c r="K412" s="167" t="s">
        <v>170</v>
      </c>
      <c r="L412" s="167" t="s">
        <v>261</v>
      </c>
      <c r="M412" s="167" t="s">
        <v>1579</v>
      </c>
      <c r="N412" s="11">
        <v>0</v>
      </c>
      <c r="O412" s="12" t="str">
        <f>_xlfn.DISPIMG("ID_3C6447D057EF4BF7AE9ECFE35CBC5ECF",1)</f>
        <v>=DISPIMG("ID_3C6447D057EF4BF7AE9ECFE35CBC5ECF",1)</v>
      </c>
      <c r="P412" s="11" t="s">
        <v>3567</v>
      </c>
      <c r="Q412" s="11">
        <v>453</v>
      </c>
      <c r="R412" s="17" t="s">
        <v>4730</v>
      </c>
      <c r="S412" s="18" t="s">
        <v>66</v>
      </c>
      <c r="T412" s="25">
        <v>13</v>
      </c>
    </row>
    <row r="413" s="3" customFormat="1" customHeight="1" spans="1:20">
      <c r="A413" s="167" t="s">
        <v>3248</v>
      </c>
      <c r="B413" s="167" t="s">
        <v>153</v>
      </c>
      <c r="C413" s="167" t="s">
        <v>3249</v>
      </c>
      <c r="D413" s="11">
        <v>15180608216</v>
      </c>
      <c r="E413" s="167" t="s">
        <v>156</v>
      </c>
      <c r="F413" s="167" t="s">
        <v>11</v>
      </c>
      <c r="G413" s="11">
        <v>202102013</v>
      </c>
      <c r="H413" s="167" t="s">
        <v>157</v>
      </c>
      <c r="I413" s="167" t="s">
        <v>827</v>
      </c>
      <c r="J413" s="167" t="s">
        <v>3251</v>
      </c>
      <c r="K413" s="167" t="s">
        <v>160</v>
      </c>
      <c r="L413" s="167" t="s">
        <v>161</v>
      </c>
      <c r="M413" s="167" t="s">
        <v>8</v>
      </c>
      <c r="N413" s="11">
        <v>0</v>
      </c>
      <c r="O413" s="12" t="str">
        <f>_xlfn.DISPIMG("ID_80F22CEDB358451BB7235F67F99FD33D",1)</f>
        <v>=DISPIMG("ID_80F22CEDB358451BB7235F67F99FD33D",1)</v>
      </c>
      <c r="P413" s="11" t="s">
        <v>3252</v>
      </c>
      <c r="Q413" s="11">
        <v>405</v>
      </c>
      <c r="R413" s="17" t="s">
        <v>4734</v>
      </c>
      <c r="S413" s="18" t="s">
        <v>66</v>
      </c>
      <c r="T413" s="25">
        <v>18</v>
      </c>
    </row>
    <row r="414" s="3" customFormat="1" customHeight="1" spans="1:20">
      <c r="A414" s="167" t="s">
        <v>3335</v>
      </c>
      <c r="B414" s="167" t="s">
        <v>165</v>
      </c>
      <c r="C414" s="167" t="s">
        <v>3336</v>
      </c>
      <c r="D414" s="11">
        <v>15170662594</v>
      </c>
      <c r="E414" s="167" t="s">
        <v>156</v>
      </c>
      <c r="F414" s="167" t="s">
        <v>11</v>
      </c>
      <c r="G414" s="11">
        <v>202102013</v>
      </c>
      <c r="H414" s="167" t="s">
        <v>157</v>
      </c>
      <c r="I414" s="167" t="s">
        <v>3070</v>
      </c>
      <c r="J414" s="167" t="s">
        <v>1147</v>
      </c>
      <c r="K414" s="167" t="s">
        <v>170</v>
      </c>
      <c r="L414" s="167" t="s">
        <v>306</v>
      </c>
      <c r="M414" s="167" t="s">
        <v>23</v>
      </c>
      <c r="N414" s="167" t="s">
        <v>3338</v>
      </c>
      <c r="O414" s="12" t="str">
        <f>_xlfn.DISPIMG("ID_1086188647994FC4A050F44FE33ED3AF",1)</f>
        <v>=DISPIMG("ID_1086188647994FC4A050F44FE33ED3AF",1)</v>
      </c>
      <c r="P414" s="11" t="s">
        <v>3339</v>
      </c>
      <c r="Q414" s="11">
        <v>420</v>
      </c>
      <c r="R414" s="17" t="s">
        <v>4738</v>
      </c>
      <c r="S414" s="18" t="s">
        <v>66</v>
      </c>
      <c r="T414" s="25">
        <v>19</v>
      </c>
    </row>
    <row r="415" s="3" customFormat="1" customHeight="1" spans="1:20">
      <c r="A415" s="167" t="s">
        <v>294</v>
      </c>
      <c r="B415" s="167" t="s">
        <v>165</v>
      </c>
      <c r="C415" s="167" t="s">
        <v>295</v>
      </c>
      <c r="D415" s="11">
        <v>18214938323</v>
      </c>
      <c r="E415" s="167" t="s">
        <v>297</v>
      </c>
      <c r="F415" s="167" t="s">
        <v>25</v>
      </c>
      <c r="G415" s="11">
        <v>202101008</v>
      </c>
      <c r="H415" s="167" t="s">
        <v>157</v>
      </c>
      <c r="I415" s="167" t="s">
        <v>178</v>
      </c>
      <c r="J415" s="167" t="s">
        <v>298</v>
      </c>
      <c r="K415" s="167" t="s">
        <v>160</v>
      </c>
      <c r="L415" s="167" t="s">
        <v>261</v>
      </c>
      <c r="M415" s="167" t="s">
        <v>25</v>
      </c>
      <c r="N415" s="11">
        <v>0</v>
      </c>
      <c r="O415" s="12" t="str">
        <f>_xlfn.DISPIMG("ID_60CDE70AF1564D1B99D89BFC637EF6FF",1)</f>
        <v>=DISPIMG("ID_60CDE70AF1564D1B99D89BFC637EF6FF",1)</v>
      </c>
      <c r="P415" s="11" t="s">
        <v>299</v>
      </c>
      <c r="Q415" s="11">
        <v>17</v>
      </c>
      <c r="R415" s="17" t="s">
        <v>4742</v>
      </c>
      <c r="S415" s="18" t="s">
        <v>70</v>
      </c>
      <c r="T415" s="11">
        <v>6</v>
      </c>
    </row>
    <row r="416" s="3" customFormat="1" customHeight="1" spans="1:20">
      <c r="A416" s="167" t="s">
        <v>312</v>
      </c>
      <c r="B416" s="167" t="s">
        <v>165</v>
      </c>
      <c r="C416" s="167" t="s">
        <v>313</v>
      </c>
      <c r="D416" s="11">
        <v>13479263942</v>
      </c>
      <c r="E416" s="167" t="s">
        <v>297</v>
      </c>
      <c r="F416" s="167" t="s">
        <v>25</v>
      </c>
      <c r="G416" s="11">
        <v>202101008</v>
      </c>
      <c r="H416" s="167" t="s">
        <v>157</v>
      </c>
      <c r="I416" s="167" t="s">
        <v>158</v>
      </c>
      <c r="J416" s="167" t="s">
        <v>223</v>
      </c>
      <c r="K416" s="167" t="s">
        <v>170</v>
      </c>
      <c r="L416" s="167" t="s">
        <v>306</v>
      </c>
      <c r="M416" s="167" t="s">
        <v>315</v>
      </c>
      <c r="N416" s="167" t="s">
        <v>316</v>
      </c>
      <c r="O416" s="12" t="str">
        <f>_xlfn.DISPIMG("ID_70953AC2E42945A88FA3E573D09D6D1B",1)</f>
        <v>=DISPIMG("ID_70953AC2E42945A88FA3E573D09D6D1B",1)</v>
      </c>
      <c r="P416" s="11" t="s">
        <v>317</v>
      </c>
      <c r="Q416" s="11">
        <v>19</v>
      </c>
      <c r="R416" s="17" t="s">
        <v>4745</v>
      </c>
      <c r="S416" s="18" t="s">
        <v>70</v>
      </c>
      <c r="T416" s="11">
        <v>7</v>
      </c>
    </row>
    <row r="417" s="3" customFormat="1" customHeight="1" spans="1:20">
      <c r="A417" s="167" t="s">
        <v>381</v>
      </c>
      <c r="B417" s="167" t="s">
        <v>165</v>
      </c>
      <c r="C417" s="167" t="s">
        <v>382</v>
      </c>
      <c r="D417" s="11">
        <v>15180106412</v>
      </c>
      <c r="E417" s="167" t="s">
        <v>384</v>
      </c>
      <c r="F417" s="167" t="s">
        <v>25</v>
      </c>
      <c r="G417" s="11">
        <v>202101007</v>
      </c>
      <c r="H417" s="167" t="s">
        <v>157</v>
      </c>
      <c r="I417" s="167" t="s">
        <v>385</v>
      </c>
      <c r="J417" s="167" t="s">
        <v>386</v>
      </c>
      <c r="K417" s="167" t="s">
        <v>170</v>
      </c>
      <c r="L417" s="167" t="s">
        <v>216</v>
      </c>
      <c r="M417" s="167" t="s">
        <v>25</v>
      </c>
      <c r="N417" s="167" t="s">
        <v>387</v>
      </c>
      <c r="O417" s="12" t="str">
        <f>_xlfn.DISPIMG("ID_66D69597049F4F76B0A0201065CACE75",1)</f>
        <v>=DISPIMG("ID_66D69597049F4F76B0A0201065CACE75",1)</v>
      </c>
      <c r="P417" s="11" t="s">
        <v>388</v>
      </c>
      <c r="Q417" s="11">
        <v>27</v>
      </c>
      <c r="R417" s="17" t="s">
        <v>4727</v>
      </c>
      <c r="S417" s="18" t="s">
        <v>70</v>
      </c>
      <c r="T417" s="11">
        <v>18</v>
      </c>
    </row>
    <row r="418" s="3" customFormat="1" customHeight="1" spans="1:20">
      <c r="A418" s="167" t="s">
        <v>545</v>
      </c>
      <c r="B418" s="167" t="s">
        <v>165</v>
      </c>
      <c r="C418" s="167" t="s">
        <v>546</v>
      </c>
      <c r="D418" s="11">
        <v>13282964470</v>
      </c>
      <c r="E418" s="167" t="s">
        <v>384</v>
      </c>
      <c r="F418" s="167" t="s">
        <v>25</v>
      </c>
      <c r="G418" s="11">
        <v>202101007</v>
      </c>
      <c r="H418" s="167" t="s">
        <v>157</v>
      </c>
      <c r="I418" s="167" t="s">
        <v>158</v>
      </c>
      <c r="J418" s="167" t="s">
        <v>223</v>
      </c>
      <c r="K418" s="167" t="s">
        <v>170</v>
      </c>
      <c r="L418" s="167" t="s">
        <v>548</v>
      </c>
      <c r="M418" s="167" t="s">
        <v>549</v>
      </c>
      <c r="N418" s="167" t="s">
        <v>550</v>
      </c>
      <c r="O418" s="12" t="str">
        <f>_xlfn.DISPIMG("ID_815DB3FDB9924FE5A27318CA3E9A763D",1)</f>
        <v>=DISPIMG("ID_815DB3FDB9924FE5A27318CA3E9A763D",1)</v>
      </c>
      <c r="P418" s="11" t="s">
        <v>551</v>
      </c>
      <c r="Q418" s="11">
        <v>47</v>
      </c>
      <c r="R418" s="17" t="s">
        <v>4728</v>
      </c>
      <c r="S418" s="18" t="s">
        <v>70</v>
      </c>
      <c r="T418" s="11">
        <v>19</v>
      </c>
    </row>
    <row r="419" s="3" customFormat="1" customHeight="1" spans="1:20">
      <c r="A419" s="167" t="s">
        <v>554</v>
      </c>
      <c r="B419" s="167" t="s">
        <v>165</v>
      </c>
      <c r="C419" s="167" t="s">
        <v>555</v>
      </c>
      <c r="D419" s="11">
        <v>15508941977</v>
      </c>
      <c r="E419" s="167" t="s">
        <v>384</v>
      </c>
      <c r="F419" s="167" t="s">
        <v>25</v>
      </c>
      <c r="G419" s="11">
        <v>202101007</v>
      </c>
      <c r="H419" s="167" t="s">
        <v>157</v>
      </c>
      <c r="I419" s="167" t="s">
        <v>557</v>
      </c>
      <c r="J419" s="167" t="s">
        <v>558</v>
      </c>
      <c r="K419" s="167" t="s">
        <v>170</v>
      </c>
      <c r="L419" s="167" t="s">
        <v>559</v>
      </c>
      <c r="M419" s="167" t="s">
        <v>560</v>
      </c>
      <c r="N419" s="167" t="s">
        <v>561</v>
      </c>
      <c r="O419" s="12" t="str">
        <f>_xlfn.DISPIMG("ID_ED037D5B8E7D49BEA8FD0DBFF3A4827B",1)</f>
        <v>=DISPIMG("ID_ED037D5B8E7D49BEA8FD0DBFF3A4827B",1)</v>
      </c>
      <c r="P419" s="11" t="s">
        <v>562</v>
      </c>
      <c r="Q419" s="11">
        <v>48</v>
      </c>
      <c r="R419" s="17" t="s">
        <v>4729</v>
      </c>
      <c r="S419" s="18" t="s">
        <v>70</v>
      </c>
      <c r="T419" s="11">
        <v>30</v>
      </c>
    </row>
    <row r="420" s="3" customFormat="1" customHeight="1" spans="1:20">
      <c r="A420" s="167" t="s">
        <v>720</v>
      </c>
      <c r="B420" s="167" t="s">
        <v>165</v>
      </c>
      <c r="C420" s="167" t="s">
        <v>721</v>
      </c>
      <c r="D420" s="11">
        <v>18070248182</v>
      </c>
      <c r="E420" s="167" t="s">
        <v>384</v>
      </c>
      <c r="F420" s="167" t="s">
        <v>25</v>
      </c>
      <c r="G420" s="11">
        <v>202101007</v>
      </c>
      <c r="H420" s="167" t="s">
        <v>157</v>
      </c>
      <c r="I420" s="167" t="s">
        <v>723</v>
      </c>
      <c r="J420" s="167" t="s">
        <v>223</v>
      </c>
      <c r="K420" s="167" t="s">
        <v>170</v>
      </c>
      <c r="L420" s="167" t="s">
        <v>252</v>
      </c>
      <c r="M420" s="167" t="s">
        <v>724</v>
      </c>
      <c r="N420" s="167" t="s">
        <v>725</v>
      </c>
      <c r="O420" s="12" t="str">
        <f>_xlfn.DISPIMG("ID_18752421A8044E9999D06F0B98A5B3A9",1)</f>
        <v>=DISPIMG("ID_18752421A8044E9999D06F0B98A5B3A9",1)</v>
      </c>
      <c r="P420" s="11" t="s">
        <v>726</v>
      </c>
      <c r="Q420" s="11">
        <v>68</v>
      </c>
      <c r="R420" s="17" t="s">
        <v>4731</v>
      </c>
      <c r="S420" s="18" t="s">
        <v>70</v>
      </c>
      <c r="T420" s="11">
        <v>5</v>
      </c>
    </row>
    <row r="421" s="3" customFormat="1" customHeight="1" spans="1:20">
      <c r="A421" s="167" t="s">
        <v>786</v>
      </c>
      <c r="B421" s="167" t="s">
        <v>165</v>
      </c>
      <c r="C421" s="167" t="s">
        <v>787</v>
      </c>
      <c r="D421" s="11">
        <v>15870883510</v>
      </c>
      <c r="E421" s="167" t="s">
        <v>384</v>
      </c>
      <c r="F421" s="167" t="s">
        <v>25</v>
      </c>
      <c r="G421" s="11">
        <v>202101007</v>
      </c>
      <c r="H421" s="167" t="s">
        <v>705</v>
      </c>
      <c r="I421" s="167" t="s">
        <v>789</v>
      </c>
      <c r="J421" s="167" t="s">
        <v>790</v>
      </c>
      <c r="K421" s="167" t="s">
        <v>160</v>
      </c>
      <c r="L421" s="167" t="s">
        <v>455</v>
      </c>
      <c r="M421" s="167" t="s">
        <v>307</v>
      </c>
      <c r="N421" s="167" t="s">
        <v>791</v>
      </c>
      <c r="O421" s="12" t="str">
        <f>_xlfn.DISPIMG("ID_81CFC0148DBF4084ADB804B82E5E7200",1)</f>
        <v>=DISPIMG("ID_81CFC0148DBF4084ADB804B82E5E7200",1)</v>
      </c>
      <c r="P421" s="11" t="s">
        <v>792</v>
      </c>
      <c r="Q421" s="11">
        <v>76</v>
      </c>
      <c r="R421" s="17" t="s">
        <v>4732</v>
      </c>
      <c r="S421" s="18" t="s">
        <v>70</v>
      </c>
      <c r="T421" s="11">
        <v>8</v>
      </c>
    </row>
    <row r="422" s="3" customFormat="1" customHeight="1" spans="1:20">
      <c r="A422" s="167" t="s">
        <v>824</v>
      </c>
      <c r="B422" s="167" t="s">
        <v>165</v>
      </c>
      <c r="C422" s="167" t="s">
        <v>825</v>
      </c>
      <c r="D422" s="11">
        <v>18870036528</v>
      </c>
      <c r="E422" s="167" t="s">
        <v>297</v>
      </c>
      <c r="F422" s="167" t="s">
        <v>25</v>
      </c>
      <c r="G422" s="11">
        <v>202101008</v>
      </c>
      <c r="H422" s="167" t="s">
        <v>157</v>
      </c>
      <c r="I422" s="167" t="s">
        <v>827</v>
      </c>
      <c r="J422" s="167" t="s">
        <v>828</v>
      </c>
      <c r="K422" s="167" t="s">
        <v>170</v>
      </c>
      <c r="L422" s="167" t="s">
        <v>396</v>
      </c>
      <c r="M422" s="167" t="s">
        <v>25</v>
      </c>
      <c r="N422" s="167" t="s">
        <v>829</v>
      </c>
      <c r="O422" s="12" t="str">
        <f>_xlfn.DISPIMG("ID_8A1A22938F334E1D900FC8311DB2BE9A",1)</f>
        <v>=DISPIMG("ID_8A1A22938F334E1D900FC8311DB2BE9A",1)</v>
      </c>
      <c r="P422" s="11" t="s">
        <v>830</v>
      </c>
      <c r="Q422" s="11">
        <v>81</v>
      </c>
      <c r="R422" s="17" t="s">
        <v>4733</v>
      </c>
      <c r="S422" s="18" t="s">
        <v>70</v>
      </c>
      <c r="T422" s="11">
        <v>17</v>
      </c>
    </row>
    <row r="423" s="3" customFormat="1" customHeight="1" spans="1:20">
      <c r="A423" s="167" t="s">
        <v>949</v>
      </c>
      <c r="B423" s="167" t="s">
        <v>165</v>
      </c>
      <c r="C423" s="167" t="s">
        <v>950</v>
      </c>
      <c r="D423" s="11">
        <v>15720934889</v>
      </c>
      <c r="E423" s="167" t="s">
        <v>384</v>
      </c>
      <c r="F423" s="167" t="s">
        <v>25</v>
      </c>
      <c r="G423" s="11">
        <v>202101007</v>
      </c>
      <c r="H423" s="167" t="s">
        <v>157</v>
      </c>
      <c r="I423" s="167" t="s">
        <v>269</v>
      </c>
      <c r="J423" s="167" t="s">
        <v>179</v>
      </c>
      <c r="K423" s="167" t="s">
        <v>170</v>
      </c>
      <c r="L423" s="167" t="s">
        <v>171</v>
      </c>
      <c r="M423" s="167" t="s">
        <v>952</v>
      </c>
      <c r="N423" s="167" t="s">
        <v>953</v>
      </c>
      <c r="O423" s="12" t="str">
        <f>_xlfn.DISPIMG("ID_7778BC47A591458DA9EA33FB1000B681",1)</f>
        <v>=DISPIMG("ID_7778BC47A591458DA9EA33FB1000B681",1)</v>
      </c>
      <c r="P423" s="11" t="s">
        <v>954</v>
      </c>
      <c r="Q423" s="11">
        <v>96</v>
      </c>
      <c r="R423" s="17" t="s">
        <v>4735</v>
      </c>
      <c r="S423" s="18" t="s">
        <v>70</v>
      </c>
      <c r="T423" s="11">
        <v>20</v>
      </c>
    </row>
    <row r="424" s="3" customFormat="1" customHeight="1" spans="1:20">
      <c r="A424" s="167" t="s">
        <v>1373</v>
      </c>
      <c r="B424" s="167" t="s">
        <v>165</v>
      </c>
      <c r="C424" s="167" t="s">
        <v>1374</v>
      </c>
      <c r="D424" s="11">
        <v>15070130599</v>
      </c>
      <c r="E424" s="167" t="s">
        <v>384</v>
      </c>
      <c r="F424" s="167" t="s">
        <v>25</v>
      </c>
      <c r="G424" s="11">
        <v>202101007</v>
      </c>
      <c r="H424" s="167" t="s">
        <v>705</v>
      </c>
      <c r="I424" s="167" t="s">
        <v>1376</v>
      </c>
      <c r="J424" s="167" t="s">
        <v>790</v>
      </c>
      <c r="K424" s="167" t="s">
        <v>160</v>
      </c>
      <c r="L424" s="167" t="s">
        <v>455</v>
      </c>
      <c r="M424" s="167" t="s">
        <v>1156</v>
      </c>
      <c r="N424" s="11">
        <v>0</v>
      </c>
      <c r="O424" s="12" t="str">
        <f>_xlfn.DISPIMG("ID_ECF84772EBB248C2BC2BD56C2C168331",1)</f>
        <v>=DISPIMG("ID_ECF84772EBB248C2BC2BD56C2C168331",1)</v>
      </c>
      <c r="P424" s="11" t="s">
        <v>1377</v>
      </c>
      <c r="Q424" s="11">
        <v>150</v>
      </c>
      <c r="R424" s="17" t="s">
        <v>4736</v>
      </c>
      <c r="S424" s="18" t="s">
        <v>70</v>
      </c>
      <c r="T424" s="11">
        <v>29</v>
      </c>
    </row>
    <row r="425" s="3" customFormat="1" customHeight="1" spans="1:20">
      <c r="A425" s="167" t="s">
        <v>1552</v>
      </c>
      <c r="B425" s="167" t="s">
        <v>165</v>
      </c>
      <c r="C425" s="167" t="s">
        <v>1553</v>
      </c>
      <c r="D425" s="11">
        <v>18795899857</v>
      </c>
      <c r="E425" s="167" t="s">
        <v>384</v>
      </c>
      <c r="F425" s="167" t="s">
        <v>25</v>
      </c>
      <c r="G425" s="11">
        <v>202101007</v>
      </c>
      <c r="H425" s="167" t="s">
        <v>157</v>
      </c>
      <c r="I425" s="167" t="s">
        <v>385</v>
      </c>
      <c r="J425" s="167" t="s">
        <v>828</v>
      </c>
      <c r="K425" s="167" t="s">
        <v>170</v>
      </c>
      <c r="L425" s="167" t="s">
        <v>548</v>
      </c>
      <c r="M425" s="167" t="s">
        <v>25</v>
      </c>
      <c r="N425" s="167" t="s">
        <v>1555</v>
      </c>
      <c r="O425" s="12" t="str">
        <f>_xlfn.DISPIMG("ID_3244697DE8F74EF1A671D4FB148CF806",1)</f>
        <v>=DISPIMG("ID_3244697DE8F74EF1A671D4FB148CF806",1)</v>
      </c>
      <c r="P425" s="11" t="s">
        <v>1556</v>
      </c>
      <c r="Q425" s="11">
        <v>173</v>
      </c>
      <c r="R425" s="17" t="s">
        <v>4737</v>
      </c>
      <c r="S425" s="18" t="s">
        <v>70</v>
      </c>
      <c r="T425" s="11">
        <v>4</v>
      </c>
    </row>
    <row r="426" s="5" customFormat="1" customHeight="1" spans="1:20">
      <c r="A426" s="167" t="s">
        <v>1597</v>
      </c>
      <c r="B426" s="167" t="s">
        <v>153</v>
      </c>
      <c r="C426" s="167" t="s">
        <v>1598</v>
      </c>
      <c r="D426" s="11">
        <v>13979287846</v>
      </c>
      <c r="E426" s="167" t="s">
        <v>384</v>
      </c>
      <c r="F426" s="167" t="s">
        <v>25</v>
      </c>
      <c r="G426" s="11">
        <v>202101007</v>
      </c>
      <c r="H426" s="167" t="s">
        <v>157</v>
      </c>
      <c r="I426" s="167" t="s">
        <v>1600</v>
      </c>
      <c r="J426" s="167" t="s">
        <v>1601</v>
      </c>
      <c r="K426" s="167" t="s">
        <v>170</v>
      </c>
      <c r="L426" s="167" t="s">
        <v>252</v>
      </c>
      <c r="M426" s="167" t="s">
        <v>25</v>
      </c>
      <c r="N426" s="167" t="s">
        <v>1602</v>
      </c>
      <c r="O426" s="12" t="str">
        <f>_xlfn.DISPIMG("ID_E78F3BF41C5D43B8884910B23D8EE46A",1)</f>
        <v>=DISPIMG("ID_E78F3BF41C5D43B8884910B23D8EE46A",1)</v>
      </c>
      <c r="P426" s="11" t="s">
        <v>1603</v>
      </c>
      <c r="Q426" s="11">
        <v>179</v>
      </c>
      <c r="R426" s="17" t="s">
        <v>4739</v>
      </c>
      <c r="S426" s="18" t="s">
        <v>70</v>
      </c>
      <c r="T426" s="11">
        <v>9</v>
      </c>
    </row>
    <row r="427" s="3" customFormat="1" customHeight="1" spans="1:20">
      <c r="A427" s="167" t="s">
        <v>1689</v>
      </c>
      <c r="B427" s="167" t="s">
        <v>165</v>
      </c>
      <c r="C427" s="167" t="s">
        <v>1690</v>
      </c>
      <c r="D427" s="11">
        <v>13677055035</v>
      </c>
      <c r="E427" s="167" t="s">
        <v>384</v>
      </c>
      <c r="F427" s="167" t="s">
        <v>25</v>
      </c>
      <c r="G427" s="11">
        <v>202101007</v>
      </c>
      <c r="H427" s="167" t="s">
        <v>157</v>
      </c>
      <c r="I427" s="167" t="s">
        <v>1258</v>
      </c>
      <c r="J427" s="167" t="s">
        <v>179</v>
      </c>
      <c r="K427" s="167" t="s">
        <v>170</v>
      </c>
      <c r="L427" s="167" t="s">
        <v>180</v>
      </c>
      <c r="M427" s="167" t="s">
        <v>1692</v>
      </c>
      <c r="N427" s="167" t="s">
        <v>1693</v>
      </c>
      <c r="O427" s="12" t="str">
        <f>_xlfn.DISPIMG("ID_43885BD9A06C404291EA89276C573B8A",1)</f>
        <v>=DISPIMG("ID_43885BD9A06C404291EA89276C573B8A",1)</v>
      </c>
      <c r="P427" s="11" t="s">
        <v>1694</v>
      </c>
      <c r="Q427" s="11">
        <v>191</v>
      </c>
      <c r="R427" s="17" t="s">
        <v>4740</v>
      </c>
      <c r="S427" s="18" t="s">
        <v>70</v>
      </c>
      <c r="T427" s="11">
        <v>16</v>
      </c>
    </row>
    <row r="428" s="3" customFormat="1" customHeight="1" spans="1:20">
      <c r="A428" s="167" t="s">
        <v>1807</v>
      </c>
      <c r="B428" s="167" t="s">
        <v>165</v>
      </c>
      <c r="C428" s="167" t="s">
        <v>1808</v>
      </c>
      <c r="D428" s="11">
        <v>18279208598</v>
      </c>
      <c r="E428" s="167" t="s">
        <v>384</v>
      </c>
      <c r="F428" s="167" t="s">
        <v>25</v>
      </c>
      <c r="G428" s="11">
        <v>202101007</v>
      </c>
      <c r="H428" s="167" t="s">
        <v>157</v>
      </c>
      <c r="I428" s="167" t="s">
        <v>1413</v>
      </c>
      <c r="J428" s="167" t="s">
        <v>179</v>
      </c>
      <c r="K428" s="167" t="s">
        <v>170</v>
      </c>
      <c r="L428" s="167" t="s">
        <v>235</v>
      </c>
      <c r="M428" s="167" t="s">
        <v>1692</v>
      </c>
      <c r="N428" s="167" t="s">
        <v>1810</v>
      </c>
      <c r="O428" s="12" t="str">
        <f>_xlfn.DISPIMG("ID_CF289AF208E247F38051A435A278D00A",1)</f>
        <v>=DISPIMG("ID_CF289AF208E247F38051A435A278D00A",1)</v>
      </c>
      <c r="P428" s="11" t="s">
        <v>1811</v>
      </c>
      <c r="Q428" s="11">
        <v>206</v>
      </c>
      <c r="R428" s="17" t="s">
        <v>4741</v>
      </c>
      <c r="S428" s="18" t="s">
        <v>70</v>
      </c>
      <c r="T428" s="11">
        <v>21</v>
      </c>
    </row>
    <row r="429" s="3" customFormat="1" customHeight="1" spans="1:20">
      <c r="A429" s="167" t="s">
        <v>1912</v>
      </c>
      <c r="B429" s="167" t="s">
        <v>165</v>
      </c>
      <c r="C429" s="167" t="s">
        <v>1913</v>
      </c>
      <c r="D429" s="11">
        <v>15079288765</v>
      </c>
      <c r="E429" s="167" t="s">
        <v>297</v>
      </c>
      <c r="F429" s="167" t="s">
        <v>25</v>
      </c>
      <c r="G429" s="11">
        <v>202101008</v>
      </c>
      <c r="H429" s="167" t="s">
        <v>157</v>
      </c>
      <c r="I429" s="167" t="s">
        <v>233</v>
      </c>
      <c r="J429" s="167" t="s">
        <v>298</v>
      </c>
      <c r="K429" s="167" t="s">
        <v>160</v>
      </c>
      <c r="L429" s="167" t="s">
        <v>587</v>
      </c>
      <c r="M429" s="167" t="s">
        <v>25</v>
      </c>
      <c r="N429" s="167" t="s">
        <v>1915</v>
      </c>
      <c r="O429" s="12" t="str">
        <f>_xlfn.DISPIMG("ID_845D85CFFC3A4B2FB996A756749DD1B9",1)</f>
        <v>=DISPIMG("ID_845D85CFFC3A4B2FB996A756749DD1B9",1)</v>
      </c>
      <c r="P429" s="11" t="s">
        <v>1916</v>
      </c>
      <c r="Q429" s="11">
        <v>220</v>
      </c>
      <c r="R429" s="17" t="s">
        <v>4743</v>
      </c>
      <c r="S429" s="18" t="s">
        <v>70</v>
      </c>
      <c r="T429" s="11">
        <v>28</v>
      </c>
    </row>
    <row r="430" s="4" customFormat="1" customHeight="1" spans="1:20">
      <c r="A430" s="167" t="s">
        <v>2069</v>
      </c>
      <c r="B430" s="167" t="s">
        <v>165</v>
      </c>
      <c r="C430" s="167" t="s">
        <v>2070</v>
      </c>
      <c r="D430" s="11">
        <v>18970492528</v>
      </c>
      <c r="E430" s="167" t="s">
        <v>384</v>
      </c>
      <c r="F430" s="167" t="s">
        <v>25</v>
      </c>
      <c r="G430" s="11">
        <v>202101007</v>
      </c>
      <c r="H430" s="167" t="s">
        <v>157</v>
      </c>
      <c r="I430" s="167" t="s">
        <v>233</v>
      </c>
      <c r="J430" s="167" t="s">
        <v>179</v>
      </c>
      <c r="K430" s="167" t="s">
        <v>170</v>
      </c>
      <c r="L430" s="167" t="s">
        <v>1346</v>
      </c>
      <c r="M430" s="167" t="s">
        <v>25</v>
      </c>
      <c r="N430" s="167" t="s">
        <v>2072</v>
      </c>
      <c r="O430" s="12" t="str">
        <f>_xlfn.DISPIMG("ID_AE7BFEF114344F24954EA3AA4FC71BD8",1)</f>
        <v>=DISPIMG("ID_AE7BFEF114344F24954EA3AA4FC71BD8",1)</v>
      </c>
      <c r="P430" s="11" t="s">
        <v>2073</v>
      </c>
      <c r="Q430" s="11">
        <v>241</v>
      </c>
      <c r="R430" s="17" t="s">
        <v>4744</v>
      </c>
      <c r="S430" s="18" t="s">
        <v>70</v>
      </c>
      <c r="T430" s="11">
        <v>3</v>
      </c>
    </row>
    <row r="431" s="4" customFormat="1" customHeight="1" spans="1:20">
      <c r="A431" s="167" t="s">
        <v>2360</v>
      </c>
      <c r="B431" s="167" t="s">
        <v>165</v>
      </c>
      <c r="C431" s="167" t="s">
        <v>2361</v>
      </c>
      <c r="D431" s="11">
        <v>18070140896</v>
      </c>
      <c r="E431" s="167" t="s">
        <v>384</v>
      </c>
      <c r="F431" s="167" t="s">
        <v>25</v>
      </c>
      <c r="G431" s="11">
        <v>202101007</v>
      </c>
      <c r="H431" s="167" t="s">
        <v>157</v>
      </c>
      <c r="I431" s="167" t="s">
        <v>2363</v>
      </c>
      <c r="J431" s="167" t="s">
        <v>179</v>
      </c>
      <c r="K431" s="167" t="s">
        <v>170</v>
      </c>
      <c r="L431" s="167" t="s">
        <v>577</v>
      </c>
      <c r="M431" s="167" t="s">
        <v>25</v>
      </c>
      <c r="N431" s="167" t="s">
        <v>2364</v>
      </c>
      <c r="O431" s="12" t="str">
        <f>_xlfn.DISPIMG("ID_9FF2F7CED6DC40CB89E306847985BA44",1)</f>
        <v>=DISPIMG("ID_9FF2F7CED6DC40CB89E306847985BA44",1)</v>
      </c>
      <c r="P431" s="11" t="s">
        <v>2365</v>
      </c>
      <c r="Q431" s="11">
        <v>280</v>
      </c>
      <c r="R431" s="17" t="s">
        <v>4746</v>
      </c>
      <c r="S431" s="18" t="s">
        <v>70</v>
      </c>
      <c r="T431" s="11">
        <v>10</v>
      </c>
    </row>
    <row r="432" s="3" customFormat="1" customHeight="1" spans="1:20">
      <c r="A432" s="167" t="s">
        <v>2415</v>
      </c>
      <c r="B432" s="167" t="s">
        <v>165</v>
      </c>
      <c r="C432" s="167" t="s">
        <v>2416</v>
      </c>
      <c r="D432" s="11">
        <v>18179591146</v>
      </c>
      <c r="E432" s="167" t="s">
        <v>384</v>
      </c>
      <c r="F432" s="167" t="s">
        <v>25</v>
      </c>
      <c r="G432" s="11">
        <v>202101007</v>
      </c>
      <c r="H432" s="167" t="s">
        <v>157</v>
      </c>
      <c r="I432" s="167" t="s">
        <v>1258</v>
      </c>
      <c r="J432" s="167" t="s">
        <v>828</v>
      </c>
      <c r="K432" s="167" t="s">
        <v>170</v>
      </c>
      <c r="L432" s="167" t="s">
        <v>171</v>
      </c>
      <c r="M432" s="167" t="s">
        <v>25</v>
      </c>
      <c r="N432" s="167" t="s">
        <v>2418</v>
      </c>
      <c r="O432" s="12" t="str">
        <f>_xlfn.DISPIMG("ID_CD5C977DBB8D404E885C56F791C17D27",1)</f>
        <v>=DISPIMG("ID_CD5C977DBB8D404E885C56F791C17D27",1)</v>
      </c>
      <c r="P432" s="11" t="s">
        <v>2419</v>
      </c>
      <c r="Q432" s="11">
        <v>287</v>
      </c>
      <c r="R432" s="17" t="s">
        <v>4747</v>
      </c>
      <c r="S432" s="18" t="s">
        <v>70</v>
      </c>
      <c r="T432" s="11">
        <v>15</v>
      </c>
    </row>
    <row r="433" s="3" customFormat="1" customHeight="1" spans="1:20">
      <c r="A433" s="167" t="s">
        <v>2495</v>
      </c>
      <c r="B433" s="167" t="s">
        <v>165</v>
      </c>
      <c r="C433" s="167" t="s">
        <v>2496</v>
      </c>
      <c r="D433" s="11">
        <v>15170284980</v>
      </c>
      <c r="E433" s="167" t="s">
        <v>384</v>
      </c>
      <c r="F433" s="167" t="s">
        <v>25</v>
      </c>
      <c r="G433" s="11">
        <v>202101007</v>
      </c>
      <c r="H433" s="167" t="s">
        <v>157</v>
      </c>
      <c r="I433" s="167" t="s">
        <v>662</v>
      </c>
      <c r="J433" s="167" t="s">
        <v>179</v>
      </c>
      <c r="K433" s="167" t="s">
        <v>170</v>
      </c>
      <c r="L433" s="167" t="s">
        <v>261</v>
      </c>
      <c r="M433" s="167" t="s">
        <v>25</v>
      </c>
      <c r="N433" s="11">
        <v>0</v>
      </c>
      <c r="O433" s="12" t="str">
        <f>_xlfn.DISPIMG("ID_9517FA682BDD4A72AC67B046C0A956F9",1)</f>
        <v>=DISPIMG("ID_9517FA682BDD4A72AC67B046C0A956F9",1)</v>
      </c>
      <c r="P433" s="11" t="s">
        <v>2498</v>
      </c>
      <c r="Q433" s="11">
        <v>298</v>
      </c>
      <c r="R433" s="17" t="s">
        <v>4748</v>
      </c>
      <c r="S433" s="18" t="s">
        <v>70</v>
      </c>
      <c r="T433" s="11">
        <v>22</v>
      </c>
    </row>
    <row r="434" s="3" customFormat="1" customHeight="1" spans="1:20">
      <c r="A434" s="167" t="s">
        <v>2606</v>
      </c>
      <c r="B434" s="167" t="s">
        <v>165</v>
      </c>
      <c r="C434" s="167" t="s">
        <v>2607</v>
      </c>
      <c r="D434" s="11">
        <v>18720995920</v>
      </c>
      <c r="E434" s="167" t="s">
        <v>297</v>
      </c>
      <c r="F434" s="167" t="s">
        <v>25</v>
      </c>
      <c r="G434" s="11">
        <v>202101008</v>
      </c>
      <c r="H434" s="167" t="s">
        <v>157</v>
      </c>
      <c r="I434" s="167" t="s">
        <v>1654</v>
      </c>
      <c r="J434" s="167" t="s">
        <v>2609</v>
      </c>
      <c r="K434" s="167" t="s">
        <v>160</v>
      </c>
      <c r="L434" s="167" t="s">
        <v>281</v>
      </c>
      <c r="M434" s="167" t="s">
        <v>2610</v>
      </c>
      <c r="N434" s="167" t="s">
        <v>2611</v>
      </c>
      <c r="O434" s="12" t="str">
        <f>_xlfn.DISPIMG("ID_1DA33C1DACDA463582C160858194DE2A",1)</f>
        <v>=DISPIMG("ID_1DA33C1DACDA463582C160858194DE2A",1)</v>
      </c>
      <c r="P434" s="11" t="s">
        <v>2612</v>
      </c>
      <c r="Q434" s="11">
        <v>313</v>
      </c>
      <c r="R434" s="17" t="s">
        <v>4749</v>
      </c>
      <c r="S434" s="18" t="s">
        <v>70</v>
      </c>
      <c r="T434" s="11">
        <v>27</v>
      </c>
    </row>
    <row r="435" s="6" customFormat="1" customHeight="1" spans="1:20">
      <c r="A435" s="167" t="s">
        <v>2674</v>
      </c>
      <c r="B435" s="167" t="s">
        <v>165</v>
      </c>
      <c r="C435" s="167" t="s">
        <v>2675</v>
      </c>
      <c r="D435" s="11">
        <v>18000227120</v>
      </c>
      <c r="E435" s="167" t="s">
        <v>297</v>
      </c>
      <c r="F435" s="167" t="s">
        <v>25</v>
      </c>
      <c r="G435" s="11">
        <v>202101008</v>
      </c>
      <c r="H435" s="167" t="s">
        <v>157</v>
      </c>
      <c r="I435" s="167" t="s">
        <v>269</v>
      </c>
      <c r="J435" s="167" t="s">
        <v>2677</v>
      </c>
      <c r="K435" s="167" t="s">
        <v>160</v>
      </c>
      <c r="L435" s="167" t="s">
        <v>224</v>
      </c>
      <c r="M435" s="167" t="s">
        <v>25</v>
      </c>
      <c r="N435" s="167" t="s">
        <v>2678</v>
      </c>
      <c r="O435" s="12" t="str">
        <f>_xlfn.DISPIMG("ID_03E1DAA8D63B4AFF99883CCD0E6E65E6",1)</f>
        <v>=DISPIMG("ID_03E1DAA8D63B4AFF99883CCD0E6E65E6",1)</v>
      </c>
      <c r="P435" s="11" t="s">
        <v>2679</v>
      </c>
      <c r="Q435" s="11">
        <v>359</v>
      </c>
      <c r="R435" s="17" t="s">
        <v>4750</v>
      </c>
      <c r="S435" s="18" t="s">
        <v>70</v>
      </c>
      <c r="T435" s="11">
        <v>2</v>
      </c>
    </row>
    <row r="436" s="3" customFormat="1" customHeight="1" spans="1:20">
      <c r="A436" s="167" t="s">
        <v>3002</v>
      </c>
      <c r="B436" s="167" t="s">
        <v>165</v>
      </c>
      <c r="C436" s="167" t="s">
        <v>3003</v>
      </c>
      <c r="D436" s="11">
        <v>15798074733</v>
      </c>
      <c r="E436" s="167" t="s">
        <v>297</v>
      </c>
      <c r="F436" s="167" t="s">
        <v>25</v>
      </c>
      <c r="G436" s="11">
        <v>202101008</v>
      </c>
      <c r="H436" s="167" t="s">
        <v>157</v>
      </c>
      <c r="I436" s="167" t="s">
        <v>540</v>
      </c>
      <c r="J436" s="167" t="s">
        <v>179</v>
      </c>
      <c r="K436" s="167" t="s">
        <v>160</v>
      </c>
      <c r="L436" s="167" t="s">
        <v>2047</v>
      </c>
      <c r="M436" s="167" t="s">
        <v>3005</v>
      </c>
      <c r="N436" s="11">
        <v>0</v>
      </c>
      <c r="O436" s="12" t="str">
        <f>_xlfn.DISPIMG("ID_4E0EBDB804BA45EB8B4195F5A93DFBBD",1)</f>
        <v>=DISPIMG("ID_4E0EBDB804BA45EB8B4195F5A93DFBBD",1)</v>
      </c>
      <c r="P436" s="11" t="s">
        <v>3006</v>
      </c>
      <c r="Q436" s="11">
        <v>370</v>
      </c>
      <c r="R436" s="17" t="s">
        <v>4751</v>
      </c>
      <c r="S436" s="18" t="s">
        <v>70</v>
      </c>
      <c r="T436" s="11">
        <v>11</v>
      </c>
    </row>
    <row r="437" s="3" customFormat="1" customHeight="1" spans="1:20">
      <c r="A437" s="167" t="s">
        <v>3130</v>
      </c>
      <c r="B437" s="167" t="s">
        <v>165</v>
      </c>
      <c r="C437" s="167" t="s">
        <v>3131</v>
      </c>
      <c r="D437" s="11">
        <v>13510703252</v>
      </c>
      <c r="E437" s="167" t="s">
        <v>384</v>
      </c>
      <c r="F437" s="167" t="s">
        <v>25</v>
      </c>
      <c r="G437" s="11">
        <v>202101007</v>
      </c>
      <c r="H437" s="167" t="s">
        <v>157</v>
      </c>
      <c r="I437" s="167" t="s">
        <v>1203</v>
      </c>
      <c r="J437" s="167" t="s">
        <v>223</v>
      </c>
      <c r="K437" s="167" t="s">
        <v>170</v>
      </c>
      <c r="L437" s="167" t="s">
        <v>224</v>
      </c>
      <c r="M437" s="167" t="s">
        <v>25</v>
      </c>
      <c r="N437" s="167" t="s">
        <v>3132</v>
      </c>
      <c r="O437" s="12" t="str">
        <f>_xlfn.DISPIMG("ID_DD2B22793A5D42C5A4C202130135D188",1)</f>
        <v>=DISPIMG("ID_DD2B22793A5D42C5A4C202130135D188",1)</v>
      </c>
      <c r="P437" s="11" t="s">
        <v>3133</v>
      </c>
      <c r="Q437" s="11">
        <v>387</v>
      </c>
      <c r="R437" s="17" t="s">
        <v>4752</v>
      </c>
      <c r="S437" s="18" t="s">
        <v>70</v>
      </c>
      <c r="T437" s="11">
        <v>14</v>
      </c>
    </row>
    <row r="438" s="3" customFormat="1" customHeight="1" spans="1:20">
      <c r="A438" s="167" t="s">
        <v>3185</v>
      </c>
      <c r="B438" s="167" t="s">
        <v>165</v>
      </c>
      <c r="C438" s="167" t="s">
        <v>3186</v>
      </c>
      <c r="D438" s="11">
        <v>15070259733</v>
      </c>
      <c r="E438" s="167" t="s">
        <v>297</v>
      </c>
      <c r="F438" s="167" t="s">
        <v>25</v>
      </c>
      <c r="G438" s="11">
        <v>202101008</v>
      </c>
      <c r="H438" s="167" t="s">
        <v>157</v>
      </c>
      <c r="I438" s="167" t="s">
        <v>646</v>
      </c>
      <c r="J438" s="167" t="s">
        <v>179</v>
      </c>
      <c r="K438" s="167" t="s">
        <v>170</v>
      </c>
      <c r="L438" s="167" t="s">
        <v>161</v>
      </c>
      <c r="M438" s="167" t="s">
        <v>3188</v>
      </c>
      <c r="N438" s="11">
        <v>0</v>
      </c>
      <c r="O438" s="12" t="str">
        <f>_xlfn.DISPIMG("ID_76C776A08E8241118AA436F440F434C8",1)</f>
        <v>=DISPIMG("ID_76C776A08E8241118AA436F440F434C8",1)</v>
      </c>
      <c r="P438" s="11" t="s">
        <v>3189</v>
      </c>
      <c r="Q438" s="11">
        <v>396</v>
      </c>
      <c r="R438" s="17" t="s">
        <v>4753</v>
      </c>
      <c r="S438" s="18" t="s">
        <v>70</v>
      </c>
      <c r="T438" s="11">
        <v>23</v>
      </c>
    </row>
    <row r="439" s="4" customFormat="1" customHeight="1" spans="1:20">
      <c r="A439" s="167" t="s">
        <v>3219</v>
      </c>
      <c r="B439" s="167" t="s">
        <v>165</v>
      </c>
      <c r="C439" s="167" t="s">
        <v>3220</v>
      </c>
      <c r="D439" s="11">
        <v>18279832090</v>
      </c>
      <c r="E439" s="167" t="s">
        <v>384</v>
      </c>
      <c r="F439" s="167" t="s">
        <v>25</v>
      </c>
      <c r="G439" s="11">
        <v>202101007</v>
      </c>
      <c r="H439" s="167" t="s">
        <v>157</v>
      </c>
      <c r="I439" s="167" t="s">
        <v>507</v>
      </c>
      <c r="J439" s="167" t="s">
        <v>828</v>
      </c>
      <c r="K439" s="167" t="s">
        <v>170</v>
      </c>
      <c r="L439" s="167" t="s">
        <v>161</v>
      </c>
      <c r="M439" s="167" t="s">
        <v>25</v>
      </c>
      <c r="N439" s="167" t="s">
        <v>3222</v>
      </c>
      <c r="O439" s="12" t="str">
        <f>_xlfn.DISPIMG("ID_31DA0D5E67EC49E4A7DA2145DC608874",1)</f>
        <v>=DISPIMG("ID_31DA0D5E67EC49E4A7DA2145DC608874",1)</v>
      </c>
      <c r="P439" s="11" t="s">
        <v>3223</v>
      </c>
      <c r="Q439" s="11">
        <v>401</v>
      </c>
      <c r="R439" s="17" t="s">
        <v>4754</v>
      </c>
      <c r="S439" s="18" t="s">
        <v>70</v>
      </c>
      <c r="T439" s="11">
        <v>26</v>
      </c>
    </row>
    <row r="440" s="3" customFormat="1" customHeight="1" spans="1:20">
      <c r="A440" s="167" t="s">
        <v>3386</v>
      </c>
      <c r="B440" s="167" t="s">
        <v>165</v>
      </c>
      <c r="C440" s="167" t="s">
        <v>3387</v>
      </c>
      <c r="D440" s="11">
        <v>15070657835</v>
      </c>
      <c r="E440" s="167" t="s">
        <v>384</v>
      </c>
      <c r="F440" s="167" t="s">
        <v>25</v>
      </c>
      <c r="G440" s="11">
        <v>202101007</v>
      </c>
      <c r="H440" s="167" t="s">
        <v>705</v>
      </c>
      <c r="I440" s="167" t="s">
        <v>233</v>
      </c>
      <c r="J440" s="167" t="s">
        <v>3389</v>
      </c>
      <c r="K440" s="167" t="s">
        <v>160</v>
      </c>
      <c r="L440" s="167" t="s">
        <v>261</v>
      </c>
      <c r="M440" s="167" t="s">
        <v>1506</v>
      </c>
      <c r="N440" s="11">
        <v>0</v>
      </c>
      <c r="O440" s="12" t="str">
        <f>_xlfn.DISPIMG("ID_E7900D53DC2C42DFA545534A1C33490B",1)</f>
        <v>=DISPIMG("ID_E7900D53DC2C42DFA545534A1C33490B",1)</v>
      </c>
      <c r="P440" s="11" t="s">
        <v>3390</v>
      </c>
      <c r="Q440" s="11">
        <v>427</v>
      </c>
      <c r="R440" s="17" t="s">
        <v>4755</v>
      </c>
      <c r="S440" s="18" t="s">
        <v>70</v>
      </c>
      <c r="T440" s="11">
        <v>1</v>
      </c>
    </row>
    <row r="441" s="3" customFormat="1" customHeight="1" spans="1:20">
      <c r="A441" s="167" t="s">
        <v>3789</v>
      </c>
      <c r="B441" s="167" t="s">
        <v>165</v>
      </c>
      <c r="C441" s="167" t="s">
        <v>3790</v>
      </c>
      <c r="D441" s="11">
        <v>15979943806</v>
      </c>
      <c r="E441" s="167" t="s">
        <v>384</v>
      </c>
      <c r="F441" s="167" t="s">
        <v>25</v>
      </c>
      <c r="G441" s="11">
        <v>202101007</v>
      </c>
      <c r="H441" s="167" t="s">
        <v>157</v>
      </c>
      <c r="I441" s="167" t="s">
        <v>2874</v>
      </c>
      <c r="J441" s="167" t="s">
        <v>3792</v>
      </c>
      <c r="K441" s="167" t="s">
        <v>170</v>
      </c>
      <c r="L441" s="167" t="s">
        <v>216</v>
      </c>
      <c r="M441" s="167" t="s">
        <v>25</v>
      </c>
      <c r="N441" s="167" t="s">
        <v>3793</v>
      </c>
      <c r="O441" s="12" t="str">
        <f>_xlfn.DISPIMG("ID_7E3A3C48C46B4922B18A5C2AD1587AC0",1)</f>
        <v>=DISPIMG("ID_7E3A3C48C46B4922B18A5C2AD1587AC0",1)</v>
      </c>
      <c r="P441" s="11" t="s">
        <v>3794</v>
      </c>
      <c r="Q441" s="20">
        <v>483</v>
      </c>
      <c r="R441" s="17" t="s">
        <v>4756</v>
      </c>
      <c r="S441" s="18" t="s">
        <v>70</v>
      </c>
      <c r="T441" s="11">
        <v>12</v>
      </c>
    </row>
    <row r="442" s="3" customFormat="1" customHeight="1" spans="1:20">
      <c r="A442" s="167" t="s">
        <v>3918</v>
      </c>
      <c r="B442" s="167" t="s">
        <v>165</v>
      </c>
      <c r="C442" s="167" t="s">
        <v>3919</v>
      </c>
      <c r="D442" s="11">
        <v>18979261626</v>
      </c>
      <c r="E442" s="167" t="s">
        <v>384</v>
      </c>
      <c r="F442" s="167" t="s">
        <v>25</v>
      </c>
      <c r="G442" s="11">
        <v>202101007</v>
      </c>
      <c r="H442" s="167" t="s">
        <v>157</v>
      </c>
      <c r="I442" s="167" t="s">
        <v>178</v>
      </c>
      <c r="J442" s="167" t="s">
        <v>179</v>
      </c>
      <c r="K442" s="167" t="s">
        <v>170</v>
      </c>
      <c r="L442" s="167" t="s">
        <v>161</v>
      </c>
      <c r="M442" s="167" t="s">
        <v>952</v>
      </c>
      <c r="N442" s="167" t="s">
        <v>3920</v>
      </c>
      <c r="O442" s="12" t="str">
        <f>_xlfn.DISPIMG("ID_64C458B5785C4AE8B3EB4D932C0866CC",1)</f>
        <v>=DISPIMG("ID_64C458B5785C4AE8B3EB4D932C0866CC",1)</v>
      </c>
      <c r="P442" s="11" t="s">
        <v>3921</v>
      </c>
      <c r="Q442" s="20">
        <v>500</v>
      </c>
      <c r="R442" s="17" t="s">
        <v>4757</v>
      </c>
      <c r="S442" s="18" t="s">
        <v>70</v>
      </c>
      <c r="T442" s="11">
        <v>13</v>
      </c>
    </row>
    <row r="443" s="3" customFormat="1" customHeight="1" spans="1:20">
      <c r="A443" s="167" t="s">
        <v>4006</v>
      </c>
      <c r="B443" s="167" t="s">
        <v>165</v>
      </c>
      <c r="C443" s="167" t="s">
        <v>4007</v>
      </c>
      <c r="D443" s="11">
        <v>15979112724</v>
      </c>
      <c r="E443" s="167" t="s">
        <v>297</v>
      </c>
      <c r="F443" s="167" t="s">
        <v>25</v>
      </c>
      <c r="G443" s="11">
        <v>202101008</v>
      </c>
      <c r="H443" s="167" t="s">
        <v>157</v>
      </c>
      <c r="I443" s="167" t="s">
        <v>3070</v>
      </c>
      <c r="J443" s="167" t="s">
        <v>179</v>
      </c>
      <c r="K443" s="167" t="s">
        <v>170</v>
      </c>
      <c r="L443" s="167" t="s">
        <v>306</v>
      </c>
      <c r="M443" s="167" t="s">
        <v>1692</v>
      </c>
      <c r="N443" s="167" t="s">
        <v>4009</v>
      </c>
      <c r="O443" s="12" t="str">
        <f>_xlfn.DISPIMG("ID_410BA329CDB34577BE3D2E13C6D8589F",1)</f>
        <v>=DISPIMG("ID_410BA329CDB34577BE3D2E13C6D8589F",1)</v>
      </c>
      <c r="P443" s="11" t="s">
        <v>4010</v>
      </c>
      <c r="Q443" s="20">
        <v>512</v>
      </c>
      <c r="R443" s="17" t="s">
        <v>4758</v>
      </c>
      <c r="S443" s="18" t="s">
        <v>70</v>
      </c>
      <c r="T443" s="11">
        <v>24</v>
      </c>
    </row>
    <row r="444" s="3" customFormat="1" customHeight="1" spans="1:20">
      <c r="A444" s="167" t="s">
        <v>4073</v>
      </c>
      <c r="B444" s="167" t="s">
        <v>165</v>
      </c>
      <c r="C444" s="167" t="s">
        <v>4074</v>
      </c>
      <c r="D444" s="11">
        <v>18379233389</v>
      </c>
      <c r="E444" s="167" t="s">
        <v>297</v>
      </c>
      <c r="F444" s="167" t="s">
        <v>25</v>
      </c>
      <c r="G444" s="11">
        <v>202101008</v>
      </c>
      <c r="H444" s="167" t="s">
        <v>157</v>
      </c>
      <c r="I444" s="167" t="s">
        <v>4076</v>
      </c>
      <c r="J444" s="167" t="s">
        <v>179</v>
      </c>
      <c r="K444" s="167" t="s">
        <v>160</v>
      </c>
      <c r="L444" s="167" t="s">
        <v>919</v>
      </c>
      <c r="M444" s="167" t="s">
        <v>4077</v>
      </c>
      <c r="N444" s="167" t="s">
        <v>4078</v>
      </c>
      <c r="O444" s="12" t="str">
        <f>_xlfn.DISPIMG("ID_5240EB7A8E6D4B1A8B52378BBD0117F8",1)</f>
        <v>=DISPIMG("ID_5240EB7A8E6D4B1A8B52378BBD0117F8",1)</v>
      </c>
      <c r="P444" s="11" t="s">
        <v>4079</v>
      </c>
      <c r="Q444" s="20">
        <v>521</v>
      </c>
      <c r="R444" s="17" t="s">
        <v>4759</v>
      </c>
      <c r="S444" s="18" t="s">
        <v>70</v>
      </c>
      <c r="T444" s="11">
        <v>25</v>
      </c>
    </row>
    <row r="445" s="3" customFormat="1" customHeight="1" spans="1:20">
      <c r="A445" s="167" t="s">
        <v>265</v>
      </c>
      <c r="B445" s="167" t="s">
        <v>153</v>
      </c>
      <c r="C445" s="167" t="s">
        <v>266</v>
      </c>
      <c r="D445" s="11">
        <v>15720975163</v>
      </c>
      <c r="E445" s="167" t="s">
        <v>268</v>
      </c>
      <c r="F445" s="167" t="s">
        <v>20</v>
      </c>
      <c r="G445" s="11">
        <v>202101004</v>
      </c>
      <c r="H445" s="167" t="s">
        <v>157</v>
      </c>
      <c r="I445" s="167" t="s">
        <v>269</v>
      </c>
      <c r="J445" s="167" t="s">
        <v>270</v>
      </c>
      <c r="K445" s="167" t="s">
        <v>170</v>
      </c>
      <c r="L445" s="167" t="s">
        <v>261</v>
      </c>
      <c r="M445" s="167" t="s">
        <v>20</v>
      </c>
      <c r="N445" s="167" t="s">
        <v>271</v>
      </c>
      <c r="O445" s="12" t="str">
        <f>_xlfn.DISPIMG("ID_E6B64D542CF24756B648DE72B52C0790",1)</f>
        <v>=DISPIMG("ID_E6B64D542CF24756B648DE72B52C0790",1)</v>
      </c>
      <c r="P445" s="11" t="s">
        <v>272</v>
      </c>
      <c r="Q445" s="11">
        <v>14</v>
      </c>
      <c r="R445" s="17" t="s">
        <v>4760</v>
      </c>
      <c r="S445" s="18" t="s">
        <v>72</v>
      </c>
      <c r="T445" s="25">
        <v>6</v>
      </c>
    </row>
    <row r="446" s="3" customFormat="1" customHeight="1" spans="1:20">
      <c r="A446" s="167" t="s">
        <v>522</v>
      </c>
      <c r="B446" s="167" t="s">
        <v>165</v>
      </c>
      <c r="C446" s="167" t="s">
        <v>523</v>
      </c>
      <c r="D446" s="11">
        <v>18779278905</v>
      </c>
      <c r="E446" s="167" t="s">
        <v>268</v>
      </c>
      <c r="F446" s="167" t="s">
        <v>20</v>
      </c>
      <c r="G446" s="11">
        <v>202101004</v>
      </c>
      <c r="H446" s="167" t="s">
        <v>157</v>
      </c>
      <c r="I446" s="167" t="s">
        <v>233</v>
      </c>
      <c r="J446" s="167" t="s">
        <v>525</v>
      </c>
      <c r="K446" s="167" t="s">
        <v>170</v>
      </c>
      <c r="L446" s="167" t="s">
        <v>161</v>
      </c>
      <c r="M446" s="167" t="s">
        <v>20</v>
      </c>
      <c r="N446" s="11">
        <v>0</v>
      </c>
      <c r="O446" s="12" t="str">
        <f>_xlfn.DISPIMG("ID_71DE12F1CD59449693F0263DC215D27B",1)</f>
        <v>=DISPIMG("ID_71DE12F1CD59449693F0263DC215D27B",1)</v>
      </c>
      <c r="P446" s="11" t="s">
        <v>526</v>
      </c>
      <c r="Q446" s="11">
        <v>44</v>
      </c>
      <c r="R446" s="17" t="s">
        <v>4761</v>
      </c>
      <c r="S446" s="18" t="s">
        <v>72</v>
      </c>
      <c r="T446" s="25">
        <v>7</v>
      </c>
    </row>
    <row r="447" s="3" customFormat="1" customHeight="1" spans="1:20">
      <c r="A447" s="167" t="s">
        <v>1050</v>
      </c>
      <c r="B447" s="167" t="s">
        <v>165</v>
      </c>
      <c r="C447" s="167" t="s">
        <v>1051</v>
      </c>
      <c r="D447" s="11">
        <v>15180471768</v>
      </c>
      <c r="E447" s="167" t="s">
        <v>384</v>
      </c>
      <c r="F447" s="167" t="s">
        <v>20</v>
      </c>
      <c r="G447" s="11">
        <v>202101005</v>
      </c>
      <c r="H447" s="167" t="s">
        <v>157</v>
      </c>
      <c r="I447" s="167" t="s">
        <v>178</v>
      </c>
      <c r="J447" s="167" t="s">
        <v>270</v>
      </c>
      <c r="K447" s="167" t="s">
        <v>170</v>
      </c>
      <c r="L447" s="167" t="s">
        <v>261</v>
      </c>
      <c r="M447" s="167" t="s">
        <v>20</v>
      </c>
      <c r="N447" s="11">
        <v>0</v>
      </c>
      <c r="O447" s="12" t="str">
        <f>_xlfn.DISPIMG("ID_296B75901486490E98D040532231AC8D",1)</f>
        <v>=DISPIMG("ID_296B75901486490E98D040532231AC8D",1)</v>
      </c>
      <c r="P447" s="11" t="s">
        <v>1052</v>
      </c>
      <c r="Q447" s="11">
        <v>108</v>
      </c>
      <c r="R447" s="17" t="s">
        <v>4762</v>
      </c>
      <c r="S447" s="18" t="s">
        <v>72</v>
      </c>
      <c r="T447" s="25">
        <v>5</v>
      </c>
    </row>
    <row r="448" s="3" customFormat="1" customHeight="1" spans="1:20">
      <c r="A448" s="167" t="s">
        <v>1055</v>
      </c>
      <c r="B448" s="167" t="s">
        <v>165</v>
      </c>
      <c r="C448" s="167" t="s">
        <v>1056</v>
      </c>
      <c r="D448" s="11">
        <v>15279286807</v>
      </c>
      <c r="E448" s="167" t="s">
        <v>384</v>
      </c>
      <c r="F448" s="167" t="s">
        <v>20</v>
      </c>
      <c r="G448" s="11">
        <v>202101005</v>
      </c>
      <c r="H448" s="167" t="s">
        <v>157</v>
      </c>
      <c r="I448" s="167" t="s">
        <v>178</v>
      </c>
      <c r="J448" s="167" t="s">
        <v>270</v>
      </c>
      <c r="K448" s="167" t="s">
        <v>170</v>
      </c>
      <c r="L448" s="167" t="s">
        <v>261</v>
      </c>
      <c r="M448" s="167" t="s">
        <v>20</v>
      </c>
      <c r="N448" s="11">
        <v>0</v>
      </c>
      <c r="O448" s="12" t="str">
        <f>_xlfn.DISPIMG("ID_1261702926BF4B91B3BBC8CF57D7C930",1)</f>
        <v>=DISPIMG("ID_1261702926BF4B91B3BBC8CF57D7C930",1)</v>
      </c>
      <c r="P448" s="11" t="s">
        <v>1058</v>
      </c>
      <c r="Q448" s="11">
        <v>109</v>
      </c>
      <c r="R448" s="17" t="s">
        <v>4763</v>
      </c>
      <c r="S448" s="18" t="s">
        <v>72</v>
      </c>
      <c r="T448" s="25">
        <v>8</v>
      </c>
    </row>
    <row r="449" s="3" customFormat="1" customHeight="1" spans="1:20">
      <c r="A449" s="167" t="s">
        <v>1729</v>
      </c>
      <c r="B449" s="167" t="s">
        <v>153</v>
      </c>
      <c r="C449" s="167" t="s">
        <v>1730</v>
      </c>
      <c r="D449" s="11">
        <v>18720253839</v>
      </c>
      <c r="E449" s="167" t="s">
        <v>384</v>
      </c>
      <c r="F449" s="167" t="s">
        <v>20</v>
      </c>
      <c r="G449" s="11">
        <v>202101005</v>
      </c>
      <c r="H449" s="167" t="s">
        <v>157</v>
      </c>
      <c r="I449" s="167" t="s">
        <v>1258</v>
      </c>
      <c r="J449" s="167" t="s">
        <v>270</v>
      </c>
      <c r="K449" s="167" t="s">
        <v>170</v>
      </c>
      <c r="L449" s="167" t="s">
        <v>349</v>
      </c>
      <c r="M449" s="167" t="s">
        <v>1732</v>
      </c>
      <c r="N449" s="167" t="s">
        <v>1733</v>
      </c>
      <c r="O449" s="12" t="str">
        <f>_xlfn.DISPIMG("ID_677AC12F255C494892F34EE0AF9DED02",1)</f>
        <v>=DISPIMG("ID_677AC12F255C494892F34EE0AF9DED02",1)</v>
      </c>
      <c r="P449" s="11" t="s">
        <v>1734</v>
      </c>
      <c r="Q449" s="11">
        <v>196</v>
      </c>
      <c r="R449" s="17" t="s">
        <v>4764</v>
      </c>
      <c r="S449" s="18" t="s">
        <v>72</v>
      </c>
      <c r="T449" s="25">
        <v>4</v>
      </c>
    </row>
    <row r="450" s="3" customFormat="1" customHeight="1" spans="1:20">
      <c r="A450" s="167" t="s">
        <v>2044</v>
      </c>
      <c r="B450" s="167" t="s">
        <v>153</v>
      </c>
      <c r="C450" s="167" t="s">
        <v>2045</v>
      </c>
      <c r="D450" s="11">
        <v>15949584388</v>
      </c>
      <c r="E450" s="167" t="s">
        <v>384</v>
      </c>
      <c r="F450" s="167" t="s">
        <v>20</v>
      </c>
      <c r="G450" s="11">
        <v>202101005</v>
      </c>
      <c r="H450" s="167" t="s">
        <v>157</v>
      </c>
      <c r="I450" s="167" t="s">
        <v>158</v>
      </c>
      <c r="J450" s="167" t="s">
        <v>270</v>
      </c>
      <c r="K450" s="167" t="s">
        <v>170</v>
      </c>
      <c r="L450" s="167" t="s">
        <v>2047</v>
      </c>
      <c r="M450" s="167" t="s">
        <v>2048</v>
      </c>
      <c r="N450" s="167" t="s">
        <v>2049</v>
      </c>
      <c r="O450" s="12" t="str">
        <f>_xlfn.DISPIMG("ID_AA05B8B9BBB64A2C8B2DEFAC2B7912C3",1)</f>
        <v>=DISPIMG("ID_AA05B8B9BBB64A2C8B2DEFAC2B7912C3",1)</v>
      </c>
      <c r="P450" s="11" t="s">
        <v>2050</v>
      </c>
      <c r="Q450" s="11">
        <v>238</v>
      </c>
      <c r="R450" s="17" t="s">
        <v>4765</v>
      </c>
      <c r="S450" s="18" t="s">
        <v>72</v>
      </c>
      <c r="T450" s="25">
        <v>9</v>
      </c>
    </row>
    <row r="451" s="3" customFormat="1" customHeight="1" spans="1:20">
      <c r="A451" s="167" t="s">
        <v>2172</v>
      </c>
      <c r="B451" s="167" t="s">
        <v>153</v>
      </c>
      <c r="C451" s="167" t="s">
        <v>2173</v>
      </c>
      <c r="D451" s="11">
        <v>18370791182</v>
      </c>
      <c r="E451" s="167" t="s">
        <v>297</v>
      </c>
      <c r="F451" s="167" t="s">
        <v>20</v>
      </c>
      <c r="G451" s="11">
        <v>202101006</v>
      </c>
      <c r="H451" s="167" t="s">
        <v>157</v>
      </c>
      <c r="I451" s="167" t="s">
        <v>1413</v>
      </c>
      <c r="J451" s="167" t="s">
        <v>243</v>
      </c>
      <c r="K451" s="167" t="s">
        <v>160</v>
      </c>
      <c r="L451" s="167" t="s">
        <v>199</v>
      </c>
      <c r="M451" s="167" t="s">
        <v>2175</v>
      </c>
      <c r="N451" s="167" t="s">
        <v>2176</v>
      </c>
      <c r="O451" s="12" t="str">
        <f>_xlfn.DISPIMG("ID_164BFB36FB944A6B8D1C179D10EFE455",1)</f>
        <v>=DISPIMG("ID_164BFB36FB944A6B8D1C179D10EFE455",1)</v>
      </c>
      <c r="P451" s="11" t="s">
        <v>2177</v>
      </c>
      <c r="Q451" s="11">
        <v>255</v>
      </c>
      <c r="R451" s="17" t="s">
        <v>4766</v>
      </c>
      <c r="S451" s="18" t="s">
        <v>72</v>
      </c>
      <c r="T451" s="25">
        <v>3</v>
      </c>
    </row>
    <row r="452" s="3" customFormat="1" customHeight="1" spans="1:20">
      <c r="A452" s="167" t="s">
        <v>3473</v>
      </c>
      <c r="B452" s="167" t="s">
        <v>165</v>
      </c>
      <c r="C452" s="167" t="s">
        <v>3474</v>
      </c>
      <c r="D452" s="11">
        <v>16605630524</v>
      </c>
      <c r="E452" s="167" t="s">
        <v>384</v>
      </c>
      <c r="F452" s="167" t="s">
        <v>20</v>
      </c>
      <c r="G452" s="11">
        <v>202101005</v>
      </c>
      <c r="H452" s="167" t="s">
        <v>705</v>
      </c>
      <c r="I452" s="167" t="s">
        <v>1112</v>
      </c>
      <c r="J452" s="167" t="s">
        <v>3476</v>
      </c>
      <c r="K452" s="167" t="s">
        <v>160</v>
      </c>
      <c r="L452" s="167" t="s">
        <v>455</v>
      </c>
      <c r="M452" s="167" t="s">
        <v>3477</v>
      </c>
      <c r="N452" s="11">
        <v>0</v>
      </c>
      <c r="O452" s="12" t="str">
        <f>_xlfn.DISPIMG("ID_BFF35F7767BD4AFE8B2C782755AFDE14",1)</f>
        <v>=DISPIMG("ID_BFF35F7767BD4AFE8B2C782755AFDE14",1)</v>
      </c>
      <c r="P452" s="11" t="s">
        <v>3478</v>
      </c>
      <c r="Q452" s="11">
        <v>439</v>
      </c>
      <c r="R452" s="17" t="s">
        <v>4767</v>
      </c>
      <c r="S452" s="18" t="s">
        <v>72</v>
      </c>
      <c r="T452" s="25">
        <v>10</v>
      </c>
    </row>
    <row r="453" s="3" customFormat="1" customHeight="1" spans="1:20">
      <c r="A453" s="167" t="s">
        <v>3661</v>
      </c>
      <c r="B453" s="167" t="s">
        <v>165</v>
      </c>
      <c r="C453" s="167" t="s">
        <v>3662</v>
      </c>
      <c r="D453" s="11">
        <v>15623206169</v>
      </c>
      <c r="E453" s="167" t="s">
        <v>297</v>
      </c>
      <c r="F453" s="167" t="s">
        <v>20</v>
      </c>
      <c r="G453" s="11">
        <v>202101006</v>
      </c>
      <c r="H453" s="167" t="s">
        <v>157</v>
      </c>
      <c r="I453" s="167" t="s">
        <v>3663</v>
      </c>
      <c r="J453" s="167" t="s">
        <v>1832</v>
      </c>
      <c r="K453" s="167" t="s">
        <v>160</v>
      </c>
      <c r="L453" s="167" t="s">
        <v>455</v>
      </c>
      <c r="M453" s="167" t="s">
        <v>20</v>
      </c>
      <c r="N453" s="11">
        <v>0</v>
      </c>
      <c r="O453" s="12" t="str">
        <f>_xlfn.DISPIMG("ID_2A9E22A9ABC949F8A9FA9AA3239D48CC",1)</f>
        <v>=DISPIMG("ID_2A9E22A9ABC949F8A9FA9AA3239D48CC",1)</v>
      </c>
      <c r="P453" s="11" t="s">
        <v>3664</v>
      </c>
      <c r="Q453" s="11">
        <v>466</v>
      </c>
      <c r="R453" s="17" t="s">
        <v>4768</v>
      </c>
      <c r="S453" s="18" t="s">
        <v>72</v>
      </c>
      <c r="T453" s="25">
        <v>2</v>
      </c>
    </row>
    <row r="454" s="3" customFormat="1" customHeight="1" spans="1:20">
      <c r="A454" s="167" t="s">
        <v>3955</v>
      </c>
      <c r="B454" s="167" t="s">
        <v>153</v>
      </c>
      <c r="C454" s="167" t="s">
        <v>3956</v>
      </c>
      <c r="D454" s="11">
        <v>18379670015</v>
      </c>
      <c r="E454" s="167" t="s">
        <v>384</v>
      </c>
      <c r="F454" s="167" t="s">
        <v>20</v>
      </c>
      <c r="G454" s="11">
        <v>202101005</v>
      </c>
      <c r="H454" s="167" t="s">
        <v>157</v>
      </c>
      <c r="I454" s="167" t="s">
        <v>507</v>
      </c>
      <c r="J454" s="167" t="s">
        <v>270</v>
      </c>
      <c r="K454" s="167" t="s">
        <v>170</v>
      </c>
      <c r="L454" s="167" t="s">
        <v>235</v>
      </c>
      <c r="M454" s="167" t="s">
        <v>1322</v>
      </c>
      <c r="N454" s="167" t="s">
        <v>3958</v>
      </c>
      <c r="O454" s="12" t="str">
        <f>_xlfn.DISPIMG("ID_C25C6B154C2847C9934F6981B40FCD0C",1)</f>
        <v>=DISPIMG("ID_C25C6B154C2847C9934F6981B40FCD0C",1)</v>
      </c>
      <c r="P454" s="11" t="s">
        <v>3959</v>
      </c>
      <c r="Q454" s="11">
        <v>505</v>
      </c>
      <c r="R454" s="17" t="s">
        <v>4769</v>
      </c>
      <c r="S454" s="18" t="s">
        <v>72</v>
      </c>
      <c r="T454" s="25">
        <v>11</v>
      </c>
    </row>
    <row r="455" s="3" customFormat="1" customHeight="1" spans="1:20">
      <c r="A455" s="167" t="s">
        <v>3978</v>
      </c>
      <c r="B455" s="167" t="s">
        <v>165</v>
      </c>
      <c r="C455" s="167" t="s">
        <v>3979</v>
      </c>
      <c r="D455" s="11">
        <v>15070298026</v>
      </c>
      <c r="E455" s="167" t="s">
        <v>268</v>
      </c>
      <c r="F455" s="167" t="s">
        <v>20</v>
      </c>
      <c r="G455" s="11">
        <v>202101004</v>
      </c>
      <c r="H455" s="167" t="s">
        <v>157</v>
      </c>
      <c r="I455" s="167" t="s">
        <v>178</v>
      </c>
      <c r="J455" s="167" t="s">
        <v>270</v>
      </c>
      <c r="K455" s="167" t="s">
        <v>170</v>
      </c>
      <c r="L455" s="167" t="s">
        <v>261</v>
      </c>
      <c r="M455" s="167" t="s">
        <v>20</v>
      </c>
      <c r="N455" s="11">
        <v>0</v>
      </c>
      <c r="O455" s="12" t="str">
        <f>_xlfn.DISPIMG("ID_41FDB18DF8F04859BBDC981BC12AE5F4",1)</f>
        <v>=DISPIMG("ID_41FDB18DF8F04859BBDC981BC12AE5F4",1)</v>
      </c>
      <c r="P455" s="11" t="s">
        <v>3981</v>
      </c>
      <c r="Q455" s="11">
        <v>508</v>
      </c>
      <c r="R455" s="17" t="s">
        <v>4770</v>
      </c>
      <c r="S455" s="18" t="s">
        <v>72</v>
      </c>
      <c r="T455" s="25">
        <v>1</v>
      </c>
    </row>
    <row r="456" s="5" customFormat="1" customHeight="1" spans="1:20">
      <c r="A456" s="167" t="s">
        <v>4161</v>
      </c>
      <c r="B456" s="167" t="s">
        <v>165</v>
      </c>
      <c r="C456" s="167" t="s">
        <v>4162</v>
      </c>
      <c r="D456" s="11">
        <v>15999192756</v>
      </c>
      <c r="E456" s="167" t="s">
        <v>297</v>
      </c>
      <c r="F456" s="167" t="s">
        <v>20</v>
      </c>
      <c r="G456" s="11">
        <v>202101006</v>
      </c>
      <c r="H456" s="167" t="s">
        <v>157</v>
      </c>
      <c r="I456" s="167" t="s">
        <v>4164</v>
      </c>
      <c r="J456" s="167" t="s">
        <v>4165</v>
      </c>
      <c r="K456" s="167" t="s">
        <v>160</v>
      </c>
      <c r="L456" s="167" t="s">
        <v>1089</v>
      </c>
      <c r="M456" s="167" t="s">
        <v>20</v>
      </c>
      <c r="N456" s="167" t="s">
        <v>4166</v>
      </c>
      <c r="O456" s="12" t="str">
        <f>_xlfn.DISPIMG("ID_0FB1CC236BB0441E8D7B28856D597318",1)</f>
        <v>=DISPIMG("ID_0FB1CC236BB0441E8D7B28856D597318",1)</v>
      </c>
      <c r="P456" s="11" t="s">
        <v>4167</v>
      </c>
      <c r="Q456" s="11">
        <v>532</v>
      </c>
      <c r="R456" s="17" t="s">
        <v>4771</v>
      </c>
      <c r="S456" s="18" t="s">
        <v>72</v>
      </c>
      <c r="T456" s="25">
        <v>12</v>
      </c>
    </row>
    <row r="457" s="3" customFormat="1" customHeight="1" spans="1:20">
      <c r="A457" s="167" t="s">
        <v>833</v>
      </c>
      <c r="B457" s="167" t="s">
        <v>165</v>
      </c>
      <c r="C457" s="167" t="s">
        <v>1302</v>
      </c>
      <c r="D457" s="11">
        <v>15770803797</v>
      </c>
      <c r="E457" s="167" t="s">
        <v>384</v>
      </c>
      <c r="F457" s="167" t="s">
        <v>19</v>
      </c>
      <c r="G457" s="11">
        <v>202101014</v>
      </c>
      <c r="H457" s="167" t="s">
        <v>705</v>
      </c>
      <c r="I457" s="167" t="s">
        <v>1304</v>
      </c>
      <c r="J457" s="167" t="s">
        <v>1305</v>
      </c>
      <c r="K457" s="167" t="s">
        <v>160</v>
      </c>
      <c r="L457" s="167" t="s">
        <v>516</v>
      </c>
      <c r="M457" s="167" t="s">
        <v>1306</v>
      </c>
      <c r="N457" s="167" t="s">
        <v>1307</v>
      </c>
      <c r="O457" s="12" t="str">
        <f>_xlfn.DISPIMG("ID_2E0E8C97ADBC44CDA9BEA81CC587B750",1)</f>
        <v>=DISPIMG("ID_2E0E8C97ADBC44CDA9BEA81CC587B750",1)</v>
      </c>
      <c r="P457" s="11" t="s">
        <v>1308</v>
      </c>
      <c r="Q457" s="11">
        <v>141</v>
      </c>
      <c r="R457" s="17" t="s">
        <v>4772</v>
      </c>
      <c r="S457" s="18" t="s">
        <v>72</v>
      </c>
      <c r="T457" s="25">
        <v>17</v>
      </c>
    </row>
    <row r="458" s="3" customFormat="1" customHeight="1" spans="1:20">
      <c r="A458" s="167" t="s">
        <v>1637</v>
      </c>
      <c r="B458" s="167" t="s">
        <v>165</v>
      </c>
      <c r="C458" s="167" t="s">
        <v>1638</v>
      </c>
      <c r="D458" s="11">
        <v>18279206250</v>
      </c>
      <c r="E458" s="167" t="s">
        <v>384</v>
      </c>
      <c r="F458" s="167" t="s">
        <v>19</v>
      </c>
      <c r="G458" s="11">
        <v>202101014</v>
      </c>
      <c r="H458" s="167" t="s">
        <v>157</v>
      </c>
      <c r="I458" s="167" t="s">
        <v>178</v>
      </c>
      <c r="J458" s="167" t="s">
        <v>1639</v>
      </c>
      <c r="K458" s="167" t="s">
        <v>170</v>
      </c>
      <c r="L458" s="167" t="s">
        <v>455</v>
      </c>
      <c r="M458" s="167" t="s">
        <v>19</v>
      </c>
      <c r="N458" s="11">
        <v>0</v>
      </c>
      <c r="O458" s="12" t="str">
        <f>_xlfn.DISPIMG("ID_74FDF0D5FA0548BCA212C8D2C43783F4",1)</f>
        <v>=DISPIMG("ID_74FDF0D5FA0548BCA212C8D2C43783F4",1)</v>
      </c>
      <c r="P458" s="11" t="s">
        <v>1640</v>
      </c>
      <c r="Q458" s="11">
        <v>184</v>
      </c>
      <c r="R458" s="17" t="s">
        <v>4773</v>
      </c>
      <c r="S458" s="18" t="s">
        <v>72</v>
      </c>
      <c r="T458" s="25">
        <v>16</v>
      </c>
    </row>
    <row r="459" s="3" customFormat="1" customHeight="1" spans="1:20">
      <c r="A459" s="167" t="s">
        <v>2104</v>
      </c>
      <c r="B459" s="167" t="s">
        <v>165</v>
      </c>
      <c r="C459" s="167" t="s">
        <v>2105</v>
      </c>
      <c r="D459" s="11">
        <v>13817884693</v>
      </c>
      <c r="E459" s="167" t="s">
        <v>384</v>
      </c>
      <c r="F459" s="167" t="s">
        <v>19</v>
      </c>
      <c r="G459" s="11">
        <v>202101014</v>
      </c>
      <c r="H459" s="167" t="s">
        <v>705</v>
      </c>
      <c r="I459" s="167" t="s">
        <v>2063</v>
      </c>
      <c r="J459" s="167" t="s">
        <v>2107</v>
      </c>
      <c r="K459" s="167" t="s">
        <v>160</v>
      </c>
      <c r="L459" s="167" t="s">
        <v>396</v>
      </c>
      <c r="M459" s="167" t="s">
        <v>2108</v>
      </c>
      <c r="N459" s="167" t="s">
        <v>2109</v>
      </c>
      <c r="O459" s="12" t="str">
        <f>_xlfn.DISPIMG("ID_21FE4349EE994987AC614A279458E356",1)</f>
        <v>=DISPIMG("ID_21FE4349EE994987AC614A279458E356",1)</v>
      </c>
      <c r="P459" s="11" t="s">
        <v>2110</v>
      </c>
      <c r="Q459" s="11">
        <v>246</v>
      </c>
      <c r="R459" s="17" t="s">
        <v>4774</v>
      </c>
      <c r="S459" s="18" t="s">
        <v>72</v>
      </c>
      <c r="T459" s="25">
        <v>15</v>
      </c>
    </row>
    <row r="460" s="3" customFormat="1" customHeight="1" spans="1:20">
      <c r="A460" s="167" t="s">
        <v>152</v>
      </c>
      <c r="B460" s="167" t="s">
        <v>153</v>
      </c>
      <c r="C460" s="167" t="s">
        <v>154</v>
      </c>
      <c r="D460" s="11">
        <v>18807023240</v>
      </c>
      <c r="E460" s="167" t="s">
        <v>156</v>
      </c>
      <c r="F460" s="167" t="s">
        <v>10</v>
      </c>
      <c r="G460" s="11">
        <v>202102004</v>
      </c>
      <c r="H460" s="167" t="s">
        <v>157</v>
      </c>
      <c r="I460" s="167" t="s">
        <v>158</v>
      </c>
      <c r="J460" s="167" t="s">
        <v>159</v>
      </c>
      <c r="K460" s="167" t="s">
        <v>160</v>
      </c>
      <c r="L460" s="167" t="s">
        <v>161</v>
      </c>
      <c r="M460" s="167" t="s">
        <v>10</v>
      </c>
      <c r="N460" s="11">
        <v>0</v>
      </c>
      <c r="O460" s="12" t="str">
        <f>_xlfn.DISPIMG("ID_1BBFB8252D30496F95F71593A2B76AF5",1)</f>
        <v>=DISPIMG("ID_1BBFB8252D30496F95F71593A2B76AF5",1)</v>
      </c>
      <c r="P460" s="11" t="s">
        <v>162</v>
      </c>
      <c r="Q460" s="11">
        <v>2</v>
      </c>
      <c r="R460" s="17" t="s">
        <v>4775</v>
      </c>
      <c r="S460" s="18" t="s">
        <v>72</v>
      </c>
      <c r="T460" s="25">
        <v>14</v>
      </c>
    </row>
    <row r="461" s="3" customFormat="1" customHeight="1" spans="1:20">
      <c r="A461" s="175" t="s">
        <v>2940</v>
      </c>
      <c r="B461" s="175" t="s">
        <v>153</v>
      </c>
      <c r="C461" s="175" t="s">
        <v>2941</v>
      </c>
      <c r="D461" s="11">
        <v>18679635856</v>
      </c>
      <c r="E461" s="175" t="s">
        <v>156</v>
      </c>
      <c r="F461" s="175" t="s">
        <v>10</v>
      </c>
      <c r="G461" s="25">
        <v>202102004</v>
      </c>
      <c r="H461" s="175" t="s">
        <v>157</v>
      </c>
      <c r="I461" s="175" t="s">
        <v>2943</v>
      </c>
      <c r="J461" s="175" t="s">
        <v>2093</v>
      </c>
      <c r="K461" s="175" t="s">
        <v>160</v>
      </c>
      <c r="L461" s="175" t="s">
        <v>587</v>
      </c>
      <c r="M461" s="175" t="s">
        <v>10</v>
      </c>
      <c r="N461" s="25">
        <v>0</v>
      </c>
      <c r="O461" s="26" t="str">
        <f>_xlfn.DISPIMG("ID_5CF4EBD7502F4485844CA64AA4EECF8E",1)</f>
        <v>=DISPIMG("ID_5CF4EBD7502F4485844CA64AA4EECF8E",1)</v>
      </c>
      <c r="P461" s="25" t="s">
        <v>2944</v>
      </c>
      <c r="Q461" s="25">
        <v>361</v>
      </c>
      <c r="R461" s="17" t="s">
        <v>4776</v>
      </c>
      <c r="S461" s="18" t="s">
        <v>72</v>
      </c>
      <c r="T461" s="25">
        <v>13</v>
      </c>
    </row>
    <row r="462" s="3" customFormat="1" customHeight="1" spans="1:20">
      <c r="A462" s="167" t="s">
        <v>974</v>
      </c>
      <c r="B462" s="167" t="s">
        <v>153</v>
      </c>
      <c r="C462" s="167" t="s">
        <v>975</v>
      </c>
      <c r="D462" s="11">
        <v>14796380079</v>
      </c>
      <c r="E462" s="167" t="s">
        <v>268</v>
      </c>
      <c r="F462" s="167" t="s">
        <v>16</v>
      </c>
      <c r="G462" s="11">
        <v>202101011</v>
      </c>
      <c r="H462" s="167" t="s">
        <v>157</v>
      </c>
      <c r="I462" s="167" t="s">
        <v>233</v>
      </c>
      <c r="J462" s="167" t="s">
        <v>977</v>
      </c>
      <c r="K462" s="167" t="s">
        <v>170</v>
      </c>
      <c r="L462" s="167" t="s">
        <v>235</v>
      </c>
      <c r="M462" s="167" t="s">
        <v>978</v>
      </c>
      <c r="N462" s="167" t="s">
        <v>979</v>
      </c>
      <c r="O462" s="12" t="str">
        <f>_xlfn.DISPIMG("ID_9AC6BD34E9E244F89B50B29F8EA156DD",1)</f>
        <v>=DISPIMG("ID_9AC6BD34E9E244F89B50B29F8EA156DD",1)</v>
      </c>
      <c r="P462" s="11" t="s">
        <v>980</v>
      </c>
      <c r="Q462" s="11">
        <v>99</v>
      </c>
      <c r="R462" s="17" t="s">
        <v>4777</v>
      </c>
      <c r="S462" s="18" t="s">
        <v>76</v>
      </c>
      <c r="T462" s="25">
        <v>6</v>
      </c>
    </row>
    <row r="463" s="3" customFormat="1" customHeight="1" spans="1:20">
      <c r="A463" s="167" t="s">
        <v>2831</v>
      </c>
      <c r="B463" s="167" t="s">
        <v>165</v>
      </c>
      <c r="C463" s="167" t="s">
        <v>2832</v>
      </c>
      <c r="D463" s="11">
        <v>17794516178</v>
      </c>
      <c r="E463" s="167" t="s">
        <v>268</v>
      </c>
      <c r="F463" s="167" t="s">
        <v>16</v>
      </c>
      <c r="G463" s="11">
        <v>202101011</v>
      </c>
      <c r="H463" s="167" t="s">
        <v>705</v>
      </c>
      <c r="I463" s="167" t="s">
        <v>2834</v>
      </c>
      <c r="J463" s="167" t="s">
        <v>1397</v>
      </c>
      <c r="K463" s="167" t="s">
        <v>160</v>
      </c>
      <c r="L463" s="167" t="s">
        <v>261</v>
      </c>
      <c r="M463" s="167" t="s">
        <v>2835</v>
      </c>
      <c r="N463" s="11">
        <v>0</v>
      </c>
      <c r="O463" s="12" t="str">
        <f>_xlfn.DISPIMG("ID_012851E191D54E319B75F7300CFFD208",1)</f>
        <v>=DISPIMG("ID_012851E191D54E319B75F7300CFFD208",1)</v>
      </c>
      <c r="P463" s="11" t="s">
        <v>2836</v>
      </c>
      <c r="Q463" s="11">
        <v>344</v>
      </c>
      <c r="R463" s="17" t="s">
        <v>4793</v>
      </c>
      <c r="S463" s="18" t="s">
        <v>76</v>
      </c>
      <c r="T463" s="25">
        <v>7</v>
      </c>
    </row>
    <row r="464" s="3" customFormat="1" customHeight="1" spans="1:20">
      <c r="A464" s="167" t="s">
        <v>2961</v>
      </c>
      <c r="B464" s="167" t="s">
        <v>153</v>
      </c>
      <c r="C464" s="167" t="s">
        <v>2962</v>
      </c>
      <c r="D464" s="11">
        <v>15180672774</v>
      </c>
      <c r="E464" s="167" t="s">
        <v>268</v>
      </c>
      <c r="F464" s="167" t="s">
        <v>16</v>
      </c>
      <c r="G464" s="11">
        <v>202101011</v>
      </c>
      <c r="H464" s="167" t="s">
        <v>157</v>
      </c>
      <c r="I464" s="167" t="s">
        <v>385</v>
      </c>
      <c r="J464" s="167" t="s">
        <v>2964</v>
      </c>
      <c r="K464" s="167" t="s">
        <v>170</v>
      </c>
      <c r="L464" s="167" t="s">
        <v>161</v>
      </c>
      <c r="M464" s="167" t="s">
        <v>1156</v>
      </c>
      <c r="N464" s="167" t="s">
        <v>2965</v>
      </c>
      <c r="O464" s="12" t="str">
        <f>_xlfn.DISPIMG("ID_7E33BA02CEC345A989E0186D8EADFECF",1)</f>
        <v>=DISPIMG("ID_7E33BA02CEC345A989E0186D8EADFECF",1)</v>
      </c>
      <c r="P464" s="11" t="s">
        <v>2966</v>
      </c>
      <c r="Q464" s="11">
        <v>364</v>
      </c>
      <c r="R464" s="17" t="s">
        <v>4798</v>
      </c>
      <c r="S464" s="18" t="s">
        <v>76</v>
      </c>
      <c r="T464" s="25">
        <v>5</v>
      </c>
    </row>
    <row r="465" s="3" customFormat="1" customHeight="1" spans="1:20">
      <c r="A465" s="167" t="s">
        <v>3116</v>
      </c>
      <c r="B465" s="167" t="s">
        <v>165</v>
      </c>
      <c r="C465" s="167" t="s">
        <v>3117</v>
      </c>
      <c r="D465" s="11">
        <v>15279286337</v>
      </c>
      <c r="E465" s="167" t="s">
        <v>268</v>
      </c>
      <c r="F465" s="167" t="s">
        <v>16</v>
      </c>
      <c r="G465" s="11">
        <v>202101011</v>
      </c>
      <c r="H465" s="167" t="s">
        <v>157</v>
      </c>
      <c r="I465" s="167" t="s">
        <v>385</v>
      </c>
      <c r="J465" s="167" t="s">
        <v>3119</v>
      </c>
      <c r="K465" s="167" t="s">
        <v>170</v>
      </c>
      <c r="L465" s="167" t="s">
        <v>161</v>
      </c>
      <c r="M465" s="167" t="s">
        <v>190</v>
      </c>
      <c r="N465" s="11">
        <v>0</v>
      </c>
      <c r="O465" s="12" t="str">
        <f>_xlfn.DISPIMG("ID_BC4D6E67EBDF472A876E1598CD3DE965",1)</f>
        <v>=DISPIMG("ID_BC4D6E67EBDF472A876E1598CD3DE965",1)</v>
      </c>
      <c r="P465" s="11" t="s">
        <v>3120</v>
      </c>
      <c r="Q465" s="11">
        <v>385</v>
      </c>
      <c r="R465" s="17" t="s">
        <v>4803</v>
      </c>
      <c r="S465" s="18" t="s">
        <v>76</v>
      </c>
      <c r="T465" s="25">
        <v>8</v>
      </c>
    </row>
    <row r="466" s="3" customFormat="1" customHeight="1" spans="1:20">
      <c r="A466" s="167" t="s">
        <v>3022</v>
      </c>
      <c r="B466" s="167" t="s">
        <v>165</v>
      </c>
      <c r="C466" s="167" t="s">
        <v>3023</v>
      </c>
      <c r="D466" s="11">
        <v>15870035090</v>
      </c>
      <c r="E466" s="167" t="s">
        <v>268</v>
      </c>
      <c r="F466" s="167" t="s">
        <v>16</v>
      </c>
      <c r="G466" s="11">
        <v>202101011</v>
      </c>
      <c r="H466" s="167" t="s">
        <v>157</v>
      </c>
      <c r="I466" s="167" t="s">
        <v>233</v>
      </c>
      <c r="J466" s="167" t="s">
        <v>1088</v>
      </c>
      <c r="K466" s="167" t="s">
        <v>170</v>
      </c>
      <c r="L466" s="167" t="s">
        <v>548</v>
      </c>
      <c r="M466" s="167" t="s">
        <v>1579</v>
      </c>
      <c r="N466" s="167" t="s">
        <v>3025</v>
      </c>
      <c r="O466" s="12" t="str">
        <f>_xlfn.DISPIMG("ID_B71153A1EE7A48CF8E15967732B6C043",1)</f>
        <v>=DISPIMG("ID_B71153A1EE7A48CF8E15967732B6C043",1)</v>
      </c>
      <c r="P466" s="11" t="s">
        <v>3026</v>
      </c>
      <c r="Q466" s="11">
        <v>412</v>
      </c>
      <c r="R466" s="17" t="s">
        <v>4778</v>
      </c>
      <c r="S466" s="18" t="s">
        <v>76</v>
      </c>
      <c r="T466" s="25">
        <v>4</v>
      </c>
    </row>
    <row r="467" s="3" customFormat="1" customHeight="1" spans="1:20">
      <c r="A467" s="167" t="s">
        <v>3507</v>
      </c>
      <c r="B467" s="167" t="s">
        <v>165</v>
      </c>
      <c r="C467" s="167" t="s">
        <v>3508</v>
      </c>
      <c r="D467" s="11">
        <v>15179282402</v>
      </c>
      <c r="E467" s="167" t="s">
        <v>384</v>
      </c>
      <c r="F467" s="167" t="s">
        <v>16</v>
      </c>
      <c r="G467" s="11">
        <v>202101012</v>
      </c>
      <c r="H467" s="167" t="s">
        <v>157</v>
      </c>
      <c r="I467" s="167" t="s">
        <v>158</v>
      </c>
      <c r="J467" s="167" t="s">
        <v>2742</v>
      </c>
      <c r="K467" s="167" t="s">
        <v>160</v>
      </c>
      <c r="L467" s="167" t="s">
        <v>281</v>
      </c>
      <c r="M467" s="167" t="s">
        <v>3510</v>
      </c>
      <c r="N467" s="11">
        <v>0</v>
      </c>
      <c r="O467" s="12" t="str">
        <f>_xlfn.DISPIMG("ID_F203C9D79BED4D608F3184BA9064F545",1)</f>
        <v>=DISPIMG("ID_F203C9D79BED4D608F3184BA9064F545",1)</v>
      </c>
      <c r="P467" s="11" t="s">
        <v>3511</v>
      </c>
      <c r="Q467" s="11">
        <v>445</v>
      </c>
      <c r="R467" s="17" t="s">
        <v>4779</v>
      </c>
      <c r="S467" s="18" t="s">
        <v>76</v>
      </c>
      <c r="T467" s="25">
        <v>9</v>
      </c>
    </row>
    <row r="468" s="3" customFormat="1" customHeight="1" spans="1:20">
      <c r="A468" s="167" t="s">
        <v>3833</v>
      </c>
      <c r="B468" s="167" t="s">
        <v>153</v>
      </c>
      <c r="C468" s="167" t="s">
        <v>3834</v>
      </c>
      <c r="D468" s="11">
        <v>15970472554</v>
      </c>
      <c r="E468" s="167" t="s">
        <v>268</v>
      </c>
      <c r="F468" s="167" t="s">
        <v>16</v>
      </c>
      <c r="G468" s="11">
        <v>202101011</v>
      </c>
      <c r="H468" s="167" t="s">
        <v>705</v>
      </c>
      <c r="I468" s="167" t="s">
        <v>1654</v>
      </c>
      <c r="J468" s="167" t="s">
        <v>3836</v>
      </c>
      <c r="K468" s="167" t="s">
        <v>160</v>
      </c>
      <c r="L468" s="167" t="s">
        <v>235</v>
      </c>
      <c r="M468" s="167" t="s">
        <v>16</v>
      </c>
      <c r="N468" s="167" t="s">
        <v>3837</v>
      </c>
      <c r="O468" s="12" t="str">
        <f>_xlfn.DISPIMG("ID_34928AEB616641BE854DC3D58FC2EECD",1)</f>
        <v>=DISPIMG("ID_34928AEB616641BE854DC3D58FC2EECD",1)</v>
      </c>
      <c r="P468" s="11" t="s">
        <v>3838</v>
      </c>
      <c r="Q468" s="11">
        <v>489</v>
      </c>
      <c r="R468" s="17" t="s">
        <v>4783</v>
      </c>
      <c r="S468" s="18" t="s">
        <v>76</v>
      </c>
      <c r="T468" s="25">
        <v>3</v>
      </c>
    </row>
    <row r="469" s="3" customFormat="1" customHeight="1" spans="1:20">
      <c r="A469" s="167" t="s">
        <v>4111</v>
      </c>
      <c r="B469" s="167" t="s">
        <v>153</v>
      </c>
      <c r="C469" s="167" t="s">
        <v>4112</v>
      </c>
      <c r="D469" s="11">
        <v>15155149842</v>
      </c>
      <c r="E469" s="167" t="s">
        <v>268</v>
      </c>
      <c r="F469" s="167" t="s">
        <v>16</v>
      </c>
      <c r="G469" s="11">
        <v>202101011</v>
      </c>
      <c r="H469" s="167" t="s">
        <v>705</v>
      </c>
      <c r="I469" s="167" t="s">
        <v>4114</v>
      </c>
      <c r="J469" s="167" t="s">
        <v>4115</v>
      </c>
      <c r="K469" s="167" t="s">
        <v>160</v>
      </c>
      <c r="L469" s="167" t="s">
        <v>161</v>
      </c>
      <c r="M469" s="167" t="s">
        <v>16</v>
      </c>
      <c r="N469" s="167" t="s">
        <v>4116</v>
      </c>
      <c r="O469" s="12" t="str">
        <f>_xlfn.DISPIMG("ID_AB3A7CA2D44F41A18DEECB4F4C161234",1)</f>
        <v>=DISPIMG("ID_AB3A7CA2D44F41A18DEECB4F4C161234",1)</v>
      </c>
      <c r="P469" s="11" t="s">
        <v>4117</v>
      </c>
      <c r="Q469" s="11">
        <v>526</v>
      </c>
      <c r="R469" s="17" t="s">
        <v>4784</v>
      </c>
      <c r="S469" s="18" t="s">
        <v>76</v>
      </c>
      <c r="T469" s="25">
        <v>10</v>
      </c>
    </row>
    <row r="470" s="3" customFormat="1" customHeight="1" spans="1:20">
      <c r="A470" s="167" t="s">
        <v>4184</v>
      </c>
      <c r="B470" s="167" t="s">
        <v>153</v>
      </c>
      <c r="C470" s="167" t="s">
        <v>4185</v>
      </c>
      <c r="D470" s="11">
        <v>15779857764</v>
      </c>
      <c r="E470" s="167" t="s">
        <v>384</v>
      </c>
      <c r="F470" s="167" t="s">
        <v>16</v>
      </c>
      <c r="G470" s="11">
        <v>202101012</v>
      </c>
      <c r="H470" s="167" t="s">
        <v>157</v>
      </c>
      <c r="I470" s="167" t="s">
        <v>507</v>
      </c>
      <c r="J470" s="167" t="s">
        <v>977</v>
      </c>
      <c r="K470" s="167" t="s">
        <v>170</v>
      </c>
      <c r="L470" s="167" t="s">
        <v>281</v>
      </c>
      <c r="M470" s="167" t="s">
        <v>16</v>
      </c>
      <c r="N470" s="167" t="s">
        <v>4187</v>
      </c>
      <c r="O470" s="12" t="str">
        <f>_xlfn.DISPIMG("ID_CB7789B563324522805F1ED9D1BFD221",1)</f>
        <v>=DISPIMG("ID_CB7789B563324522805F1ED9D1BFD221",1)</v>
      </c>
      <c r="P470" s="11" t="s">
        <v>4188</v>
      </c>
      <c r="Q470" s="11">
        <v>535</v>
      </c>
      <c r="R470" s="17" t="s">
        <v>4788</v>
      </c>
      <c r="S470" s="18" t="s">
        <v>76</v>
      </c>
      <c r="T470" s="25">
        <v>2</v>
      </c>
    </row>
    <row r="471" s="3" customFormat="1" customHeight="1" spans="1:20">
      <c r="A471" s="167" t="s">
        <v>4222</v>
      </c>
      <c r="B471" s="167" t="s">
        <v>165</v>
      </c>
      <c r="C471" s="167" t="s">
        <v>4223</v>
      </c>
      <c r="D471" s="11">
        <v>18170013045</v>
      </c>
      <c r="E471" s="167" t="s">
        <v>268</v>
      </c>
      <c r="F471" s="167" t="s">
        <v>16</v>
      </c>
      <c r="G471" s="11">
        <v>202101011</v>
      </c>
      <c r="H471" s="167" t="s">
        <v>157</v>
      </c>
      <c r="I471" s="167" t="s">
        <v>385</v>
      </c>
      <c r="J471" s="167" t="s">
        <v>4225</v>
      </c>
      <c r="K471" s="167" t="s">
        <v>170</v>
      </c>
      <c r="L471" s="167" t="s">
        <v>224</v>
      </c>
      <c r="M471" s="167" t="s">
        <v>16</v>
      </c>
      <c r="N471" s="167" t="s">
        <v>4226</v>
      </c>
      <c r="O471" s="12" t="str">
        <f>_xlfn.DISPIMG("ID_6A583EA485744871AED4CEE0D95D9DC4",1)</f>
        <v>=DISPIMG("ID_6A583EA485744871AED4CEE0D95D9DC4",1)</v>
      </c>
      <c r="P471" s="11" t="s">
        <v>4227</v>
      </c>
      <c r="Q471" s="11">
        <v>540</v>
      </c>
      <c r="R471" s="17" t="s">
        <v>4789</v>
      </c>
      <c r="S471" s="18" t="s">
        <v>76</v>
      </c>
      <c r="T471" s="25">
        <v>11</v>
      </c>
    </row>
    <row r="472" s="3" customFormat="1" customHeight="1" spans="1:20">
      <c r="A472" s="167" t="s">
        <v>4251</v>
      </c>
      <c r="B472" s="167" t="s">
        <v>153</v>
      </c>
      <c r="C472" s="167" t="s">
        <v>4252</v>
      </c>
      <c r="D472" s="11">
        <v>13340012018</v>
      </c>
      <c r="E472" s="167" t="s">
        <v>268</v>
      </c>
      <c r="F472" s="167" t="s">
        <v>16</v>
      </c>
      <c r="G472" s="11">
        <v>202101011</v>
      </c>
      <c r="H472" s="167" t="s">
        <v>705</v>
      </c>
      <c r="I472" s="167" t="s">
        <v>233</v>
      </c>
      <c r="J472" s="167" t="s">
        <v>4254</v>
      </c>
      <c r="K472" s="167" t="s">
        <v>160</v>
      </c>
      <c r="L472" s="167" t="s">
        <v>455</v>
      </c>
      <c r="M472" s="167" t="s">
        <v>16</v>
      </c>
      <c r="N472" s="167" t="s">
        <v>4255</v>
      </c>
      <c r="O472" s="12" t="str">
        <f>_xlfn.DISPIMG("ID_7B994A5EE1894E46909466AD8B994299",1)</f>
        <v>=DISPIMG("ID_7B994A5EE1894E46909466AD8B994299",1)</v>
      </c>
      <c r="P472" s="11" t="s">
        <v>4256</v>
      </c>
      <c r="Q472" s="11">
        <v>544</v>
      </c>
      <c r="R472" s="17" t="s">
        <v>4794</v>
      </c>
      <c r="S472" s="18" t="s">
        <v>76</v>
      </c>
      <c r="T472" s="25">
        <v>1</v>
      </c>
    </row>
    <row r="473" s="3" customFormat="1" customHeight="1" spans="1:20">
      <c r="A473" s="167" t="s">
        <v>1061</v>
      </c>
      <c r="B473" s="167" t="s">
        <v>165</v>
      </c>
      <c r="C473" s="167" t="s">
        <v>1062</v>
      </c>
      <c r="D473" s="11">
        <v>18370272213</v>
      </c>
      <c r="E473" s="167" t="s">
        <v>268</v>
      </c>
      <c r="F473" s="167" t="s">
        <v>17</v>
      </c>
      <c r="G473" s="11">
        <v>202101017</v>
      </c>
      <c r="H473" s="167" t="s">
        <v>157</v>
      </c>
      <c r="I473" s="167" t="s">
        <v>269</v>
      </c>
      <c r="J473" s="167" t="s">
        <v>290</v>
      </c>
      <c r="K473" s="167" t="s">
        <v>170</v>
      </c>
      <c r="L473" s="167" t="s">
        <v>261</v>
      </c>
      <c r="M473" s="167" t="s">
        <v>1064</v>
      </c>
      <c r="N473" s="11">
        <v>0</v>
      </c>
      <c r="O473" s="12" t="str">
        <f>_xlfn.DISPIMG("ID_9916007E0F6C44BAA2C2DFDD815EDF7E",1)</f>
        <v>=DISPIMG("ID_9916007E0F6C44BAA2C2DFDD815EDF7E",1)</v>
      </c>
      <c r="P473" s="11" t="s">
        <v>1065</v>
      </c>
      <c r="Q473" s="20">
        <v>110</v>
      </c>
      <c r="R473" s="17" t="s">
        <v>4795</v>
      </c>
      <c r="S473" s="18" t="s">
        <v>76</v>
      </c>
      <c r="T473" s="25">
        <v>16</v>
      </c>
    </row>
    <row r="474" s="3" customFormat="1" customHeight="1" spans="1:20">
      <c r="A474" s="167" t="s">
        <v>1365</v>
      </c>
      <c r="B474" s="167" t="s">
        <v>153</v>
      </c>
      <c r="C474" s="167" t="s">
        <v>1366</v>
      </c>
      <c r="D474" s="11">
        <v>15720964071</v>
      </c>
      <c r="E474" s="167" t="s">
        <v>268</v>
      </c>
      <c r="F474" s="167" t="s">
        <v>17</v>
      </c>
      <c r="G474" s="11">
        <v>202101017</v>
      </c>
      <c r="H474" s="167" t="s">
        <v>157</v>
      </c>
      <c r="I474" s="167" t="s">
        <v>1368</v>
      </c>
      <c r="J474" s="167" t="s">
        <v>290</v>
      </c>
      <c r="K474" s="167" t="s">
        <v>170</v>
      </c>
      <c r="L474" s="167" t="s">
        <v>455</v>
      </c>
      <c r="M474" s="167" t="s">
        <v>1369</v>
      </c>
      <c r="N474" s="11">
        <v>0</v>
      </c>
      <c r="O474" s="12" t="str">
        <f>_xlfn.DISPIMG("ID_EB5AC667C054437CBFE2486B339F8A77",1)</f>
        <v>=DISPIMG("ID_EB5AC667C054437CBFE2486B339F8A77",1)</v>
      </c>
      <c r="P474" s="11" t="s">
        <v>1370</v>
      </c>
      <c r="Q474" s="20">
        <v>149</v>
      </c>
      <c r="R474" s="17" t="s">
        <v>4799</v>
      </c>
      <c r="S474" s="18" t="s">
        <v>76</v>
      </c>
      <c r="T474" s="25">
        <v>15</v>
      </c>
    </row>
    <row r="475" s="3" customFormat="1" customHeight="1" spans="1:20">
      <c r="A475" s="167" t="s">
        <v>2805</v>
      </c>
      <c r="B475" s="167" t="s">
        <v>153</v>
      </c>
      <c r="C475" s="167" t="s">
        <v>2806</v>
      </c>
      <c r="D475" s="11">
        <v>15350253333</v>
      </c>
      <c r="E475" s="167" t="s">
        <v>268</v>
      </c>
      <c r="F475" s="167" t="s">
        <v>17</v>
      </c>
      <c r="G475" s="11">
        <v>202101007</v>
      </c>
      <c r="H475" s="167" t="s">
        <v>157</v>
      </c>
      <c r="I475" s="167" t="s">
        <v>269</v>
      </c>
      <c r="J475" s="167" t="s">
        <v>290</v>
      </c>
      <c r="K475" s="167" t="s">
        <v>170</v>
      </c>
      <c r="L475" s="167" t="s">
        <v>368</v>
      </c>
      <c r="M475" s="167" t="s">
        <v>17</v>
      </c>
      <c r="N475" s="167" t="s">
        <v>2808</v>
      </c>
      <c r="O475" s="12" t="str">
        <f>_xlfn.DISPIMG("ID_7C47A0694F0147EB860DAA1E2F9E87A3",1)</f>
        <v>=DISPIMG("ID_7C47A0694F0147EB860DAA1E2F9E87A3",1)</v>
      </c>
      <c r="P475" s="11" t="s">
        <v>2809</v>
      </c>
      <c r="Q475" s="11">
        <v>340</v>
      </c>
      <c r="R475" s="17" t="s">
        <v>4800</v>
      </c>
      <c r="S475" s="18" t="s">
        <v>76</v>
      </c>
      <c r="T475" s="25">
        <v>14</v>
      </c>
    </row>
    <row r="476" s="3" customFormat="1" customHeight="1" spans="1:20">
      <c r="A476" s="167" t="s">
        <v>3099</v>
      </c>
      <c r="B476" s="167" t="s">
        <v>165</v>
      </c>
      <c r="C476" s="167" t="s">
        <v>3100</v>
      </c>
      <c r="D476" s="11">
        <v>15720976892</v>
      </c>
      <c r="E476" s="167" t="s">
        <v>384</v>
      </c>
      <c r="F476" s="167" t="s">
        <v>17</v>
      </c>
      <c r="G476" s="11">
        <v>202101018</v>
      </c>
      <c r="H476" s="167" t="s">
        <v>157</v>
      </c>
      <c r="I476" s="167" t="s">
        <v>385</v>
      </c>
      <c r="J476" s="167" t="s">
        <v>290</v>
      </c>
      <c r="K476" s="167" t="s">
        <v>170</v>
      </c>
      <c r="L476" s="167" t="s">
        <v>577</v>
      </c>
      <c r="M476" s="167" t="s">
        <v>3102</v>
      </c>
      <c r="N476" s="167" t="s">
        <v>3103</v>
      </c>
      <c r="O476" s="12" t="str">
        <f>_xlfn.DISPIMG("ID_FEEAA5237B6C4B708D314FC0E0560DA3",1)</f>
        <v>=DISPIMG("ID_FEEAA5237B6C4B708D314FC0E0560DA3",1)</v>
      </c>
      <c r="P476" s="11" t="s">
        <v>3104</v>
      </c>
      <c r="Q476" s="20">
        <v>383</v>
      </c>
      <c r="R476" s="17" t="s">
        <v>4804</v>
      </c>
      <c r="S476" s="18" t="s">
        <v>76</v>
      </c>
      <c r="T476" s="25">
        <v>12</v>
      </c>
    </row>
    <row r="477" s="3" customFormat="1" customHeight="1" spans="1:20">
      <c r="A477" s="167" t="s">
        <v>3192</v>
      </c>
      <c r="B477" s="167" t="s">
        <v>165</v>
      </c>
      <c r="C477" s="167" t="s">
        <v>3193</v>
      </c>
      <c r="D477" s="11">
        <v>13361729367</v>
      </c>
      <c r="E477" s="167" t="s">
        <v>268</v>
      </c>
      <c r="F477" s="167" t="s">
        <v>17</v>
      </c>
      <c r="G477" s="11">
        <v>202101017</v>
      </c>
      <c r="H477" s="167" t="s">
        <v>157</v>
      </c>
      <c r="I477" s="167" t="s">
        <v>1258</v>
      </c>
      <c r="J477" s="167" t="s">
        <v>3195</v>
      </c>
      <c r="K477" s="167" t="s">
        <v>170</v>
      </c>
      <c r="L477" s="167" t="s">
        <v>216</v>
      </c>
      <c r="M477" s="167" t="s">
        <v>17</v>
      </c>
      <c r="N477" s="167" t="s">
        <v>3196</v>
      </c>
      <c r="O477" s="12" t="str">
        <f>_xlfn.DISPIMG("ID_F0B384F7F2BD4ECB81B75D08A62A8621",1)</f>
        <v>=DISPIMG("ID_F0B384F7F2BD4ECB81B75D08A62A8621",1)</v>
      </c>
      <c r="P477" s="11" t="s">
        <v>3197</v>
      </c>
      <c r="Q477" s="20">
        <v>397</v>
      </c>
      <c r="R477" s="17" t="s">
        <v>4805</v>
      </c>
      <c r="S477" s="18" t="s">
        <v>76</v>
      </c>
      <c r="T477" s="25">
        <v>13</v>
      </c>
    </row>
    <row r="478" s="3" customFormat="1" customHeight="1" spans="1:20">
      <c r="A478" s="167" t="s">
        <v>1294</v>
      </c>
      <c r="B478" s="167" t="s">
        <v>165</v>
      </c>
      <c r="C478" s="167" t="s">
        <v>1295</v>
      </c>
      <c r="D478" s="11">
        <v>16607139534</v>
      </c>
      <c r="E478" s="167" t="s">
        <v>384</v>
      </c>
      <c r="F478" s="167" t="s">
        <v>18</v>
      </c>
      <c r="G478" s="11">
        <v>202101024</v>
      </c>
      <c r="H478" s="167" t="s">
        <v>705</v>
      </c>
      <c r="I478" s="167" t="s">
        <v>1297</v>
      </c>
      <c r="J478" s="167" t="s">
        <v>323</v>
      </c>
      <c r="K478" s="167" t="s">
        <v>160</v>
      </c>
      <c r="L478" s="167" t="s">
        <v>455</v>
      </c>
      <c r="M478" s="167" t="s">
        <v>18</v>
      </c>
      <c r="N478" s="167" t="s">
        <v>1298</v>
      </c>
      <c r="O478" s="12" t="str">
        <f>_xlfn.DISPIMG("ID_0467DD9C16B84F62946A6DA8763F5DB1",1)</f>
        <v>=DISPIMG("ID_0467DD9C16B84F62946A6DA8763F5DB1",1)</v>
      </c>
      <c r="P478" s="11" t="s">
        <v>1299</v>
      </c>
      <c r="Q478" s="11">
        <v>140</v>
      </c>
      <c r="R478" s="17" t="s">
        <v>4780</v>
      </c>
      <c r="S478" s="18" t="s">
        <v>76</v>
      </c>
      <c r="T478" s="25">
        <v>18</v>
      </c>
    </row>
    <row r="479" s="3" customFormat="1" customHeight="1" spans="1:20">
      <c r="A479" s="167" t="s">
        <v>1387</v>
      </c>
      <c r="B479" s="167" t="s">
        <v>165</v>
      </c>
      <c r="C479" s="167" t="s">
        <v>1388</v>
      </c>
      <c r="D479" s="11">
        <v>15079175259</v>
      </c>
      <c r="E479" s="167" t="s">
        <v>156</v>
      </c>
      <c r="F479" s="167" t="s">
        <v>18</v>
      </c>
      <c r="G479" s="11">
        <v>202101012</v>
      </c>
      <c r="H479" s="167" t="s">
        <v>157</v>
      </c>
      <c r="I479" s="167" t="s">
        <v>827</v>
      </c>
      <c r="J479" s="167" t="s">
        <v>1390</v>
      </c>
      <c r="K479" s="167" t="s">
        <v>170</v>
      </c>
      <c r="L479" s="167" t="s">
        <v>261</v>
      </c>
      <c r="M479" s="167" t="s">
        <v>18</v>
      </c>
      <c r="N479" s="11">
        <v>0</v>
      </c>
      <c r="O479" s="12" t="str">
        <f>_xlfn.DISPIMG("ID_22A5305EF7CD44458C8E85EF1B5003E3",1)</f>
        <v>=DISPIMG("ID_22A5305EF7CD44458C8E85EF1B5003E3",1)</v>
      </c>
      <c r="P479" s="11" t="s">
        <v>1391</v>
      </c>
      <c r="Q479" s="20">
        <v>152</v>
      </c>
      <c r="R479" s="17" t="s">
        <v>4781</v>
      </c>
      <c r="S479" s="18" t="s">
        <v>76</v>
      </c>
      <c r="T479" s="25">
        <v>19</v>
      </c>
    </row>
    <row r="480" s="3" customFormat="1" customHeight="1" spans="1:20">
      <c r="A480" s="167" t="s">
        <v>1789</v>
      </c>
      <c r="B480" s="167" t="s">
        <v>165</v>
      </c>
      <c r="C480" s="167" t="s">
        <v>1790</v>
      </c>
      <c r="D480" s="11">
        <v>15350130023</v>
      </c>
      <c r="E480" s="167" t="s">
        <v>384</v>
      </c>
      <c r="F480" s="167" t="s">
        <v>18</v>
      </c>
      <c r="G480" s="11">
        <v>202101023</v>
      </c>
      <c r="H480" s="167" t="s">
        <v>157</v>
      </c>
      <c r="I480" s="167" t="s">
        <v>1792</v>
      </c>
      <c r="J480" s="167" t="s">
        <v>1793</v>
      </c>
      <c r="K480" s="167" t="s">
        <v>160</v>
      </c>
      <c r="L480" s="167" t="s">
        <v>455</v>
      </c>
      <c r="M480" s="167" t="s">
        <v>1794</v>
      </c>
      <c r="N480" s="11">
        <v>0</v>
      </c>
      <c r="O480" s="12" t="str">
        <f>_xlfn.DISPIMG("ID_F2D31DD52A09466996724F8ACF5386A0",1)</f>
        <v>=DISPIMG("ID_F2D31DD52A09466996724F8ACF5386A0",1)</v>
      </c>
      <c r="P480" s="11" t="s">
        <v>1795</v>
      </c>
      <c r="Q480" s="11">
        <v>204</v>
      </c>
      <c r="R480" s="17" t="s">
        <v>4782</v>
      </c>
      <c r="S480" s="18" t="s">
        <v>76</v>
      </c>
      <c r="T480" s="25">
        <v>17</v>
      </c>
    </row>
    <row r="481" s="3" customFormat="1" customHeight="1" spans="1:20">
      <c r="A481" s="167" t="s">
        <v>3051</v>
      </c>
      <c r="B481" s="167" t="s">
        <v>165</v>
      </c>
      <c r="C481" s="167" t="s">
        <v>3052</v>
      </c>
      <c r="D481" s="11">
        <v>18779104869</v>
      </c>
      <c r="E481" s="167" t="s">
        <v>384</v>
      </c>
      <c r="F481" s="167" t="s">
        <v>18</v>
      </c>
      <c r="G481" s="11">
        <v>202101024</v>
      </c>
      <c r="H481" s="167" t="s">
        <v>157</v>
      </c>
      <c r="I481" s="167" t="s">
        <v>3054</v>
      </c>
      <c r="J481" s="167" t="s">
        <v>404</v>
      </c>
      <c r="K481" s="167" t="s">
        <v>160</v>
      </c>
      <c r="L481" s="167" t="s">
        <v>455</v>
      </c>
      <c r="M481" s="167" t="s">
        <v>18</v>
      </c>
      <c r="N481" s="11">
        <v>0</v>
      </c>
      <c r="O481" s="12" t="str">
        <f>_xlfn.DISPIMG("ID_030DD5A3CEBA48E5AA84D6300BCE898E",1)</f>
        <v>=DISPIMG("ID_030DD5A3CEBA48E5AA84D6300BCE898E",1)</v>
      </c>
      <c r="P481" s="11" t="s">
        <v>3055</v>
      </c>
      <c r="Q481" s="11">
        <v>377</v>
      </c>
      <c r="R481" s="17" t="s">
        <v>4785</v>
      </c>
      <c r="S481" s="18" t="s">
        <v>76</v>
      </c>
      <c r="T481" s="25">
        <v>20</v>
      </c>
    </row>
    <row r="482" s="3" customFormat="1" customHeight="1" spans="1:20">
      <c r="A482" s="167" t="s">
        <v>702</v>
      </c>
      <c r="B482" s="167" t="s">
        <v>165</v>
      </c>
      <c r="C482" s="167" t="s">
        <v>703</v>
      </c>
      <c r="D482" s="11">
        <v>18720956827</v>
      </c>
      <c r="E482" s="167" t="s">
        <v>384</v>
      </c>
      <c r="F482" s="167" t="s">
        <v>26</v>
      </c>
      <c r="G482" s="11">
        <v>202101002</v>
      </c>
      <c r="H482" s="167" t="s">
        <v>705</v>
      </c>
      <c r="I482" s="167" t="s">
        <v>233</v>
      </c>
      <c r="J482" s="167" t="s">
        <v>706</v>
      </c>
      <c r="K482" s="167" t="s">
        <v>170</v>
      </c>
      <c r="L482" s="167" t="s">
        <v>161</v>
      </c>
      <c r="M482" s="167" t="s">
        <v>707</v>
      </c>
      <c r="N482" s="167" t="s">
        <v>708</v>
      </c>
      <c r="O482" s="12" t="str">
        <f>_xlfn.DISPIMG("ID_0553F27943C1489A99AB032B2AD0761A",1)</f>
        <v>=DISPIMG("ID_0553F27943C1489A99AB032B2AD0761A",1)</v>
      </c>
      <c r="P482" s="11" t="s">
        <v>709</v>
      </c>
      <c r="Q482" s="11">
        <v>66</v>
      </c>
      <c r="R482" s="17" t="s">
        <v>4786</v>
      </c>
      <c r="S482" s="18" t="s">
        <v>80</v>
      </c>
      <c r="T482" s="25">
        <v>6</v>
      </c>
    </row>
    <row r="483" s="3" customFormat="1" customHeight="1" spans="1:20">
      <c r="A483" s="167" t="s">
        <v>817</v>
      </c>
      <c r="B483" s="167" t="s">
        <v>165</v>
      </c>
      <c r="C483" s="167" t="s">
        <v>818</v>
      </c>
      <c r="D483" s="11">
        <v>15270286273</v>
      </c>
      <c r="E483" s="167" t="s">
        <v>297</v>
      </c>
      <c r="F483" s="167" t="s">
        <v>26</v>
      </c>
      <c r="G483" s="11">
        <v>202101003</v>
      </c>
      <c r="H483" s="167" t="s">
        <v>157</v>
      </c>
      <c r="I483" s="167" t="s">
        <v>820</v>
      </c>
      <c r="J483" s="167" t="s">
        <v>454</v>
      </c>
      <c r="K483" s="167" t="s">
        <v>160</v>
      </c>
      <c r="L483" s="167" t="s">
        <v>252</v>
      </c>
      <c r="M483" s="167" t="s">
        <v>26</v>
      </c>
      <c r="N483" s="11">
        <v>0</v>
      </c>
      <c r="O483" s="12" t="str">
        <f>_xlfn.DISPIMG("ID_D94148DE170D425EB66AE2DFFF655A13",1)</f>
        <v>=DISPIMG("ID_D94148DE170D425EB66AE2DFFF655A13",1)</v>
      </c>
      <c r="P483" s="11" t="s">
        <v>821</v>
      </c>
      <c r="Q483" s="11">
        <v>80</v>
      </c>
      <c r="R483" s="17" t="s">
        <v>4787</v>
      </c>
      <c r="S483" s="18" t="s">
        <v>80</v>
      </c>
      <c r="T483" s="25">
        <v>7</v>
      </c>
    </row>
    <row r="484" s="3" customFormat="1" customHeight="1" spans="1:20">
      <c r="A484" s="167" t="s">
        <v>898</v>
      </c>
      <c r="B484" s="167" t="s">
        <v>165</v>
      </c>
      <c r="C484" s="167" t="s">
        <v>899</v>
      </c>
      <c r="D484" s="11">
        <v>18970287322</v>
      </c>
      <c r="E484" s="167" t="s">
        <v>268</v>
      </c>
      <c r="F484" s="167" t="s">
        <v>26</v>
      </c>
      <c r="G484" s="11">
        <v>202101001</v>
      </c>
      <c r="H484" s="167" t="s">
        <v>157</v>
      </c>
      <c r="I484" s="167" t="s">
        <v>901</v>
      </c>
      <c r="J484" s="167" t="s">
        <v>454</v>
      </c>
      <c r="K484" s="167" t="s">
        <v>170</v>
      </c>
      <c r="L484" s="167" t="s">
        <v>235</v>
      </c>
      <c r="M484" s="167" t="s">
        <v>26</v>
      </c>
      <c r="N484" s="167" t="s">
        <v>902</v>
      </c>
      <c r="O484" s="12" t="str">
        <f>_xlfn.DISPIMG("ID_1BFE84DC97BC469ABB3506659F95FD8E",1)</f>
        <v>=DISPIMG("ID_1BFE84DC97BC469ABB3506659F95FD8E",1)</v>
      </c>
      <c r="P484" s="11" t="s">
        <v>903</v>
      </c>
      <c r="Q484" s="11">
        <v>90</v>
      </c>
      <c r="R484" s="17" t="s">
        <v>4790</v>
      </c>
      <c r="S484" s="18" t="s">
        <v>80</v>
      </c>
      <c r="T484" s="25">
        <v>5</v>
      </c>
    </row>
    <row r="485" s="3" customFormat="1" customHeight="1" spans="1:20">
      <c r="A485" s="167" t="s">
        <v>932</v>
      </c>
      <c r="B485" s="167" t="s">
        <v>165</v>
      </c>
      <c r="C485" s="167" t="s">
        <v>933</v>
      </c>
      <c r="D485" s="11">
        <v>15373854743</v>
      </c>
      <c r="E485" s="167" t="s">
        <v>268</v>
      </c>
      <c r="F485" s="167" t="s">
        <v>26</v>
      </c>
      <c r="G485" s="11">
        <v>202101001</v>
      </c>
      <c r="H485" s="167" t="s">
        <v>157</v>
      </c>
      <c r="I485" s="167" t="s">
        <v>935</v>
      </c>
      <c r="J485" s="167" t="s">
        <v>936</v>
      </c>
      <c r="K485" s="167" t="s">
        <v>170</v>
      </c>
      <c r="L485" s="167" t="s">
        <v>252</v>
      </c>
      <c r="M485" s="167" t="s">
        <v>26</v>
      </c>
      <c r="N485" s="167" t="s">
        <v>937</v>
      </c>
      <c r="O485" s="12" t="str">
        <f>_xlfn.DISPIMG("ID_B0F72DE4E87649C28924E4AA265BAF06",1)</f>
        <v>=DISPIMG("ID_B0F72DE4E87649C28924E4AA265BAF06",1)</v>
      </c>
      <c r="P485" s="11" t="s">
        <v>938</v>
      </c>
      <c r="Q485" s="11">
        <v>94</v>
      </c>
      <c r="R485" s="17" t="s">
        <v>4791</v>
      </c>
      <c r="S485" s="18" t="s">
        <v>80</v>
      </c>
      <c r="T485" s="25">
        <v>8</v>
      </c>
    </row>
    <row r="486" s="3" customFormat="1" customHeight="1" spans="1:20">
      <c r="A486" s="167" t="s">
        <v>1566</v>
      </c>
      <c r="B486" s="167" t="s">
        <v>165</v>
      </c>
      <c r="C486" s="167" t="s">
        <v>1567</v>
      </c>
      <c r="D486" s="11">
        <v>13535561771</v>
      </c>
      <c r="E486" s="167" t="s">
        <v>268</v>
      </c>
      <c r="F486" s="167" t="s">
        <v>26</v>
      </c>
      <c r="G486" s="11">
        <v>202101001</v>
      </c>
      <c r="H486" s="167" t="s">
        <v>705</v>
      </c>
      <c r="I486" s="167" t="s">
        <v>1569</v>
      </c>
      <c r="J486" s="167" t="s">
        <v>1570</v>
      </c>
      <c r="K486" s="167" t="s">
        <v>160</v>
      </c>
      <c r="L486" s="167" t="s">
        <v>171</v>
      </c>
      <c r="M486" s="167" t="s">
        <v>1571</v>
      </c>
      <c r="N486" s="11">
        <v>0</v>
      </c>
      <c r="O486" s="12" t="str">
        <f>_xlfn.DISPIMG("ID_F9DBEEB152DD4F6D9E9954F28F8B48D4",1)</f>
        <v>=DISPIMG("ID_F9DBEEB152DD4F6D9E9954F28F8B48D4",1)</v>
      </c>
      <c r="P486" s="11" t="s">
        <v>1572</v>
      </c>
      <c r="Q486" s="11">
        <v>175</v>
      </c>
      <c r="R486" s="17" t="s">
        <v>4792</v>
      </c>
      <c r="S486" s="18" t="s">
        <v>80</v>
      </c>
      <c r="T486" s="25">
        <v>4</v>
      </c>
    </row>
    <row r="487" s="3" customFormat="1" customHeight="1" spans="1:20">
      <c r="A487" s="167" t="s">
        <v>1606</v>
      </c>
      <c r="B487" s="167" t="s">
        <v>165</v>
      </c>
      <c r="C487" s="167" t="s">
        <v>1607</v>
      </c>
      <c r="D487" s="11">
        <v>15180623635</v>
      </c>
      <c r="E487" s="167" t="s">
        <v>384</v>
      </c>
      <c r="F487" s="167" t="s">
        <v>26</v>
      </c>
      <c r="G487" s="11">
        <v>202101002</v>
      </c>
      <c r="H487" s="167" t="s">
        <v>705</v>
      </c>
      <c r="I487" s="167" t="s">
        <v>1112</v>
      </c>
      <c r="J487" s="167" t="s">
        <v>1489</v>
      </c>
      <c r="K487" s="167" t="s">
        <v>170</v>
      </c>
      <c r="L487" s="167" t="s">
        <v>261</v>
      </c>
      <c r="M487" s="167" t="s">
        <v>26</v>
      </c>
      <c r="N487" s="167" t="s">
        <v>1609</v>
      </c>
      <c r="O487" s="12" t="str">
        <f>_xlfn.DISPIMG("ID_D4D81D5180FB4698ABF9FADCA15E9025",1)</f>
        <v>=DISPIMG("ID_D4D81D5180FB4698ABF9FADCA15E9025",1)</v>
      </c>
      <c r="P487" s="11" t="s">
        <v>1610</v>
      </c>
      <c r="Q487" s="11">
        <v>180</v>
      </c>
      <c r="R487" s="17" t="s">
        <v>4796</v>
      </c>
      <c r="S487" s="18" t="s">
        <v>80</v>
      </c>
      <c r="T487" s="25">
        <v>9</v>
      </c>
    </row>
    <row r="488" s="3" customFormat="1" customHeight="1" spans="1:20">
      <c r="A488" s="167" t="s">
        <v>1932</v>
      </c>
      <c r="B488" s="167" t="s">
        <v>165</v>
      </c>
      <c r="C488" s="167" t="s">
        <v>1933</v>
      </c>
      <c r="D488" s="11">
        <v>13507099496</v>
      </c>
      <c r="E488" s="167" t="s">
        <v>384</v>
      </c>
      <c r="F488" s="167" t="s">
        <v>26</v>
      </c>
      <c r="G488" s="11">
        <v>202101002</v>
      </c>
      <c r="H488" s="167" t="s">
        <v>157</v>
      </c>
      <c r="I488" s="167" t="s">
        <v>827</v>
      </c>
      <c r="J488" s="167" t="s">
        <v>454</v>
      </c>
      <c r="K488" s="167" t="s">
        <v>170</v>
      </c>
      <c r="L488" s="167" t="s">
        <v>199</v>
      </c>
      <c r="M488" s="167" t="s">
        <v>324</v>
      </c>
      <c r="N488" s="167" t="s">
        <v>1935</v>
      </c>
      <c r="O488" s="12" t="str">
        <f>_xlfn.DISPIMG("ID_4ED50304A31443EC8E946100C168F137",1)</f>
        <v>=DISPIMG("ID_4ED50304A31443EC8E946100C168F137",1)</v>
      </c>
      <c r="P488" s="11" t="s">
        <v>1936</v>
      </c>
      <c r="Q488" s="11">
        <v>223</v>
      </c>
      <c r="R488" s="17" t="s">
        <v>4797</v>
      </c>
      <c r="S488" s="18" t="s">
        <v>80</v>
      </c>
      <c r="T488" s="25">
        <v>3</v>
      </c>
    </row>
    <row r="489" s="3" customFormat="1" customHeight="1" spans="1:20">
      <c r="A489" s="167" t="s">
        <v>3359</v>
      </c>
      <c r="B489" s="167" t="s">
        <v>165</v>
      </c>
      <c r="C489" s="167" t="s">
        <v>3360</v>
      </c>
      <c r="D489" s="11">
        <v>18970285935</v>
      </c>
      <c r="E489" s="167" t="s">
        <v>297</v>
      </c>
      <c r="F489" s="167" t="s">
        <v>26</v>
      </c>
      <c r="G489" s="11">
        <v>202101003</v>
      </c>
      <c r="H489" s="167" t="s">
        <v>157</v>
      </c>
      <c r="I489" s="167" t="s">
        <v>1213</v>
      </c>
      <c r="J489" s="167" t="s">
        <v>3362</v>
      </c>
      <c r="K489" s="167" t="s">
        <v>160</v>
      </c>
      <c r="L489" s="167" t="s">
        <v>224</v>
      </c>
      <c r="M489" s="167" t="s">
        <v>26</v>
      </c>
      <c r="N489" s="11">
        <v>0</v>
      </c>
      <c r="O489" s="12" t="str">
        <f>_xlfn.DISPIMG("ID_8997E37C597A4A678DEC3DE2B773630A",1)</f>
        <v>=DISPIMG("ID_8997E37C597A4A678DEC3DE2B773630A",1)</v>
      </c>
      <c r="P489" s="11" t="s">
        <v>3363</v>
      </c>
      <c r="Q489" s="11">
        <v>423</v>
      </c>
      <c r="R489" s="17" t="s">
        <v>4801</v>
      </c>
      <c r="S489" s="18" t="s">
        <v>80</v>
      </c>
      <c r="T489" s="25">
        <v>2</v>
      </c>
    </row>
    <row r="490" s="3" customFormat="1" customHeight="1" spans="1:20">
      <c r="A490" s="167" t="s">
        <v>4127</v>
      </c>
      <c r="B490" s="167" t="s">
        <v>165</v>
      </c>
      <c r="C490" s="167" t="s">
        <v>4128</v>
      </c>
      <c r="D490" s="11">
        <v>18779230962</v>
      </c>
      <c r="E490" s="167" t="s">
        <v>268</v>
      </c>
      <c r="F490" s="167" t="s">
        <v>26</v>
      </c>
      <c r="G490" s="11">
        <v>202101001</v>
      </c>
      <c r="H490" s="167" t="s">
        <v>157</v>
      </c>
      <c r="I490" s="167" t="s">
        <v>233</v>
      </c>
      <c r="J490" s="167" t="s">
        <v>454</v>
      </c>
      <c r="K490" s="167" t="s">
        <v>170</v>
      </c>
      <c r="L490" s="167" t="s">
        <v>252</v>
      </c>
      <c r="M490" s="167" t="s">
        <v>26</v>
      </c>
      <c r="N490" s="167" t="s">
        <v>4130</v>
      </c>
      <c r="O490" s="12" t="str">
        <f>_xlfn.DISPIMG("ID_135AA7394FE044C981CB1DCD13A764A0",1)</f>
        <v>=DISPIMG("ID_135AA7394FE044C981CB1DCD13A764A0",1)</v>
      </c>
      <c r="P490" s="11" t="s">
        <v>4131</v>
      </c>
      <c r="Q490" s="11">
        <v>528</v>
      </c>
      <c r="R490" s="17" t="s">
        <v>4802</v>
      </c>
      <c r="S490" s="18" t="s">
        <v>80</v>
      </c>
      <c r="T490" s="25">
        <v>1</v>
      </c>
    </row>
    <row r="491" s="3" customFormat="1" customHeight="1" spans="1:20">
      <c r="A491" s="167" t="s">
        <v>329</v>
      </c>
      <c r="B491" s="167" t="s">
        <v>165</v>
      </c>
      <c r="C491" s="167" t="s">
        <v>330</v>
      </c>
      <c r="D491" s="11">
        <v>13635987780</v>
      </c>
      <c r="E491" s="167" t="s">
        <v>156</v>
      </c>
      <c r="F491" s="167" t="s">
        <v>3</v>
      </c>
      <c r="G491" s="11">
        <v>202102009</v>
      </c>
      <c r="H491" s="167" t="s">
        <v>157</v>
      </c>
      <c r="I491" s="167" t="s">
        <v>332</v>
      </c>
      <c r="J491" s="167" t="s">
        <v>333</v>
      </c>
      <c r="K491" s="167" t="s">
        <v>160</v>
      </c>
      <c r="L491" s="167" t="s">
        <v>199</v>
      </c>
      <c r="M491" s="167" t="s">
        <v>3</v>
      </c>
      <c r="N491" s="11">
        <v>0</v>
      </c>
      <c r="O491" s="12" t="str">
        <f>_xlfn.DISPIMG("ID_66E2A8C103C040BCBC4789F49E6E9C74",1)</f>
        <v>=DISPIMG("ID_66E2A8C103C040BCBC4789F49E6E9C74",1)</v>
      </c>
      <c r="P491" s="11" t="s">
        <v>334</v>
      </c>
      <c r="Q491" s="11">
        <v>21</v>
      </c>
      <c r="R491" s="17" t="s">
        <v>4806</v>
      </c>
      <c r="S491" s="18" t="s">
        <v>80</v>
      </c>
      <c r="T491" s="25">
        <v>10</v>
      </c>
    </row>
    <row r="492" s="3" customFormat="1" customHeight="1" spans="1:20">
      <c r="A492" s="167" t="s">
        <v>965</v>
      </c>
      <c r="B492" s="167" t="s">
        <v>165</v>
      </c>
      <c r="C492" s="167" t="s">
        <v>966</v>
      </c>
      <c r="D492" s="11">
        <v>18379223080</v>
      </c>
      <c r="E492" s="167" t="s">
        <v>156</v>
      </c>
      <c r="F492" s="167" t="s">
        <v>3</v>
      </c>
      <c r="G492" s="11">
        <v>202102009</v>
      </c>
      <c r="H492" s="167" t="s">
        <v>157</v>
      </c>
      <c r="I492" s="167" t="s">
        <v>158</v>
      </c>
      <c r="J492" s="167" t="s">
        <v>968</v>
      </c>
      <c r="K492" s="167" t="s">
        <v>160</v>
      </c>
      <c r="L492" s="167" t="s">
        <v>368</v>
      </c>
      <c r="M492" s="167" t="s">
        <v>969</v>
      </c>
      <c r="N492" s="167" t="s">
        <v>970</v>
      </c>
      <c r="O492" s="12" t="str">
        <f>_xlfn.DISPIMG("ID_25A1371DB5D24E7E87AED819AD313075",1)</f>
        <v>=DISPIMG("ID_25A1371DB5D24E7E87AED819AD313075",1)</v>
      </c>
      <c r="P492" s="11" t="s">
        <v>971</v>
      </c>
      <c r="Q492" s="11">
        <v>98</v>
      </c>
      <c r="R492" s="17" t="s">
        <v>4807</v>
      </c>
      <c r="S492" s="18" t="s">
        <v>80</v>
      </c>
      <c r="T492" s="25">
        <v>15</v>
      </c>
    </row>
    <row r="493" s="3" customFormat="1" customHeight="1" spans="1:20">
      <c r="A493" s="167" t="s">
        <v>1161</v>
      </c>
      <c r="B493" s="167" t="s">
        <v>165</v>
      </c>
      <c r="C493" s="167" t="s">
        <v>1162</v>
      </c>
      <c r="D493" s="11">
        <v>15879899835</v>
      </c>
      <c r="E493" s="167" t="s">
        <v>156</v>
      </c>
      <c r="F493" s="167" t="s">
        <v>3</v>
      </c>
      <c r="G493" s="11">
        <v>202102009</v>
      </c>
      <c r="H493" s="167" t="s">
        <v>157</v>
      </c>
      <c r="I493" s="167" t="s">
        <v>1146</v>
      </c>
      <c r="J493" s="167" t="s">
        <v>1164</v>
      </c>
      <c r="K493" s="167" t="s">
        <v>160</v>
      </c>
      <c r="L493" s="167" t="s">
        <v>252</v>
      </c>
      <c r="M493" s="167" t="s">
        <v>3</v>
      </c>
      <c r="N493" s="11">
        <v>0</v>
      </c>
      <c r="O493" s="12" t="str">
        <f>_xlfn.DISPIMG("ID_AF5F9594083C4D63A9C12F6DBB9E6CAE",1)</f>
        <v>=DISPIMG("ID_AF5F9594083C4D63A9C12F6DBB9E6CAE",1)</v>
      </c>
      <c r="P493" s="11" t="s">
        <v>1165</v>
      </c>
      <c r="Q493" s="11">
        <v>122</v>
      </c>
      <c r="R493" s="17" t="s">
        <v>4808</v>
      </c>
      <c r="S493" s="18" t="s">
        <v>80</v>
      </c>
      <c r="T493" s="25">
        <v>11</v>
      </c>
    </row>
    <row r="494" s="3" customFormat="1" customHeight="1" spans="1:20">
      <c r="A494" s="167" t="s">
        <v>1421</v>
      </c>
      <c r="B494" s="167" t="s">
        <v>165</v>
      </c>
      <c r="C494" s="167" t="s">
        <v>1422</v>
      </c>
      <c r="D494" s="11">
        <v>15179266183</v>
      </c>
      <c r="E494" s="167" t="s">
        <v>156</v>
      </c>
      <c r="F494" s="167" t="s">
        <v>3</v>
      </c>
      <c r="G494" s="11">
        <v>202102009</v>
      </c>
      <c r="H494" s="167" t="s">
        <v>157</v>
      </c>
      <c r="I494" s="167" t="s">
        <v>1424</v>
      </c>
      <c r="J494" s="167" t="s">
        <v>298</v>
      </c>
      <c r="K494" s="167" t="s">
        <v>160</v>
      </c>
      <c r="L494" s="167" t="s">
        <v>252</v>
      </c>
      <c r="M494" s="167" t="s">
        <v>1425</v>
      </c>
      <c r="N494" s="11">
        <v>0</v>
      </c>
      <c r="O494" s="12" t="str">
        <f>_xlfn.DISPIMG("ID_9A5193B60E294BCB8EBBC32356364290",1)</f>
        <v>=DISPIMG("ID_9A5193B60E294BCB8EBBC32356364290",1)</v>
      </c>
      <c r="P494" s="11" t="s">
        <v>1426</v>
      </c>
      <c r="Q494" s="11">
        <v>157</v>
      </c>
      <c r="R494" s="17" t="s">
        <v>4809</v>
      </c>
      <c r="S494" s="18" t="s">
        <v>80</v>
      </c>
      <c r="T494" s="25">
        <v>14</v>
      </c>
    </row>
    <row r="495" s="3" customFormat="1" customHeight="1" spans="1:20">
      <c r="A495" s="167" t="s">
        <v>2871</v>
      </c>
      <c r="B495" s="167" t="s">
        <v>165</v>
      </c>
      <c r="C495" s="167" t="s">
        <v>2872</v>
      </c>
      <c r="D495" s="11">
        <v>15135136743</v>
      </c>
      <c r="E495" s="167" t="s">
        <v>156</v>
      </c>
      <c r="F495" s="167" t="s">
        <v>3</v>
      </c>
      <c r="G495" s="11">
        <v>202102009</v>
      </c>
      <c r="H495" s="167" t="s">
        <v>157</v>
      </c>
      <c r="I495" s="167" t="s">
        <v>2874</v>
      </c>
      <c r="J495" s="167" t="s">
        <v>169</v>
      </c>
      <c r="K495" s="167" t="s">
        <v>170</v>
      </c>
      <c r="L495" s="167" t="s">
        <v>171</v>
      </c>
      <c r="M495" s="167" t="s">
        <v>1425</v>
      </c>
      <c r="N495" s="11">
        <v>0</v>
      </c>
      <c r="O495" s="12" t="str">
        <f>_xlfn.DISPIMG("ID_16C7080DFBEB4260AD8944B9B8A16C63",1)</f>
        <v>=DISPIMG("ID_16C7080DFBEB4260AD8944B9B8A16C63",1)</v>
      </c>
      <c r="P495" s="11" t="s">
        <v>2875</v>
      </c>
      <c r="Q495" s="20">
        <v>349</v>
      </c>
      <c r="R495" s="17" t="s">
        <v>4812</v>
      </c>
      <c r="S495" s="18" t="s">
        <v>80</v>
      </c>
      <c r="T495" s="25">
        <v>12</v>
      </c>
    </row>
    <row r="496" s="3" customFormat="1" customHeight="1" spans="1:20">
      <c r="A496" s="167" t="s">
        <v>3301</v>
      </c>
      <c r="B496" s="167" t="s">
        <v>165</v>
      </c>
      <c r="C496" s="167" t="s">
        <v>3302</v>
      </c>
      <c r="D496" s="11">
        <v>13870479934</v>
      </c>
      <c r="E496" s="167" t="s">
        <v>156</v>
      </c>
      <c r="F496" s="167" t="s">
        <v>3</v>
      </c>
      <c r="G496" s="11">
        <v>202102009</v>
      </c>
      <c r="H496" s="167" t="s">
        <v>157</v>
      </c>
      <c r="I496" s="167" t="s">
        <v>178</v>
      </c>
      <c r="J496" s="167" t="s">
        <v>454</v>
      </c>
      <c r="K496" s="167" t="s">
        <v>170</v>
      </c>
      <c r="L496" s="167" t="s">
        <v>261</v>
      </c>
      <c r="M496" s="167" t="s">
        <v>1425</v>
      </c>
      <c r="N496" s="11">
        <v>0</v>
      </c>
      <c r="O496" s="12" t="str">
        <f>_xlfn.DISPIMG("ID_DD8D706699DA435AABD3242B003A06E3",1)</f>
        <v>=DISPIMG("ID_DD8D706699DA435AABD3242B003A06E3",1)</v>
      </c>
      <c r="P496" s="11" t="s">
        <v>3304</v>
      </c>
      <c r="Q496" s="11">
        <v>414</v>
      </c>
      <c r="R496" s="17" t="s">
        <v>4813</v>
      </c>
      <c r="S496" s="18" t="s">
        <v>80</v>
      </c>
      <c r="T496" s="25">
        <v>13</v>
      </c>
    </row>
    <row r="497" s="3" customFormat="1" customHeight="1" spans="1:20">
      <c r="A497" s="167" t="s">
        <v>1410</v>
      </c>
      <c r="B497" s="167" t="s">
        <v>165</v>
      </c>
      <c r="C497" s="167" t="s">
        <v>1411</v>
      </c>
      <c r="D497" s="11">
        <v>19979027323</v>
      </c>
      <c r="E497" s="167" t="s">
        <v>268</v>
      </c>
      <c r="F497" s="167" t="s">
        <v>22</v>
      </c>
      <c r="G497" s="11">
        <v>202101009</v>
      </c>
      <c r="H497" s="167" t="s">
        <v>157</v>
      </c>
      <c r="I497" s="167" t="s">
        <v>1413</v>
      </c>
      <c r="J497" s="167" t="s">
        <v>944</v>
      </c>
      <c r="K497" s="167" t="s">
        <v>170</v>
      </c>
      <c r="L497" s="167" t="s">
        <v>396</v>
      </c>
      <c r="M497" s="167" t="s">
        <v>1414</v>
      </c>
      <c r="N497" s="167" t="s">
        <v>1415</v>
      </c>
      <c r="O497" s="12" t="str">
        <f>_xlfn.DISPIMG("ID_7AA3981AEA4B4044958F80E226B55196",1)</f>
        <v>=DISPIMG("ID_7AA3981AEA4B4044958F80E226B55196",1)</v>
      </c>
      <c r="P497" s="11" t="s">
        <v>1416</v>
      </c>
      <c r="Q497" s="11">
        <v>155</v>
      </c>
      <c r="R497" s="17" t="s">
        <v>4816</v>
      </c>
      <c r="S497" s="18" t="s">
        <v>80</v>
      </c>
      <c r="T497" s="25">
        <v>16</v>
      </c>
    </row>
    <row r="498" s="3" customFormat="1" customHeight="1" spans="1:20">
      <c r="A498" s="167" t="s">
        <v>679</v>
      </c>
      <c r="B498" s="167" t="s">
        <v>165</v>
      </c>
      <c r="C498" s="167" t="s">
        <v>680</v>
      </c>
      <c r="D498" s="11">
        <v>15079252278</v>
      </c>
      <c r="E498" s="167" t="s">
        <v>384</v>
      </c>
      <c r="F498" s="167" t="s">
        <v>21</v>
      </c>
      <c r="G498" s="11">
        <v>202101023</v>
      </c>
      <c r="H498" s="167" t="s">
        <v>157</v>
      </c>
      <c r="I498" s="167" t="s">
        <v>233</v>
      </c>
      <c r="J498" s="167" t="s">
        <v>682</v>
      </c>
      <c r="K498" s="167" t="s">
        <v>170</v>
      </c>
      <c r="L498" s="167" t="s">
        <v>261</v>
      </c>
      <c r="M498" s="167" t="s">
        <v>683</v>
      </c>
      <c r="N498" s="11">
        <v>0</v>
      </c>
      <c r="O498" s="12" t="str">
        <f>_xlfn.DISPIMG("ID_6F0A1E5B97CE4F0C8967B602A8189E7F",1)</f>
        <v>=DISPIMG("ID_6F0A1E5B97CE4F0C8967B602A8189E7F",1)</v>
      </c>
      <c r="P498" s="11" t="s">
        <v>684</v>
      </c>
      <c r="Q498" s="11">
        <v>63</v>
      </c>
      <c r="R498" s="17" t="s">
        <v>4817</v>
      </c>
      <c r="S498" s="18" t="s">
        <v>84</v>
      </c>
      <c r="T498" s="25">
        <v>6</v>
      </c>
    </row>
    <row r="499" s="3" customFormat="1" customHeight="1" spans="1:20">
      <c r="A499" s="167" t="s">
        <v>1584</v>
      </c>
      <c r="B499" s="167" t="s">
        <v>153</v>
      </c>
      <c r="C499" s="167" t="s">
        <v>1585</v>
      </c>
      <c r="D499" s="11">
        <v>18460003044</v>
      </c>
      <c r="E499" s="167" t="s">
        <v>268</v>
      </c>
      <c r="F499" s="167" t="s">
        <v>21</v>
      </c>
      <c r="G499" s="11">
        <v>202101022</v>
      </c>
      <c r="H499" s="167" t="s">
        <v>157</v>
      </c>
      <c r="I499" s="167" t="s">
        <v>827</v>
      </c>
      <c r="J499" s="167" t="s">
        <v>682</v>
      </c>
      <c r="K499" s="167" t="s">
        <v>170</v>
      </c>
      <c r="L499" s="167" t="s">
        <v>455</v>
      </c>
      <c r="M499" s="167" t="s">
        <v>1587</v>
      </c>
      <c r="N499" s="11">
        <v>0</v>
      </c>
      <c r="O499" s="12" t="str">
        <f>_xlfn.DISPIMG("ID_E364C79C5CB74A97A356C87CFF697310",1)</f>
        <v>=DISPIMG("ID_E364C79C5CB74A97A356C87CFF697310",1)</v>
      </c>
      <c r="P499" s="11" t="s">
        <v>1588</v>
      </c>
      <c r="Q499" s="11">
        <v>177</v>
      </c>
      <c r="R499" s="17" t="s">
        <v>4819</v>
      </c>
      <c r="S499" s="18" t="s">
        <v>84</v>
      </c>
      <c r="T499" s="25">
        <v>7</v>
      </c>
    </row>
    <row r="500" s="3" customFormat="1" customHeight="1" spans="1:20">
      <c r="A500" s="167" t="s">
        <v>1590</v>
      </c>
      <c r="B500" s="167" t="s">
        <v>153</v>
      </c>
      <c r="C500" s="167" t="s">
        <v>1591</v>
      </c>
      <c r="D500" s="11">
        <v>19165078910</v>
      </c>
      <c r="E500" s="167" t="s">
        <v>268</v>
      </c>
      <c r="F500" s="167" t="s">
        <v>21</v>
      </c>
      <c r="G500" s="11">
        <v>202101022</v>
      </c>
      <c r="H500" s="167" t="s">
        <v>157</v>
      </c>
      <c r="I500" s="167" t="s">
        <v>827</v>
      </c>
      <c r="J500" s="167" t="s">
        <v>682</v>
      </c>
      <c r="K500" s="167" t="s">
        <v>170</v>
      </c>
      <c r="L500" s="167" t="s">
        <v>455</v>
      </c>
      <c r="M500" s="167" t="s">
        <v>1593</v>
      </c>
      <c r="N500" s="11">
        <v>0</v>
      </c>
      <c r="O500" s="12" t="str">
        <f>_xlfn.DISPIMG("ID_A40AE5361B8D44C884FA7CDADC74343E",1)</f>
        <v>=DISPIMG("ID_A40AE5361B8D44C884FA7CDADC74343E",1)</v>
      </c>
      <c r="P500" s="11" t="s">
        <v>1594</v>
      </c>
      <c r="Q500" s="11">
        <v>178</v>
      </c>
      <c r="R500" s="17" t="s">
        <v>4820</v>
      </c>
      <c r="S500" s="18" t="s">
        <v>84</v>
      </c>
      <c r="T500" s="25">
        <v>5</v>
      </c>
    </row>
    <row r="501" s="3" customFormat="1" customHeight="1" spans="1:20">
      <c r="A501" s="167" t="s">
        <v>1737</v>
      </c>
      <c r="B501" s="167" t="s">
        <v>153</v>
      </c>
      <c r="C501" s="167" t="s">
        <v>1738</v>
      </c>
      <c r="D501" s="11">
        <v>19815092923</v>
      </c>
      <c r="E501" s="167" t="s">
        <v>384</v>
      </c>
      <c r="F501" s="167" t="s">
        <v>21</v>
      </c>
      <c r="G501" s="11">
        <v>202101023</v>
      </c>
      <c r="H501" s="167" t="s">
        <v>157</v>
      </c>
      <c r="I501" s="167" t="s">
        <v>1740</v>
      </c>
      <c r="J501" s="167" t="s">
        <v>682</v>
      </c>
      <c r="K501" s="167" t="s">
        <v>170</v>
      </c>
      <c r="L501" s="167" t="s">
        <v>281</v>
      </c>
      <c r="M501" s="167" t="s">
        <v>21</v>
      </c>
      <c r="N501" s="11">
        <v>0</v>
      </c>
      <c r="O501" s="12" t="str">
        <f>_xlfn.DISPIMG("ID_5626D0773278487D84DF299D01619D61",1)</f>
        <v>=DISPIMG("ID_5626D0773278487D84DF299D01619D61",1)</v>
      </c>
      <c r="P501" s="11" t="s">
        <v>1741</v>
      </c>
      <c r="Q501" s="11">
        <v>197</v>
      </c>
      <c r="R501" s="17" t="s">
        <v>4822</v>
      </c>
      <c r="S501" s="18" t="s">
        <v>84</v>
      </c>
      <c r="T501" s="25">
        <v>8</v>
      </c>
    </row>
    <row r="502" s="3" customFormat="1" customHeight="1" spans="1:20">
      <c r="A502" s="167" t="s">
        <v>2524</v>
      </c>
      <c r="B502" s="167" t="s">
        <v>153</v>
      </c>
      <c r="C502" s="167" t="s">
        <v>2525</v>
      </c>
      <c r="D502" s="11">
        <v>13133668154</v>
      </c>
      <c r="E502" s="167" t="s">
        <v>268</v>
      </c>
      <c r="F502" s="167" t="s">
        <v>21</v>
      </c>
      <c r="G502" s="11">
        <v>202101022</v>
      </c>
      <c r="H502" s="167" t="s">
        <v>157</v>
      </c>
      <c r="I502" s="167" t="s">
        <v>876</v>
      </c>
      <c r="J502" s="167" t="s">
        <v>682</v>
      </c>
      <c r="K502" s="167" t="s">
        <v>170</v>
      </c>
      <c r="L502" s="167" t="s">
        <v>180</v>
      </c>
      <c r="M502" s="167" t="s">
        <v>2527</v>
      </c>
      <c r="N502" s="167" t="s">
        <v>2528</v>
      </c>
      <c r="O502" s="12" t="str">
        <f>_xlfn.DISPIMG("ID_C8BB1148198145FCA2837FAC9D925FDE",1)</f>
        <v>=DISPIMG("ID_C8BB1148198145FCA2837FAC9D925FDE",1)</v>
      </c>
      <c r="P502" s="11" t="s">
        <v>2529</v>
      </c>
      <c r="Q502" s="11">
        <v>302</v>
      </c>
      <c r="R502" s="17" t="s">
        <v>4823</v>
      </c>
      <c r="S502" s="18" t="s">
        <v>84</v>
      </c>
      <c r="T502" s="25">
        <v>4</v>
      </c>
    </row>
    <row r="503" s="3" customFormat="1" customHeight="1" spans="1:20">
      <c r="A503" s="167" t="s">
        <v>2539</v>
      </c>
      <c r="B503" s="167" t="s">
        <v>153</v>
      </c>
      <c r="C503" s="167" t="s">
        <v>2540</v>
      </c>
      <c r="D503" s="11">
        <v>18507928899</v>
      </c>
      <c r="E503" s="167" t="s">
        <v>384</v>
      </c>
      <c r="F503" s="167" t="s">
        <v>21</v>
      </c>
      <c r="G503" s="11">
        <v>202101023</v>
      </c>
      <c r="H503" s="167" t="s">
        <v>157</v>
      </c>
      <c r="I503" s="167" t="s">
        <v>876</v>
      </c>
      <c r="J503" s="167" t="s">
        <v>682</v>
      </c>
      <c r="K503" s="167" t="s">
        <v>170</v>
      </c>
      <c r="L503" s="167" t="s">
        <v>180</v>
      </c>
      <c r="M503" s="167" t="s">
        <v>2542</v>
      </c>
      <c r="N503" s="167" t="s">
        <v>2543</v>
      </c>
      <c r="O503" s="12" t="str">
        <f>_xlfn.DISPIMG("ID_718ACAD550894B0696EED0DE65C7554F",1)</f>
        <v>=DISPIMG("ID_718ACAD550894B0696EED0DE65C7554F",1)</v>
      </c>
      <c r="P503" s="11" t="s">
        <v>2544</v>
      </c>
      <c r="Q503" s="11">
        <v>304</v>
      </c>
      <c r="R503" s="17" t="s">
        <v>4825</v>
      </c>
      <c r="S503" s="18" t="s">
        <v>84</v>
      </c>
      <c r="T503" s="25">
        <v>9</v>
      </c>
    </row>
    <row r="504" s="3" customFormat="1" customHeight="1" spans="1:20">
      <c r="A504" s="167" t="s">
        <v>2969</v>
      </c>
      <c r="B504" s="167" t="s">
        <v>153</v>
      </c>
      <c r="C504" s="167" t="s">
        <v>2970</v>
      </c>
      <c r="D504" s="11">
        <v>18579193689</v>
      </c>
      <c r="E504" s="167" t="s">
        <v>268</v>
      </c>
      <c r="F504" s="167" t="s">
        <v>21</v>
      </c>
      <c r="G504" s="11">
        <v>202101022</v>
      </c>
      <c r="H504" s="167" t="s">
        <v>157</v>
      </c>
      <c r="I504" s="167" t="s">
        <v>827</v>
      </c>
      <c r="J504" s="167" t="s">
        <v>682</v>
      </c>
      <c r="K504" s="167" t="s">
        <v>170</v>
      </c>
      <c r="L504" s="167" t="s">
        <v>252</v>
      </c>
      <c r="M504" s="167" t="s">
        <v>2972</v>
      </c>
      <c r="N504" s="11">
        <v>0</v>
      </c>
      <c r="O504" s="12" t="str">
        <f>_xlfn.DISPIMG("ID_99E38CC0E4B2437A8E74F9D976F948B9",1)</f>
        <v>=DISPIMG("ID_99E38CC0E4B2437A8E74F9D976F948B9",1)</v>
      </c>
      <c r="P504" s="11" t="s">
        <v>2973</v>
      </c>
      <c r="Q504" s="11">
        <v>365</v>
      </c>
      <c r="R504" s="17" t="s">
        <v>4818</v>
      </c>
      <c r="S504" s="18" t="s">
        <v>84</v>
      </c>
      <c r="T504" s="25">
        <v>3</v>
      </c>
    </row>
    <row r="505" s="3" customFormat="1" customHeight="1" spans="1:20">
      <c r="A505" s="167" t="s">
        <v>3107</v>
      </c>
      <c r="B505" s="167" t="s">
        <v>165</v>
      </c>
      <c r="C505" s="167" t="s">
        <v>3108</v>
      </c>
      <c r="D505" s="11">
        <v>15070251262</v>
      </c>
      <c r="E505" s="167" t="s">
        <v>384</v>
      </c>
      <c r="F505" s="167" t="s">
        <v>21</v>
      </c>
      <c r="G505" s="11">
        <v>202101023</v>
      </c>
      <c r="H505" s="167" t="s">
        <v>157</v>
      </c>
      <c r="I505" s="167" t="s">
        <v>1203</v>
      </c>
      <c r="J505" s="167" t="s">
        <v>682</v>
      </c>
      <c r="K505" s="167" t="s">
        <v>170</v>
      </c>
      <c r="L505" s="167" t="s">
        <v>3110</v>
      </c>
      <c r="M505" s="167" t="s">
        <v>3111</v>
      </c>
      <c r="N505" s="167" t="s">
        <v>3112</v>
      </c>
      <c r="O505" s="12" t="str">
        <f>_xlfn.DISPIMG("ID_865FFCD2F6414202A972206BA39BAB94",1)</f>
        <v>=DISPIMG("ID_865FFCD2F6414202A972206BA39BAB94",1)</v>
      </c>
      <c r="P505" s="11" t="s">
        <v>3113</v>
      </c>
      <c r="Q505" s="11">
        <v>384</v>
      </c>
      <c r="R505" s="17" t="s">
        <v>4821</v>
      </c>
      <c r="S505" s="18" t="s">
        <v>84</v>
      </c>
      <c r="T505" s="25">
        <v>10</v>
      </c>
    </row>
    <row r="506" s="3" customFormat="1" customHeight="1" spans="1:20">
      <c r="A506" s="167" t="s">
        <v>3159</v>
      </c>
      <c r="B506" s="167" t="s">
        <v>153</v>
      </c>
      <c r="C506" s="167" t="s">
        <v>3160</v>
      </c>
      <c r="D506" s="11">
        <v>15070024256</v>
      </c>
      <c r="E506" s="167" t="s">
        <v>268</v>
      </c>
      <c r="F506" s="167" t="s">
        <v>21</v>
      </c>
      <c r="G506" s="11">
        <v>202101022</v>
      </c>
      <c r="H506" s="167" t="s">
        <v>157</v>
      </c>
      <c r="I506" s="167" t="s">
        <v>827</v>
      </c>
      <c r="J506" s="167" t="s">
        <v>682</v>
      </c>
      <c r="K506" s="167" t="s">
        <v>170</v>
      </c>
      <c r="L506" s="167" t="s">
        <v>281</v>
      </c>
      <c r="M506" s="167" t="s">
        <v>2244</v>
      </c>
      <c r="N506" s="167" t="s">
        <v>3162</v>
      </c>
      <c r="O506" s="12" t="str">
        <f>_xlfn.DISPIMG("ID_2F448B7CE8524D1AA48554771DC3D4AB",1)</f>
        <v>=DISPIMG("ID_2F448B7CE8524D1AA48554771DC3D4AB",1)</v>
      </c>
      <c r="P506" s="11" t="s">
        <v>3163</v>
      </c>
      <c r="Q506" s="11">
        <v>392</v>
      </c>
      <c r="R506" s="17" t="s">
        <v>4824</v>
      </c>
      <c r="S506" s="18" t="s">
        <v>84</v>
      </c>
      <c r="T506" s="25">
        <v>2</v>
      </c>
    </row>
    <row r="507" s="3" customFormat="1" customHeight="1" spans="1:20">
      <c r="A507" s="167" t="s">
        <v>3178</v>
      </c>
      <c r="B507" s="167" t="s">
        <v>153</v>
      </c>
      <c r="C507" s="167" t="s">
        <v>3179</v>
      </c>
      <c r="D507" s="11">
        <v>15257934004</v>
      </c>
      <c r="E507" s="167" t="s">
        <v>384</v>
      </c>
      <c r="F507" s="167" t="s">
        <v>21</v>
      </c>
      <c r="G507" s="11">
        <v>202101023</v>
      </c>
      <c r="H507" s="167" t="s">
        <v>157</v>
      </c>
      <c r="I507" s="167" t="s">
        <v>1258</v>
      </c>
      <c r="J507" s="167" t="s">
        <v>682</v>
      </c>
      <c r="K507" s="167" t="s">
        <v>170</v>
      </c>
      <c r="L507" s="167" t="s">
        <v>587</v>
      </c>
      <c r="M507" s="167" t="s">
        <v>1824</v>
      </c>
      <c r="N507" s="167" t="s">
        <v>3181</v>
      </c>
      <c r="O507" s="12" t="str">
        <f>_xlfn.DISPIMG("ID_D70CF13D201844A6B6408BAB9F88D034",1)</f>
        <v>=DISPIMG("ID_D70CF13D201844A6B6408BAB9F88D034",1)</v>
      </c>
      <c r="P507" s="11" t="s">
        <v>3182</v>
      </c>
      <c r="Q507" s="11">
        <v>395</v>
      </c>
      <c r="R507" s="17" t="s">
        <v>4826</v>
      </c>
      <c r="S507" s="18" t="s">
        <v>84</v>
      </c>
      <c r="T507" s="25">
        <v>11</v>
      </c>
    </row>
    <row r="508" s="3" customFormat="1" customHeight="1" spans="1:20">
      <c r="A508" s="167" t="s">
        <v>2831</v>
      </c>
      <c r="B508" s="167" t="s">
        <v>165</v>
      </c>
      <c r="C508" s="167" t="s">
        <v>3200</v>
      </c>
      <c r="D508" s="11">
        <v>15079253920</v>
      </c>
      <c r="E508" s="167" t="s">
        <v>384</v>
      </c>
      <c r="F508" s="167" t="s">
        <v>21</v>
      </c>
      <c r="G508" s="11">
        <v>202101023</v>
      </c>
      <c r="H508" s="167" t="s">
        <v>157</v>
      </c>
      <c r="I508" s="167" t="s">
        <v>1413</v>
      </c>
      <c r="J508" s="167" t="s">
        <v>682</v>
      </c>
      <c r="K508" s="167" t="s">
        <v>170</v>
      </c>
      <c r="L508" s="167" t="s">
        <v>261</v>
      </c>
      <c r="M508" s="167" t="s">
        <v>1824</v>
      </c>
      <c r="N508" s="11">
        <v>0</v>
      </c>
      <c r="O508" s="12" t="str">
        <f>_xlfn.DISPIMG("ID_6FA15DDD4AA745CAA44305EB8A7C29E0",1)</f>
        <v>=DISPIMG("ID_6FA15DDD4AA745CAA44305EB8A7C29E0",1)</v>
      </c>
      <c r="P508" s="11" t="s">
        <v>4312</v>
      </c>
      <c r="Q508" s="20">
        <v>398</v>
      </c>
      <c r="R508" s="17" t="s">
        <v>4827</v>
      </c>
      <c r="S508" s="18" t="s">
        <v>84</v>
      </c>
      <c r="T508" s="25">
        <v>14</v>
      </c>
    </row>
    <row r="509" s="3" customFormat="1" customHeight="1" spans="1:20">
      <c r="A509" s="167" t="s">
        <v>3531</v>
      </c>
      <c r="B509" s="167" t="s">
        <v>153</v>
      </c>
      <c r="C509" s="167" t="s">
        <v>3532</v>
      </c>
      <c r="D509" s="11">
        <v>17687910769</v>
      </c>
      <c r="E509" s="167" t="s">
        <v>384</v>
      </c>
      <c r="F509" s="167" t="s">
        <v>21</v>
      </c>
      <c r="G509" s="11">
        <v>202101023</v>
      </c>
      <c r="H509" s="167" t="s">
        <v>157</v>
      </c>
      <c r="I509" s="167" t="s">
        <v>3518</v>
      </c>
      <c r="J509" s="167" t="s">
        <v>3534</v>
      </c>
      <c r="K509" s="167" t="s">
        <v>160</v>
      </c>
      <c r="L509" s="167" t="s">
        <v>455</v>
      </c>
      <c r="M509" s="167" t="s">
        <v>2462</v>
      </c>
      <c r="N509" s="11">
        <v>0</v>
      </c>
      <c r="O509" s="12" t="str">
        <f>_xlfn.DISPIMG("ID_B9B540B424394A6290A83DEC0AB8F385",1)</f>
        <v>=DISPIMG("ID_B9B540B424394A6290A83DEC0AB8F385",1)</v>
      </c>
      <c r="P509" s="11" t="s">
        <v>3535</v>
      </c>
      <c r="Q509" s="20">
        <v>448</v>
      </c>
      <c r="R509" s="17" t="s">
        <v>4810</v>
      </c>
      <c r="S509" s="18" t="s">
        <v>84</v>
      </c>
      <c r="T509" s="25">
        <v>1</v>
      </c>
    </row>
    <row r="510" s="3" customFormat="1" customHeight="1" spans="1:20">
      <c r="A510" s="167" t="s">
        <v>3699</v>
      </c>
      <c r="B510" s="167" t="s">
        <v>153</v>
      </c>
      <c r="C510" s="167" t="s">
        <v>3700</v>
      </c>
      <c r="D510" s="11">
        <v>18046710217</v>
      </c>
      <c r="E510" s="167" t="s">
        <v>384</v>
      </c>
      <c r="F510" s="167" t="s">
        <v>21</v>
      </c>
      <c r="G510" s="11">
        <v>202101023</v>
      </c>
      <c r="H510" s="167" t="s">
        <v>157</v>
      </c>
      <c r="I510" s="167" t="s">
        <v>233</v>
      </c>
      <c r="J510" s="167" t="s">
        <v>682</v>
      </c>
      <c r="K510" s="167" t="s">
        <v>170</v>
      </c>
      <c r="L510" s="167" t="s">
        <v>306</v>
      </c>
      <c r="M510" s="167" t="s">
        <v>1579</v>
      </c>
      <c r="N510" s="167" t="s">
        <v>3702</v>
      </c>
      <c r="O510" s="12" t="str">
        <f>_xlfn.DISPIMG("ID_E2F022B7DBF04DECBE980BB970833FC7",1)</f>
        <v>=DISPIMG("ID_E2F022B7DBF04DECBE980BB970833FC7",1)</v>
      </c>
      <c r="P510" s="11" t="s">
        <v>3703</v>
      </c>
      <c r="Q510" s="20">
        <v>471</v>
      </c>
      <c r="R510" s="17" t="s">
        <v>4811</v>
      </c>
      <c r="S510" s="18" t="s">
        <v>84</v>
      </c>
      <c r="T510" s="25">
        <v>12</v>
      </c>
    </row>
    <row r="511" s="3" customFormat="1" customHeight="1" spans="1:20">
      <c r="A511" s="167" t="s">
        <v>3751</v>
      </c>
      <c r="B511" s="167" t="s">
        <v>153</v>
      </c>
      <c r="C511" s="167" t="s">
        <v>3752</v>
      </c>
      <c r="D511" s="11">
        <v>15180696881</v>
      </c>
      <c r="E511" s="167" t="s">
        <v>384</v>
      </c>
      <c r="F511" s="167" t="s">
        <v>21</v>
      </c>
      <c r="G511" s="11">
        <v>202101023</v>
      </c>
      <c r="H511" s="167" t="s">
        <v>157</v>
      </c>
      <c r="I511" s="167" t="s">
        <v>827</v>
      </c>
      <c r="J511" s="167" t="s">
        <v>682</v>
      </c>
      <c r="K511" s="167" t="s">
        <v>170</v>
      </c>
      <c r="L511" s="167" t="s">
        <v>161</v>
      </c>
      <c r="M511" s="167" t="s">
        <v>3754</v>
      </c>
      <c r="N511" s="11">
        <v>0</v>
      </c>
      <c r="O511" s="12" t="str">
        <f>_xlfn.DISPIMG("ID_0C4C873C986C4E8A8DE913748576F208",1)</f>
        <v>=DISPIMG("ID_0C4C873C986C4E8A8DE913748576F208",1)</v>
      </c>
      <c r="P511" s="11" t="s">
        <v>3755</v>
      </c>
      <c r="Q511" s="20">
        <v>478</v>
      </c>
      <c r="R511" s="17" t="s">
        <v>4814</v>
      </c>
      <c r="S511" s="18" t="s">
        <v>84</v>
      </c>
      <c r="T511" s="25">
        <v>13</v>
      </c>
    </row>
    <row r="512" s="3" customFormat="1" customHeight="1" spans="1:20">
      <c r="A512" s="167" t="s">
        <v>1143</v>
      </c>
      <c r="B512" s="167" t="s">
        <v>165</v>
      </c>
      <c r="C512" s="167" t="s">
        <v>1144</v>
      </c>
      <c r="D512" s="11">
        <v>15777198130</v>
      </c>
      <c r="E512" s="167" t="s">
        <v>384</v>
      </c>
      <c r="F512" s="167" t="s">
        <v>23</v>
      </c>
      <c r="G512" s="11">
        <v>202101025</v>
      </c>
      <c r="H512" s="167" t="s">
        <v>157</v>
      </c>
      <c r="I512" s="167" t="s">
        <v>1146</v>
      </c>
      <c r="J512" s="167" t="s">
        <v>1147</v>
      </c>
      <c r="K512" s="167" t="s">
        <v>170</v>
      </c>
      <c r="L512" s="167" t="s">
        <v>455</v>
      </c>
      <c r="M512" s="167" t="s">
        <v>1148</v>
      </c>
      <c r="N512" s="167" t="s">
        <v>1149</v>
      </c>
      <c r="O512" s="12" t="str">
        <f>_xlfn.DISPIMG("ID_0415E10C85C94C988A22FA5D4842DE09",1)</f>
        <v>=DISPIMG("ID_0415E10C85C94C988A22FA5D4842DE09",1)</v>
      </c>
      <c r="P512" s="11" t="s">
        <v>1150</v>
      </c>
      <c r="Q512" s="11">
        <v>120</v>
      </c>
      <c r="R512" s="17" t="s">
        <v>4815</v>
      </c>
      <c r="S512" s="18" t="s">
        <v>84</v>
      </c>
      <c r="T512" s="25">
        <v>18</v>
      </c>
    </row>
    <row r="513" s="3" customFormat="1" customHeight="1" spans="1:20">
      <c r="A513" s="167" t="s">
        <v>2036</v>
      </c>
      <c r="B513" s="167" t="s">
        <v>165</v>
      </c>
      <c r="C513" s="167" t="s">
        <v>2037</v>
      </c>
      <c r="D513" s="11">
        <v>17770040821</v>
      </c>
      <c r="E513" s="167" t="s">
        <v>297</v>
      </c>
      <c r="F513" s="167" t="s">
        <v>23</v>
      </c>
      <c r="G513" s="11">
        <v>202101031</v>
      </c>
      <c r="H513" s="167" t="s">
        <v>157</v>
      </c>
      <c r="I513" s="167" t="s">
        <v>2039</v>
      </c>
      <c r="J513" s="167" t="s">
        <v>1147</v>
      </c>
      <c r="K513" s="167" t="s">
        <v>170</v>
      </c>
      <c r="L513" s="167" t="s">
        <v>368</v>
      </c>
      <c r="M513" s="167" t="s">
        <v>23</v>
      </c>
      <c r="N513" s="167" t="s">
        <v>2040</v>
      </c>
      <c r="O513" s="12" t="str">
        <f>_xlfn.DISPIMG("ID_99E16B0934D843998C9152B322CD2339",1)</f>
        <v>=DISPIMG("ID_99E16B0934D843998C9152B322CD2339",1)</v>
      </c>
      <c r="P513" s="11" t="s">
        <v>2041</v>
      </c>
      <c r="Q513" s="11">
        <v>237</v>
      </c>
      <c r="R513" s="17" t="s">
        <v>4828</v>
      </c>
      <c r="S513" s="18" t="s">
        <v>84</v>
      </c>
      <c r="T513" s="25">
        <v>17</v>
      </c>
    </row>
    <row r="514" s="3" customFormat="1" customHeight="1" spans="1:20">
      <c r="A514" s="167" t="s">
        <v>4028</v>
      </c>
      <c r="B514" s="167" t="s">
        <v>165</v>
      </c>
      <c r="C514" s="167" t="s">
        <v>4029</v>
      </c>
      <c r="D514" s="11">
        <v>13820505031</v>
      </c>
      <c r="E514" s="167" t="s">
        <v>384</v>
      </c>
      <c r="F514" s="167" t="s">
        <v>23</v>
      </c>
      <c r="G514" s="11">
        <v>202101025</v>
      </c>
      <c r="H514" s="167" t="s">
        <v>157</v>
      </c>
      <c r="I514" s="167" t="s">
        <v>3737</v>
      </c>
      <c r="J514" s="167" t="s">
        <v>1616</v>
      </c>
      <c r="K514" s="167" t="s">
        <v>170</v>
      </c>
      <c r="L514" s="167" t="s">
        <v>235</v>
      </c>
      <c r="M514" s="167" t="s">
        <v>4031</v>
      </c>
      <c r="N514" s="167" t="s">
        <v>4032</v>
      </c>
      <c r="O514" s="12" t="str">
        <f>_xlfn.DISPIMG("ID_4D845800D3864A2B99D106DDD9FD3F5D",1)</f>
        <v>=DISPIMG("ID_4D845800D3864A2B99D106DDD9FD3F5D",1)</v>
      </c>
      <c r="P514" s="11" t="s">
        <v>4033</v>
      </c>
      <c r="Q514" s="20">
        <v>515</v>
      </c>
      <c r="R514" s="17" t="s">
        <v>4829</v>
      </c>
      <c r="S514" s="18" t="s">
        <v>84</v>
      </c>
      <c r="T514" s="25">
        <v>16</v>
      </c>
    </row>
    <row r="515" s="3" customFormat="1" customHeight="1" spans="1:20">
      <c r="A515" s="167" t="s">
        <v>4051</v>
      </c>
      <c r="B515" s="167" t="s">
        <v>153</v>
      </c>
      <c r="C515" s="167" t="s">
        <v>4052</v>
      </c>
      <c r="D515" s="11">
        <v>15170932237</v>
      </c>
      <c r="E515" s="167" t="s">
        <v>384</v>
      </c>
      <c r="F515" s="167" t="s">
        <v>23</v>
      </c>
      <c r="G515" s="11">
        <v>202101025</v>
      </c>
      <c r="H515" s="167" t="s">
        <v>157</v>
      </c>
      <c r="I515" s="167" t="s">
        <v>269</v>
      </c>
      <c r="J515" s="167" t="s">
        <v>1147</v>
      </c>
      <c r="K515" s="167" t="s">
        <v>170</v>
      </c>
      <c r="L515" s="167" t="s">
        <v>235</v>
      </c>
      <c r="M515" s="167" t="s">
        <v>4053</v>
      </c>
      <c r="N515" s="167" t="s">
        <v>4054</v>
      </c>
      <c r="O515" s="12" t="str">
        <f>_xlfn.DISPIMG("ID_D924765B597248FDA57FB5DFF006BD17",1)</f>
        <v>=DISPIMG("ID_D924765B597248FDA57FB5DFF006BD17",1)</v>
      </c>
      <c r="P515" s="11" t="s">
        <v>4055</v>
      </c>
      <c r="Q515" s="11">
        <v>518</v>
      </c>
      <c r="R515" s="17" t="s">
        <v>4830</v>
      </c>
      <c r="S515" s="18" t="s">
        <v>84</v>
      </c>
      <c r="T515" s="25">
        <v>15</v>
      </c>
    </row>
    <row r="516" s="3" customFormat="1" customHeight="1" spans="1:20">
      <c r="A516" s="167" t="s">
        <v>4142</v>
      </c>
      <c r="B516" s="167" t="s">
        <v>153</v>
      </c>
      <c r="C516" s="167" t="s">
        <v>4143</v>
      </c>
      <c r="D516" s="11">
        <v>13330123354</v>
      </c>
      <c r="E516" s="167" t="s">
        <v>297</v>
      </c>
      <c r="F516" s="162" t="s">
        <v>30</v>
      </c>
      <c r="G516" s="11">
        <v>202101032</v>
      </c>
      <c r="H516" s="167" t="s">
        <v>705</v>
      </c>
      <c r="I516" s="167" t="s">
        <v>4145</v>
      </c>
      <c r="J516" s="167" t="s">
        <v>4146</v>
      </c>
      <c r="K516" s="167" t="s">
        <v>160</v>
      </c>
      <c r="L516" s="167" t="s">
        <v>235</v>
      </c>
      <c r="M516" s="167" t="s">
        <v>4147</v>
      </c>
      <c r="N516" s="167" t="s">
        <v>4148</v>
      </c>
      <c r="O516" s="12" t="str">
        <f>_xlfn.DISPIMG("ID_28A32B60C96343E48DA79AC0817DB8B2",1)</f>
        <v>=DISPIMG("ID_28A32B60C96343E48DA79AC0817DB8B2",1)</v>
      </c>
      <c r="P516" s="11" t="s">
        <v>4149</v>
      </c>
      <c r="Q516" s="11">
        <v>530</v>
      </c>
      <c r="R516" s="17" t="s">
        <v>4831</v>
      </c>
      <c r="S516" s="18" t="s">
        <v>84</v>
      </c>
      <c r="T516" s="25">
        <v>19</v>
      </c>
    </row>
  </sheetData>
  <sheetProtection formatCells="0" insertHyperlinks="0" autoFilter="0"/>
  <autoFilter ref="A1:XFD516">
    <extLst/>
  </autoFilter>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91"/>
  <sheetViews>
    <sheetView workbookViewId="0">
      <pane xSplit="2" ySplit="2" topLeftCell="C579" activePane="bottomRight" state="frozen"/>
      <selection/>
      <selection pane="topRight"/>
      <selection pane="bottomLeft"/>
      <selection pane="bottomRight" activeCell="Z588" sqref="Z588"/>
    </sheetView>
  </sheetViews>
  <sheetFormatPr defaultColWidth="9" defaultRowHeight="26" customHeight="1"/>
  <cols>
    <col min="1" max="1" width="9" hidden="1" customWidth="1"/>
    <col min="2" max="2" width="11.1296296296296" style="36" customWidth="1"/>
    <col min="3" max="3" width="7.37962962962963" style="36" customWidth="1"/>
    <col min="4" max="4" width="22.1296296296296" style="36" customWidth="1"/>
    <col min="5" max="5" width="14.3796296296296" style="36" hidden="1" customWidth="1"/>
    <col min="6" max="6" width="13" style="36" hidden="1" customWidth="1"/>
    <col min="7" max="7" width="19.6296296296296" style="36" customWidth="1"/>
    <col min="8" max="8" width="13" style="36" customWidth="1"/>
    <col min="9" max="18" width="13" style="36" hidden="1" customWidth="1"/>
    <col min="19" max="19" width="13" style="36" customWidth="1"/>
    <col min="20" max="20" width="14.75" style="36" customWidth="1"/>
    <col min="21" max="21" width="11.5" style="36" customWidth="1"/>
    <col min="22" max="22" width="15.5" style="81" customWidth="1"/>
    <col min="23" max="16384" width="9" style="81"/>
  </cols>
  <sheetData>
    <row r="1" customHeight="1" spans="2:22">
      <c r="B1" s="96" t="s">
        <v>4854</v>
      </c>
      <c r="C1" s="96"/>
      <c r="D1" s="96"/>
      <c r="E1" s="96"/>
      <c r="F1" s="96"/>
      <c r="G1" s="96"/>
      <c r="H1" s="96"/>
      <c r="I1" s="96"/>
      <c r="J1" s="96"/>
      <c r="K1" s="96"/>
      <c r="L1" s="96"/>
      <c r="M1" s="96"/>
      <c r="N1" s="96"/>
      <c r="O1" s="96"/>
      <c r="P1" s="96"/>
      <c r="Q1" s="96"/>
      <c r="R1" s="96"/>
      <c r="S1" s="96"/>
      <c r="T1" s="96"/>
      <c r="U1" s="96"/>
      <c r="V1" s="96"/>
    </row>
    <row r="2" s="3" customFormat="1" customHeight="1" spans="1:22">
      <c r="A2" s="83" t="s">
        <v>116</v>
      </c>
      <c r="B2" s="39" t="s">
        <v>133</v>
      </c>
      <c r="C2" s="39" t="s">
        <v>134</v>
      </c>
      <c r="D2" s="39" t="s">
        <v>135</v>
      </c>
      <c r="E2" s="39" t="s">
        <v>136</v>
      </c>
      <c r="F2" s="39" t="s">
        <v>138</v>
      </c>
      <c r="G2" s="39" t="s">
        <v>1</v>
      </c>
      <c r="H2" s="39" t="s">
        <v>139</v>
      </c>
      <c r="I2" s="39" t="s">
        <v>140</v>
      </c>
      <c r="J2" s="39" t="s">
        <v>141</v>
      </c>
      <c r="K2" s="39" t="s">
        <v>142</v>
      </c>
      <c r="L2" s="39" t="s">
        <v>143</v>
      </c>
      <c r="M2" s="39" t="s">
        <v>144</v>
      </c>
      <c r="N2" s="39" t="s">
        <v>145</v>
      </c>
      <c r="O2" s="39" t="s">
        <v>146</v>
      </c>
      <c r="P2" s="39" t="s">
        <v>147</v>
      </c>
      <c r="Q2" s="39" t="s">
        <v>148</v>
      </c>
      <c r="R2" s="39" t="s">
        <v>149</v>
      </c>
      <c r="S2" s="39" t="s">
        <v>4313</v>
      </c>
      <c r="T2" s="39" t="s">
        <v>32</v>
      </c>
      <c r="U2" s="39" t="s">
        <v>4314</v>
      </c>
      <c r="V2" s="83" t="s">
        <v>4855</v>
      </c>
    </row>
    <row r="3" s="3" customFormat="1" customHeight="1" spans="1:22">
      <c r="A3" s="84">
        <v>26</v>
      </c>
      <c r="B3" s="175" t="s">
        <v>957</v>
      </c>
      <c r="C3" s="175" t="s">
        <v>165</v>
      </c>
      <c r="D3" s="175" t="s">
        <v>958</v>
      </c>
      <c r="E3" s="25">
        <v>15579232085</v>
      </c>
      <c r="F3" s="175" t="s">
        <v>278</v>
      </c>
      <c r="G3" s="175" t="s">
        <v>28</v>
      </c>
      <c r="H3" s="25">
        <v>202103001</v>
      </c>
      <c r="I3" s="175" t="s">
        <v>279</v>
      </c>
      <c r="J3" s="175" t="s">
        <v>367</v>
      </c>
      <c r="K3" s="175" t="s">
        <v>960</v>
      </c>
      <c r="L3" s="175" t="s">
        <v>160</v>
      </c>
      <c r="M3" s="175" t="s">
        <v>261</v>
      </c>
      <c r="N3" s="175" t="s">
        <v>961</v>
      </c>
      <c r="O3" s="25">
        <v>0</v>
      </c>
      <c r="P3" s="26" t="str">
        <f>_xlfn.DISPIMG("ID_4CCFD0700027401988C293FD5FDA33FE",1)</f>
        <v>=DISPIMG("ID_4CCFD0700027401988C293FD5FDA33FE",1)</v>
      </c>
      <c r="Q3" s="25" t="s">
        <v>962</v>
      </c>
      <c r="R3" s="25">
        <v>97</v>
      </c>
      <c r="S3" s="40" t="s">
        <v>4340</v>
      </c>
      <c r="T3" s="18" t="s">
        <v>36</v>
      </c>
      <c r="U3" s="25">
        <v>1</v>
      </c>
      <c r="V3" s="84"/>
    </row>
    <row r="4" s="3" customFormat="1" customHeight="1" spans="1:22">
      <c r="A4" s="84">
        <v>21</v>
      </c>
      <c r="B4" s="175" t="s">
        <v>848</v>
      </c>
      <c r="C4" s="175" t="s">
        <v>165</v>
      </c>
      <c r="D4" s="175" t="s">
        <v>849</v>
      </c>
      <c r="E4" s="25">
        <v>18379626219</v>
      </c>
      <c r="F4" s="175" t="s">
        <v>278</v>
      </c>
      <c r="G4" s="175" t="s">
        <v>28</v>
      </c>
      <c r="H4" s="25">
        <v>202103001</v>
      </c>
      <c r="I4" s="175" t="s">
        <v>279</v>
      </c>
      <c r="J4" s="175" t="s">
        <v>851</v>
      </c>
      <c r="K4" s="175" t="s">
        <v>280</v>
      </c>
      <c r="L4" s="175" t="s">
        <v>170</v>
      </c>
      <c r="M4" s="175" t="s">
        <v>235</v>
      </c>
      <c r="N4" s="175" t="s">
        <v>340</v>
      </c>
      <c r="O4" s="175" t="s">
        <v>852</v>
      </c>
      <c r="P4" s="26" t="str">
        <f>_xlfn.DISPIMG("ID_42372BFB4B414C38BA1598FF5C930944",1)</f>
        <v>=DISPIMG("ID_42372BFB4B414C38BA1598FF5C930944",1)</v>
      </c>
      <c r="Q4" s="25" t="s">
        <v>853</v>
      </c>
      <c r="R4" s="25">
        <v>84</v>
      </c>
      <c r="S4" s="40" t="s">
        <v>4335</v>
      </c>
      <c r="T4" s="18" t="s">
        <v>36</v>
      </c>
      <c r="U4" s="25">
        <v>2</v>
      </c>
      <c r="V4" s="84"/>
    </row>
    <row r="5" s="3" customFormat="1" customHeight="1" spans="1:22">
      <c r="A5" s="84">
        <v>16</v>
      </c>
      <c r="B5" s="175" t="s">
        <v>754</v>
      </c>
      <c r="C5" s="175" t="s">
        <v>165</v>
      </c>
      <c r="D5" s="175" t="s">
        <v>755</v>
      </c>
      <c r="E5" s="25">
        <v>18679201139</v>
      </c>
      <c r="F5" s="175" t="s">
        <v>278</v>
      </c>
      <c r="G5" s="175" t="s">
        <v>28</v>
      </c>
      <c r="H5" s="25">
        <v>202103001</v>
      </c>
      <c r="I5" s="175" t="s">
        <v>585</v>
      </c>
      <c r="J5" s="175" t="s">
        <v>576</v>
      </c>
      <c r="K5" s="175" t="s">
        <v>757</v>
      </c>
      <c r="L5" s="175" t="s">
        <v>170</v>
      </c>
      <c r="M5" s="175" t="s">
        <v>224</v>
      </c>
      <c r="N5" s="175" t="s">
        <v>376</v>
      </c>
      <c r="O5" s="175" t="s">
        <v>758</v>
      </c>
      <c r="P5" s="26" t="str">
        <f>_xlfn.DISPIMG("ID_7BB67F893C7640E3B6FEA6424D027990",1)</f>
        <v>=DISPIMG("ID_7BB67F893C7640E3B6FEA6424D027990",1)</v>
      </c>
      <c r="Q5" s="25" t="s">
        <v>759</v>
      </c>
      <c r="R5" s="25">
        <v>72</v>
      </c>
      <c r="S5" s="40" t="s">
        <v>4330</v>
      </c>
      <c r="T5" s="18" t="s">
        <v>36</v>
      </c>
      <c r="U5" s="25">
        <v>3</v>
      </c>
      <c r="V5" s="84"/>
    </row>
    <row r="6" s="3" customFormat="1" customHeight="1" spans="1:22">
      <c r="A6" s="84">
        <v>11</v>
      </c>
      <c r="B6" s="175" t="s">
        <v>620</v>
      </c>
      <c r="C6" s="175" t="s">
        <v>165</v>
      </c>
      <c r="D6" s="175" t="s">
        <v>621</v>
      </c>
      <c r="E6" s="25">
        <v>18370123772</v>
      </c>
      <c r="F6" s="175" t="s">
        <v>278</v>
      </c>
      <c r="G6" s="175" t="s">
        <v>28</v>
      </c>
      <c r="H6" s="25">
        <v>202103001</v>
      </c>
      <c r="I6" s="175" t="s">
        <v>585</v>
      </c>
      <c r="J6" s="175" t="s">
        <v>595</v>
      </c>
      <c r="K6" s="175" t="s">
        <v>280</v>
      </c>
      <c r="L6" s="175" t="s">
        <v>170</v>
      </c>
      <c r="M6" s="175" t="s">
        <v>368</v>
      </c>
      <c r="N6" s="175" t="s">
        <v>28</v>
      </c>
      <c r="O6" s="175" t="s">
        <v>623</v>
      </c>
      <c r="P6" s="26" t="str">
        <f>_xlfn.DISPIMG("ID_109F9871D9934FD3B362EB8D2EAFD060",1)</f>
        <v>=DISPIMG("ID_109F9871D9934FD3B362EB8D2EAFD060",1)</v>
      </c>
      <c r="Q6" s="25" t="s">
        <v>624</v>
      </c>
      <c r="R6" s="25">
        <v>56</v>
      </c>
      <c r="S6" s="40" t="s">
        <v>4325</v>
      </c>
      <c r="T6" s="18" t="s">
        <v>36</v>
      </c>
      <c r="U6" s="25">
        <v>4</v>
      </c>
      <c r="V6" s="84"/>
    </row>
    <row r="7" s="3" customFormat="1" customHeight="1" spans="1:22">
      <c r="A7" s="84">
        <v>6</v>
      </c>
      <c r="B7" s="175" t="s">
        <v>512</v>
      </c>
      <c r="C7" s="175" t="s">
        <v>165</v>
      </c>
      <c r="D7" s="175" t="s">
        <v>513</v>
      </c>
      <c r="E7" s="25">
        <v>15007008219</v>
      </c>
      <c r="F7" s="175" t="s">
        <v>278</v>
      </c>
      <c r="G7" s="175" t="s">
        <v>28</v>
      </c>
      <c r="H7" s="25">
        <v>202103001</v>
      </c>
      <c r="I7" s="175" t="s">
        <v>279</v>
      </c>
      <c r="J7" s="175" t="s">
        <v>515</v>
      </c>
      <c r="K7" s="175" t="s">
        <v>280</v>
      </c>
      <c r="L7" s="175" t="s">
        <v>170</v>
      </c>
      <c r="M7" s="175" t="s">
        <v>516</v>
      </c>
      <c r="N7" s="175" t="s">
        <v>517</v>
      </c>
      <c r="O7" s="175" t="s">
        <v>518</v>
      </c>
      <c r="P7" s="26" t="str">
        <f>_xlfn.DISPIMG("ID_07A071EC50BE4110A9ABC6B339CCBE2D",1)</f>
        <v>=DISPIMG("ID_07A071EC50BE4110A9ABC6B339CCBE2D",1)</v>
      </c>
      <c r="Q7" s="25" t="s">
        <v>519</v>
      </c>
      <c r="R7" s="25">
        <v>43</v>
      </c>
      <c r="S7" s="40" t="s">
        <v>4320</v>
      </c>
      <c r="T7" s="18" t="s">
        <v>36</v>
      </c>
      <c r="U7" s="25">
        <v>5</v>
      </c>
      <c r="V7" s="84"/>
    </row>
    <row r="8" s="3" customFormat="1" customHeight="1" spans="1:22">
      <c r="A8" s="84">
        <v>1</v>
      </c>
      <c r="B8" s="175" t="s">
        <v>275</v>
      </c>
      <c r="C8" s="175" t="s">
        <v>165</v>
      </c>
      <c r="D8" s="175" t="s">
        <v>276</v>
      </c>
      <c r="E8" s="25">
        <v>15180601470</v>
      </c>
      <c r="F8" s="175" t="s">
        <v>278</v>
      </c>
      <c r="G8" s="175" t="s">
        <v>28</v>
      </c>
      <c r="H8" s="25">
        <v>202103001</v>
      </c>
      <c r="I8" s="175" t="s">
        <v>279</v>
      </c>
      <c r="J8" s="175" t="s">
        <v>233</v>
      </c>
      <c r="K8" s="175" t="s">
        <v>280</v>
      </c>
      <c r="L8" s="175" t="s">
        <v>170</v>
      </c>
      <c r="M8" s="175" t="s">
        <v>281</v>
      </c>
      <c r="N8" s="175" t="s">
        <v>280</v>
      </c>
      <c r="O8" s="175" t="s">
        <v>282</v>
      </c>
      <c r="P8" s="26" t="str">
        <f>_xlfn.DISPIMG("ID_B65C52FC26C14A83A9F7B47ADDC75EF7",1)</f>
        <v>=DISPIMG("ID_B65C52FC26C14A83A9F7B47ADDC75EF7",1)</v>
      </c>
      <c r="Q8" s="25" t="s">
        <v>283</v>
      </c>
      <c r="R8" s="25">
        <v>15</v>
      </c>
      <c r="S8" s="40" t="s">
        <v>4315</v>
      </c>
      <c r="T8" s="18" t="s">
        <v>36</v>
      </c>
      <c r="U8" s="25">
        <v>6</v>
      </c>
      <c r="V8" s="84"/>
    </row>
    <row r="9" s="3" customFormat="1" customHeight="1" spans="1:22">
      <c r="A9" s="84">
        <v>2</v>
      </c>
      <c r="B9" s="175" t="s">
        <v>336</v>
      </c>
      <c r="C9" s="175" t="s">
        <v>165</v>
      </c>
      <c r="D9" s="175" t="s">
        <v>337</v>
      </c>
      <c r="E9" s="25">
        <v>18397927213</v>
      </c>
      <c r="F9" s="175" t="s">
        <v>278</v>
      </c>
      <c r="G9" s="175" t="s">
        <v>28</v>
      </c>
      <c r="H9" s="25">
        <v>202103001</v>
      </c>
      <c r="I9" s="175" t="s">
        <v>279</v>
      </c>
      <c r="J9" s="175" t="s">
        <v>339</v>
      </c>
      <c r="K9" s="175" t="s">
        <v>280</v>
      </c>
      <c r="L9" s="175" t="s">
        <v>170</v>
      </c>
      <c r="M9" s="175" t="s">
        <v>180</v>
      </c>
      <c r="N9" s="175" t="s">
        <v>340</v>
      </c>
      <c r="O9" s="175" t="s">
        <v>341</v>
      </c>
      <c r="P9" s="26" t="str">
        <f>_xlfn.DISPIMG("ID_FA546082303144F6A5FD61F335F92D18",1)</f>
        <v>=DISPIMG("ID_FA546082303144F6A5FD61F335F92D18",1)</v>
      </c>
      <c r="Q9" s="25" t="s">
        <v>342</v>
      </c>
      <c r="R9" s="25">
        <v>22</v>
      </c>
      <c r="S9" s="40" t="s">
        <v>4316</v>
      </c>
      <c r="T9" s="18" t="s">
        <v>36</v>
      </c>
      <c r="U9" s="25">
        <v>7</v>
      </c>
      <c r="V9" s="84"/>
    </row>
    <row r="10" s="4" customFormat="1" customHeight="1" spans="1:22">
      <c r="A10" s="84">
        <v>7</v>
      </c>
      <c r="B10" s="175" t="s">
        <v>573</v>
      </c>
      <c r="C10" s="175" t="s">
        <v>165</v>
      </c>
      <c r="D10" s="175" t="s">
        <v>574</v>
      </c>
      <c r="E10" s="25">
        <v>13387029092</v>
      </c>
      <c r="F10" s="175" t="s">
        <v>278</v>
      </c>
      <c r="G10" s="175" t="s">
        <v>28</v>
      </c>
      <c r="H10" s="25">
        <v>202103001</v>
      </c>
      <c r="I10" s="175" t="s">
        <v>279</v>
      </c>
      <c r="J10" s="175" t="s">
        <v>576</v>
      </c>
      <c r="K10" s="175" t="s">
        <v>280</v>
      </c>
      <c r="L10" s="175" t="s">
        <v>170</v>
      </c>
      <c r="M10" s="175" t="s">
        <v>577</v>
      </c>
      <c r="N10" s="175" t="s">
        <v>280</v>
      </c>
      <c r="O10" s="175" t="s">
        <v>578</v>
      </c>
      <c r="P10" s="26" t="str">
        <f>_xlfn.DISPIMG("ID_82D3A4866E584D37A328F1F75C226980",1)</f>
        <v>=DISPIMG("ID_82D3A4866E584D37A328F1F75C226980",1)</v>
      </c>
      <c r="Q10" s="25" t="s">
        <v>579</v>
      </c>
      <c r="R10" s="25">
        <v>50</v>
      </c>
      <c r="S10" s="40" t="s">
        <v>4321</v>
      </c>
      <c r="T10" s="18" t="s">
        <v>36</v>
      </c>
      <c r="U10" s="25">
        <v>8</v>
      </c>
      <c r="V10" s="84"/>
    </row>
    <row r="11" s="3" customFormat="1" customHeight="1" spans="1:22">
      <c r="A11" s="84">
        <v>12</v>
      </c>
      <c r="B11" s="175" t="s">
        <v>659</v>
      </c>
      <c r="C11" s="175" t="s">
        <v>165</v>
      </c>
      <c r="D11" s="175" t="s">
        <v>660</v>
      </c>
      <c r="E11" s="25">
        <v>18370120304</v>
      </c>
      <c r="F11" s="175" t="s">
        <v>278</v>
      </c>
      <c r="G11" s="175" t="s">
        <v>28</v>
      </c>
      <c r="H11" s="25">
        <v>202103001</v>
      </c>
      <c r="I11" s="175" t="s">
        <v>279</v>
      </c>
      <c r="J11" s="175" t="s">
        <v>662</v>
      </c>
      <c r="K11" s="175" t="s">
        <v>280</v>
      </c>
      <c r="L11" s="175" t="s">
        <v>170</v>
      </c>
      <c r="M11" s="175" t="s">
        <v>368</v>
      </c>
      <c r="N11" s="175" t="s">
        <v>663</v>
      </c>
      <c r="O11" s="175" t="s">
        <v>664</v>
      </c>
      <c r="P11" s="26" t="str">
        <f>_xlfn.DISPIMG("ID_4AE3C77D21184B118F491A1655043931",1)</f>
        <v>=DISPIMG("ID_4AE3C77D21184B118F491A1655043931",1)</v>
      </c>
      <c r="Q11" s="25" t="s">
        <v>665</v>
      </c>
      <c r="R11" s="25">
        <v>61</v>
      </c>
      <c r="S11" s="40" t="s">
        <v>4326</v>
      </c>
      <c r="T11" s="18" t="s">
        <v>36</v>
      </c>
      <c r="U11" s="25">
        <v>9</v>
      </c>
      <c r="V11" s="84"/>
    </row>
    <row r="12" s="3" customFormat="1" customHeight="1" spans="1:22">
      <c r="A12" s="84">
        <v>17</v>
      </c>
      <c r="B12" s="175" t="s">
        <v>762</v>
      </c>
      <c r="C12" s="175" t="s">
        <v>165</v>
      </c>
      <c r="D12" s="175" t="s">
        <v>763</v>
      </c>
      <c r="E12" s="25">
        <v>13697921659</v>
      </c>
      <c r="F12" s="175" t="s">
        <v>278</v>
      </c>
      <c r="G12" s="175" t="s">
        <v>28</v>
      </c>
      <c r="H12" s="25">
        <v>202103001</v>
      </c>
      <c r="I12" s="175" t="s">
        <v>279</v>
      </c>
      <c r="J12" s="175" t="s">
        <v>765</v>
      </c>
      <c r="K12" s="175" t="s">
        <v>280</v>
      </c>
      <c r="L12" s="175" t="s">
        <v>170</v>
      </c>
      <c r="M12" s="175" t="s">
        <v>235</v>
      </c>
      <c r="N12" s="175" t="s">
        <v>340</v>
      </c>
      <c r="O12" s="175" t="s">
        <v>766</v>
      </c>
      <c r="P12" s="26" t="str">
        <f>_xlfn.DISPIMG("ID_4E1CCA66E504445CA5B7AB8D0FB70FB1",1)</f>
        <v>=DISPIMG("ID_4E1CCA66E504445CA5B7AB8D0FB70FB1",1)</v>
      </c>
      <c r="Q12" s="25" t="s">
        <v>767</v>
      </c>
      <c r="R12" s="25">
        <v>73</v>
      </c>
      <c r="S12" s="40" t="s">
        <v>4331</v>
      </c>
      <c r="T12" s="18" t="s">
        <v>36</v>
      </c>
      <c r="U12" s="25">
        <v>10</v>
      </c>
      <c r="V12" s="84"/>
    </row>
    <row r="13" s="3" customFormat="1" customHeight="1" spans="1:22">
      <c r="A13" s="84">
        <v>22</v>
      </c>
      <c r="B13" s="175" t="s">
        <v>873</v>
      </c>
      <c r="C13" s="175" t="s">
        <v>165</v>
      </c>
      <c r="D13" s="175" t="s">
        <v>874</v>
      </c>
      <c r="E13" s="25">
        <v>15070424036</v>
      </c>
      <c r="F13" s="175" t="s">
        <v>278</v>
      </c>
      <c r="G13" s="175" t="s">
        <v>28</v>
      </c>
      <c r="H13" s="25">
        <v>202103001</v>
      </c>
      <c r="I13" s="175" t="s">
        <v>279</v>
      </c>
      <c r="J13" s="175" t="s">
        <v>876</v>
      </c>
      <c r="K13" s="175" t="s">
        <v>280</v>
      </c>
      <c r="L13" s="175" t="s">
        <v>170</v>
      </c>
      <c r="M13" s="175" t="s">
        <v>180</v>
      </c>
      <c r="N13" s="175" t="s">
        <v>517</v>
      </c>
      <c r="O13" s="175" t="s">
        <v>877</v>
      </c>
      <c r="P13" s="26" t="str">
        <f>_xlfn.DISPIMG("ID_FA24C7A6F2FA44B892B9DF563FC4E960",1)</f>
        <v>=DISPIMG("ID_FA24C7A6F2FA44B892B9DF563FC4E960",1)</v>
      </c>
      <c r="Q13" s="25" t="s">
        <v>878</v>
      </c>
      <c r="R13" s="25">
        <v>87</v>
      </c>
      <c r="S13" s="40" t="s">
        <v>4336</v>
      </c>
      <c r="T13" s="18" t="s">
        <v>36</v>
      </c>
      <c r="U13" s="25">
        <v>11</v>
      </c>
      <c r="V13" s="84"/>
    </row>
    <row r="14" s="3" customFormat="1" customHeight="1" spans="1:22">
      <c r="A14" s="84">
        <v>27</v>
      </c>
      <c r="B14" s="175" t="s">
        <v>1010</v>
      </c>
      <c r="C14" s="175" t="s">
        <v>165</v>
      </c>
      <c r="D14" s="175" t="s">
        <v>1011</v>
      </c>
      <c r="E14" s="25">
        <v>13065115241</v>
      </c>
      <c r="F14" s="175" t="s">
        <v>278</v>
      </c>
      <c r="G14" s="175" t="s">
        <v>28</v>
      </c>
      <c r="H14" s="25">
        <v>202103001</v>
      </c>
      <c r="I14" s="175" t="s">
        <v>279</v>
      </c>
      <c r="J14" s="175" t="s">
        <v>662</v>
      </c>
      <c r="K14" s="175" t="s">
        <v>280</v>
      </c>
      <c r="L14" s="175" t="s">
        <v>170</v>
      </c>
      <c r="M14" s="175" t="s">
        <v>161</v>
      </c>
      <c r="N14" s="175" t="s">
        <v>1013</v>
      </c>
      <c r="O14" s="175" t="s">
        <v>1014</v>
      </c>
      <c r="P14" s="26" t="str">
        <f>_xlfn.DISPIMG("ID_723B44C496604BFA92AC4D10BD64E9FC",1)</f>
        <v>=DISPIMG("ID_723B44C496604BFA92AC4D10BD64E9FC",1)</v>
      </c>
      <c r="Q14" s="25" t="s">
        <v>1015</v>
      </c>
      <c r="R14" s="25">
        <v>103</v>
      </c>
      <c r="S14" s="40" t="s">
        <v>4341</v>
      </c>
      <c r="T14" s="18" t="s">
        <v>36</v>
      </c>
      <c r="U14" s="25">
        <v>12</v>
      </c>
      <c r="V14" s="84"/>
    </row>
    <row r="15" s="3" customFormat="1" customHeight="1" spans="1:22">
      <c r="A15" s="84">
        <v>28</v>
      </c>
      <c r="B15" s="175" t="s">
        <v>1027</v>
      </c>
      <c r="C15" s="175" t="s">
        <v>165</v>
      </c>
      <c r="D15" s="175" t="s">
        <v>1028</v>
      </c>
      <c r="E15" s="25">
        <v>15579180298</v>
      </c>
      <c r="F15" s="175" t="s">
        <v>278</v>
      </c>
      <c r="G15" s="175" t="s">
        <v>28</v>
      </c>
      <c r="H15" s="25">
        <v>202103001</v>
      </c>
      <c r="I15" s="175" t="s">
        <v>279</v>
      </c>
      <c r="J15" s="175" t="s">
        <v>662</v>
      </c>
      <c r="K15" s="175" t="s">
        <v>280</v>
      </c>
      <c r="L15" s="175" t="s">
        <v>170</v>
      </c>
      <c r="M15" s="175" t="s">
        <v>161</v>
      </c>
      <c r="N15" s="175" t="s">
        <v>376</v>
      </c>
      <c r="O15" s="175" t="s">
        <v>1030</v>
      </c>
      <c r="P15" s="26" t="str">
        <f>_xlfn.DISPIMG("ID_1619E0FF3AE04637958459633AD8C1B8",1)</f>
        <v>=DISPIMG("ID_1619E0FF3AE04637958459633AD8C1B8",1)</v>
      </c>
      <c r="Q15" s="25" t="s">
        <v>1031</v>
      </c>
      <c r="R15" s="25">
        <v>105</v>
      </c>
      <c r="S15" s="40" t="s">
        <v>4342</v>
      </c>
      <c r="T15" s="18" t="s">
        <v>36</v>
      </c>
      <c r="U15" s="25">
        <v>13</v>
      </c>
      <c r="V15" s="84"/>
    </row>
    <row r="16" s="3" customFormat="1" customHeight="1" spans="1:22">
      <c r="A16" s="84">
        <v>23</v>
      </c>
      <c r="B16" s="175" t="s">
        <v>881</v>
      </c>
      <c r="C16" s="175" t="s">
        <v>165</v>
      </c>
      <c r="D16" s="175" t="s">
        <v>882</v>
      </c>
      <c r="E16" s="25">
        <v>15279260286</v>
      </c>
      <c r="F16" s="175" t="s">
        <v>278</v>
      </c>
      <c r="G16" s="175" t="s">
        <v>28</v>
      </c>
      <c r="H16" s="25">
        <v>202103001</v>
      </c>
      <c r="I16" s="175" t="s">
        <v>279</v>
      </c>
      <c r="J16" s="175" t="s">
        <v>884</v>
      </c>
      <c r="K16" s="175" t="s">
        <v>223</v>
      </c>
      <c r="L16" s="175" t="s">
        <v>170</v>
      </c>
      <c r="M16" s="175" t="s">
        <v>733</v>
      </c>
      <c r="N16" s="175" t="s">
        <v>885</v>
      </c>
      <c r="O16" s="175" t="s">
        <v>886</v>
      </c>
      <c r="P16" s="26" t="str">
        <f>_xlfn.DISPIMG("ID_79374B2C837849A79ABAFBB6FF76D11C",1)</f>
        <v>=DISPIMG("ID_79374B2C837849A79ABAFBB6FF76D11C",1)</v>
      </c>
      <c r="Q16" s="25" t="s">
        <v>887</v>
      </c>
      <c r="R16" s="25">
        <v>88</v>
      </c>
      <c r="S16" s="40" t="s">
        <v>4337</v>
      </c>
      <c r="T16" s="18" t="s">
        <v>36</v>
      </c>
      <c r="U16" s="25">
        <v>14</v>
      </c>
      <c r="V16" s="85"/>
    </row>
    <row r="17" s="3" customFormat="1" customHeight="1" spans="1:22">
      <c r="A17" s="84">
        <v>18</v>
      </c>
      <c r="B17" s="175" t="s">
        <v>794</v>
      </c>
      <c r="C17" s="175" t="s">
        <v>165</v>
      </c>
      <c r="D17" s="175" t="s">
        <v>795</v>
      </c>
      <c r="E17" s="25">
        <v>18707021672</v>
      </c>
      <c r="F17" s="175" t="s">
        <v>278</v>
      </c>
      <c r="G17" s="175" t="s">
        <v>28</v>
      </c>
      <c r="H17" s="25">
        <v>202103001</v>
      </c>
      <c r="I17" s="175" t="s">
        <v>279</v>
      </c>
      <c r="J17" s="175" t="s">
        <v>367</v>
      </c>
      <c r="K17" s="175" t="s">
        <v>280</v>
      </c>
      <c r="L17" s="175" t="s">
        <v>170</v>
      </c>
      <c r="M17" s="175" t="s">
        <v>306</v>
      </c>
      <c r="N17" s="175" t="s">
        <v>376</v>
      </c>
      <c r="O17" s="175" t="s">
        <v>797</v>
      </c>
      <c r="P17" s="26" t="str">
        <f>_xlfn.DISPIMG("ID_639B898E1B304FC0A6FA0E13C551BEC4",1)</f>
        <v>=DISPIMG("ID_639B898E1B304FC0A6FA0E13C551BEC4",1)</v>
      </c>
      <c r="Q17" s="25" t="s">
        <v>798</v>
      </c>
      <c r="R17" s="25">
        <v>77</v>
      </c>
      <c r="S17" s="40" t="s">
        <v>4332</v>
      </c>
      <c r="T17" s="18" t="s">
        <v>36</v>
      </c>
      <c r="U17" s="25">
        <v>15</v>
      </c>
      <c r="V17" s="84"/>
    </row>
    <row r="18" s="3" customFormat="1" customHeight="1" spans="1:22">
      <c r="A18" s="84">
        <v>13</v>
      </c>
      <c r="B18" s="175" t="s">
        <v>694</v>
      </c>
      <c r="C18" s="175" t="s">
        <v>165</v>
      </c>
      <c r="D18" s="175" t="s">
        <v>695</v>
      </c>
      <c r="E18" s="25">
        <v>15779270127</v>
      </c>
      <c r="F18" s="175" t="s">
        <v>278</v>
      </c>
      <c r="G18" s="175" t="s">
        <v>28</v>
      </c>
      <c r="H18" s="25">
        <v>202103001</v>
      </c>
      <c r="I18" s="175" t="s">
        <v>279</v>
      </c>
      <c r="J18" s="175" t="s">
        <v>697</v>
      </c>
      <c r="K18" s="175" t="s">
        <v>280</v>
      </c>
      <c r="L18" s="175" t="s">
        <v>160</v>
      </c>
      <c r="M18" s="175" t="s">
        <v>180</v>
      </c>
      <c r="N18" s="175" t="s">
        <v>28</v>
      </c>
      <c r="O18" s="175" t="s">
        <v>698</v>
      </c>
      <c r="P18" s="26" t="str">
        <f>_xlfn.DISPIMG("ID_E6AFBB076E18415F8E4E8CB1E3BFC1A0",1)</f>
        <v>=DISPIMG("ID_E6AFBB076E18415F8E4E8CB1E3BFC1A0",1)</v>
      </c>
      <c r="Q18" s="25" t="s">
        <v>699</v>
      </c>
      <c r="R18" s="25">
        <v>65</v>
      </c>
      <c r="S18" s="40" t="s">
        <v>4327</v>
      </c>
      <c r="T18" s="18" t="s">
        <v>36</v>
      </c>
      <c r="U18" s="25">
        <v>16</v>
      </c>
      <c r="V18" s="84"/>
    </row>
    <row r="19" s="3" customFormat="1" customHeight="1" spans="1:22">
      <c r="A19" s="84">
        <v>8</v>
      </c>
      <c r="B19" s="175" t="s">
        <v>582</v>
      </c>
      <c r="C19" s="175" t="s">
        <v>165</v>
      </c>
      <c r="D19" s="175" t="s">
        <v>583</v>
      </c>
      <c r="E19" s="25">
        <v>18879297924</v>
      </c>
      <c r="F19" s="175" t="s">
        <v>278</v>
      </c>
      <c r="G19" s="175" t="s">
        <v>28</v>
      </c>
      <c r="H19" s="25">
        <v>202103001</v>
      </c>
      <c r="I19" s="175" t="s">
        <v>585</v>
      </c>
      <c r="J19" s="175" t="s">
        <v>367</v>
      </c>
      <c r="K19" s="175" t="s">
        <v>586</v>
      </c>
      <c r="L19" s="175" t="s">
        <v>170</v>
      </c>
      <c r="M19" s="175" t="s">
        <v>587</v>
      </c>
      <c r="N19" s="175" t="s">
        <v>588</v>
      </c>
      <c r="O19" s="175" t="s">
        <v>589</v>
      </c>
      <c r="P19" s="26" t="str">
        <f>_xlfn.DISPIMG("ID_6DA92F60F38D4176A8885E139DCAD5AE",1)</f>
        <v>=DISPIMG("ID_6DA92F60F38D4176A8885E139DCAD5AE",1)</v>
      </c>
      <c r="Q19" s="25" t="s">
        <v>590</v>
      </c>
      <c r="R19" s="25">
        <v>51</v>
      </c>
      <c r="S19" s="40" t="s">
        <v>4322</v>
      </c>
      <c r="T19" s="18" t="s">
        <v>36</v>
      </c>
      <c r="U19" s="25">
        <v>17</v>
      </c>
      <c r="V19" s="70"/>
    </row>
    <row r="20" s="3" customFormat="1" customHeight="1" spans="1:22">
      <c r="A20" s="84">
        <v>3</v>
      </c>
      <c r="B20" s="175" t="s">
        <v>373</v>
      </c>
      <c r="C20" s="175" t="s">
        <v>165</v>
      </c>
      <c r="D20" s="175" t="s">
        <v>374</v>
      </c>
      <c r="E20" s="25">
        <v>15170964571</v>
      </c>
      <c r="F20" s="175" t="s">
        <v>278</v>
      </c>
      <c r="G20" s="175" t="s">
        <v>28</v>
      </c>
      <c r="H20" s="25">
        <v>202103001</v>
      </c>
      <c r="I20" s="175" t="s">
        <v>279</v>
      </c>
      <c r="J20" s="175" t="s">
        <v>367</v>
      </c>
      <c r="K20" s="175" t="s">
        <v>280</v>
      </c>
      <c r="L20" s="175" t="s">
        <v>170</v>
      </c>
      <c r="M20" s="175" t="s">
        <v>224</v>
      </c>
      <c r="N20" s="175" t="s">
        <v>376</v>
      </c>
      <c r="O20" s="175" t="s">
        <v>377</v>
      </c>
      <c r="P20" s="26" t="str">
        <f>_xlfn.DISPIMG("ID_C8327FEC732A4CC39200F90994F97069",1)</f>
        <v>=DISPIMG("ID_C8327FEC732A4CC39200F90994F97069",1)</v>
      </c>
      <c r="Q20" s="25" t="s">
        <v>378</v>
      </c>
      <c r="R20" s="25">
        <v>26</v>
      </c>
      <c r="S20" s="40" t="s">
        <v>4317</v>
      </c>
      <c r="T20" s="18" t="s">
        <v>36</v>
      </c>
      <c r="U20" s="25">
        <v>18</v>
      </c>
      <c r="V20" s="84"/>
    </row>
    <row r="21" s="3" customFormat="1" customHeight="1" spans="1:22">
      <c r="A21" s="84">
        <v>4</v>
      </c>
      <c r="B21" s="175" t="s">
        <v>418</v>
      </c>
      <c r="C21" s="175" t="s">
        <v>165</v>
      </c>
      <c r="D21" s="175" t="s">
        <v>419</v>
      </c>
      <c r="E21" s="25">
        <v>13870260927</v>
      </c>
      <c r="F21" s="175" t="s">
        <v>278</v>
      </c>
      <c r="G21" s="175" t="s">
        <v>28</v>
      </c>
      <c r="H21" s="25">
        <v>202103001</v>
      </c>
      <c r="I21" s="175" t="s">
        <v>279</v>
      </c>
      <c r="J21" s="175" t="s">
        <v>367</v>
      </c>
      <c r="K21" s="175" t="s">
        <v>280</v>
      </c>
      <c r="L21" s="175" t="s">
        <v>170</v>
      </c>
      <c r="M21" s="175" t="s">
        <v>224</v>
      </c>
      <c r="N21" s="175" t="s">
        <v>28</v>
      </c>
      <c r="O21" s="175" t="s">
        <v>421</v>
      </c>
      <c r="P21" s="26" t="str">
        <f>_xlfn.DISPIMG("ID_37FC201A56874EEA918314432BBE8D22",1)</f>
        <v>=DISPIMG("ID_37FC201A56874EEA918314432BBE8D22",1)</v>
      </c>
      <c r="Q21" s="25" t="s">
        <v>422</v>
      </c>
      <c r="R21" s="25">
        <v>31</v>
      </c>
      <c r="S21" s="40" t="s">
        <v>4318</v>
      </c>
      <c r="T21" s="18" t="s">
        <v>36</v>
      </c>
      <c r="U21" s="25">
        <v>19</v>
      </c>
      <c r="V21" s="84"/>
    </row>
    <row r="22" s="3" customFormat="1" customHeight="1" spans="1:22">
      <c r="A22" s="84">
        <v>9</v>
      </c>
      <c r="B22" s="175" t="s">
        <v>592</v>
      </c>
      <c r="C22" s="175" t="s">
        <v>165</v>
      </c>
      <c r="D22" s="175" t="s">
        <v>593</v>
      </c>
      <c r="E22" s="25">
        <v>13177706682</v>
      </c>
      <c r="F22" s="175" t="s">
        <v>278</v>
      </c>
      <c r="G22" s="175" t="s">
        <v>28</v>
      </c>
      <c r="H22" s="25">
        <v>202103001</v>
      </c>
      <c r="I22" s="175" t="s">
        <v>279</v>
      </c>
      <c r="J22" s="175" t="s">
        <v>595</v>
      </c>
      <c r="K22" s="175" t="s">
        <v>280</v>
      </c>
      <c r="L22" s="175" t="s">
        <v>170</v>
      </c>
      <c r="M22" s="175" t="s">
        <v>281</v>
      </c>
      <c r="N22" s="175" t="s">
        <v>28</v>
      </c>
      <c r="O22" s="175" t="s">
        <v>596</v>
      </c>
      <c r="P22" s="26" t="str">
        <f>_xlfn.DISPIMG("ID_4A2B45245E6541EDAAF502188C295214",1)</f>
        <v>=DISPIMG("ID_4A2B45245E6541EDAAF502188C295214",1)</v>
      </c>
      <c r="Q22" s="25" t="s">
        <v>597</v>
      </c>
      <c r="R22" s="25">
        <v>52</v>
      </c>
      <c r="S22" s="40" t="s">
        <v>4323</v>
      </c>
      <c r="T22" s="18" t="s">
        <v>36</v>
      </c>
      <c r="U22" s="25">
        <v>20</v>
      </c>
      <c r="V22" s="84"/>
    </row>
    <row r="23" s="3" customFormat="1" customHeight="1" spans="1:22">
      <c r="A23" s="84">
        <v>14</v>
      </c>
      <c r="B23" s="175" t="s">
        <v>712</v>
      </c>
      <c r="C23" s="175" t="s">
        <v>165</v>
      </c>
      <c r="D23" s="175" t="s">
        <v>713</v>
      </c>
      <c r="E23" s="25">
        <v>18379282600</v>
      </c>
      <c r="F23" s="175" t="s">
        <v>278</v>
      </c>
      <c r="G23" s="175" t="s">
        <v>28</v>
      </c>
      <c r="H23" s="25">
        <v>202103001</v>
      </c>
      <c r="I23" s="175" t="s">
        <v>279</v>
      </c>
      <c r="J23" s="175" t="s">
        <v>168</v>
      </c>
      <c r="K23" s="175" t="s">
        <v>280</v>
      </c>
      <c r="L23" s="175" t="s">
        <v>170</v>
      </c>
      <c r="M23" s="175" t="s">
        <v>199</v>
      </c>
      <c r="N23" s="175" t="s">
        <v>715</v>
      </c>
      <c r="O23" s="175" t="s">
        <v>716</v>
      </c>
      <c r="P23" s="26" t="str">
        <f>_xlfn.DISPIMG("ID_CF0B9D1514D24BCEBECEF1FC59445AFE",1)</f>
        <v>=DISPIMG("ID_CF0B9D1514D24BCEBECEF1FC59445AFE",1)</v>
      </c>
      <c r="Q23" s="25" t="s">
        <v>717</v>
      </c>
      <c r="R23" s="25">
        <v>67</v>
      </c>
      <c r="S23" s="40" t="s">
        <v>4328</v>
      </c>
      <c r="T23" s="18" t="s">
        <v>36</v>
      </c>
      <c r="U23" s="25">
        <v>21</v>
      </c>
      <c r="V23" s="84"/>
    </row>
    <row r="24" s="3" customFormat="1" customHeight="1" spans="1:22">
      <c r="A24" s="84">
        <v>19</v>
      </c>
      <c r="B24" s="175" t="s">
        <v>801</v>
      </c>
      <c r="C24" s="175" t="s">
        <v>165</v>
      </c>
      <c r="D24" s="175" t="s">
        <v>802</v>
      </c>
      <c r="E24" s="25">
        <v>13698021995</v>
      </c>
      <c r="F24" s="175" t="s">
        <v>278</v>
      </c>
      <c r="G24" s="175" t="s">
        <v>28</v>
      </c>
      <c r="H24" s="25">
        <v>202103001</v>
      </c>
      <c r="I24" s="175" t="s">
        <v>585</v>
      </c>
      <c r="J24" s="175" t="s">
        <v>804</v>
      </c>
      <c r="K24" s="175" t="s">
        <v>280</v>
      </c>
      <c r="L24" s="175" t="s">
        <v>170</v>
      </c>
      <c r="M24" s="175" t="s">
        <v>805</v>
      </c>
      <c r="N24" s="175" t="s">
        <v>376</v>
      </c>
      <c r="O24" s="175" t="s">
        <v>806</v>
      </c>
      <c r="P24" s="26" t="str">
        <f>_xlfn.DISPIMG("ID_AEB241E66C41495DBC633E36C32A72C8",1)</f>
        <v>=DISPIMG("ID_AEB241E66C41495DBC633E36C32A72C8",1)</v>
      </c>
      <c r="Q24" s="25" t="s">
        <v>807</v>
      </c>
      <c r="R24" s="25">
        <v>78</v>
      </c>
      <c r="S24" s="40" t="s">
        <v>4333</v>
      </c>
      <c r="T24" s="18" t="s">
        <v>36</v>
      </c>
      <c r="U24" s="25">
        <v>22</v>
      </c>
      <c r="V24" s="84"/>
    </row>
    <row r="25" s="5" customFormat="1" customHeight="1" spans="1:22">
      <c r="A25" s="84">
        <v>24</v>
      </c>
      <c r="B25" s="175" t="s">
        <v>890</v>
      </c>
      <c r="C25" s="175" t="s">
        <v>165</v>
      </c>
      <c r="D25" s="175" t="s">
        <v>891</v>
      </c>
      <c r="E25" s="25">
        <v>15270271332</v>
      </c>
      <c r="F25" s="175" t="s">
        <v>278</v>
      </c>
      <c r="G25" s="175" t="s">
        <v>28</v>
      </c>
      <c r="H25" s="25">
        <v>202103001</v>
      </c>
      <c r="I25" s="175" t="s">
        <v>279</v>
      </c>
      <c r="J25" s="175" t="s">
        <v>765</v>
      </c>
      <c r="K25" s="175" t="s">
        <v>893</v>
      </c>
      <c r="L25" s="175" t="s">
        <v>170</v>
      </c>
      <c r="M25" s="175" t="s">
        <v>161</v>
      </c>
      <c r="N25" s="175" t="s">
        <v>340</v>
      </c>
      <c r="O25" s="175" t="s">
        <v>894</v>
      </c>
      <c r="P25" s="26" t="str">
        <f>_xlfn.DISPIMG("ID_85B3DA5A290A4196889B653600FB42ED",1)</f>
        <v>=DISPIMG("ID_85B3DA5A290A4196889B653600FB42ED",1)</v>
      </c>
      <c r="Q25" s="25" t="s">
        <v>895</v>
      </c>
      <c r="R25" s="25">
        <v>89</v>
      </c>
      <c r="S25" s="40" t="s">
        <v>4338</v>
      </c>
      <c r="T25" s="18" t="s">
        <v>36</v>
      </c>
      <c r="U25" s="25">
        <v>23</v>
      </c>
      <c r="V25" s="84"/>
    </row>
    <row r="26" s="3" customFormat="1" customHeight="1" spans="1:22">
      <c r="A26" s="84">
        <v>29</v>
      </c>
      <c r="B26" s="175" t="s">
        <v>1043</v>
      </c>
      <c r="C26" s="175" t="s">
        <v>165</v>
      </c>
      <c r="D26" s="175" t="s">
        <v>1044</v>
      </c>
      <c r="E26" s="25">
        <v>13257081497</v>
      </c>
      <c r="F26" s="175" t="s">
        <v>278</v>
      </c>
      <c r="G26" s="175" t="s">
        <v>28</v>
      </c>
      <c r="H26" s="25">
        <v>202103001</v>
      </c>
      <c r="I26" s="175" t="s">
        <v>279</v>
      </c>
      <c r="J26" s="175" t="s">
        <v>515</v>
      </c>
      <c r="K26" s="175" t="s">
        <v>280</v>
      </c>
      <c r="L26" s="175" t="s">
        <v>170</v>
      </c>
      <c r="M26" s="175" t="s">
        <v>216</v>
      </c>
      <c r="N26" s="175" t="s">
        <v>28</v>
      </c>
      <c r="O26" s="175" t="s">
        <v>1046</v>
      </c>
      <c r="P26" s="26" t="str">
        <f>_xlfn.DISPIMG("ID_95C77A057E51453F847E60BE7A6D3C93",1)</f>
        <v>=DISPIMG("ID_95C77A057E51453F847E60BE7A6D3C93",1)</v>
      </c>
      <c r="Q26" s="25" t="s">
        <v>1047</v>
      </c>
      <c r="R26" s="25">
        <v>107</v>
      </c>
      <c r="S26" s="40" t="s">
        <v>4343</v>
      </c>
      <c r="T26" s="18" t="s">
        <v>36</v>
      </c>
      <c r="U26" s="25">
        <v>24</v>
      </c>
      <c r="V26" s="84"/>
    </row>
    <row r="27" s="3" customFormat="1" customHeight="1" spans="1:22">
      <c r="A27" s="84">
        <v>30</v>
      </c>
      <c r="B27" s="175" t="s">
        <v>1094</v>
      </c>
      <c r="C27" s="175" t="s">
        <v>165</v>
      </c>
      <c r="D27" s="175" t="s">
        <v>1095</v>
      </c>
      <c r="E27" s="25">
        <v>18279284539</v>
      </c>
      <c r="F27" s="175" t="s">
        <v>278</v>
      </c>
      <c r="G27" s="175" t="s">
        <v>28</v>
      </c>
      <c r="H27" s="25">
        <v>202103001</v>
      </c>
      <c r="I27" s="175" t="s">
        <v>279</v>
      </c>
      <c r="J27" s="175" t="s">
        <v>1097</v>
      </c>
      <c r="K27" s="175" t="s">
        <v>280</v>
      </c>
      <c r="L27" s="175" t="s">
        <v>170</v>
      </c>
      <c r="M27" s="175" t="s">
        <v>455</v>
      </c>
      <c r="N27" s="175" t="s">
        <v>1098</v>
      </c>
      <c r="O27" s="25">
        <v>0</v>
      </c>
      <c r="P27" s="26" t="str">
        <f>_xlfn.DISPIMG("ID_FAFFBB147A2A46E5B294F9119A127E5F",1)</f>
        <v>=DISPIMG("ID_FAFFBB147A2A46E5B294F9119A127E5F",1)</v>
      </c>
      <c r="Q27" s="25" t="s">
        <v>1099</v>
      </c>
      <c r="R27" s="25">
        <v>114</v>
      </c>
      <c r="S27" s="40" t="s">
        <v>4344</v>
      </c>
      <c r="T27" s="18" t="s">
        <v>36</v>
      </c>
      <c r="U27" s="25">
        <v>25</v>
      </c>
      <c r="V27" s="84"/>
    </row>
    <row r="28" s="3" customFormat="1" customHeight="1" spans="1:22">
      <c r="A28" s="84">
        <v>25</v>
      </c>
      <c r="B28" s="175" t="s">
        <v>924</v>
      </c>
      <c r="C28" s="175" t="s">
        <v>165</v>
      </c>
      <c r="D28" s="175" t="s">
        <v>925</v>
      </c>
      <c r="E28" s="25">
        <v>13979203425</v>
      </c>
      <c r="F28" s="175" t="s">
        <v>278</v>
      </c>
      <c r="G28" s="175" t="s">
        <v>28</v>
      </c>
      <c r="H28" s="25">
        <v>202103001</v>
      </c>
      <c r="I28" s="175" t="s">
        <v>585</v>
      </c>
      <c r="J28" s="175" t="s">
        <v>927</v>
      </c>
      <c r="K28" s="175" t="s">
        <v>928</v>
      </c>
      <c r="L28" s="175" t="s">
        <v>170</v>
      </c>
      <c r="M28" s="175" t="s">
        <v>349</v>
      </c>
      <c r="N28" s="175" t="s">
        <v>376</v>
      </c>
      <c r="O28" s="175" t="s">
        <v>929</v>
      </c>
      <c r="P28" s="26" t="str">
        <f>_xlfn.DISPIMG("ID_8862CF8F67E94F49BA25AF43C58A74CB",1)</f>
        <v>=DISPIMG("ID_8862CF8F67E94F49BA25AF43C58A74CB",1)</v>
      </c>
      <c r="Q28" s="25" t="s">
        <v>930</v>
      </c>
      <c r="R28" s="25">
        <v>93</v>
      </c>
      <c r="S28" s="40" t="s">
        <v>4339</v>
      </c>
      <c r="T28" s="18" t="s">
        <v>36</v>
      </c>
      <c r="U28" s="25">
        <v>26</v>
      </c>
      <c r="V28" s="84"/>
    </row>
    <row r="29" s="3" customFormat="1" customHeight="1" spans="1:22">
      <c r="A29" s="84">
        <v>20</v>
      </c>
      <c r="B29" s="175" t="s">
        <v>840</v>
      </c>
      <c r="C29" s="175" t="s">
        <v>165</v>
      </c>
      <c r="D29" s="175" t="s">
        <v>841</v>
      </c>
      <c r="E29" s="25">
        <v>15059878679</v>
      </c>
      <c r="F29" s="175" t="s">
        <v>278</v>
      </c>
      <c r="G29" s="175" t="s">
        <v>28</v>
      </c>
      <c r="H29" s="25">
        <v>202103001</v>
      </c>
      <c r="I29" s="175" t="s">
        <v>279</v>
      </c>
      <c r="J29" s="175" t="s">
        <v>339</v>
      </c>
      <c r="K29" s="175" t="s">
        <v>280</v>
      </c>
      <c r="L29" s="175" t="s">
        <v>170</v>
      </c>
      <c r="M29" s="175" t="s">
        <v>843</v>
      </c>
      <c r="N29" s="175" t="s">
        <v>376</v>
      </c>
      <c r="O29" s="175" t="s">
        <v>844</v>
      </c>
      <c r="P29" s="26" t="str">
        <f>_xlfn.DISPIMG("ID_424B9BE152D1418A818313627A199A3A",1)</f>
        <v>=DISPIMG("ID_424B9BE152D1418A818313627A199A3A",1)</v>
      </c>
      <c r="Q29" s="25" t="s">
        <v>845</v>
      </c>
      <c r="R29" s="25">
        <v>83</v>
      </c>
      <c r="S29" s="40" t="s">
        <v>4334</v>
      </c>
      <c r="T29" s="18" t="s">
        <v>36</v>
      </c>
      <c r="U29" s="25">
        <v>27</v>
      </c>
      <c r="V29" s="84"/>
    </row>
    <row r="30" s="3" customFormat="1" customHeight="1" spans="1:22">
      <c r="A30" s="84">
        <v>15</v>
      </c>
      <c r="B30" s="175" t="s">
        <v>729</v>
      </c>
      <c r="C30" s="175" t="s">
        <v>165</v>
      </c>
      <c r="D30" s="175" t="s">
        <v>730</v>
      </c>
      <c r="E30" s="25">
        <v>18270279001</v>
      </c>
      <c r="F30" s="175" t="s">
        <v>278</v>
      </c>
      <c r="G30" s="175" t="s">
        <v>28</v>
      </c>
      <c r="H30" s="25">
        <v>202103001</v>
      </c>
      <c r="I30" s="175" t="s">
        <v>279</v>
      </c>
      <c r="J30" s="175" t="s">
        <v>732</v>
      </c>
      <c r="K30" s="175" t="s">
        <v>280</v>
      </c>
      <c r="L30" s="175" t="s">
        <v>170</v>
      </c>
      <c r="M30" s="175" t="s">
        <v>733</v>
      </c>
      <c r="N30" s="175" t="s">
        <v>517</v>
      </c>
      <c r="O30" s="175" t="s">
        <v>734</v>
      </c>
      <c r="P30" s="26" t="str">
        <f>_xlfn.DISPIMG("ID_9786F64DF5E04D0EBFF7257960884627",1)</f>
        <v>=DISPIMG("ID_9786F64DF5E04D0EBFF7257960884627",1)</v>
      </c>
      <c r="Q30" s="25" t="s">
        <v>735</v>
      </c>
      <c r="R30" s="25">
        <v>69</v>
      </c>
      <c r="S30" s="40" t="s">
        <v>4329</v>
      </c>
      <c r="T30" s="18" t="s">
        <v>36</v>
      </c>
      <c r="U30" s="25">
        <v>28</v>
      </c>
      <c r="V30" s="84"/>
    </row>
    <row r="31" s="3" customFormat="1" customHeight="1" spans="1:22">
      <c r="A31" s="84">
        <v>10</v>
      </c>
      <c r="B31" s="175" t="s">
        <v>614</v>
      </c>
      <c r="C31" s="175" t="s">
        <v>165</v>
      </c>
      <c r="D31" s="175" t="s">
        <v>615</v>
      </c>
      <c r="E31" s="25">
        <v>13755265925</v>
      </c>
      <c r="F31" s="175" t="s">
        <v>278</v>
      </c>
      <c r="G31" s="175" t="s">
        <v>28</v>
      </c>
      <c r="H31" s="25">
        <v>202103001</v>
      </c>
      <c r="I31" s="175" t="s">
        <v>585</v>
      </c>
      <c r="J31" s="175" t="s">
        <v>595</v>
      </c>
      <c r="K31" s="175" t="s">
        <v>280</v>
      </c>
      <c r="L31" s="175" t="s">
        <v>170</v>
      </c>
      <c r="M31" s="175" t="s">
        <v>281</v>
      </c>
      <c r="N31" s="175" t="s">
        <v>28</v>
      </c>
      <c r="O31" s="175" t="s">
        <v>617</v>
      </c>
      <c r="P31" s="26" t="str">
        <f>_xlfn.DISPIMG("ID_85355BEE288D4456A9F8FBBF22F43B44",1)</f>
        <v>=DISPIMG("ID_85355BEE288D4456A9F8FBBF22F43B44",1)</v>
      </c>
      <c r="Q31" s="25" t="s">
        <v>618</v>
      </c>
      <c r="R31" s="25">
        <v>55</v>
      </c>
      <c r="S31" s="40" t="s">
        <v>4324</v>
      </c>
      <c r="T31" s="18" t="s">
        <v>36</v>
      </c>
      <c r="U31" s="25">
        <v>29</v>
      </c>
      <c r="V31" s="84"/>
    </row>
    <row r="32" s="3" customFormat="1" customHeight="1" spans="1:22">
      <c r="A32" s="84">
        <v>5</v>
      </c>
      <c r="B32" s="175" t="s">
        <v>477</v>
      </c>
      <c r="C32" s="175" t="s">
        <v>165</v>
      </c>
      <c r="D32" s="175" t="s">
        <v>478</v>
      </c>
      <c r="E32" s="25">
        <v>18770282894</v>
      </c>
      <c r="F32" s="175" t="s">
        <v>278</v>
      </c>
      <c r="G32" s="175" t="s">
        <v>28</v>
      </c>
      <c r="H32" s="25">
        <v>202103001</v>
      </c>
      <c r="I32" s="175" t="s">
        <v>279</v>
      </c>
      <c r="J32" s="175" t="s">
        <v>367</v>
      </c>
      <c r="K32" s="175" t="s">
        <v>280</v>
      </c>
      <c r="L32" s="175" t="s">
        <v>170</v>
      </c>
      <c r="M32" s="175" t="s">
        <v>216</v>
      </c>
      <c r="N32" s="175" t="s">
        <v>340</v>
      </c>
      <c r="O32" s="175" t="s">
        <v>480</v>
      </c>
      <c r="P32" s="26" t="str">
        <f>_xlfn.DISPIMG("ID_CA960935E07F423087EFDE1A92D5AFE3",1)</f>
        <v>=DISPIMG("ID_CA960935E07F423087EFDE1A92D5AFE3",1)</v>
      </c>
      <c r="Q32" s="25" t="s">
        <v>481</v>
      </c>
      <c r="R32" s="25">
        <v>38</v>
      </c>
      <c r="S32" s="40" t="s">
        <v>4319</v>
      </c>
      <c r="T32" s="18" t="s">
        <v>36</v>
      </c>
      <c r="U32" s="25">
        <v>30</v>
      </c>
      <c r="V32" s="84"/>
    </row>
    <row r="33" s="3" customFormat="1" customHeight="1" spans="1:22">
      <c r="A33" s="84">
        <v>26</v>
      </c>
      <c r="B33" s="175" t="s">
        <v>2249</v>
      </c>
      <c r="C33" s="175" t="s">
        <v>165</v>
      </c>
      <c r="D33" s="175" t="s">
        <v>2250</v>
      </c>
      <c r="E33" s="25">
        <v>15270289287</v>
      </c>
      <c r="F33" s="175" t="s">
        <v>278</v>
      </c>
      <c r="G33" s="175" t="s">
        <v>28</v>
      </c>
      <c r="H33" s="25">
        <v>202103001</v>
      </c>
      <c r="I33" s="175" t="s">
        <v>279</v>
      </c>
      <c r="J33" s="175" t="s">
        <v>1258</v>
      </c>
      <c r="K33" s="175" t="s">
        <v>280</v>
      </c>
      <c r="L33" s="175" t="s">
        <v>170</v>
      </c>
      <c r="M33" s="175" t="s">
        <v>180</v>
      </c>
      <c r="N33" s="175" t="s">
        <v>340</v>
      </c>
      <c r="O33" s="175" t="s">
        <v>2252</v>
      </c>
      <c r="P33" s="26" t="str">
        <f>_xlfn.DISPIMG("ID_7985CE250554486189D8524B45608623",1)</f>
        <v>=DISPIMG("ID_7985CE250554486189D8524B45608623",1)</v>
      </c>
      <c r="Q33" s="25" t="s">
        <v>2253</v>
      </c>
      <c r="R33" s="25">
        <v>265</v>
      </c>
      <c r="S33" s="40" t="s">
        <v>4370</v>
      </c>
      <c r="T33" s="18" t="s">
        <v>38</v>
      </c>
      <c r="U33" s="25">
        <v>1</v>
      </c>
      <c r="V33" s="84"/>
    </row>
    <row r="34" s="3" customFormat="1" customHeight="1" spans="1:22">
      <c r="A34" s="84">
        <v>21</v>
      </c>
      <c r="B34" s="175" t="s">
        <v>1969</v>
      </c>
      <c r="C34" s="175" t="s">
        <v>165</v>
      </c>
      <c r="D34" s="175" t="s">
        <v>1970</v>
      </c>
      <c r="E34" s="25">
        <v>13767214799</v>
      </c>
      <c r="F34" s="175" t="s">
        <v>278</v>
      </c>
      <c r="G34" s="175" t="s">
        <v>28</v>
      </c>
      <c r="H34" s="25">
        <v>202103001</v>
      </c>
      <c r="I34" s="175" t="s">
        <v>279</v>
      </c>
      <c r="J34" s="175" t="s">
        <v>1972</v>
      </c>
      <c r="K34" s="175" t="s">
        <v>280</v>
      </c>
      <c r="L34" s="175" t="s">
        <v>170</v>
      </c>
      <c r="M34" s="175" t="s">
        <v>368</v>
      </c>
      <c r="N34" s="175" t="s">
        <v>121</v>
      </c>
      <c r="O34" s="175" t="s">
        <v>1973</v>
      </c>
      <c r="P34" s="26" t="str">
        <f>_xlfn.DISPIMG("ID_AAF95BF9A1304A0693E0346D90E4CF2C",1)</f>
        <v>=DISPIMG("ID_AAF95BF9A1304A0693E0346D90E4CF2C",1)</v>
      </c>
      <c r="Q34" s="25" t="s">
        <v>1974</v>
      </c>
      <c r="R34" s="25">
        <v>228</v>
      </c>
      <c r="S34" s="40" t="s">
        <v>4365</v>
      </c>
      <c r="T34" s="18" t="s">
        <v>38</v>
      </c>
      <c r="U34" s="25">
        <v>2</v>
      </c>
      <c r="V34" s="84"/>
    </row>
    <row r="35" s="3" customFormat="1" customHeight="1" spans="1:22">
      <c r="A35" s="84">
        <v>16</v>
      </c>
      <c r="B35" s="175" t="s">
        <v>1751</v>
      </c>
      <c r="C35" s="175" t="s">
        <v>165</v>
      </c>
      <c r="D35" s="175" t="s">
        <v>1752</v>
      </c>
      <c r="E35" s="25">
        <v>18770825920</v>
      </c>
      <c r="F35" s="175" t="s">
        <v>278</v>
      </c>
      <c r="G35" s="175" t="s">
        <v>28</v>
      </c>
      <c r="H35" s="25">
        <v>202103001</v>
      </c>
      <c r="I35" s="175" t="s">
        <v>585</v>
      </c>
      <c r="J35" s="175" t="s">
        <v>367</v>
      </c>
      <c r="K35" s="175" t="s">
        <v>280</v>
      </c>
      <c r="L35" s="175" t="s">
        <v>160</v>
      </c>
      <c r="M35" s="175" t="s">
        <v>396</v>
      </c>
      <c r="N35" s="175" t="s">
        <v>1754</v>
      </c>
      <c r="O35" s="175" t="s">
        <v>1755</v>
      </c>
      <c r="P35" s="26" t="str">
        <f>_xlfn.DISPIMG("ID_11BD6E6070704D3C9E8B19CABEC53565",1)</f>
        <v>=DISPIMG("ID_11BD6E6070704D3C9E8B19CABEC53565",1)</v>
      </c>
      <c r="Q35" s="25" t="s">
        <v>1756</v>
      </c>
      <c r="R35" s="25">
        <v>199</v>
      </c>
      <c r="S35" s="40" t="s">
        <v>4360</v>
      </c>
      <c r="T35" s="18" t="s">
        <v>38</v>
      </c>
      <c r="U35" s="25">
        <v>3</v>
      </c>
      <c r="V35" s="84"/>
    </row>
    <row r="36" s="3" customFormat="1" customHeight="1" spans="1:22">
      <c r="A36" s="84">
        <v>11</v>
      </c>
      <c r="B36" s="175" t="s">
        <v>1520</v>
      </c>
      <c r="C36" s="175" t="s">
        <v>165</v>
      </c>
      <c r="D36" s="175" t="s">
        <v>1521</v>
      </c>
      <c r="E36" s="25">
        <v>18370105501</v>
      </c>
      <c r="F36" s="175" t="s">
        <v>278</v>
      </c>
      <c r="G36" s="175" t="s">
        <v>28</v>
      </c>
      <c r="H36" s="25">
        <v>202103001</v>
      </c>
      <c r="I36" s="175" t="s">
        <v>279</v>
      </c>
      <c r="J36" s="175" t="s">
        <v>1523</v>
      </c>
      <c r="K36" s="175" t="s">
        <v>280</v>
      </c>
      <c r="L36" s="175" t="s">
        <v>170</v>
      </c>
      <c r="M36" s="175" t="s">
        <v>235</v>
      </c>
      <c r="N36" s="175" t="s">
        <v>28</v>
      </c>
      <c r="O36" s="175" t="s">
        <v>1524</v>
      </c>
      <c r="P36" s="26" t="str">
        <f>_xlfn.DISPIMG("ID_289CC567200648A4AB5780D725CC9684",1)</f>
        <v>=DISPIMG("ID_289CC567200648A4AB5780D725CC9684",1)</v>
      </c>
      <c r="Q36" s="25" t="s">
        <v>1525</v>
      </c>
      <c r="R36" s="25">
        <v>169</v>
      </c>
      <c r="S36" s="40" t="s">
        <v>4355</v>
      </c>
      <c r="T36" s="18" t="s">
        <v>38</v>
      </c>
      <c r="U36" s="25">
        <v>4</v>
      </c>
      <c r="V36" s="84"/>
    </row>
    <row r="37" s="3" customFormat="1" customHeight="1" spans="1:22">
      <c r="A37" s="84">
        <v>6</v>
      </c>
      <c r="B37" s="175" t="s">
        <v>1286</v>
      </c>
      <c r="C37" s="175" t="s">
        <v>165</v>
      </c>
      <c r="D37" s="175" t="s">
        <v>1287</v>
      </c>
      <c r="E37" s="25">
        <v>18296159811</v>
      </c>
      <c r="F37" s="175" t="s">
        <v>278</v>
      </c>
      <c r="G37" s="175" t="s">
        <v>28</v>
      </c>
      <c r="H37" s="25">
        <v>202103001</v>
      </c>
      <c r="I37" s="175" t="s">
        <v>279</v>
      </c>
      <c r="J37" s="175" t="s">
        <v>1289</v>
      </c>
      <c r="K37" s="175" t="s">
        <v>280</v>
      </c>
      <c r="L37" s="175" t="s">
        <v>170</v>
      </c>
      <c r="M37" s="175" t="s">
        <v>216</v>
      </c>
      <c r="N37" s="175" t="s">
        <v>960</v>
      </c>
      <c r="O37" s="175" t="s">
        <v>1290</v>
      </c>
      <c r="P37" s="26" t="str">
        <f>_xlfn.DISPIMG("ID_FACC95E727304010BE372974F21E9256",1)</f>
        <v>=DISPIMG("ID_FACC95E727304010BE372974F21E9256",1)</v>
      </c>
      <c r="Q37" s="25" t="s">
        <v>1291</v>
      </c>
      <c r="R37" s="25">
        <v>139</v>
      </c>
      <c r="S37" s="40" t="s">
        <v>4350</v>
      </c>
      <c r="T37" s="18" t="s">
        <v>38</v>
      </c>
      <c r="U37" s="25">
        <v>5</v>
      </c>
      <c r="V37" s="70"/>
    </row>
    <row r="38" s="4" customFormat="1" customHeight="1" spans="1:22">
      <c r="A38" s="84">
        <v>1</v>
      </c>
      <c r="B38" s="175" t="s">
        <v>1218</v>
      </c>
      <c r="C38" s="175" t="s">
        <v>165</v>
      </c>
      <c r="D38" s="175" t="s">
        <v>1219</v>
      </c>
      <c r="E38" s="25">
        <v>17679241558</v>
      </c>
      <c r="F38" s="175" t="s">
        <v>278</v>
      </c>
      <c r="G38" s="175" t="s">
        <v>28</v>
      </c>
      <c r="H38" s="25">
        <v>202103001</v>
      </c>
      <c r="I38" s="175" t="s">
        <v>279</v>
      </c>
      <c r="J38" s="175" t="s">
        <v>1221</v>
      </c>
      <c r="K38" s="175" t="s">
        <v>280</v>
      </c>
      <c r="L38" s="175" t="s">
        <v>170</v>
      </c>
      <c r="M38" s="175" t="s">
        <v>161</v>
      </c>
      <c r="N38" s="175" t="s">
        <v>1222</v>
      </c>
      <c r="O38" s="175" t="s">
        <v>1223</v>
      </c>
      <c r="P38" s="26" t="str">
        <f>_xlfn.DISPIMG("ID_9D5D5082709049DE9F85EE45C9D21765",1)</f>
        <v>=DISPIMG("ID_9D5D5082709049DE9F85EE45C9D21765",1)</v>
      </c>
      <c r="Q38" s="25" t="s">
        <v>1224</v>
      </c>
      <c r="R38" s="25">
        <v>129</v>
      </c>
      <c r="S38" s="40" t="s">
        <v>4345</v>
      </c>
      <c r="T38" s="18" t="s">
        <v>38</v>
      </c>
      <c r="U38" s="25">
        <v>6</v>
      </c>
      <c r="V38" s="84"/>
    </row>
    <row r="39" s="5" customFormat="1" customHeight="1" spans="1:22">
      <c r="A39" s="84">
        <v>2</v>
      </c>
      <c r="B39" s="175" t="s">
        <v>1234</v>
      </c>
      <c r="C39" s="175" t="s">
        <v>165</v>
      </c>
      <c r="D39" s="175" t="s">
        <v>1235</v>
      </c>
      <c r="E39" s="25">
        <v>18870682713</v>
      </c>
      <c r="F39" s="175" t="s">
        <v>278</v>
      </c>
      <c r="G39" s="175" t="s">
        <v>28</v>
      </c>
      <c r="H39" s="25">
        <v>202103001</v>
      </c>
      <c r="I39" s="175" t="s">
        <v>279</v>
      </c>
      <c r="J39" s="175" t="s">
        <v>1237</v>
      </c>
      <c r="K39" s="175" t="s">
        <v>280</v>
      </c>
      <c r="L39" s="175" t="s">
        <v>170</v>
      </c>
      <c r="M39" s="175" t="s">
        <v>161</v>
      </c>
      <c r="N39" s="175" t="s">
        <v>340</v>
      </c>
      <c r="O39" s="175" t="s">
        <v>1238</v>
      </c>
      <c r="P39" s="26" t="str">
        <f>_xlfn.DISPIMG("ID_BE82B2F060544F05BBDE4FAB7F0C0521",1)</f>
        <v>=DISPIMG("ID_BE82B2F060544F05BBDE4FAB7F0C0521",1)</v>
      </c>
      <c r="Q39" s="25" t="s">
        <v>1239</v>
      </c>
      <c r="R39" s="25">
        <v>131</v>
      </c>
      <c r="S39" s="40" t="s">
        <v>4346</v>
      </c>
      <c r="T39" s="18" t="s">
        <v>38</v>
      </c>
      <c r="U39" s="25">
        <v>7</v>
      </c>
      <c r="V39" s="84"/>
    </row>
    <row r="40" s="3" customFormat="1" customHeight="1" spans="1:22">
      <c r="A40" s="84">
        <v>7</v>
      </c>
      <c r="B40" s="175" t="s">
        <v>1344</v>
      </c>
      <c r="C40" s="175" t="s">
        <v>165</v>
      </c>
      <c r="D40" s="175" t="s">
        <v>1345</v>
      </c>
      <c r="E40" s="25">
        <v>15179298712</v>
      </c>
      <c r="F40" s="175" t="s">
        <v>278</v>
      </c>
      <c r="G40" s="175" t="s">
        <v>28</v>
      </c>
      <c r="H40" s="25">
        <v>202103001</v>
      </c>
      <c r="I40" s="175" t="s">
        <v>279</v>
      </c>
      <c r="J40" s="175" t="s">
        <v>158</v>
      </c>
      <c r="K40" s="175" t="s">
        <v>179</v>
      </c>
      <c r="L40" s="175" t="s">
        <v>170</v>
      </c>
      <c r="M40" s="175" t="s">
        <v>1346</v>
      </c>
      <c r="N40" s="175" t="s">
        <v>1013</v>
      </c>
      <c r="O40" s="25">
        <v>0</v>
      </c>
      <c r="P40" s="26" t="str">
        <f>_xlfn.DISPIMG("ID_249FF3C1A0EA4CE88757DD6F52651ECC",1)</f>
        <v>=DISPIMG("ID_249FF3C1A0EA4CE88757DD6F52651ECC",1)</v>
      </c>
      <c r="Q40" s="25" t="s">
        <v>1347</v>
      </c>
      <c r="R40" s="25">
        <v>146</v>
      </c>
      <c r="S40" s="40" t="s">
        <v>4351</v>
      </c>
      <c r="T40" s="18" t="s">
        <v>38</v>
      </c>
      <c r="U40" s="25">
        <v>8</v>
      </c>
      <c r="V40" s="85"/>
    </row>
    <row r="41" s="3" customFormat="1" customHeight="1" spans="1:22">
      <c r="A41" s="84">
        <v>12</v>
      </c>
      <c r="B41" s="175" t="s">
        <v>1535</v>
      </c>
      <c r="C41" s="175" t="s">
        <v>165</v>
      </c>
      <c r="D41" s="175" t="s">
        <v>1536</v>
      </c>
      <c r="E41" s="25">
        <v>17779207332</v>
      </c>
      <c r="F41" s="175" t="s">
        <v>278</v>
      </c>
      <c r="G41" s="175" t="s">
        <v>28</v>
      </c>
      <c r="H41" s="25">
        <v>202103001</v>
      </c>
      <c r="I41" s="175" t="s">
        <v>279</v>
      </c>
      <c r="J41" s="175" t="s">
        <v>765</v>
      </c>
      <c r="K41" s="175" t="s">
        <v>280</v>
      </c>
      <c r="L41" s="175" t="s">
        <v>170</v>
      </c>
      <c r="M41" s="175" t="s">
        <v>235</v>
      </c>
      <c r="N41" s="175" t="s">
        <v>517</v>
      </c>
      <c r="O41" s="175" t="s">
        <v>1538</v>
      </c>
      <c r="P41" s="26" t="str">
        <f>_xlfn.DISPIMG("ID_E53DAA599F9A40239F1135427FCA9C4F",1)</f>
        <v>=DISPIMG("ID_E53DAA599F9A40239F1135427FCA9C4F",1)</v>
      </c>
      <c r="Q41" s="25" t="s">
        <v>1539</v>
      </c>
      <c r="R41" s="25">
        <v>171</v>
      </c>
      <c r="S41" s="40" t="s">
        <v>4356</v>
      </c>
      <c r="T41" s="18" t="s">
        <v>38</v>
      </c>
      <c r="U41" s="25">
        <v>9</v>
      </c>
      <c r="V41" s="84"/>
    </row>
    <row r="42" s="3" customFormat="1" customHeight="1" spans="1:22">
      <c r="A42" s="84">
        <v>17</v>
      </c>
      <c r="B42" s="175" t="s">
        <v>1773</v>
      </c>
      <c r="C42" s="175" t="s">
        <v>165</v>
      </c>
      <c r="D42" s="175" t="s">
        <v>1774</v>
      </c>
      <c r="E42" s="25">
        <v>15070865413</v>
      </c>
      <c r="F42" s="175" t="s">
        <v>278</v>
      </c>
      <c r="G42" s="175" t="s">
        <v>28</v>
      </c>
      <c r="H42" s="25">
        <v>202103001</v>
      </c>
      <c r="I42" s="175" t="s">
        <v>279</v>
      </c>
      <c r="J42" s="175" t="s">
        <v>662</v>
      </c>
      <c r="K42" s="175" t="s">
        <v>280</v>
      </c>
      <c r="L42" s="175" t="s">
        <v>170</v>
      </c>
      <c r="M42" s="175" t="s">
        <v>161</v>
      </c>
      <c r="N42" s="175" t="s">
        <v>1776</v>
      </c>
      <c r="O42" s="175" t="s">
        <v>1777</v>
      </c>
      <c r="P42" s="26" t="str">
        <f>_xlfn.DISPIMG("ID_870E78DB9450493E87561F4FC105D429",1)</f>
        <v>=DISPIMG("ID_870E78DB9450493E87561F4FC105D429",1)</v>
      </c>
      <c r="Q42" s="25" t="s">
        <v>1778</v>
      </c>
      <c r="R42" s="25">
        <v>202</v>
      </c>
      <c r="S42" s="40" t="s">
        <v>4361</v>
      </c>
      <c r="T42" s="18" t="s">
        <v>38</v>
      </c>
      <c r="U42" s="25">
        <v>10</v>
      </c>
      <c r="V42" s="84"/>
    </row>
    <row r="43" s="3" customFormat="1" customHeight="1" spans="1:22">
      <c r="A43" s="84">
        <v>22</v>
      </c>
      <c r="B43" s="175" t="s">
        <v>2060</v>
      </c>
      <c r="C43" s="175" t="s">
        <v>165</v>
      </c>
      <c r="D43" s="175" t="s">
        <v>2061</v>
      </c>
      <c r="E43" s="25">
        <v>15112002923</v>
      </c>
      <c r="F43" s="175" t="s">
        <v>278</v>
      </c>
      <c r="G43" s="175" t="s">
        <v>28</v>
      </c>
      <c r="H43" s="25">
        <v>202103001</v>
      </c>
      <c r="I43" s="175" t="s">
        <v>157</v>
      </c>
      <c r="J43" s="175" t="s">
        <v>2063</v>
      </c>
      <c r="K43" s="175" t="s">
        <v>280</v>
      </c>
      <c r="L43" s="175" t="s">
        <v>170</v>
      </c>
      <c r="M43" s="175" t="s">
        <v>2064</v>
      </c>
      <c r="N43" s="175" t="s">
        <v>517</v>
      </c>
      <c r="O43" s="175" t="s">
        <v>2065</v>
      </c>
      <c r="P43" s="26" t="str">
        <f>_xlfn.DISPIMG("ID_BF9AE392AFDD4458A2909A9A2C941241",1)</f>
        <v>=DISPIMG("ID_BF9AE392AFDD4458A2909A9A2C941241",1)</v>
      </c>
      <c r="Q43" s="25" t="s">
        <v>2066</v>
      </c>
      <c r="R43" s="25">
        <v>240</v>
      </c>
      <c r="S43" s="40" t="s">
        <v>4366</v>
      </c>
      <c r="T43" s="18" t="s">
        <v>38</v>
      </c>
      <c r="U43" s="25">
        <v>11</v>
      </c>
      <c r="V43" s="84"/>
    </row>
    <row r="44" s="3" customFormat="1" customHeight="1" spans="1:22">
      <c r="A44" s="84">
        <v>27</v>
      </c>
      <c r="B44" s="175" t="s">
        <v>2273</v>
      </c>
      <c r="C44" s="175" t="s">
        <v>165</v>
      </c>
      <c r="D44" s="175" t="s">
        <v>2274</v>
      </c>
      <c r="E44" s="25">
        <v>18897920642</v>
      </c>
      <c r="F44" s="175" t="s">
        <v>278</v>
      </c>
      <c r="G44" s="175" t="s">
        <v>28</v>
      </c>
      <c r="H44" s="25">
        <v>202103001</v>
      </c>
      <c r="I44" s="175" t="s">
        <v>279</v>
      </c>
      <c r="J44" s="175" t="s">
        <v>367</v>
      </c>
      <c r="K44" s="175" t="s">
        <v>960</v>
      </c>
      <c r="L44" s="175" t="s">
        <v>170</v>
      </c>
      <c r="M44" s="175" t="s">
        <v>171</v>
      </c>
      <c r="N44" s="175" t="s">
        <v>340</v>
      </c>
      <c r="O44" s="175" t="s">
        <v>2276</v>
      </c>
      <c r="P44" s="26" t="str">
        <f>_xlfn.DISPIMG("ID_61B07218C9EC426CBE977F3567B765DD",1)</f>
        <v>=DISPIMG("ID_61B07218C9EC426CBE977F3567B765DD",1)</v>
      </c>
      <c r="Q44" s="25" t="s">
        <v>2277</v>
      </c>
      <c r="R44" s="25">
        <v>268</v>
      </c>
      <c r="S44" s="40" t="s">
        <v>4371</v>
      </c>
      <c r="T44" s="18" t="s">
        <v>38</v>
      </c>
      <c r="U44" s="25">
        <v>12</v>
      </c>
      <c r="V44" s="84"/>
    </row>
    <row r="45" s="3" customFormat="1" customHeight="1" spans="1:22">
      <c r="A45" s="84">
        <v>28</v>
      </c>
      <c r="B45" s="175" t="s">
        <v>2323</v>
      </c>
      <c r="C45" s="175" t="s">
        <v>165</v>
      </c>
      <c r="D45" s="175" t="s">
        <v>2324</v>
      </c>
      <c r="E45" s="25">
        <v>15979178539</v>
      </c>
      <c r="F45" s="175" t="s">
        <v>278</v>
      </c>
      <c r="G45" s="175" t="s">
        <v>28</v>
      </c>
      <c r="H45" s="25">
        <v>202103001</v>
      </c>
      <c r="I45" s="175" t="s">
        <v>157</v>
      </c>
      <c r="J45" s="175" t="s">
        <v>1071</v>
      </c>
      <c r="K45" s="175" t="s">
        <v>2326</v>
      </c>
      <c r="L45" s="175" t="s">
        <v>160</v>
      </c>
      <c r="M45" s="175" t="s">
        <v>1942</v>
      </c>
      <c r="N45" s="175" t="s">
        <v>340</v>
      </c>
      <c r="O45" s="175" t="s">
        <v>2327</v>
      </c>
      <c r="P45" s="26" t="str">
        <f>_xlfn.DISPIMG("ID_A33976891DCF46C9B1DFAD5ADCC8729D",1)</f>
        <v>=DISPIMG("ID_A33976891DCF46C9B1DFAD5ADCC8729D",1)</v>
      </c>
      <c r="Q45" s="25" t="s">
        <v>2328</v>
      </c>
      <c r="R45" s="25">
        <v>275</v>
      </c>
      <c r="S45" s="40" t="s">
        <v>4372</v>
      </c>
      <c r="T45" s="18" t="s">
        <v>38</v>
      </c>
      <c r="U45" s="25">
        <v>13</v>
      </c>
      <c r="V45" s="84"/>
    </row>
    <row r="46" s="3" customFormat="1" customHeight="1" spans="1:22">
      <c r="A46" s="84">
        <v>23</v>
      </c>
      <c r="B46" s="175" t="s">
        <v>2083</v>
      </c>
      <c r="C46" s="175" t="s">
        <v>165</v>
      </c>
      <c r="D46" s="175" t="s">
        <v>2084</v>
      </c>
      <c r="E46" s="25">
        <v>18816407325</v>
      </c>
      <c r="F46" s="175" t="s">
        <v>278</v>
      </c>
      <c r="G46" s="175" t="s">
        <v>28</v>
      </c>
      <c r="H46" s="25">
        <v>202103001</v>
      </c>
      <c r="I46" s="175" t="s">
        <v>157</v>
      </c>
      <c r="J46" s="175" t="s">
        <v>1258</v>
      </c>
      <c r="K46" s="175" t="s">
        <v>280</v>
      </c>
      <c r="L46" s="175" t="s">
        <v>170</v>
      </c>
      <c r="M46" s="175" t="s">
        <v>180</v>
      </c>
      <c r="N46" s="175" t="s">
        <v>340</v>
      </c>
      <c r="O46" s="175" t="s">
        <v>2086</v>
      </c>
      <c r="P46" s="26" t="str">
        <f>_xlfn.DISPIMG("ID_B2FD46FB94FD4BE298F143BADCF00B8C",1)</f>
        <v>=DISPIMG("ID_B2FD46FB94FD4BE298F143BADCF00B8C",1)</v>
      </c>
      <c r="Q46" s="25" t="s">
        <v>2087</v>
      </c>
      <c r="R46" s="25">
        <v>243</v>
      </c>
      <c r="S46" s="40" t="s">
        <v>4367</v>
      </c>
      <c r="T46" s="18" t="s">
        <v>38</v>
      </c>
      <c r="U46" s="25">
        <v>14</v>
      </c>
      <c r="V46" s="84"/>
    </row>
    <row r="47" s="3" customFormat="1" customHeight="1" spans="1:22">
      <c r="A47" s="84">
        <v>18</v>
      </c>
      <c r="B47" s="175" t="s">
        <v>1814</v>
      </c>
      <c r="C47" s="175" t="s">
        <v>165</v>
      </c>
      <c r="D47" s="175" t="s">
        <v>1815</v>
      </c>
      <c r="E47" s="25">
        <v>15879170317</v>
      </c>
      <c r="F47" s="175" t="s">
        <v>278</v>
      </c>
      <c r="G47" s="175" t="s">
        <v>28</v>
      </c>
      <c r="H47" s="25">
        <v>202103001</v>
      </c>
      <c r="I47" s="175" t="s">
        <v>279</v>
      </c>
      <c r="J47" s="175" t="s">
        <v>732</v>
      </c>
      <c r="K47" s="175" t="s">
        <v>280</v>
      </c>
      <c r="L47" s="175" t="s">
        <v>170</v>
      </c>
      <c r="M47" s="175" t="s">
        <v>306</v>
      </c>
      <c r="N47" s="175" t="s">
        <v>1013</v>
      </c>
      <c r="O47" s="175" t="s">
        <v>1817</v>
      </c>
      <c r="P47" s="26" t="str">
        <f>_xlfn.DISPIMG("ID_6DE4E02A017F4BA2AD59ACE3034B4E4E",1)</f>
        <v>=DISPIMG("ID_6DE4E02A017F4BA2AD59ACE3034B4E4E",1)</v>
      </c>
      <c r="Q47" s="25" t="s">
        <v>1818</v>
      </c>
      <c r="R47" s="25">
        <v>207</v>
      </c>
      <c r="S47" s="40" t="s">
        <v>4362</v>
      </c>
      <c r="T47" s="18" t="s">
        <v>38</v>
      </c>
      <c r="U47" s="25">
        <v>15</v>
      </c>
      <c r="V47" s="84"/>
    </row>
    <row r="48" s="3" customFormat="1" customHeight="1" spans="1:22">
      <c r="A48" s="84">
        <v>13</v>
      </c>
      <c r="B48" s="175" t="s">
        <v>1559</v>
      </c>
      <c r="C48" s="175" t="s">
        <v>165</v>
      </c>
      <c r="D48" s="175" t="s">
        <v>1560</v>
      </c>
      <c r="E48" s="25">
        <v>18720242536</v>
      </c>
      <c r="F48" s="175" t="s">
        <v>278</v>
      </c>
      <c r="G48" s="175" t="s">
        <v>28</v>
      </c>
      <c r="H48" s="25">
        <v>202103001</v>
      </c>
      <c r="I48" s="175" t="s">
        <v>279</v>
      </c>
      <c r="J48" s="175" t="s">
        <v>876</v>
      </c>
      <c r="K48" s="175" t="s">
        <v>960</v>
      </c>
      <c r="L48" s="175" t="s">
        <v>170</v>
      </c>
      <c r="M48" s="175" t="s">
        <v>171</v>
      </c>
      <c r="N48" s="175" t="s">
        <v>340</v>
      </c>
      <c r="O48" s="175" t="s">
        <v>1562</v>
      </c>
      <c r="P48" s="26" t="str">
        <f>_xlfn.DISPIMG("ID_9804FB5AA98E4D44BBA382539FDAF7F0",1)</f>
        <v>=DISPIMG("ID_9804FB5AA98E4D44BBA382539FDAF7F0",1)</v>
      </c>
      <c r="Q48" s="25" t="s">
        <v>1563</v>
      </c>
      <c r="R48" s="25">
        <v>174</v>
      </c>
      <c r="S48" s="40" t="s">
        <v>4357</v>
      </c>
      <c r="T48" s="18" t="s">
        <v>38</v>
      </c>
      <c r="U48" s="25">
        <v>16</v>
      </c>
      <c r="V48" s="84"/>
    </row>
    <row r="49" s="3" customFormat="1" customHeight="1" spans="1:22">
      <c r="A49" s="84">
        <v>8</v>
      </c>
      <c r="B49" s="175" t="s">
        <v>1327</v>
      </c>
      <c r="C49" s="175" t="s">
        <v>165</v>
      </c>
      <c r="D49" s="175" t="s">
        <v>1328</v>
      </c>
      <c r="E49" s="25">
        <v>15870865214</v>
      </c>
      <c r="F49" s="175" t="s">
        <v>278</v>
      </c>
      <c r="G49" s="175" t="s">
        <v>28</v>
      </c>
      <c r="H49" s="25">
        <v>202103001</v>
      </c>
      <c r="I49" s="175" t="s">
        <v>279</v>
      </c>
      <c r="J49" s="175" t="s">
        <v>1330</v>
      </c>
      <c r="K49" s="175" t="s">
        <v>1331</v>
      </c>
      <c r="L49" s="175" t="s">
        <v>160</v>
      </c>
      <c r="M49" s="175" t="s">
        <v>368</v>
      </c>
      <c r="N49" s="175" t="s">
        <v>1418</v>
      </c>
      <c r="O49" s="25">
        <v>0</v>
      </c>
      <c r="P49" s="26" t="str">
        <f>_xlfn.DISPIMG("ID_042121583D6C4BE29ACF5C4CE545F254",1)</f>
        <v>=DISPIMG("ID_042121583D6C4BE29ACF5C4CE545F254",1)</v>
      </c>
      <c r="Q49" s="25" t="s">
        <v>1333</v>
      </c>
      <c r="R49" s="25">
        <v>156</v>
      </c>
      <c r="S49" s="40" t="s">
        <v>4352</v>
      </c>
      <c r="T49" s="18" t="s">
        <v>38</v>
      </c>
      <c r="U49" s="25">
        <v>17</v>
      </c>
      <c r="V49" s="84"/>
    </row>
    <row r="50" s="3" customFormat="1" customHeight="1" spans="1:22">
      <c r="A50" s="84">
        <v>3</v>
      </c>
      <c r="B50" s="175" t="s">
        <v>1242</v>
      </c>
      <c r="C50" s="175" t="s">
        <v>165</v>
      </c>
      <c r="D50" s="175" t="s">
        <v>1243</v>
      </c>
      <c r="E50" s="25">
        <v>18870899233</v>
      </c>
      <c r="F50" s="175" t="s">
        <v>278</v>
      </c>
      <c r="G50" s="175" t="s">
        <v>28</v>
      </c>
      <c r="H50" s="25">
        <v>202103001</v>
      </c>
      <c r="I50" s="175" t="s">
        <v>279</v>
      </c>
      <c r="J50" s="175" t="s">
        <v>1237</v>
      </c>
      <c r="K50" s="175" t="s">
        <v>280</v>
      </c>
      <c r="L50" s="175" t="s">
        <v>170</v>
      </c>
      <c r="M50" s="175" t="s">
        <v>161</v>
      </c>
      <c r="N50" s="175" t="s">
        <v>340</v>
      </c>
      <c r="O50" s="175" t="s">
        <v>1245</v>
      </c>
      <c r="P50" s="26" t="str">
        <f>_xlfn.DISPIMG("ID_1047B30E34C949B594403C816BBC2C68",1)</f>
        <v>=DISPIMG("ID_1047B30E34C949B594403C816BBC2C68",1)</v>
      </c>
      <c r="Q50" s="25" t="s">
        <v>1246</v>
      </c>
      <c r="R50" s="25">
        <v>132</v>
      </c>
      <c r="S50" s="40" t="s">
        <v>4347</v>
      </c>
      <c r="T50" s="18" t="s">
        <v>38</v>
      </c>
      <c r="U50" s="25">
        <v>18</v>
      </c>
      <c r="V50" s="84"/>
    </row>
    <row r="51" s="5" customFormat="1" customHeight="1" spans="1:22">
      <c r="A51" s="84">
        <v>4</v>
      </c>
      <c r="B51" s="175" t="s">
        <v>1249</v>
      </c>
      <c r="C51" s="175" t="s">
        <v>153</v>
      </c>
      <c r="D51" s="175" t="s">
        <v>1250</v>
      </c>
      <c r="E51" s="25">
        <v>13687914090</v>
      </c>
      <c r="F51" s="175" t="s">
        <v>278</v>
      </c>
      <c r="G51" s="175" t="s">
        <v>28</v>
      </c>
      <c r="H51" s="25">
        <v>202103001</v>
      </c>
      <c r="I51" s="175" t="s">
        <v>279</v>
      </c>
      <c r="J51" s="175" t="s">
        <v>515</v>
      </c>
      <c r="K51" s="175" t="s">
        <v>280</v>
      </c>
      <c r="L51" s="175" t="s">
        <v>170</v>
      </c>
      <c r="M51" s="175" t="s">
        <v>541</v>
      </c>
      <c r="N51" s="175" t="s">
        <v>376</v>
      </c>
      <c r="O51" s="25">
        <v>0</v>
      </c>
      <c r="P51" s="26" t="str">
        <f>_xlfn.DISPIMG("ID_42B7E9B54AA84CB08052198053CBAE81",1)</f>
        <v>=DISPIMG("ID_42B7E9B54AA84CB08052198053CBAE81",1)</v>
      </c>
      <c r="Q51" s="25" t="s">
        <v>1252</v>
      </c>
      <c r="R51" s="25">
        <v>133</v>
      </c>
      <c r="S51" s="40" t="s">
        <v>4348</v>
      </c>
      <c r="T51" s="18" t="s">
        <v>38</v>
      </c>
      <c r="U51" s="25">
        <v>19</v>
      </c>
      <c r="V51" s="84"/>
    </row>
    <row r="52" s="3" customFormat="1" customHeight="1" spans="1:22">
      <c r="A52" s="84">
        <v>9</v>
      </c>
      <c r="B52" s="175" t="s">
        <v>1446</v>
      </c>
      <c r="C52" s="175" t="s">
        <v>165</v>
      </c>
      <c r="D52" s="175" t="s">
        <v>1447</v>
      </c>
      <c r="E52" s="25">
        <v>13970292674</v>
      </c>
      <c r="F52" s="175" t="s">
        <v>278</v>
      </c>
      <c r="G52" s="175" t="s">
        <v>28</v>
      </c>
      <c r="H52" s="25">
        <v>202103001</v>
      </c>
      <c r="I52" s="175" t="s">
        <v>585</v>
      </c>
      <c r="J52" s="175" t="s">
        <v>367</v>
      </c>
      <c r="K52" s="175" t="s">
        <v>280</v>
      </c>
      <c r="L52" s="175" t="s">
        <v>170</v>
      </c>
      <c r="M52" s="175" t="s">
        <v>306</v>
      </c>
      <c r="N52" s="175" t="s">
        <v>1449</v>
      </c>
      <c r="O52" s="175" t="s">
        <v>1450</v>
      </c>
      <c r="P52" s="26" t="str">
        <f>_xlfn.DISPIMG("ID_C58710654847468A83F51047999B3A07",1)</f>
        <v>=DISPIMG("ID_C58710654847468A83F51047999B3A07",1)</v>
      </c>
      <c r="Q52" s="25" t="s">
        <v>1451</v>
      </c>
      <c r="R52" s="25">
        <v>160</v>
      </c>
      <c r="S52" s="40" t="s">
        <v>4353</v>
      </c>
      <c r="T52" s="18" t="s">
        <v>38</v>
      </c>
      <c r="U52" s="25">
        <v>20</v>
      </c>
      <c r="V52" s="84"/>
    </row>
    <row r="53" s="3" customFormat="1" customHeight="1" spans="1:22">
      <c r="A53" s="84">
        <v>14</v>
      </c>
      <c r="B53" s="175" t="s">
        <v>1665</v>
      </c>
      <c r="C53" s="175" t="s">
        <v>165</v>
      </c>
      <c r="D53" s="175" t="s">
        <v>1666</v>
      </c>
      <c r="E53" s="25">
        <v>19126781619</v>
      </c>
      <c r="F53" s="175" t="s">
        <v>278</v>
      </c>
      <c r="G53" s="175" t="s">
        <v>28</v>
      </c>
      <c r="H53" s="25">
        <v>202103001</v>
      </c>
      <c r="I53" s="175" t="s">
        <v>585</v>
      </c>
      <c r="J53" s="175" t="s">
        <v>168</v>
      </c>
      <c r="K53" s="175" t="s">
        <v>280</v>
      </c>
      <c r="L53" s="175" t="s">
        <v>170</v>
      </c>
      <c r="M53" s="175" t="s">
        <v>548</v>
      </c>
      <c r="N53" s="175" t="s">
        <v>376</v>
      </c>
      <c r="O53" s="175" t="s">
        <v>1668</v>
      </c>
      <c r="P53" s="26" t="str">
        <f>_xlfn.DISPIMG("ID_B5AB63FC8A81490B8ED2FED7AE302A44",1)</f>
        <v>=DISPIMG("ID_B5AB63FC8A81490B8ED2FED7AE302A44",1)</v>
      </c>
      <c r="Q53" s="25" t="s">
        <v>1669</v>
      </c>
      <c r="R53" s="25">
        <v>188</v>
      </c>
      <c r="S53" s="40" t="s">
        <v>4358</v>
      </c>
      <c r="T53" s="18" t="s">
        <v>38</v>
      </c>
      <c r="U53" s="25">
        <v>21</v>
      </c>
      <c r="V53" s="84"/>
    </row>
    <row r="54" s="3" customFormat="1" customHeight="1" spans="1:22">
      <c r="A54" s="84">
        <v>19</v>
      </c>
      <c r="B54" s="175" t="s">
        <v>1855</v>
      </c>
      <c r="C54" s="175" t="s">
        <v>165</v>
      </c>
      <c r="D54" s="175" t="s">
        <v>1856</v>
      </c>
      <c r="E54" s="25">
        <v>18070128291</v>
      </c>
      <c r="F54" s="175" t="s">
        <v>278</v>
      </c>
      <c r="G54" s="175" t="s">
        <v>28</v>
      </c>
      <c r="H54" s="25">
        <v>202103001</v>
      </c>
      <c r="I54" s="175" t="s">
        <v>279</v>
      </c>
      <c r="J54" s="175" t="s">
        <v>732</v>
      </c>
      <c r="K54" s="175" t="s">
        <v>1489</v>
      </c>
      <c r="L54" s="175" t="s">
        <v>170</v>
      </c>
      <c r="M54" s="175" t="s">
        <v>733</v>
      </c>
      <c r="N54" s="175" t="s">
        <v>517</v>
      </c>
      <c r="O54" s="175" t="s">
        <v>1858</v>
      </c>
      <c r="P54" s="26" t="str">
        <f>_xlfn.DISPIMG("ID_2E8A5FF2C7EA4CF3BCF137C2FDB07272",1)</f>
        <v>=DISPIMG("ID_2E8A5FF2C7EA4CF3BCF137C2FDB07272",1)</v>
      </c>
      <c r="Q54" s="25" t="s">
        <v>1859</v>
      </c>
      <c r="R54" s="25">
        <v>212</v>
      </c>
      <c r="S54" s="40" t="s">
        <v>4363</v>
      </c>
      <c r="T54" s="18" t="s">
        <v>38</v>
      </c>
      <c r="U54" s="25">
        <v>22</v>
      </c>
      <c r="V54" s="85"/>
    </row>
    <row r="55" s="3" customFormat="1" customHeight="1" spans="1:22">
      <c r="A55" s="84">
        <v>24</v>
      </c>
      <c r="B55" s="175" t="s">
        <v>2098</v>
      </c>
      <c r="C55" s="175" t="s">
        <v>165</v>
      </c>
      <c r="D55" s="175" t="s">
        <v>2099</v>
      </c>
      <c r="E55" s="25">
        <v>18070222825</v>
      </c>
      <c r="F55" s="175" t="s">
        <v>278</v>
      </c>
      <c r="G55" s="175" t="s">
        <v>28</v>
      </c>
      <c r="H55" s="25">
        <v>202103001</v>
      </c>
      <c r="I55" s="175" t="s">
        <v>279</v>
      </c>
      <c r="J55" s="175" t="s">
        <v>732</v>
      </c>
      <c r="K55" s="175" t="s">
        <v>169</v>
      </c>
      <c r="L55" s="175" t="s">
        <v>170</v>
      </c>
      <c r="M55" s="175" t="s">
        <v>733</v>
      </c>
      <c r="N55" s="175" t="s">
        <v>517</v>
      </c>
      <c r="O55" s="175" t="s">
        <v>2101</v>
      </c>
      <c r="P55" s="26" t="str">
        <f>_xlfn.DISPIMG("ID_005BE0017F024C98A2D8AF15B9E0DE6A",1)</f>
        <v>=DISPIMG("ID_005BE0017F024C98A2D8AF15B9E0DE6A",1)</v>
      </c>
      <c r="Q55" s="25" t="s">
        <v>2102</v>
      </c>
      <c r="R55" s="25">
        <v>245</v>
      </c>
      <c r="S55" s="40" t="s">
        <v>4368</v>
      </c>
      <c r="T55" s="18" t="s">
        <v>38</v>
      </c>
      <c r="U55" s="25">
        <v>23</v>
      </c>
      <c r="V55" s="84"/>
    </row>
    <row r="56" s="3" customFormat="1" customHeight="1" spans="1:22">
      <c r="A56" s="84">
        <v>29</v>
      </c>
      <c r="B56" s="175" t="s">
        <v>2354</v>
      </c>
      <c r="C56" s="175" t="s">
        <v>165</v>
      </c>
      <c r="D56" s="175" t="s">
        <v>2355</v>
      </c>
      <c r="E56" s="25">
        <v>18870202615</v>
      </c>
      <c r="F56" s="175" t="s">
        <v>278</v>
      </c>
      <c r="G56" s="175" t="s">
        <v>28</v>
      </c>
      <c r="H56" s="25">
        <v>202103001</v>
      </c>
      <c r="I56" s="175" t="s">
        <v>279</v>
      </c>
      <c r="J56" s="175" t="s">
        <v>765</v>
      </c>
      <c r="K56" s="175" t="s">
        <v>280</v>
      </c>
      <c r="L56" s="175" t="s">
        <v>170</v>
      </c>
      <c r="M56" s="175" t="s">
        <v>252</v>
      </c>
      <c r="N56" s="175" t="s">
        <v>340</v>
      </c>
      <c r="O56" s="175" t="s">
        <v>2357</v>
      </c>
      <c r="P56" s="26" t="str">
        <f>_xlfn.DISPIMG("ID_1E1BF7CF64ED4C9392E00D748E2CFF78",1)</f>
        <v>=DISPIMG("ID_1E1BF7CF64ED4C9392E00D748E2CFF78",1)</v>
      </c>
      <c r="Q56" s="25" t="s">
        <v>2358</v>
      </c>
      <c r="R56" s="25">
        <v>279</v>
      </c>
      <c r="S56" s="40" t="s">
        <v>4373</v>
      </c>
      <c r="T56" s="18" t="s">
        <v>38</v>
      </c>
      <c r="U56" s="25">
        <v>24</v>
      </c>
      <c r="V56" s="84"/>
    </row>
    <row r="57" s="3" customFormat="1" customHeight="1" spans="1:22">
      <c r="A57" s="84">
        <v>30</v>
      </c>
      <c r="B57" s="175" t="s">
        <v>2368</v>
      </c>
      <c r="C57" s="175" t="s">
        <v>165</v>
      </c>
      <c r="D57" s="175" t="s">
        <v>2369</v>
      </c>
      <c r="E57" s="25">
        <v>13870275403</v>
      </c>
      <c r="F57" s="175" t="s">
        <v>278</v>
      </c>
      <c r="G57" s="175" t="s">
        <v>28</v>
      </c>
      <c r="H57" s="25">
        <v>202103001</v>
      </c>
      <c r="I57" s="175" t="s">
        <v>279</v>
      </c>
      <c r="J57" s="175" t="s">
        <v>367</v>
      </c>
      <c r="K57" s="175" t="s">
        <v>960</v>
      </c>
      <c r="L57" s="175" t="s">
        <v>170</v>
      </c>
      <c r="M57" s="175" t="s">
        <v>161</v>
      </c>
      <c r="N57" s="175" t="s">
        <v>2371</v>
      </c>
      <c r="O57" s="175" t="s">
        <v>2372</v>
      </c>
      <c r="P57" s="26" t="str">
        <f>_xlfn.DISPIMG("ID_8367FF7FCE354E85A6B58C07A55F59C4",1)</f>
        <v>=DISPIMG("ID_8367FF7FCE354E85A6B58C07A55F59C4",1)</v>
      </c>
      <c r="Q57" s="25" t="s">
        <v>2373</v>
      </c>
      <c r="R57" s="25">
        <v>281</v>
      </c>
      <c r="S57" s="40" t="s">
        <v>4374</v>
      </c>
      <c r="T57" s="18" t="s">
        <v>38</v>
      </c>
      <c r="U57" s="25">
        <v>25</v>
      </c>
      <c r="V57" s="84"/>
    </row>
    <row r="58" s="3" customFormat="1" customHeight="1" spans="1:22">
      <c r="A58" s="84">
        <v>25</v>
      </c>
      <c r="B58" s="175" t="s">
        <v>2226</v>
      </c>
      <c r="C58" s="175" t="s">
        <v>165</v>
      </c>
      <c r="D58" s="175" t="s">
        <v>2227</v>
      </c>
      <c r="E58" s="25">
        <v>15720952167</v>
      </c>
      <c r="F58" s="175" t="s">
        <v>278</v>
      </c>
      <c r="G58" s="175" t="s">
        <v>28</v>
      </c>
      <c r="H58" s="25">
        <v>202103001</v>
      </c>
      <c r="I58" s="175" t="s">
        <v>279</v>
      </c>
      <c r="J58" s="175" t="s">
        <v>2229</v>
      </c>
      <c r="K58" s="175" t="s">
        <v>280</v>
      </c>
      <c r="L58" s="175" t="s">
        <v>170</v>
      </c>
      <c r="M58" s="175" t="s">
        <v>161</v>
      </c>
      <c r="N58" s="175" t="s">
        <v>517</v>
      </c>
      <c r="O58" s="25">
        <v>0</v>
      </c>
      <c r="P58" s="26" t="str">
        <f>_xlfn.DISPIMG("ID_D66F2E0905214E97988618639B1556CA",1)</f>
        <v>=DISPIMG("ID_D66F2E0905214E97988618639B1556CA",1)</v>
      </c>
      <c r="Q58" s="25" t="s">
        <v>2230</v>
      </c>
      <c r="R58" s="25">
        <v>262</v>
      </c>
      <c r="S58" s="40" t="s">
        <v>4369</v>
      </c>
      <c r="T58" s="18" t="s">
        <v>38</v>
      </c>
      <c r="U58" s="25">
        <v>26</v>
      </c>
      <c r="V58" s="84"/>
    </row>
    <row r="59" s="3" customFormat="1" customHeight="1" spans="1:22">
      <c r="A59" s="84">
        <v>20</v>
      </c>
      <c r="B59" s="175" t="s">
        <v>1919</v>
      </c>
      <c r="C59" s="175" t="s">
        <v>153</v>
      </c>
      <c r="D59" s="175" t="s">
        <v>1920</v>
      </c>
      <c r="E59" s="25">
        <v>18046826639</v>
      </c>
      <c r="F59" s="175" t="s">
        <v>278</v>
      </c>
      <c r="G59" s="175" t="s">
        <v>28</v>
      </c>
      <c r="H59" s="25">
        <v>202103001</v>
      </c>
      <c r="I59" s="175" t="s">
        <v>279</v>
      </c>
      <c r="J59" s="175" t="s">
        <v>765</v>
      </c>
      <c r="K59" s="175" t="s">
        <v>280</v>
      </c>
      <c r="L59" s="175" t="s">
        <v>170</v>
      </c>
      <c r="M59" s="175" t="s">
        <v>455</v>
      </c>
      <c r="N59" s="175" t="s">
        <v>376</v>
      </c>
      <c r="O59" s="25">
        <v>0</v>
      </c>
      <c r="P59" s="26" t="str">
        <f>_xlfn.DISPIMG("ID_A79FF9B64919489DB578A9ECC96B1C96",1)</f>
        <v>=DISPIMG("ID_A79FF9B64919489DB578A9ECC96B1C96",1)</v>
      </c>
      <c r="Q59" s="25" t="s">
        <v>1922</v>
      </c>
      <c r="R59" s="25">
        <v>221</v>
      </c>
      <c r="S59" s="40" t="s">
        <v>4364</v>
      </c>
      <c r="T59" s="18" t="s">
        <v>38</v>
      </c>
      <c r="U59" s="25">
        <v>27</v>
      </c>
      <c r="V59" s="84"/>
    </row>
    <row r="60" s="3" customFormat="1" customHeight="1" spans="1:22">
      <c r="A60" s="84">
        <v>15</v>
      </c>
      <c r="B60" s="175" t="s">
        <v>1681</v>
      </c>
      <c r="C60" s="175" t="s">
        <v>165</v>
      </c>
      <c r="D60" s="175" t="s">
        <v>1682</v>
      </c>
      <c r="E60" s="25">
        <v>15707021172</v>
      </c>
      <c r="F60" s="175" t="s">
        <v>278</v>
      </c>
      <c r="G60" s="175" t="s">
        <v>28</v>
      </c>
      <c r="H60" s="25">
        <v>202103001</v>
      </c>
      <c r="I60" s="175" t="s">
        <v>279</v>
      </c>
      <c r="J60" s="175" t="s">
        <v>367</v>
      </c>
      <c r="K60" s="175" t="s">
        <v>1684</v>
      </c>
      <c r="L60" s="175" t="s">
        <v>170</v>
      </c>
      <c r="M60" s="175" t="s">
        <v>368</v>
      </c>
      <c r="N60" s="175" t="s">
        <v>376</v>
      </c>
      <c r="O60" s="175" t="s">
        <v>1685</v>
      </c>
      <c r="P60" s="26" t="str">
        <f>_xlfn.DISPIMG("ID_F515C4DE5D464F10B51159D5558C7D1A",1)</f>
        <v>=DISPIMG("ID_F515C4DE5D464F10B51159D5558C7D1A",1)</v>
      </c>
      <c r="Q60" s="25" t="s">
        <v>1686</v>
      </c>
      <c r="R60" s="25">
        <v>190</v>
      </c>
      <c r="S60" s="40" t="s">
        <v>4359</v>
      </c>
      <c r="T60" s="18" t="s">
        <v>38</v>
      </c>
      <c r="U60" s="25">
        <v>28</v>
      </c>
      <c r="V60" s="84"/>
    </row>
    <row r="61" s="3" customFormat="1" customHeight="1" spans="1:22">
      <c r="A61" s="84">
        <v>10</v>
      </c>
      <c r="B61" s="175" t="s">
        <v>1454</v>
      </c>
      <c r="C61" s="175" t="s">
        <v>165</v>
      </c>
      <c r="D61" s="175" t="s">
        <v>1455</v>
      </c>
      <c r="E61" s="25">
        <v>15679261175</v>
      </c>
      <c r="F61" s="175" t="s">
        <v>278</v>
      </c>
      <c r="G61" s="175" t="s">
        <v>28</v>
      </c>
      <c r="H61" s="25">
        <v>202103001</v>
      </c>
      <c r="I61" s="175" t="s">
        <v>157</v>
      </c>
      <c r="J61" s="175" t="s">
        <v>1457</v>
      </c>
      <c r="K61" s="175" t="s">
        <v>280</v>
      </c>
      <c r="L61" s="175" t="s">
        <v>160</v>
      </c>
      <c r="M61" s="175" t="s">
        <v>368</v>
      </c>
      <c r="N61" s="175" t="s">
        <v>1458</v>
      </c>
      <c r="O61" s="175" t="s">
        <v>1459</v>
      </c>
      <c r="P61" s="26" t="str">
        <f>_xlfn.DISPIMG("ID_B3F35F8B340047F693855C9AE3461262",1)</f>
        <v>=DISPIMG("ID_B3F35F8B340047F693855C9AE3461262",1)</v>
      </c>
      <c r="Q61" s="25" t="s">
        <v>1460</v>
      </c>
      <c r="R61" s="25">
        <v>161</v>
      </c>
      <c r="S61" s="40" t="s">
        <v>4354</v>
      </c>
      <c r="T61" s="18" t="s">
        <v>38</v>
      </c>
      <c r="U61" s="25">
        <v>29</v>
      </c>
      <c r="V61" s="84"/>
    </row>
    <row r="62" s="3" customFormat="1" customHeight="1" spans="1:22">
      <c r="A62" s="84">
        <v>5</v>
      </c>
      <c r="B62" s="175" t="s">
        <v>1280</v>
      </c>
      <c r="C62" s="175" t="s">
        <v>165</v>
      </c>
      <c r="D62" s="175" t="s">
        <v>1281</v>
      </c>
      <c r="E62" s="25">
        <v>15779415003</v>
      </c>
      <c r="F62" s="175" t="s">
        <v>278</v>
      </c>
      <c r="G62" s="175" t="s">
        <v>28</v>
      </c>
      <c r="H62" s="25">
        <v>202103001</v>
      </c>
      <c r="I62" s="175" t="s">
        <v>279</v>
      </c>
      <c r="J62" s="175" t="s">
        <v>367</v>
      </c>
      <c r="K62" s="175" t="s">
        <v>280</v>
      </c>
      <c r="L62" s="175" t="s">
        <v>170</v>
      </c>
      <c r="M62" s="175" t="s">
        <v>368</v>
      </c>
      <c r="N62" s="175" t="s">
        <v>340</v>
      </c>
      <c r="O62" s="175" t="s">
        <v>1283</v>
      </c>
      <c r="P62" s="26" t="str">
        <f>_xlfn.DISPIMG("ID_7CFB1AF7BB454AE0866D54E1D87E03E1",1)</f>
        <v>=DISPIMG("ID_7CFB1AF7BB454AE0866D54E1D87E03E1",1)</v>
      </c>
      <c r="Q62" s="25" t="s">
        <v>1284</v>
      </c>
      <c r="R62" s="25">
        <v>138</v>
      </c>
      <c r="S62" s="40" t="s">
        <v>4349</v>
      </c>
      <c r="T62" s="18" t="s">
        <v>38</v>
      </c>
      <c r="U62" s="25">
        <v>30</v>
      </c>
      <c r="V62" s="84"/>
    </row>
    <row r="63" s="3" customFormat="1" customHeight="1" spans="1:22">
      <c r="A63" s="84">
        <v>26</v>
      </c>
      <c r="B63" s="175" t="s">
        <v>3320</v>
      </c>
      <c r="C63" s="175" t="s">
        <v>165</v>
      </c>
      <c r="D63" s="175" t="s">
        <v>3321</v>
      </c>
      <c r="E63" s="25">
        <v>13979205561</v>
      </c>
      <c r="F63" s="175" t="s">
        <v>278</v>
      </c>
      <c r="G63" s="175" t="s">
        <v>28</v>
      </c>
      <c r="H63" s="25">
        <v>202103001</v>
      </c>
      <c r="I63" s="175" t="s">
        <v>585</v>
      </c>
      <c r="J63" s="175" t="s">
        <v>168</v>
      </c>
      <c r="K63" s="175" t="s">
        <v>280</v>
      </c>
      <c r="L63" s="175" t="s">
        <v>170</v>
      </c>
      <c r="M63" s="175" t="s">
        <v>2047</v>
      </c>
      <c r="N63" s="175" t="s">
        <v>340</v>
      </c>
      <c r="O63" s="175" t="s">
        <v>3322</v>
      </c>
      <c r="P63" s="26" t="str">
        <f>_xlfn.DISPIMG("ID_98A98A82D5AD4E03ADF0E8FE54980276",1)</f>
        <v>=DISPIMG("ID_98A98A82D5AD4E03ADF0E8FE54980276",1)</v>
      </c>
      <c r="Q63" s="25" t="s">
        <v>3323</v>
      </c>
      <c r="R63" s="25">
        <v>417</v>
      </c>
      <c r="S63" s="40" t="s">
        <v>4400</v>
      </c>
      <c r="T63" s="18" t="s">
        <v>39</v>
      </c>
      <c r="U63" s="25">
        <v>1</v>
      </c>
      <c r="V63" s="84"/>
    </row>
    <row r="64" s="3" customFormat="1" customHeight="1" spans="1:22">
      <c r="A64" s="84">
        <v>21</v>
      </c>
      <c r="B64" s="175" t="s">
        <v>1429</v>
      </c>
      <c r="C64" s="175" t="s">
        <v>165</v>
      </c>
      <c r="D64" s="175" t="s">
        <v>1430</v>
      </c>
      <c r="E64" s="25">
        <v>15779219115</v>
      </c>
      <c r="F64" s="175" t="s">
        <v>278</v>
      </c>
      <c r="G64" s="175" t="s">
        <v>28</v>
      </c>
      <c r="H64" s="25">
        <v>202103001</v>
      </c>
      <c r="I64" s="175" t="s">
        <v>279</v>
      </c>
      <c r="J64" s="175" t="s">
        <v>1432</v>
      </c>
      <c r="K64" s="175" t="s">
        <v>1433</v>
      </c>
      <c r="L64" s="175" t="s">
        <v>170</v>
      </c>
      <c r="M64" s="175" t="s">
        <v>261</v>
      </c>
      <c r="N64" s="175" t="s">
        <v>1013</v>
      </c>
      <c r="O64" s="175" t="s">
        <v>1435</v>
      </c>
      <c r="P64" s="26" t="str">
        <f>_xlfn.DISPIMG("ID_2AA0C0867EDA4E25AC1B455524935955",1)</f>
        <v>=DISPIMG("ID_2AA0C0867EDA4E25AC1B455524935955",1)</v>
      </c>
      <c r="Q64" s="25" t="s">
        <v>1436</v>
      </c>
      <c r="R64" s="25">
        <v>391</v>
      </c>
      <c r="S64" s="40" t="s">
        <v>4395</v>
      </c>
      <c r="T64" s="18" t="s">
        <v>39</v>
      </c>
      <c r="U64" s="25">
        <v>2</v>
      </c>
      <c r="V64" s="84"/>
    </row>
    <row r="65" s="3" customFormat="1" customHeight="1" spans="1:22">
      <c r="A65" s="84">
        <v>16</v>
      </c>
      <c r="B65" s="175" t="s">
        <v>2887</v>
      </c>
      <c r="C65" s="175" t="s">
        <v>165</v>
      </c>
      <c r="D65" s="175" t="s">
        <v>2888</v>
      </c>
      <c r="E65" s="25">
        <v>15879243291</v>
      </c>
      <c r="F65" s="175" t="s">
        <v>278</v>
      </c>
      <c r="G65" s="175" t="s">
        <v>28</v>
      </c>
      <c r="H65" s="25">
        <v>202103001</v>
      </c>
      <c r="I65" s="175" t="s">
        <v>279</v>
      </c>
      <c r="J65" s="175" t="s">
        <v>2890</v>
      </c>
      <c r="K65" s="175" t="s">
        <v>280</v>
      </c>
      <c r="L65" s="175" t="s">
        <v>170</v>
      </c>
      <c r="M65" s="175" t="s">
        <v>261</v>
      </c>
      <c r="N65" s="175" t="s">
        <v>2462</v>
      </c>
      <c r="O65" s="175" t="s">
        <v>2891</v>
      </c>
      <c r="P65" s="26" t="str">
        <f>_xlfn.DISPIMG("ID_0C2059A8D9A84C38B1CE4EFB24FA358E",1)</f>
        <v>=DISPIMG("ID_0C2059A8D9A84C38B1CE4EFB24FA358E",1)</v>
      </c>
      <c r="Q65" s="25" t="s">
        <v>2892</v>
      </c>
      <c r="R65" s="25">
        <v>351</v>
      </c>
      <c r="S65" s="40" t="s">
        <v>4390</v>
      </c>
      <c r="T65" s="18" t="s">
        <v>39</v>
      </c>
      <c r="U65" s="25">
        <v>3</v>
      </c>
      <c r="V65" s="84"/>
    </row>
    <row r="66" s="3" customFormat="1" customHeight="1" spans="1:22">
      <c r="A66" s="84">
        <v>11</v>
      </c>
      <c r="B66" s="175" t="s">
        <v>2746</v>
      </c>
      <c r="C66" s="175" t="s">
        <v>165</v>
      </c>
      <c r="D66" s="175" t="s">
        <v>2747</v>
      </c>
      <c r="E66" s="25">
        <v>13479871563</v>
      </c>
      <c r="F66" s="175" t="s">
        <v>278</v>
      </c>
      <c r="G66" s="175" t="s">
        <v>28</v>
      </c>
      <c r="H66" s="25">
        <v>202103001</v>
      </c>
      <c r="I66" s="175" t="s">
        <v>279</v>
      </c>
      <c r="J66" s="175" t="s">
        <v>1432</v>
      </c>
      <c r="K66" s="175" t="s">
        <v>280</v>
      </c>
      <c r="L66" s="175" t="s">
        <v>170</v>
      </c>
      <c r="M66" s="175" t="s">
        <v>2221</v>
      </c>
      <c r="N66" s="175" t="s">
        <v>340</v>
      </c>
      <c r="O66" s="175" t="s">
        <v>2749</v>
      </c>
      <c r="P66" s="26" t="str">
        <f>_xlfn.DISPIMG("ID_88F87A068C9F46F1A08F32919B53F4F3",1)</f>
        <v>=DISPIMG("ID_88F87A068C9F46F1A08F32919B53F4F3",1)</v>
      </c>
      <c r="Q66" s="25" t="s">
        <v>2750</v>
      </c>
      <c r="R66" s="25">
        <v>332</v>
      </c>
      <c r="S66" s="40" t="s">
        <v>4385</v>
      </c>
      <c r="T66" s="18" t="s">
        <v>39</v>
      </c>
      <c r="U66" s="25">
        <v>4</v>
      </c>
      <c r="V66" s="84"/>
    </row>
    <row r="67" s="3" customFormat="1" customHeight="1" spans="1:22">
      <c r="A67" s="84">
        <v>6</v>
      </c>
      <c r="B67" s="175" t="s">
        <v>2615</v>
      </c>
      <c r="C67" s="175" t="s">
        <v>165</v>
      </c>
      <c r="D67" s="175" t="s">
        <v>2616</v>
      </c>
      <c r="E67" s="25">
        <v>18779299651</v>
      </c>
      <c r="F67" s="175" t="s">
        <v>278</v>
      </c>
      <c r="G67" s="175" t="s">
        <v>28</v>
      </c>
      <c r="H67" s="25">
        <v>202103001</v>
      </c>
      <c r="I67" s="175" t="s">
        <v>585</v>
      </c>
      <c r="J67" s="175" t="s">
        <v>367</v>
      </c>
      <c r="K67" s="175" t="s">
        <v>280</v>
      </c>
      <c r="L67" s="175" t="s">
        <v>170</v>
      </c>
      <c r="M67" s="175" t="s">
        <v>306</v>
      </c>
      <c r="N67" s="175" t="s">
        <v>585</v>
      </c>
      <c r="O67" s="175" t="s">
        <v>2617</v>
      </c>
      <c r="P67" s="26" t="str">
        <f>_xlfn.DISPIMG("ID_D88361D0AC4F40C29B491840D8C35568",1)</f>
        <v>=DISPIMG("ID_D88361D0AC4F40C29B491840D8C35568",1)</v>
      </c>
      <c r="Q67" s="25" t="s">
        <v>2618</v>
      </c>
      <c r="R67" s="25">
        <v>314</v>
      </c>
      <c r="S67" s="40" t="s">
        <v>4380</v>
      </c>
      <c r="T67" s="18" t="s">
        <v>39</v>
      </c>
      <c r="U67" s="25">
        <v>5</v>
      </c>
      <c r="V67" s="84"/>
    </row>
    <row r="68" s="3" customFormat="1" customHeight="1" spans="1:22">
      <c r="A68" s="84">
        <v>1</v>
      </c>
      <c r="B68" s="175" t="s">
        <v>2384</v>
      </c>
      <c r="C68" s="175" t="s">
        <v>165</v>
      </c>
      <c r="D68" s="175" t="s">
        <v>2385</v>
      </c>
      <c r="E68" s="25">
        <v>18779249182</v>
      </c>
      <c r="F68" s="175" t="s">
        <v>278</v>
      </c>
      <c r="G68" s="175" t="s">
        <v>28</v>
      </c>
      <c r="H68" s="25">
        <v>202103001</v>
      </c>
      <c r="I68" s="175" t="s">
        <v>279</v>
      </c>
      <c r="J68" s="175" t="s">
        <v>178</v>
      </c>
      <c r="K68" s="175" t="s">
        <v>280</v>
      </c>
      <c r="L68" s="175" t="s">
        <v>170</v>
      </c>
      <c r="M68" s="175" t="s">
        <v>548</v>
      </c>
      <c r="N68" s="175" t="s">
        <v>517</v>
      </c>
      <c r="O68" s="175" t="s">
        <v>2387</v>
      </c>
      <c r="P68" s="26" t="str">
        <f>_xlfn.DISPIMG("ID_8CF817D3A8834773857DA1D47188BF1C",1)</f>
        <v>=DISPIMG("ID_8CF817D3A8834773857DA1D47188BF1C",1)</v>
      </c>
      <c r="Q68" s="25" t="s">
        <v>2388</v>
      </c>
      <c r="R68" s="25">
        <v>283</v>
      </c>
      <c r="S68" s="40" t="s">
        <v>4375</v>
      </c>
      <c r="T68" s="18" t="s">
        <v>39</v>
      </c>
      <c r="U68" s="25">
        <v>6</v>
      </c>
      <c r="V68" s="84"/>
    </row>
    <row r="69" s="3" customFormat="1" customHeight="1" spans="1:22">
      <c r="A69" s="84">
        <v>2</v>
      </c>
      <c r="B69" s="175" t="s">
        <v>2445</v>
      </c>
      <c r="C69" s="175" t="s">
        <v>165</v>
      </c>
      <c r="D69" s="175" t="s">
        <v>2446</v>
      </c>
      <c r="E69" s="25">
        <v>15270593089</v>
      </c>
      <c r="F69" s="175" t="s">
        <v>278</v>
      </c>
      <c r="G69" s="175" t="s">
        <v>28</v>
      </c>
      <c r="H69" s="25">
        <v>202103001</v>
      </c>
      <c r="I69" s="175" t="s">
        <v>279</v>
      </c>
      <c r="J69" s="175" t="s">
        <v>367</v>
      </c>
      <c r="K69" s="175" t="s">
        <v>280</v>
      </c>
      <c r="L69" s="175" t="s">
        <v>170</v>
      </c>
      <c r="M69" s="175" t="s">
        <v>161</v>
      </c>
      <c r="N69" s="175" t="s">
        <v>517</v>
      </c>
      <c r="O69" s="175" t="s">
        <v>2448</v>
      </c>
      <c r="P69" s="26" t="str">
        <f>_xlfn.DISPIMG("ID_5A60F5CEF6FD4D2AB2A12133308D2C7D",1)</f>
        <v>=DISPIMG("ID_5A60F5CEF6FD4D2AB2A12133308D2C7D",1)</v>
      </c>
      <c r="Q69" s="25" t="s">
        <v>2449</v>
      </c>
      <c r="R69" s="25">
        <v>291</v>
      </c>
      <c r="S69" s="40" t="s">
        <v>4376</v>
      </c>
      <c r="T69" s="18" t="s">
        <v>39</v>
      </c>
      <c r="U69" s="25">
        <v>7</v>
      </c>
      <c r="V69" s="84"/>
    </row>
    <row r="70" s="3" customFormat="1" customHeight="1" spans="1:22">
      <c r="A70" s="84">
        <v>7</v>
      </c>
      <c r="B70" s="175" t="s">
        <v>2651</v>
      </c>
      <c r="C70" s="175" t="s">
        <v>165</v>
      </c>
      <c r="D70" s="175" t="s">
        <v>2652</v>
      </c>
      <c r="E70" s="25">
        <v>18779275146</v>
      </c>
      <c r="F70" s="175" t="s">
        <v>278</v>
      </c>
      <c r="G70" s="175" t="s">
        <v>28</v>
      </c>
      <c r="H70" s="25">
        <v>202103001</v>
      </c>
      <c r="I70" s="175" t="s">
        <v>279</v>
      </c>
      <c r="J70" s="175" t="s">
        <v>367</v>
      </c>
      <c r="K70" s="175" t="s">
        <v>960</v>
      </c>
      <c r="L70" s="175" t="s">
        <v>170</v>
      </c>
      <c r="M70" s="175" t="s">
        <v>261</v>
      </c>
      <c r="N70" s="175" t="s">
        <v>2654</v>
      </c>
      <c r="O70" s="175" t="s">
        <v>2655</v>
      </c>
      <c r="P70" s="26" t="str">
        <f>_xlfn.DISPIMG("ID_1078F268CB1D42879EB5D176263AD754",1)</f>
        <v>=DISPIMG("ID_1078F268CB1D42879EB5D176263AD754",1)</v>
      </c>
      <c r="Q70" s="25" t="s">
        <v>2656</v>
      </c>
      <c r="R70" s="25">
        <v>319</v>
      </c>
      <c r="S70" s="40" t="s">
        <v>4381</v>
      </c>
      <c r="T70" s="18" t="s">
        <v>39</v>
      </c>
      <c r="U70" s="25">
        <v>8</v>
      </c>
      <c r="V70" s="84"/>
    </row>
    <row r="71" s="3" customFormat="1" customHeight="1" spans="1:22">
      <c r="A71" s="84">
        <v>12</v>
      </c>
      <c r="B71" s="175" t="s">
        <v>2796</v>
      </c>
      <c r="C71" s="175" t="s">
        <v>165</v>
      </c>
      <c r="D71" s="175" t="s">
        <v>2797</v>
      </c>
      <c r="E71" s="25">
        <v>15079245341</v>
      </c>
      <c r="F71" s="175" t="s">
        <v>278</v>
      </c>
      <c r="G71" s="175" t="s">
        <v>28</v>
      </c>
      <c r="H71" s="25">
        <v>202103001</v>
      </c>
      <c r="I71" s="175" t="s">
        <v>279</v>
      </c>
      <c r="J71" s="175" t="s">
        <v>2799</v>
      </c>
      <c r="K71" s="175" t="s">
        <v>1489</v>
      </c>
      <c r="L71" s="175" t="s">
        <v>170</v>
      </c>
      <c r="M71" s="175" t="s">
        <v>2800</v>
      </c>
      <c r="N71" s="175" t="s">
        <v>28</v>
      </c>
      <c r="O71" s="175" t="s">
        <v>2801</v>
      </c>
      <c r="P71" s="26" t="str">
        <f>_xlfn.DISPIMG("ID_CE28F2C62DED40E5A2B6EB31752867C6",1)</f>
        <v>=DISPIMG("ID_CE28F2C62DED40E5A2B6EB31752867C6",1)</v>
      </c>
      <c r="Q71" s="25" t="s">
        <v>2802</v>
      </c>
      <c r="R71" s="25">
        <v>339</v>
      </c>
      <c r="S71" s="40" t="s">
        <v>4386</v>
      </c>
      <c r="T71" s="18" t="s">
        <v>39</v>
      </c>
      <c r="U71" s="25">
        <v>9</v>
      </c>
      <c r="V71" s="84"/>
    </row>
    <row r="72" s="3" customFormat="1" customHeight="1" spans="1:22">
      <c r="A72" s="84">
        <v>17</v>
      </c>
      <c r="B72" s="175" t="s">
        <v>2908</v>
      </c>
      <c r="C72" s="175" t="s">
        <v>165</v>
      </c>
      <c r="D72" s="175" t="s">
        <v>2909</v>
      </c>
      <c r="E72" s="25">
        <v>15180608812</v>
      </c>
      <c r="F72" s="175" t="s">
        <v>278</v>
      </c>
      <c r="G72" s="175" t="s">
        <v>28</v>
      </c>
      <c r="H72" s="25">
        <v>202103001</v>
      </c>
      <c r="I72" s="175" t="s">
        <v>279</v>
      </c>
      <c r="J72" s="175" t="s">
        <v>732</v>
      </c>
      <c r="K72" s="175" t="s">
        <v>280</v>
      </c>
      <c r="L72" s="175" t="s">
        <v>170</v>
      </c>
      <c r="M72" s="175" t="s">
        <v>216</v>
      </c>
      <c r="N72" s="175" t="s">
        <v>340</v>
      </c>
      <c r="O72" s="175" t="s">
        <v>2911</v>
      </c>
      <c r="P72" s="26" t="str">
        <f>_xlfn.DISPIMG("ID_2372D216C4084B2F90A1624776C89F44",1)</f>
        <v>=DISPIMG("ID_2372D216C4084B2F90A1624776C89F44",1)</v>
      </c>
      <c r="Q72" s="25" t="s">
        <v>2912</v>
      </c>
      <c r="R72" s="25">
        <v>354</v>
      </c>
      <c r="S72" s="40" t="s">
        <v>4391</v>
      </c>
      <c r="T72" s="18" t="s">
        <v>39</v>
      </c>
      <c r="U72" s="25">
        <v>10</v>
      </c>
      <c r="V72" s="84"/>
    </row>
    <row r="73" s="3" customFormat="1" customHeight="1" spans="1:22">
      <c r="A73" s="84">
        <v>22</v>
      </c>
      <c r="B73" s="175" t="s">
        <v>3172</v>
      </c>
      <c r="C73" s="175" t="s">
        <v>165</v>
      </c>
      <c r="D73" s="175" t="s">
        <v>3173</v>
      </c>
      <c r="E73" s="25">
        <v>18970280941</v>
      </c>
      <c r="F73" s="175" t="s">
        <v>278</v>
      </c>
      <c r="G73" s="175" t="s">
        <v>28</v>
      </c>
      <c r="H73" s="25">
        <v>202103001</v>
      </c>
      <c r="I73" s="175" t="s">
        <v>585</v>
      </c>
      <c r="J73" s="175" t="s">
        <v>3174</v>
      </c>
      <c r="K73" s="175" t="s">
        <v>586</v>
      </c>
      <c r="L73" s="175" t="s">
        <v>170</v>
      </c>
      <c r="M73" s="175" t="s">
        <v>3039</v>
      </c>
      <c r="N73" s="175" t="s">
        <v>340</v>
      </c>
      <c r="O73" s="175" t="s">
        <v>3175</v>
      </c>
      <c r="P73" s="26" t="str">
        <f>_xlfn.DISPIMG("ID_0094E289D6FF483F911D447623CD2A7B",1)</f>
        <v>=DISPIMG("ID_0094E289D6FF483F911D447623CD2A7B",1)</v>
      </c>
      <c r="Q73" s="25" t="s">
        <v>3176</v>
      </c>
      <c r="R73" s="25">
        <v>394</v>
      </c>
      <c r="S73" s="40" t="s">
        <v>4396</v>
      </c>
      <c r="T73" s="18" t="s">
        <v>39</v>
      </c>
      <c r="U73" s="25">
        <v>11</v>
      </c>
      <c r="V73" s="84"/>
    </row>
    <row r="74" s="3" customFormat="1" customHeight="1" spans="1:22">
      <c r="A74" s="84">
        <v>27</v>
      </c>
      <c r="B74" s="175" t="s">
        <v>3326</v>
      </c>
      <c r="C74" s="175" t="s">
        <v>165</v>
      </c>
      <c r="D74" s="175" t="s">
        <v>3327</v>
      </c>
      <c r="E74" s="25">
        <v>15979970756</v>
      </c>
      <c r="F74" s="175" t="s">
        <v>278</v>
      </c>
      <c r="G74" s="175" t="s">
        <v>28</v>
      </c>
      <c r="H74" s="25">
        <v>202103001</v>
      </c>
      <c r="I74" s="175" t="s">
        <v>279</v>
      </c>
      <c r="J74" s="175" t="s">
        <v>3329</v>
      </c>
      <c r="K74" s="175" t="s">
        <v>280</v>
      </c>
      <c r="L74" s="175" t="s">
        <v>170</v>
      </c>
      <c r="M74" s="175" t="s">
        <v>368</v>
      </c>
      <c r="N74" s="175" t="s">
        <v>376</v>
      </c>
      <c r="O74" s="175" t="s">
        <v>3330</v>
      </c>
      <c r="P74" s="26" t="str">
        <f>_xlfn.DISPIMG("ID_35E61F5727C7442282FC0637F60D57FC",1)</f>
        <v>=DISPIMG("ID_35E61F5727C7442282FC0637F60D57FC",1)</v>
      </c>
      <c r="Q74" s="25" t="s">
        <v>3331</v>
      </c>
      <c r="R74" s="25">
        <v>418</v>
      </c>
      <c r="S74" s="40" t="s">
        <v>4401</v>
      </c>
      <c r="T74" s="18" t="s">
        <v>39</v>
      </c>
      <c r="U74" s="25">
        <v>12</v>
      </c>
      <c r="V74" s="70"/>
    </row>
    <row r="75" s="3" customFormat="1" customHeight="1" spans="1:22">
      <c r="A75" s="84">
        <v>28</v>
      </c>
      <c r="B75" s="175" t="s">
        <v>2682</v>
      </c>
      <c r="C75" s="175" t="s">
        <v>165</v>
      </c>
      <c r="D75" s="175" t="s">
        <v>2683</v>
      </c>
      <c r="E75" s="25">
        <v>18079206353</v>
      </c>
      <c r="F75" s="175" t="s">
        <v>278</v>
      </c>
      <c r="G75" s="175" t="s">
        <v>28</v>
      </c>
      <c r="H75" s="25">
        <v>202103001</v>
      </c>
      <c r="I75" s="175" t="s">
        <v>585</v>
      </c>
      <c r="J75" s="175" t="s">
        <v>367</v>
      </c>
      <c r="K75" s="175" t="s">
        <v>586</v>
      </c>
      <c r="L75" s="175" t="s">
        <v>170</v>
      </c>
      <c r="M75" s="175" t="s">
        <v>2685</v>
      </c>
      <c r="N75" s="175" t="s">
        <v>2686</v>
      </c>
      <c r="O75" s="175" t="s">
        <v>2687</v>
      </c>
      <c r="P75" s="26" t="str">
        <f>_xlfn.DISPIMG("ID_5B48971EF1B54F2AA5263A5C67E87781",1)</f>
        <v>=DISPIMG("ID_5B48971EF1B54F2AA5263A5C67E87781",1)</v>
      </c>
      <c r="Q75" s="25" t="s">
        <v>2688</v>
      </c>
      <c r="R75" s="25">
        <v>419</v>
      </c>
      <c r="S75" s="40" t="s">
        <v>4402</v>
      </c>
      <c r="T75" s="18" t="s">
        <v>39</v>
      </c>
      <c r="U75" s="25">
        <v>13</v>
      </c>
      <c r="V75" s="84"/>
    </row>
    <row r="76" s="3" customFormat="1" customHeight="1" spans="1:22">
      <c r="A76" s="84">
        <v>23</v>
      </c>
      <c r="B76" s="175" t="s">
        <v>3234</v>
      </c>
      <c r="C76" s="175" t="s">
        <v>165</v>
      </c>
      <c r="D76" s="175" t="s">
        <v>3235</v>
      </c>
      <c r="E76" s="25">
        <v>15083801983</v>
      </c>
      <c r="F76" s="175" t="s">
        <v>278</v>
      </c>
      <c r="G76" s="175" t="s">
        <v>28</v>
      </c>
      <c r="H76" s="25">
        <v>202103001</v>
      </c>
      <c r="I76" s="175" t="s">
        <v>279</v>
      </c>
      <c r="J76" s="175" t="s">
        <v>339</v>
      </c>
      <c r="K76" s="175" t="s">
        <v>960</v>
      </c>
      <c r="L76" s="175" t="s">
        <v>170</v>
      </c>
      <c r="M76" s="175" t="s">
        <v>2935</v>
      </c>
      <c r="N76" s="175" t="s">
        <v>376</v>
      </c>
      <c r="O76" s="175" t="s">
        <v>3237</v>
      </c>
      <c r="P76" s="26" t="str">
        <f>_xlfn.DISPIMG("ID_6E77F2441F654B1DACC44E4FDEC025B1",1)</f>
        <v>=DISPIMG("ID_6E77F2441F654B1DACC44E4FDEC025B1",1)</v>
      </c>
      <c r="Q76" s="25" t="s">
        <v>3238</v>
      </c>
      <c r="R76" s="25">
        <v>403</v>
      </c>
      <c r="S76" s="40" t="s">
        <v>4397</v>
      </c>
      <c r="T76" s="18" t="s">
        <v>39</v>
      </c>
      <c r="U76" s="25">
        <v>14</v>
      </c>
      <c r="V76" s="84"/>
    </row>
    <row r="77" s="3" customFormat="1" customHeight="1" spans="1:22">
      <c r="A77" s="84">
        <v>18</v>
      </c>
      <c r="B77" s="175" t="s">
        <v>3015</v>
      </c>
      <c r="C77" s="175" t="s">
        <v>165</v>
      </c>
      <c r="D77" s="175" t="s">
        <v>3016</v>
      </c>
      <c r="E77" s="25">
        <v>15779237225</v>
      </c>
      <c r="F77" s="175" t="s">
        <v>278</v>
      </c>
      <c r="G77" s="175" t="s">
        <v>28</v>
      </c>
      <c r="H77" s="25">
        <v>202103001</v>
      </c>
      <c r="I77" s="175" t="s">
        <v>585</v>
      </c>
      <c r="J77" s="175" t="s">
        <v>3018</v>
      </c>
      <c r="K77" s="175" t="s">
        <v>586</v>
      </c>
      <c r="L77" s="175" t="s">
        <v>170</v>
      </c>
      <c r="M77" s="175" t="s">
        <v>1346</v>
      </c>
      <c r="N77" s="175" t="s">
        <v>340</v>
      </c>
      <c r="O77" s="175" t="s">
        <v>3019</v>
      </c>
      <c r="P77" s="26" t="str">
        <f>_xlfn.DISPIMG("ID_5D71807FA9B14D55B579AC354805CDFB",1)</f>
        <v>=DISPIMG("ID_5D71807FA9B14D55B579AC354805CDFB",1)</v>
      </c>
      <c r="Q77" s="25" t="s">
        <v>3020</v>
      </c>
      <c r="R77" s="25">
        <v>372</v>
      </c>
      <c r="S77" s="40" t="s">
        <v>4392</v>
      </c>
      <c r="T77" s="18" t="s">
        <v>39</v>
      </c>
      <c r="U77" s="25">
        <v>15</v>
      </c>
      <c r="V77" s="84"/>
    </row>
    <row r="78" s="3" customFormat="1" customHeight="1" spans="1:22">
      <c r="A78" s="84">
        <v>13</v>
      </c>
      <c r="B78" s="175" t="s">
        <v>2825</v>
      </c>
      <c r="C78" s="175" t="s">
        <v>165</v>
      </c>
      <c r="D78" s="175" t="s">
        <v>2826</v>
      </c>
      <c r="E78" s="25">
        <v>13177721280</v>
      </c>
      <c r="F78" s="175" t="s">
        <v>278</v>
      </c>
      <c r="G78" s="175" t="s">
        <v>28</v>
      </c>
      <c r="H78" s="25">
        <v>202103001</v>
      </c>
      <c r="I78" s="175" t="s">
        <v>279</v>
      </c>
      <c r="J78" s="175" t="s">
        <v>1237</v>
      </c>
      <c r="K78" s="175" t="s">
        <v>280</v>
      </c>
      <c r="L78" s="175" t="s">
        <v>170</v>
      </c>
      <c r="M78" s="175" t="s">
        <v>261</v>
      </c>
      <c r="N78" s="175" t="s">
        <v>340</v>
      </c>
      <c r="O78" s="25">
        <v>0</v>
      </c>
      <c r="P78" s="26" t="str">
        <f>_xlfn.DISPIMG("ID_F08BB5C3B75D4962A37212B4DDDA960C",1)</f>
        <v>=DISPIMG("ID_F08BB5C3B75D4962A37212B4DDDA960C",1)</v>
      </c>
      <c r="Q78" s="25" t="s">
        <v>2828</v>
      </c>
      <c r="R78" s="25">
        <v>343</v>
      </c>
      <c r="S78" s="40" t="s">
        <v>4387</v>
      </c>
      <c r="T78" s="18" t="s">
        <v>39</v>
      </c>
      <c r="U78" s="25">
        <v>16</v>
      </c>
      <c r="V78" s="84"/>
    </row>
    <row r="79" s="3" customFormat="1" customHeight="1" spans="1:22">
      <c r="A79" s="84">
        <v>8</v>
      </c>
      <c r="B79" s="175" t="s">
        <v>2666</v>
      </c>
      <c r="C79" s="175" t="s">
        <v>165</v>
      </c>
      <c r="D79" s="175" t="s">
        <v>2667</v>
      </c>
      <c r="E79" s="25">
        <v>13367011157</v>
      </c>
      <c r="F79" s="175" t="s">
        <v>278</v>
      </c>
      <c r="G79" s="175" t="s">
        <v>28</v>
      </c>
      <c r="H79" s="25">
        <v>202103001</v>
      </c>
      <c r="I79" s="175" t="s">
        <v>279</v>
      </c>
      <c r="J79" s="175" t="s">
        <v>2669</v>
      </c>
      <c r="K79" s="175" t="s">
        <v>280</v>
      </c>
      <c r="L79" s="175" t="s">
        <v>170</v>
      </c>
      <c r="M79" s="175" t="s">
        <v>368</v>
      </c>
      <c r="N79" s="175" t="s">
        <v>340</v>
      </c>
      <c r="O79" s="175" t="s">
        <v>2670</v>
      </c>
      <c r="P79" s="26" t="str">
        <f>_xlfn.DISPIMG("ID_F3E1E6ADC00F4323859304E86EC6B8D9",1)</f>
        <v>=DISPIMG("ID_F3E1E6ADC00F4323859304E86EC6B8D9",1)</v>
      </c>
      <c r="Q79" s="25" t="s">
        <v>2671</v>
      </c>
      <c r="R79" s="25">
        <v>321</v>
      </c>
      <c r="S79" s="40" t="s">
        <v>4382</v>
      </c>
      <c r="T79" s="18" t="s">
        <v>39</v>
      </c>
      <c r="U79" s="25">
        <v>17</v>
      </c>
      <c r="V79" s="84"/>
    </row>
    <row r="80" s="3" customFormat="1" customHeight="1" spans="1:22">
      <c r="A80" s="84">
        <v>3</v>
      </c>
      <c r="B80" s="175" t="s">
        <v>2487</v>
      </c>
      <c r="C80" s="175" t="s">
        <v>165</v>
      </c>
      <c r="D80" s="175" t="s">
        <v>2488</v>
      </c>
      <c r="E80" s="25">
        <v>18979216011</v>
      </c>
      <c r="F80" s="175" t="s">
        <v>278</v>
      </c>
      <c r="G80" s="175" t="s">
        <v>28</v>
      </c>
      <c r="H80" s="25">
        <v>202103001</v>
      </c>
      <c r="I80" s="175" t="s">
        <v>157</v>
      </c>
      <c r="J80" s="175" t="s">
        <v>178</v>
      </c>
      <c r="K80" s="175" t="s">
        <v>280</v>
      </c>
      <c r="L80" s="175" t="s">
        <v>170</v>
      </c>
      <c r="M80" s="175" t="s">
        <v>2490</v>
      </c>
      <c r="N80" s="175" t="s">
        <v>28</v>
      </c>
      <c r="O80" s="175" t="s">
        <v>2491</v>
      </c>
      <c r="P80" s="26" t="str">
        <f>_xlfn.DISPIMG("ID_53B9839AEAC4407495ABBD356F420DDD",1)</f>
        <v>=DISPIMG("ID_53B9839AEAC4407495ABBD356F420DDD",1)</v>
      </c>
      <c r="Q80" s="25" t="s">
        <v>2492</v>
      </c>
      <c r="R80" s="25">
        <v>297</v>
      </c>
      <c r="S80" s="40" t="s">
        <v>4377</v>
      </c>
      <c r="T80" s="18" t="s">
        <v>39</v>
      </c>
      <c r="U80" s="25">
        <v>18</v>
      </c>
      <c r="V80" s="84"/>
    </row>
    <row r="81" s="4" customFormat="1" customHeight="1" spans="1:22">
      <c r="A81" s="84">
        <v>4</v>
      </c>
      <c r="B81" s="175" t="s">
        <v>2501</v>
      </c>
      <c r="C81" s="175" t="s">
        <v>165</v>
      </c>
      <c r="D81" s="175" t="s">
        <v>2502</v>
      </c>
      <c r="E81" s="25">
        <v>18779413916</v>
      </c>
      <c r="F81" s="175" t="s">
        <v>278</v>
      </c>
      <c r="G81" s="175" t="s">
        <v>28</v>
      </c>
      <c r="H81" s="25">
        <v>202103001</v>
      </c>
      <c r="I81" s="175" t="s">
        <v>279</v>
      </c>
      <c r="J81" s="175" t="s">
        <v>876</v>
      </c>
      <c r="K81" s="175" t="s">
        <v>1684</v>
      </c>
      <c r="L81" s="175" t="s">
        <v>170</v>
      </c>
      <c r="M81" s="175" t="s">
        <v>171</v>
      </c>
      <c r="N81" s="175" t="s">
        <v>2504</v>
      </c>
      <c r="O81" s="175" t="s">
        <v>2505</v>
      </c>
      <c r="P81" s="26" t="str">
        <f>_xlfn.DISPIMG("ID_515277FD8D2D40318D429A7BA8ADC69C",1)</f>
        <v>=DISPIMG("ID_515277FD8D2D40318D429A7BA8ADC69C",1)</v>
      </c>
      <c r="Q81" s="25" t="s">
        <v>2506</v>
      </c>
      <c r="R81" s="25">
        <v>299</v>
      </c>
      <c r="S81" s="40" t="s">
        <v>4378</v>
      </c>
      <c r="T81" s="18" t="s">
        <v>39</v>
      </c>
      <c r="U81" s="25">
        <v>19</v>
      </c>
      <c r="V81" s="84"/>
    </row>
    <row r="82" s="3" customFormat="1" customHeight="1" spans="1:22">
      <c r="A82" s="84">
        <v>9</v>
      </c>
      <c r="B82" s="175" t="s">
        <v>2691</v>
      </c>
      <c r="C82" s="175" t="s">
        <v>165</v>
      </c>
      <c r="D82" s="175" t="s">
        <v>2692</v>
      </c>
      <c r="E82" s="25">
        <v>13361724916</v>
      </c>
      <c r="F82" s="175" t="s">
        <v>278</v>
      </c>
      <c r="G82" s="175" t="s">
        <v>28</v>
      </c>
      <c r="H82" s="25">
        <v>202103001</v>
      </c>
      <c r="I82" s="175" t="s">
        <v>585</v>
      </c>
      <c r="J82" s="175" t="s">
        <v>367</v>
      </c>
      <c r="K82" s="175" t="s">
        <v>586</v>
      </c>
      <c r="L82" s="175" t="s">
        <v>170</v>
      </c>
      <c r="M82" s="175" t="s">
        <v>2685</v>
      </c>
      <c r="N82" s="175" t="s">
        <v>2686</v>
      </c>
      <c r="O82" s="175" t="s">
        <v>2694</v>
      </c>
      <c r="P82" s="26" t="str">
        <f>_xlfn.DISPIMG("ID_80BD79931C0D4F069B4BB278F0D6EACF",1)</f>
        <v>=DISPIMG("ID_80BD79931C0D4F069B4BB278F0D6EACF",1)</v>
      </c>
      <c r="Q82" s="25" t="s">
        <v>2695</v>
      </c>
      <c r="R82" s="25">
        <v>324</v>
      </c>
      <c r="S82" s="40" t="s">
        <v>4383</v>
      </c>
      <c r="T82" s="18" t="s">
        <v>39</v>
      </c>
      <c r="U82" s="25">
        <v>20</v>
      </c>
      <c r="V82" s="84"/>
    </row>
    <row r="83" s="3" customFormat="1" customHeight="1" spans="1:22">
      <c r="A83" s="84">
        <v>14</v>
      </c>
      <c r="B83" s="175" t="s">
        <v>2854</v>
      </c>
      <c r="C83" s="175" t="s">
        <v>165</v>
      </c>
      <c r="D83" s="175" t="s">
        <v>2855</v>
      </c>
      <c r="E83" s="25">
        <v>18720256092</v>
      </c>
      <c r="F83" s="175" t="s">
        <v>278</v>
      </c>
      <c r="G83" s="175" t="s">
        <v>28</v>
      </c>
      <c r="H83" s="25">
        <v>202103001</v>
      </c>
      <c r="I83" s="175" t="s">
        <v>279</v>
      </c>
      <c r="J83" s="175" t="s">
        <v>2857</v>
      </c>
      <c r="K83" s="175" t="s">
        <v>586</v>
      </c>
      <c r="L83" s="175" t="s">
        <v>170</v>
      </c>
      <c r="M83" s="175" t="s">
        <v>235</v>
      </c>
      <c r="N83" s="175" t="s">
        <v>586</v>
      </c>
      <c r="O83" s="175" t="s">
        <v>2858</v>
      </c>
      <c r="P83" s="26" t="str">
        <f>_xlfn.DISPIMG("ID_11ED1DBBC626428D97C7101FAED1566F",1)</f>
        <v>=DISPIMG("ID_11ED1DBBC626428D97C7101FAED1566F",1)</v>
      </c>
      <c r="Q83" s="25" t="s">
        <v>2859</v>
      </c>
      <c r="R83" s="25">
        <v>347</v>
      </c>
      <c r="S83" s="40" t="s">
        <v>4388</v>
      </c>
      <c r="T83" s="18" t="s">
        <v>39</v>
      </c>
      <c r="U83" s="25">
        <v>21</v>
      </c>
      <c r="V83" s="84"/>
    </row>
    <row r="84" s="3" customFormat="1" customHeight="1" spans="1:22">
      <c r="A84" s="84">
        <v>19</v>
      </c>
      <c r="B84" s="175" t="s">
        <v>3136</v>
      </c>
      <c r="C84" s="175" t="s">
        <v>165</v>
      </c>
      <c r="D84" s="175" t="s">
        <v>3137</v>
      </c>
      <c r="E84" s="25">
        <v>13207912916</v>
      </c>
      <c r="F84" s="175" t="s">
        <v>278</v>
      </c>
      <c r="G84" s="175" t="s">
        <v>28</v>
      </c>
      <c r="H84" s="25">
        <v>202103001</v>
      </c>
      <c r="I84" s="175" t="s">
        <v>157</v>
      </c>
      <c r="J84" s="175" t="s">
        <v>233</v>
      </c>
      <c r="K84" s="175" t="s">
        <v>280</v>
      </c>
      <c r="L84" s="175" t="s">
        <v>170</v>
      </c>
      <c r="M84" s="175" t="s">
        <v>199</v>
      </c>
      <c r="N84" s="175" t="s">
        <v>517</v>
      </c>
      <c r="O84" s="175" t="s">
        <v>3139</v>
      </c>
      <c r="P84" s="26" t="str">
        <f>_xlfn.DISPIMG("ID_5DD0D632EE9F43A696BEAC7A2AD60F9E",1)</f>
        <v>=DISPIMG("ID_5DD0D632EE9F43A696BEAC7A2AD60F9E",1)</v>
      </c>
      <c r="Q84" s="25" t="s">
        <v>3140</v>
      </c>
      <c r="R84" s="25">
        <v>388</v>
      </c>
      <c r="S84" s="40" t="s">
        <v>4393</v>
      </c>
      <c r="T84" s="18" t="s">
        <v>39</v>
      </c>
      <c r="U84" s="25">
        <v>22</v>
      </c>
      <c r="V84" s="70"/>
    </row>
    <row r="85" s="3" customFormat="1" customHeight="1" spans="1:22">
      <c r="A85" s="84">
        <v>24</v>
      </c>
      <c r="B85" s="175" t="s">
        <v>3293</v>
      </c>
      <c r="C85" s="175" t="s">
        <v>165</v>
      </c>
      <c r="D85" s="175" t="s">
        <v>3294</v>
      </c>
      <c r="E85" s="25">
        <v>18170265828</v>
      </c>
      <c r="F85" s="175" t="s">
        <v>278</v>
      </c>
      <c r="G85" s="175" t="s">
        <v>28</v>
      </c>
      <c r="H85" s="25">
        <v>202103001</v>
      </c>
      <c r="I85" s="175" t="s">
        <v>157</v>
      </c>
      <c r="J85" s="175" t="s">
        <v>233</v>
      </c>
      <c r="K85" s="175" t="s">
        <v>280</v>
      </c>
      <c r="L85" s="175" t="s">
        <v>170</v>
      </c>
      <c r="M85" s="175" t="s">
        <v>3061</v>
      </c>
      <c r="N85" s="175" t="s">
        <v>3296</v>
      </c>
      <c r="O85" s="175" t="s">
        <v>3297</v>
      </c>
      <c r="P85" s="26" t="str">
        <f>_xlfn.DISPIMG("ID_1A8F20F988244300AFCAF70BDC1F337C",1)</f>
        <v>=DISPIMG("ID_1A8F20F988244300AFCAF70BDC1F337C",1)</v>
      </c>
      <c r="Q85" s="25" t="s">
        <v>3298</v>
      </c>
      <c r="R85" s="25">
        <v>413</v>
      </c>
      <c r="S85" s="40" t="s">
        <v>4398</v>
      </c>
      <c r="T85" s="18" t="s">
        <v>39</v>
      </c>
      <c r="U85" s="25">
        <v>23</v>
      </c>
      <c r="V85" s="84"/>
    </row>
    <row r="86" s="3" customFormat="1" customHeight="1" spans="1:22">
      <c r="A86" s="84">
        <v>29</v>
      </c>
      <c r="B86" s="175" t="s">
        <v>3342</v>
      </c>
      <c r="C86" s="175" t="s">
        <v>165</v>
      </c>
      <c r="D86" s="175" t="s">
        <v>3343</v>
      </c>
      <c r="E86" s="25">
        <v>18320666217</v>
      </c>
      <c r="F86" s="175" t="s">
        <v>278</v>
      </c>
      <c r="G86" s="175" t="s">
        <v>28</v>
      </c>
      <c r="H86" s="25">
        <v>202103001</v>
      </c>
      <c r="I86" s="175" t="s">
        <v>157</v>
      </c>
      <c r="J86" s="175" t="s">
        <v>3345</v>
      </c>
      <c r="K86" s="175" t="s">
        <v>280</v>
      </c>
      <c r="L86" s="175" t="s">
        <v>170</v>
      </c>
      <c r="M86" s="175" t="s">
        <v>235</v>
      </c>
      <c r="N86" s="175" t="s">
        <v>3346</v>
      </c>
      <c r="O86" s="175" t="s">
        <v>3347</v>
      </c>
      <c r="P86" s="26" t="str">
        <f>_xlfn.DISPIMG("ID_E18EEBC59F6A4BD3BA9929CD3773910D",1)</f>
        <v>=DISPIMG("ID_E18EEBC59F6A4BD3BA9929CD3773910D",1)</v>
      </c>
      <c r="Q86" s="25" t="s">
        <v>3348</v>
      </c>
      <c r="R86" s="25">
        <v>421</v>
      </c>
      <c r="S86" s="40" t="s">
        <v>4403</v>
      </c>
      <c r="T86" s="18" t="s">
        <v>39</v>
      </c>
      <c r="U86" s="25">
        <v>24</v>
      </c>
      <c r="V86" s="84"/>
    </row>
    <row r="87" s="3" customFormat="1" customHeight="1" spans="1:22">
      <c r="A87" s="84">
        <v>30</v>
      </c>
      <c r="B87" s="175" t="s">
        <v>3403</v>
      </c>
      <c r="C87" s="175" t="s">
        <v>165</v>
      </c>
      <c r="D87" s="175" t="s">
        <v>3404</v>
      </c>
      <c r="E87" s="25">
        <v>18000721221</v>
      </c>
      <c r="F87" s="175" t="s">
        <v>278</v>
      </c>
      <c r="G87" s="175" t="s">
        <v>28</v>
      </c>
      <c r="H87" s="25">
        <v>202103001</v>
      </c>
      <c r="I87" s="175" t="s">
        <v>279</v>
      </c>
      <c r="J87" s="175" t="s">
        <v>168</v>
      </c>
      <c r="K87" s="175" t="s">
        <v>280</v>
      </c>
      <c r="L87" s="175" t="s">
        <v>170</v>
      </c>
      <c r="M87" s="175" t="s">
        <v>516</v>
      </c>
      <c r="N87" s="175" t="s">
        <v>280</v>
      </c>
      <c r="O87" s="175" t="s">
        <v>3405</v>
      </c>
      <c r="P87" s="26" t="str">
        <f>_xlfn.DISPIMG("ID_7EFAC0679406489199323C08AE652767",1)</f>
        <v>=DISPIMG("ID_7EFAC0679406489199323C08AE652767",1)</v>
      </c>
      <c r="Q87" s="25" t="s">
        <v>3406</v>
      </c>
      <c r="R87" s="25">
        <v>429</v>
      </c>
      <c r="S87" s="40" t="s">
        <v>4404</v>
      </c>
      <c r="T87" s="18" t="s">
        <v>39</v>
      </c>
      <c r="U87" s="25">
        <v>25</v>
      </c>
      <c r="V87" s="70"/>
    </row>
    <row r="88" s="3" customFormat="1" customHeight="1" spans="1:22">
      <c r="A88" s="84">
        <v>25</v>
      </c>
      <c r="B88" s="175" t="s">
        <v>3307</v>
      </c>
      <c r="C88" s="175" t="s">
        <v>165</v>
      </c>
      <c r="D88" s="175" t="s">
        <v>3308</v>
      </c>
      <c r="E88" s="25">
        <v>15570243314</v>
      </c>
      <c r="F88" s="175" t="s">
        <v>278</v>
      </c>
      <c r="G88" s="175" t="s">
        <v>28</v>
      </c>
      <c r="H88" s="25">
        <v>202103001</v>
      </c>
      <c r="I88" s="175" t="s">
        <v>279</v>
      </c>
      <c r="J88" s="175" t="s">
        <v>3309</v>
      </c>
      <c r="K88" s="175" t="s">
        <v>2326</v>
      </c>
      <c r="L88" s="175" t="s">
        <v>170</v>
      </c>
      <c r="M88" s="175" t="s">
        <v>396</v>
      </c>
      <c r="N88" s="175" t="s">
        <v>517</v>
      </c>
      <c r="O88" s="175" t="s">
        <v>3310</v>
      </c>
      <c r="P88" s="26" t="str">
        <f>_xlfn.DISPIMG("ID_354EF343CD5243F482E0D228CE19598F",1)</f>
        <v>=DISPIMG("ID_354EF343CD5243F482E0D228CE19598F",1)</v>
      </c>
      <c r="Q88" s="25" t="s">
        <v>3311</v>
      </c>
      <c r="R88" s="25">
        <v>415</v>
      </c>
      <c r="S88" s="40" t="s">
        <v>4399</v>
      </c>
      <c r="T88" s="18" t="s">
        <v>39</v>
      </c>
      <c r="U88" s="25">
        <v>26</v>
      </c>
      <c r="V88" s="84"/>
    </row>
    <row r="89" s="4" customFormat="1" customHeight="1" spans="1:22">
      <c r="A89" s="84">
        <v>20</v>
      </c>
      <c r="B89" s="175" t="s">
        <v>3143</v>
      </c>
      <c r="C89" s="175" t="s">
        <v>165</v>
      </c>
      <c r="D89" s="175" t="s">
        <v>3144</v>
      </c>
      <c r="E89" s="25">
        <v>18046721566</v>
      </c>
      <c r="F89" s="175" t="s">
        <v>278</v>
      </c>
      <c r="G89" s="175" t="s">
        <v>28</v>
      </c>
      <c r="H89" s="25">
        <v>202103001</v>
      </c>
      <c r="I89" s="175" t="s">
        <v>279</v>
      </c>
      <c r="J89" s="175" t="s">
        <v>367</v>
      </c>
      <c r="K89" s="175" t="s">
        <v>169</v>
      </c>
      <c r="L89" s="175" t="s">
        <v>170</v>
      </c>
      <c r="M89" s="175" t="s">
        <v>2685</v>
      </c>
      <c r="N89" s="175" t="s">
        <v>3146</v>
      </c>
      <c r="O89" s="175" t="s">
        <v>3147</v>
      </c>
      <c r="P89" s="26" t="str">
        <f>_xlfn.DISPIMG("ID_A94A4E6038894CA88A82184D1877D675",1)</f>
        <v>=DISPIMG("ID_A94A4E6038894CA88A82184D1877D675",1)</v>
      </c>
      <c r="Q89" s="25" t="s">
        <v>3148</v>
      </c>
      <c r="R89" s="25">
        <v>389</v>
      </c>
      <c r="S89" s="40" t="s">
        <v>4394</v>
      </c>
      <c r="T89" s="18" t="s">
        <v>39</v>
      </c>
      <c r="U89" s="25">
        <v>27</v>
      </c>
      <c r="V89" s="84"/>
    </row>
    <row r="90" s="3" customFormat="1" customHeight="1" spans="1:22">
      <c r="A90" s="84">
        <v>15</v>
      </c>
      <c r="B90" s="175" t="s">
        <v>2862</v>
      </c>
      <c r="C90" s="175" t="s">
        <v>165</v>
      </c>
      <c r="D90" s="175" t="s">
        <v>2863</v>
      </c>
      <c r="E90" s="25">
        <v>16623154389</v>
      </c>
      <c r="F90" s="175" t="s">
        <v>278</v>
      </c>
      <c r="G90" s="175" t="s">
        <v>28</v>
      </c>
      <c r="H90" s="25">
        <v>202103001</v>
      </c>
      <c r="I90" s="175" t="s">
        <v>585</v>
      </c>
      <c r="J90" s="175" t="s">
        <v>2865</v>
      </c>
      <c r="K90" s="175" t="s">
        <v>280</v>
      </c>
      <c r="L90" s="175" t="s">
        <v>170</v>
      </c>
      <c r="M90" s="175" t="s">
        <v>577</v>
      </c>
      <c r="N90" s="175" t="s">
        <v>2866</v>
      </c>
      <c r="O90" s="175" t="s">
        <v>2867</v>
      </c>
      <c r="P90" s="26" t="str">
        <f>_xlfn.DISPIMG("ID_2A4EA762BC734560A58995F31757BD03",1)</f>
        <v>=DISPIMG("ID_2A4EA762BC734560A58995F31757BD03",1)</v>
      </c>
      <c r="Q90" s="25" t="s">
        <v>2868</v>
      </c>
      <c r="R90" s="25">
        <v>348</v>
      </c>
      <c r="S90" s="40" t="s">
        <v>4389</v>
      </c>
      <c r="T90" s="18" t="s">
        <v>39</v>
      </c>
      <c r="U90" s="25">
        <v>28</v>
      </c>
      <c r="V90" s="84"/>
    </row>
    <row r="91" s="3" customFormat="1" customHeight="1" spans="1:22">
      <c r="A91" s="84">
        <v>10</v>
      </c>
      <c r="B91" s="175" t="s">
        <v>2739</v>
      </c>
      <c r="C91" s="175" t="s">
        <v>165</v>
      </c>
      <c r="D91" s="175" t="s">
        <v>2740</v>
      </c>
      <c r="E91" s="25">
        <v>15180645133</v>
      </c>
      <c r="F91" s="175" t="s">
        <v>278</v>
      </c>
      <c r="G91" s="175" t="s">
        <v>28</v>
      </c>
      <c r="H91" s="25">
        <v>202103001</v>
      </c>
      <c r="I91" s="175" t="s">
        <v>279</v>
      </c>
      <c r="J91" s="175" t="s">
        <v>2741</v>
      </c>
      <c r="K91" s="175" t="s">
        <v>2742</v>
      </c>
      <c r="L91" s="175" t="s">
        <v>160</v>
      </c>
      <c r="M91" s="175" t="s">
        <v>577</v>
      </c>
      <c r="N91" s="175" t="s">
        <v>28</v>
      </c>
      <c r="O91" s="25">
        <v>0</v>
      </c>
      <c r="P91" s="26" t="str">
        <f>_xlfn.DISPIMG("ID_DBC66D2ED4394B2EABDB1526C646D9F0",1)</f>
        <v>=DISPIMG("ID_DBC66D2ED4394B2EABDB1526C646D9F0",1)</v>
      </c>
      <c r="Q91" s="25" t="s">
        <v>2743</v>
      </c>
      <c r="R91" s="25">
        <v>331</v>
      </c>
      <c r="S91" s="40" t="s">
        <v>4384</v>
      </c>
      <c r="T91" s="18" t="s">
        <v>39</v>
      </c>
      <c r="U91" s="25">
        <v>29</v>
      </c>
      <c r="V91" s="84"/>
    </row>
    <row r="92" s="4" customFormat="1" customHeight="1" spans="1:22">
      <c r="A92" s="84">
        <v>5</v>
      </c>
      <c r="B92" s="175" t="s">
        <v>2509</v>
      </c>
      <c r="C92" s="175" t="s">
        <v>165</v>
      </c>
      <c r="D92" s="175" t="s">
        <v>2510</v>
      </c>
      <c r="E92" s="25">
        <v>15170261589</v>
      </c>
      <c r="F92" s="175" t="s">
        <v>278</v>
      </c>
      <c r="G92" s="175" t="s">
        <v>28</v>
      </c>
      <c r="H92" s="25">
        <v>202103001</v>
      </c>
      <c r="I92" s="175" t="s">
        <v>279</v>
      </c>
      <c r="J92" s="175" t="s">
        <v>168</v>
      </c>
      <c r="K92" s="175" t="s">
        <v>280</v>
      </c>
      <c r="L92" s="175" t="s">
        <v>170</v>
      </c>
      <c r="M92" s="175" t="s">
        <v>171</v>
      </c>
      <c r="N92" s="175" t="s">
        <v>28</v>
      </c>
      <c r="O92" s="175" t="s">
        <v>2512</v>
      </c>
      <c r="P92" s="26" t="str">
        <f>_xlfn.DISPIMG("ID_7074182E322C4D868E189D169988DEEF",1)</f>
        <v>=DISPIMG("ID_7074182E322C4D868E189D169988DEEF",1)</v>
      </c>
      <c r="Q92" s="25" t="s">
        <v>2513</v>
      </c>
      <c r="R92" s="25">
        <v>300</v>
      </c>
      <c r="S92" s="40" t="s">
        <v>4379</v>
      </c>
      <c r="T92" s="18" t="s">
        <v>39</v>
      </c>
      <c r="U92" s="25">
        <v>30</v>
      </c>
      <c r="V92" s="84"/>
    </row>
    <row r="93" s="3" customFormat="1" customHeight="1" spans="1:22">
      <c r="A93" s="84">
        <v>9</v>
      </c>
      <c r="B93" s="175" t="s">
        <v>4259</v>
      </c>
      <c r="C93" s="175" t="s">
        <v>165</v>
      </c>
      <c r="D93" s="175" t="s">
        <v>4260</v>
      </c>
      <c r="E93" s="25">
        <v>15270817874</v>
      </c>
      <c r="F93" s="175" t="s">
        <v>278</v>
      </c>
      <c r="G93" s="175" t="s">
        <v>28</v>
      </c>
      <c r="H93" s="25">
        <v>202103001</v>
      </c>
      <c r="I93" s="175" t="s">
        <v>279</v>
      </c>
      <c r="J93" s="175" t="s">
        <v>339</v>
      </c>
      <c r="K93" s="175" t="s">
        <v>280</v>
      </c>
      <c r="L93" s="175" t="s">
        <v>170</v>
      </c>
      <c r="M93" s="175" t="s">
        <v>368</v>
      </c>
      <c r="N93" s="175" t="s">
        <v>4262</v>
      </c>
      <c r="O93" s="175" t="s">
        <v>4263</v>
      </c>
      <c r="P93" s="26" t="str">
        <f>_xlfn.DISPIMG("ID_7ED866D6DEDB4511B970FE38712BEDF5",1)</f>
        <v>=DISPIMG("ID_7ED866D6DEDB4511B970FE38712BEDF5",1)</v>
      </c>
      <c r="Q93" s="25" t="s">
        <v>4264</v>
      </c>
      <c r="R93" s="25">
        <v>545</v>
      </c>
      <c r="S93" s="40" t="s">
        <v>4421</v>
      </c>
      <c r="T93" s="18" t="s">
        <v>40</v>
      </c>
      <c r="U93" s="25">
        <v>1</v>
      </c>
      <c r="V93" s="84"/>
    </row>
    <row r="94" s="3" customFormat="1" customHeight="1" spans="1:22">
      <c r="A94" s="84">
        <v>8</v>
      </c>
      <c r="B94" s="175" t="s">
        <v>4237</v>
      </c>
      <c r="C94" s="175" t="s">
        <v>165</v>
      </c>
      <c r="D94" s="175" t="s">
        <v>4238</v>
      </c>
      <c r="E94" s="25">
        <v>15170274665</v>
      </c>
      <c r="F94" s="175" t="s">
        <v>278</v>
      </c>
      <c r="G94" s="175" t="s">
        <v>28</v>
      </c>
      <c r="H94" s="25">
        <v>202103001</v>
      </c>
      <c r="I94" s="175" t="s">
        <v>585</v>
      </c>
      <c r="J94" s="175" t="s">
        <v>367</v>
      </c>
      <c r="K94" s="175" t="s">
        <v>280</v>
      </c>
      <c r="L94" s="175" t="s">
        <v>170</v>
      </c>
      <c r="M94" s="175" t="s">
        <v>368</v>
      </c>
      <c r="N94" s="175" t="s">
        <v>376</v>
      </c>
      <c r="O94" s="175" t="s">
        <v>4240</v>
      </c>
      <c r="P94" s="26" t="str">
        <f>_xlfn.DISPIMG("ID_7116E6EB313E4CDBB6AEC2C13A4D6810",1)</f>
        <v>=DISPIMG("ID_7116E6EB313E4CDBB6AEC2C13A4D6810",1)</v>
      </c>
      <c r="Q94" s="25" t="s">
        <v>4241</v>
      </c>
      <c r="R94" s="25">
        <v>542</v>
      </c>
      <c r="S94" s="40" t="s">
        <v>4419</v>
      </c>
      <c r="T94" s="18" t="s">
        <v>40</v>
      </c>
      <c r="U94" s="25">
        <v>2</v>
      </c>
      <c r="V94" s="84"/>
    </row>
    <row r="95" s="3" customFormat="1" customHeight="1" spans="1:22">
      <c r="A95" s="84">
        <v>7</v>
      </c>
      <c r="B95" s="175" t="s">
        <v>3720</v>
      </c>
      <c r="C95" s="175" t="s">
        <v>165</v>
      </c>
      <c r="D95" s="175" t="s">
        <v>3721</v>
      </c>
      <c r="E95" s="25">
        <v>15970603423</v>
      </c>
      <c r="F95" s="175" t="s">
        <v>278</v>
      </c>
      <c r="G95" s="175" t="s">
        <v>28</v>
      </c>
      <c r="H95" s="25">
        <v>202103001</v>
      </c>
      <c r="I95" s="175" t="s">
        <v>157</v>
      </c>
      <c r="J95" s="175" t="s">
        <v>178</v>
      </c>
      <c r="K95" s="175" t="s">
        <v>960</v>
      </c>
      <c r="L95" s="175" t="s">
        <v>170</v>
      </c>
      <c r="M95" s="175" t="s">
        <v>180</v>
      </c>
      <c r="N95" s="175" t="s">
        <v>340</v>
      </c>
      <c r="O95" s="175" t="s">
        <v>3723</v>
      </c>
      <c r="P95" s="26" t="str">
        <f>_xlfn.DISPIMG("ID_38A4C94876C044A5A6F3E884E1CD36B4",1)</f>
        <v>=DISPIMG("ID_38A4C94876C044A5A6F3E884E1CD36B4",1)</v>
      </c>
      <c r="Q95" s="25" t="s">
        <v>3724</v>
      </c>
      <c r="R95" s="25">
        <v>474</v>
      </c>
      <c r="S95" s="40" t="s">
        <v>4418</v>
      </c>
      <c r="T95" s="18" t="s">
        <v>40</v>
      </c>
      <c r="U95" s="25">
        <v>3</v>
      </c>
      <c r="V95" s="84"/>
    </row>
    <row r="96" s="3" customFormat="1" customHeight="1" spans="1:22">
      <c r="A96" s="84">
        <v>5</v>
      </c>
      <c r="B96" s="175" t="s">
        <v>3676</v>
      </c>
      <c r="C96" s="175" t="s">
        <v>165</v>
      </c>
      <c r="D96" s="175" t="s">
        <v>3677</v>
      </c>
      <c r="E96" s="25">
        <v>18296221374</v>
      </c>
      <c r="F96" s="175" t="s">
        <v>278</v>
      </c>
      <c r="G96" s="175" t="s">
        <v>28</v>
      </c>
      <c r="H96" s="25">
        <v>202103001</v>
      </c>
      <c r="I96" s="175" t="s">
        <v>585</v>
      </c>
      <c r="J96" s="175" t="s">
        <v>3679</v>
      </c>
      <c r="K96" s="175" t="s">
        <v>586</v>
      </c>
      <c r="L96" s="175" t="s">
        <v>170</v>
      </c>
      <c r="M96" s="175" t="s">
        <v>1089</v>
      </c>
      <c r="N96" s="175" t="s">
        <v>3680</v>
      </c>
      <c r="O96" s="175" t="s">
        <v>3681</v>
      </c>
      <c r="P96" s="26" t="str">
        <f>_xlfn.DISPIMG("ID_B6A72806890947DEB45EA914FD393A84",1)</f>
        <v>=DISPIMG("ID_B6A72806890947DEB45EA914FD393A84",1)</v>
      </c>
      <c r="Q96" s="25" t="s">
        <v>3682</v>
      </c>
      <c r="R96" s="25">
        <v>468</v>
      </c>
      <c r="S96" s="40" t="s">
        <v>4415</v>
      </c>
      <c r="T96" s="18" t="s">
        <v>40</v>
      </c>
      <c r="U96" s="25">
        <v>4</v>
      </c>
      <c r="V96" s="84"/>
    </row>
    <row r="97" s="3" customFormat="1" customHeight="1" spans="1:22">
      <c r="A97" s="84">
        <v>3</v>
      </c>
      <c r="B97" s="175" t="s">
        <v>3488</v>
      </c>
      <c r="C97" s="175" t="s">
        <v>165</v>
      </c>
      <c r="D97" s="175" t="s">
        <v>3489</v>
      </c>
      <c r="E97" s="25">
        <v>13755200519</v>
      </c>
      <c r="F97" s="175" t="s">
        <v>278</v>
      </c>
      <c r="G97" s="175" t="s">
        <v>28</v>
      </c>
      <c r="H97" s="25">
        <v>202103001</v>
      </c>
      <c r="I97" s="175" t="s">
        <v>279</v>
      </c>
      <c r="J97" s="175" t="s">
        <v>3490</v>
      </c>
      <c r="K97" s="175" t="s">
        <v>404</v>
      </c>
      <c r="L97" s="175" t="s">
        <v>160</v>
      </c>
      <c r="M97" s="175" t="s">
        <v>1346</v>
      </c>
      <c r="N97" s="175" t="s">
        <v>517</v>
      </c>
      <c r="O97" s="175" t="s">
        <v>3491</v>
      </c>
      <c r="P97" s="26" t="str">
        <f>_xlfn.DISPIMG("ID_6A8C51914B494C9CBD5F245F39A2E519",1)</f>
        <v>=DISPIMG("ID_6A8C51914B494C9CBD5F245F39A2E519",1)</v>
      </c>
      <c r="Q97" s="25" t="s">
        <v>3492</v>
      </c>
      <c r="R97" s="25">
        <v>441</v>
      </c>
      <c r="S97" s="40" t="s">
        <v>4411</v>
      </c>
      <c r="T97" s="18" t="s">
        <v>40</v>
      </c>
      <c r="U97" s="25">
        <v>5</v>
      </c>
      <c r="V97" s="84"/>
    </row>
    <row r="98" s="3" customFormat="1" customHeight="1" spans="1:22">
      <c r="A98" s="84">
        <v>1</v>
      </c>
      <c r="B98" s="175" t="s">
        <v>3429</v>
      </c>
      <c r="C98" s="175" t="s">
        <v>165</v>
      </c>
      <c r="D98" s="175" t="s">
        <v>3430</v>
      </c>
      <c r="E98" s="25">
        <v>18279285118</v>
      </c>
      <c r="F98" s="175" t="s">
        <v>278</v>
      </c>
      <c r="G98" s="175" t="s">
        <v>28</v>
      </c>
      <c r="H98" s="25">
        <v>202103001</v>
      </c>
      <c r="I98" s="175" t="s">
        <v>585</v>
      </c>
      <c r="J98" s="175" t="s">
        <v>3018</v>
      </c>
      <c r="K98" s="175" t="s">
        <v>586</v>
      </c>
      <c r="L98" s="175" t="s">
        <v>170</v>
      </c>
      <c r="M98" s="175" t="s">
        <v>3431</v>
      </c>
      <c r="N98" s="175" t="s">
        <v>586</v>
      </c>
      <c r="O98" s="175" t="s">
        <v>3432</v>
      </c>
      <c r="P98" s="26" t="str">
        <f>_xlfn.DISPIMG("ID_E1216B8DC47A44DFAB6AC1BAFDBCD62B",1)</f>
        <v>=DISPIMG("ID_E1216B8DC47A44DFAB6AC1BAFDBCD62B",1)</v>
      </c>
      <c r="Q98" s="25" t="s">
        <v>3433</v>
      </c>
      <c r="R98" s="25">
        <v>433</v>
      </c>
      <c r="S98" s="40" t="s">
        <v>4405</v>
      </c>
      <c r="T98" s="18" t="s">
        <v>40</v>
      </c>
      <c r="U98" s="25">
        <v>6</v>
      </c>
      <c r="V98" s="84"/>
    </row>
    <row r="99" s="3" customFormat="1" customHeight="1" spans="1:22">
      <c r="A99" s="84">
        <v>2</v>
      </c>
      <c r="B99" s="175" t="s">
        <v>3443</v>
      </c>
      <c r="C99" s="175" t="s">
        <v>165</v>
      </c>
      <c r="D99" s="175" t="s">
        <v>3444</v>
      </c>
      <c r="E99" s="25">
        <v>18607912074</v>
      </c>
      <c r="F99" s="175" t="s">
        <v>278</v>
      </c>
      <c r="G99" s="175" t="s">
        <v>28</v>
      </c>
      <c r="H99" s="25">
        <v>202103001</v>
      </c>
      <c r="I99" s="175" t="s">
        <v>279</v>
      </c>
      <c r="J99" s="175" t="s">
        <v>515</v>
      </c>
      <c r="K99" s="175" t="s">
        <v>280</v>
      </c>
      <c r="L99" s="175" t="s">
        <v>170</v>
      </c>
      <c r="M99" s="175" t="s">
        <v>224</v>
      </c>
      <c r="N99" s="175" t="s">
        <v>517</v>
      </c>
      <c r="O99" s="175" t="s">
        <v>3446</v>
      </c>
      <c r="P99" s="26" t="str">
        <f>_xlfn.DISPIMG("ID_BD52B8A2C60C41F6B5F6C165401F5CB1",1)</f>
        <v>=DISPIMG("ID_BD52B8A2C60C41F6B5F6C165401F5CB1",1)</v>
      </c>
      <c r="Q99" s="25" t="s">
        <v>3447</v>
      </c>
      <c r="R99" s="25">
        <v>435</v>
      </c>
      <c r="S99" s="40" t="s">
        <v>4406</v>
      </c>
      <c r="T99" s="18" t="s">
        <v>40</v>
      </c>
      <c r="U99" s="25">
        <v>7</v>
      </c>
      <c r="V99" s="84"/>
    </row>
    <row r="100" s="3" customFormat="1" customHeight="1" spans="1:22">
      <c r="A100" s="84">
        <v>4</v>
      </c>
      <c r="B100" s="175" t="s">
        <v>3608</v>
      </c>
      <c r="C100" s="175" t="s">
        <v>165</v>
      </c>
      <c r="D100" s="175" t="s">
        <v>3609</v>
      </c>
      <c r="E100" s="25">
        <v>18279283769</v>
      </c>
      <c r="F100" s="175" t="s">
        <v>278</v>
      </c>
      <c r="G100" s="175" t="s">
        <v>28</v>
      </c>
      <c r="H100" s="25">
        <v>202103001</v>
      </c>
      <c r="I100" s="175" t="s">
        <v>585</v>
      </c>
      <c r="J100" s="175" t="s">
        <v>3174</v>
      </c>
      <c r="K100" s="175" t="s">
        <v>280</v>
      </c>
      <c r="L100" s="175" t="s">
        <v>170</v>
      </c>
      <c r="M100" s="175" t="s">
        <v>3039</v>
      </c>
      <c r="N100" s="175" t="s">
        <v>2686</v>
      </c>
      <c r="O100" s="175" t="s">
        <v>3611</v>
      </c>
      <c r="P100" s="26" t="str">
        <f>_xlfn.DISPIMG("ID_39BF594A37E3442B8E4FFF60E8863D45",1)</f>
        <v>=DISPIMG("ID_39BF594A37E3442B8E4FFF60E8863D45",1)</v>
      </c>
      <c r="Q100" s="25" t="s">
        <v>3612</v>
      </c>
      <c r="R100" s="25">
        <v>459</v>
      </c>
      <c r="S100" s="40" t="s">
        <v>4412</v>
      </c>
      <c r="T100" s="18" t="s">
        <v>40</v>
      </c>
      <c r="U100" s="25">
        <v>8</v>
      </c>
      <c r="V100" s="84"/>
    </row>
    <row r="101" s="3" customFormat="1" customHeight="1" spans="1:22">
      <c r="A101" s="84">
        <v>6</v>
      </c>
      <c r="B101" s="175" t="s">
        <v>3712</v>
      </c>
      <c r="C101" s="175" t="s">
        <v>165</v>
      </c>
      <c r="D101" s="175" t="s">
        <v>3713</v>
      </c>
      <c r="E101" s="25">
        <v>18720196269</v>
      </c>
      <c r="F101" s="175" t="s">
        <v>278</v>
      </c>
      <c r="G101" s="175" t="s">
        <v>28</v>
      </c>
      <c r="H101" s="25">
        <v>202103001</v>
      </c>
      <c r="I101" s="175" t="s">
        <v>585</v>
      </c>
      <c r="J101" s="175" t="s">
        <v>367</v>
      </c>
      <c r="K101" s="175" t="s">
        <v>2686</v>
      </c>
      <c r="L101" s="175" t="s">
        <v>160</v>
      </c>
      <c r="M101" s="175" t="s">
        <v>3039</v>
      </c>
      <c r="N101" s="175" t="s">
        <v>3715</v>
      </c>
      <c r="O101" s="175" t="s">
        <v>3716</v>
      </c>
      <c r="P101" s="26" t="str">
        <f>_xlfn.DISPIMG("ID_059DAEED1F3E457C93C0A1610046F2A5",1)</f>
        <v>=DISPIMG("ID_059DAEED1F3E457C93C0A1610046F2A5",1)</v>
      </c>
      <c r="Q101" s="25" t="s">
        <v>3717</v>
      </c>
      <c r="R101" s="25">
        <v>473</v>
      </c>
      <c r="S101" s="40" t="s">
        <v>4416</v>
      </c>
      <c r="T101" s="18" t="s">
        <v>40</v>
      </c>
      <c r="U101" s="25">
        <v>9</v>
      </c>
      <c r="V101" s="84"/>
    </row>
    <row r="102" s="3" customFormat="1" customHeight="1" spans="1:22">
      <c r="A102" s="84">
        <v>10</v>
      </c>
      <c r="B102" s="175" t="s">
        <v>175</v>
      </c>
      <c r="C102" s="175" t="s">
        <v>165</v>
      </c>
      <c r="D102" s="175" t="s">
        <v>176</v>
      </c>
      <c r="E102" s="25">
        <v>18046603817</v>
      </c>
      <c r="F102" s="175" t="s">
        <v>156</v>
      </c>
      <c r="G102" s="175" t="s">
        <v>14</v>
      </c>
      <c r="H102" s="25">
        <v>202102001</v>
      </c>
      <c r="I102" s="175" t="s">
        <v>157</v>
      </c>
      <c r="J102" s="175" t="s">
        <v>178</v>
      </c>
      <c r="K102" s="175" t="s">
        <v>179</v>
      </c>
      <c r="L102" s="175" t="s">
        <v>170</v>
      </c>
      <c r="M102" s="175" t="s">
        <v>180</v>
      </c>
      <c r="N102" s="175" t="s">
        <v>14</v>
      </c>
      <c r="O102" s="25">
        <v>0</v>
      </c>
      <c r="P102" s="26" t="str">
        <f>_xlfn.DISPIMG("ID_BD43028E6BB24443B06241FE37DC179A",1)</f>
        <v>=DISPIMG("ID_BD43028E6BB24443B06241FE37DC179A",1)</v>
      </c>
      <c r="Q102" s="25" t="s">
        <v>181</v>
      </c>
      <c r="R102" s="25">
        <v>4</v>
      </c>
      <c r="S102" s="40" t="s">
        <v>4422</v>
      </c>
      <c r="T102" s="18" t="s">
        <v>40</v>
      </c>
      <c r="U102" s="25">
        <v>10</v>
      </c>
      <c r="V102" s="84"/>
    </row>
    <row r="103" s="3" customFormat="1" customHeight="1" spans="1:22">
      <c r="A103" s="84">
        <v>11</v>
      </c>
      <c r="B103" s="175" t="s">
        <v>345</v>
      </c>
      <c r="C103" s="175" t="s">
        <v>165</v>
      </c>
      <c r="D103" s="175" t="s">
        <v>346</v>
      </c>
      <c r="E103" s="25">
        <v>15179246525</v>
      </c>
      <c r="F103" s="175" t="s">
        <v>156</v>
      </c>
      <c r="G103" s="175" t="s">
        <v>14</v>
      </c>
      <c r="H103" s="25">
        <v>202102001</v>
      </c>
      <c r="I103" s="175" t="s">
        <v>279</v>
      </c>
      <c r="J103" s="175" t="s">
        <v>158</v>
      </c>
      <c r="K103" s="175" t="s">
        <v>348</v>
      </c>
      <c r="L103" s="175" t="s">
        <v>170</v>
      </c>
      <c r="M103" s="175" t="s">
        <v>349</v>
      </c>
      <c r="N103" s="175" t="s">
        <v>350</v>
      </c>
      <c r="O103" s="175" t="s">
        <v>351</v>
      </c>
      <c r="P103" s="26" t="str">
        <f>_xlfn.DISPIMG("ID_0FE66397D3464536A23D26C93FD62495",1)</f>
        <v>=DISPIMG("ID_0FE66397D3464536A23D26C93FD62495",1)</v>
      </c>
      <c r="Q103" s="25" t="s">
        <v>352</v>
      </c>
      <c r="R103" s="25">
        <v>23</v>
      </c>
      <c r="S103" s="40" t="s">
        <v>4424</v>
      </c>
      <c r="T103" s="18" t="s">
        <v>40</v>
      </c>
      <c r="U103" s="25">
        <v>11</v>
      </c>
      <c r="V103" s="84"/>
    </row>
    <row r="104" s="3" customFormat="1" customHeight="1" spans="1:22">
      <c r="A104" s="84">
        <v>13</v>
      </c>
      <c r="B104" s="175" t="s">
        <v>451</v>
      </c>
      <c r="C104" s="175" t="s">
        <v>165</v>
      </c>
      <c r="D104" s="175" t="s">
        <v>452</v>
      </c>
      <c r="E104" s="25">
        <v>15870856801</v>
      </c>
      <c r="F104" s="175" t="s">
        <v>156</v>
      </c>
      <c r="G104" s="175" t="s">
        <v>14</v>
      </c>
      <c r="H104" s="25">
        <v>202102001</v>
      </c>
      <c r="I104" s="175" t="s">
        <v>157</v>
      </c>
      <c r="J104" s="175" t="s">
        <v>158</v>
      </c>
      <c r="K104" s="175" t="s">
        <v>454</v>
      </c>
      <c r="L104" s="175" t="s">
        <v>170</v>
      </c>
      <c r="M104" s="175" t="s">
        <v>455</v>
      </c>
      <c r="N104" s="175" t="s">
        <v>14</v>
      </c>
      <c r="O104" s="25">
        <v>0</v>
      </c>
      <c r="P104" s="26" t="str">
        <f>_xlfn.DISPIMG("ID_B55181394FEF4B858E10F092AB43BFBB",1)</f>
        <v>=DISPIMG("ID_B55181394FEF4B858E10F092AB43BFBB",1)</v>
      </c>
      <c r="Q104" s="25" t="s">
        <v>456</v>
      </c>
      <c r="R104" s="25">
        <v>35</v>
      </c>
      <c r="S104" s="40" t="s">
        <v>4407</v>
      </c>
      <c r="T104" s="18" t="s">
        <v>40</v>
      </c>
      <c r="U104" s="25">
        <v>12</v>
      </c>
      <c r="V104" s="84"/>
    </row>
    <row r="105" s="3" customFormat="1" customHeight="1" spans="1:22">
      <c r="A105" s="84">
        <v>14</v>
      </c>
      <c r="B105" s="175" t="s">
        <v>529</v>
      </c>
      <c r="C105" s="175" t="s">
        <v>165</v>
      </c>
      <c r="D105" s="175" t="s">
        <v>530</v>
      </c>
      <c r="E105" s="25">
        <v>13870852168</v>
      </c>
      <c r="F105" s="175" t="s">
        <v>156</v>
      </c>
      <c r="G105" s="175" t="s">
        <v>14</v>
      </c>
      <c r="H105" s="25">
        <v>202102001</v>
      </c>
      <c r="I105" s="175" t="s">
        <v>157</v>
      </c>
      <c r="J105" s="175" t="s">
        <v>532</v>
      </c>
      <c r="K105" s="175" t="s">
        <v>533</v>
      </c>
      <c r="L105" s="175" t="s">
        <v>160</v>
      </c>
      <c r="M105" s="175" t="s">
        <v>516</v>
      </c>
      <c r="N105" s="175" t="s">
        <v>14</v>
      </c>
      <c r="O105" s="25">
        <v>0</v>
      </c>
      <c r="P105" s="26" t="str">
        <f>_xlfn.DISPIMG("ID_DE54808A64424090BF3B2071C574D915",1)</f>
        <v>=DISPIMG("ID_DE54808A64424090BF3B2071C574D915",1)</v>
      </c>
      <c r="Q105" s="25" t="s">
        <v>534</v>
      </c>
      <c r="R105" s="25">
        <v>45</v>
      </c>
      <c r="S105" s="40" t="s">
        <v>4408</v>
      </c>
      <c r="T105" s="18" t="s">
        <v>40</v>
      </c>
      <c r="U105" s="25">
        <v>13</v>
      </c>
      <c r="V105" s="84"/>
    </row>
    <row r="106" s="3" customFormat="1" customHeight="1" spans="1:22">
      <c r="A106" s="84">
        <v>12</v>
      </c>
      <c r="B106" s="175" t="s">
        <v>364</v>
      </c>
      <c r="C106" s="175" t="s">
        <v>153</v>
      </c>
      <c r="D106" s="175" t="s">
        <v>365</v>
      </c>
      <c r="E106" s="25">
        <v>15879225309</v>
      </c>
      <c r="F106" s="175" t="s">
        <v>156</v>
      </c>
      <c r="G106" s="175" t="s">
        <v>14</v>
      </c>
      <c r="H106" s="25">
        <v>202102001</v>
      </c>
      <c r="I106" s="175" t="s">
        <v>157</v>
      </c>
      <c r="J106" s="175" t="s">
        <v>367</v>
      </c>
      <c r="K106" s="175" t="s">
        <v>348</v>
      </c>
      <c r="L106" s="175" t="s">
        <v>170</v>
      </c>
      <c r="M106" s="175" t="s">
        <v>368</v>
      </c>
      <c r="N106" s="175" t="s">
        <v>14</v>
      </c>
      <c r="O106" s="175" t="s">
        <v>369</v>
      </c>
      <c r="P106" s="26" t="str">
        <f>_xlfn.DISPIMG("ID_08B1C5991BF641D590EC606BAB378CA1",1)</f>
        <v>=DISPIMG("ID_08B1C5991BF641D590EC606BAB378CA1",1)</v>
      </c>
      <c r="Q106" s="25" t="s">
        <v>370</v>
      </c>
      <c r="R106" s="25">
        <v>25</v>
      </c>
      <c r="S106" s="40" t="s">
        <v>4425</v>
      </c>
      <c r="T106" s="18" t="s">
        <v>40</v>
      </c>
      <c r="U106" s="25">
        <v>14</v>
      </c>
      <c r="V106" s="84"/>
    </row>
    <row r="107" s="3" customFormat="1" customHeight="1" spans="1:22">
      <c r="A107" s="84"/>
      <c r="B107" s="25"/>
      <c r="C107" s="25"/>
      <c r="D107" s="25"/>
      <c r="E107" s="25"/>
      <c r="F107" s="25"/>
      <c r="G107" s="25"/>
      <c r="H107" s="25"/>
      <c r="I107" s="25"/>
      <c r="J107" s="25"/>
      <c r="K107" s="25"/>
      <c r="L107" s="25"/>
      <c r="M107" s="25"/>
      <c r="N107" s="25"/>
      <c r="O107" s="25"/>
      <c r="P107" s="26"/>
      <c r="Q107" s="25"/>
      <c r="R107" s="25"/>
      <c r="S107" s="40"/>
      <c r="T107" s="18"/>
      <c r="U107" s="25"/>
      <c r="V107" s="84"/>
    </row>
    <row r="108" s="3" customFormat="1" customHeight="1" spans="1:22">
      <c r="A108" s="84"/>
      <c r="B108" s="25"/>
      <c r="C108" s="25"/>
      <c r="D108" s="25"/>
      <c r="E108" s="25"/>
      <c r="F108" s="25"/>
      <c r="G108" s="25"/>
      <c r="H108" s="25"/>
      <c r="I108" s="25"/>
      <c r="J108" s="25"/>
      <c r="K108" s="25"/>
      <c r="L108" s="25"/>
      <c r="M108" s="25"/>
      <c r="N108" s="25"/>
      <c r="O108" s="25"/>
      <c r="P108" s="26"/>
      <c r="Q108" s="25"/>
      <c r="R108" s="25"/>
      <c r="S108" s="40"/>
      <c r="T108" s="18"/>
      <c r="U108" s="25"/>
      <c r="V108" s="84"/>
    </row>
    <row r="109" s="3" customFormat="1" customHeight="1" spans="1:22">
      <c r="A109" s="84"/>
      <c r="B109" s="25"/>
      <c r="C109" s="25"/>
      <c r="D109" s="25"/>
      <c r="E109" s="25"/>
      <c r="F109" s="25"/>
      <c r="G109" s="25"/>
      <c r="H109" s="25"/>
      <c r="I109" s="25"/>
      <c r="J109" s="25"/>
      <c r="K109" s="25"/>
      <c r="L109" s="25"/>
      <c r="M109" s="25"/>
      <c r="N109" s="25"/>
      <c r="O109" s="25"/>
      <c r="P109" s="26"/>
      <c r="Q109" s="25"/>
      <c r="R109" s="25"/>
      <c r="S109" s="40"/>
      <c r="T109" s="18"/>
      <c r="U109" s="25"/>
      <c r="V109" s="84"/>
    </row>
    <row r="110" s="3" customFormat="1" customHeight="1" spans="1:22">
      <c r="A110" s="84"/>
      <c r="B110" s="25"/>
      <c r="C110" s="25"/>
      <c r="D110" s="25"/>
      <c r="E110" s="25"/>
      <c r="F110" s="25"/>
      <c r="G110" s="25"/>
      <c r="H110" s="25"/>
      <c r="I110" s="25"/>
      <c r="J110" s="25"/>
      <c r="K110" s="25"/>
      <c r="L110" s="25"/>
      <c r="M110" s="25"/>
      <c r="N110" s="25"/>
      <c r="O110" s="25"/>
      <c r="P110" s="26"/>
      <c r="Q110" s="25"/>
      <c r="R110" s="25"/>
      <c r="S110" s="40"/>
      <c r="T110" s="18"/>
      <c r="U110" s="25"/>
      <c r="V110" s="84"/>
    </row>
    <row r="111" s="3" customFormat="1" customHeight="1" spans="1:22">
      <c r="A111" s="84"/>
      <c r="B111" s="25"/>
      <c r="C111" s="25"/>
      <c r="D111" s="25"/>
      <c r="E111" s="25"/>
      <c r="F111" s="25"/>
      <c r="G111" s="25"/>
      <c r="H111" s="25"/>
      <c r="I111" s="25"/>
      <c r="J111" s="25"/>
      <c r="K111" s="25"/>
      <c r="L111" s="25"/>
      <c r="M111" s="25"/>
      <c r="N111" s="25"/>
      <c r="O111" s="25"/>
      <c r="P111" s="26"/>
      <c r="Q111" s="25"/>
      <c r="R111" s="25"/>
      <c r="S111" s="40"/>
      <c r="T111" s="18"/>
      <c r="U111" s="25"/>
      <c r="V111" s="84"/>
    </row>
    <row r="112" s="3" customFormat="1" customHeight="1" spans="1:22">
      <c r="A112" s="84"/>
      <c r="B112" s="25"/>
      <c r="C112" s="25"/>
      <c r="D112" s="25"/>
      <c r="E112" s="25"/>
      <c r="F112" s="25"/>
      <c r="G112" s="25"/>
      <c r="H112" s="25"/>
      <c r="I112" s="25"/>
      <c r="J112" s="25"/>
      <c r="K112" s="25"/>
      <c r="L112" s="25"/>
      <c r="M112" s="25"/>
      <c r="N112" s="25"/>
      <c r="O112" s="25"/>
      <c r="P112" s="26"/>
      <c r="Q112" s="25"/>
      <c r="R112" s="25"/>
      <c r="S112" s="40"/>
      <c r="T112" s="18"/>
      <c r="U112" s="25"/>
      <c r="V112" s="84"/>
    </row>
    <row r="113" s="3" customFormat="1" customHeight="1" spans="1:22">
      <c r="A113" s="84"/>
      <c r="B113" s="25"/>
      <c r="C113" s="25"/>
      <c r="D113" s="25"/>
      <c r="E113" s="25"/>
      <c r="F113" s="25"/>
      <c r="G113" s="25"/>
      <c r="H113" s="25"/>
      <c r="I113" s="25"/>
      <c r="J113" s="25"/>
      <c r="K113" s="25"/>
      <c r="L113" s="25"/>
      <c r="M113" s="25"/>
      <c r="N113" s="25"/>
      <c r="O113" s="25"/>
      <c r="P113" s="26"/>
      <c r="Q113" s="25"/>
      <c r="R113" s="25"/>
      <c r="S113" s="40"/>
      <c r="T113" s="18"/>
      <c r="U113" s="25"/>
      <c r="V113" s="84"/>
    </row>
    <row r="114" s="3" customFormat="1" customHeight="1" spans="1:22">
      <c r="A114" s="84"/>
      <c r="B114" s="25"/>
      <c r="C114" s="25"/>
      <c r="D114" s="25"/>
      <c r="E114" s="25"/>
      <c r="F114" s="25"/>
      <c r="G114" s="25"/>
      <c r="H114" s="25"/>
      <c r="I114" s="25"/>
      <c r="J114" s="25"/>
      <c r="K114" s="25"/>
      <c r="L114" s="25"/>
      <c r="M114" s="25"/>
      <c r="N114" s="25"/>
      <c r="O114" s="25"/>
      <c r="P114" s="26"/>
      <c r="Q114" s="25"/>
      <c r="R114" s="25"/>
      <c r="S114" s="40"/>
      <c r="T114" s="18"/>
      <c r="U114" s="25"/>
      <c r="V114" s="84"/>
    </row>
    <row r="115" s="3" customFormat="1" customHeight="1" spans="1:22">
      <c r="A115" s="84"/>
      <c r="B115" s="25"/>
      <c r="C115" s="25"/>
      <c r="D115" s="25"/>
      <c r="E115" s="25"/>
      <c r="F115" s="25"/>
      <c r="G115" s="25"/>
      <c r="H115" s="25"/>
      <c r="I115" s="25"/>
      <c r="J115" s="25"/>
      <c r="K115" s="25"/>
      <c r="L115" s="25"/>
      <c r="M115" s="25"/>
      <c r="N115" s="25"/>
      <c r="O115" s="25"/>
      <c r="P115" s="26"/>
      <c r="Q115" s="25"/>
      <c r="R115" s="25"/>
      <c r="S115" s="40"/>
      <c r="T115" s="18"/>
      <c r="U115" s="25"/>
      <c r="V115" s="84"/>
    </row>
    <row r="116" s="3" customFormat="1" customHeight="1" spans="1:22">
      <c r="A116" s="84"/>
      <c r="B116" s="25"/>
      <c r="C116" s="25"/>
      <c r="D116" s="25"/>
      <c r="E116" s="25"/>
      <c r="F116" s="25"/>
      <c r="G116" s="25"/>
      <c r="H116" s="25"/>
      <c r="I116" s="25"/>
      <c r="J116" s="25"/>
      <c r="K116" s="25"/>
      <c r="L116" s="25"/>
      <c r="M116" s="25"/>
      <c r="N116" s="25"/>
      <c r="O116" s="25"/>
      <c r="P116" s="26"/>
      <c r="Q116" s="25"/>
      <c r="R116" s="25"/>
      <c r="S116" s="40"/>
      <c r="T116" s="18"/>
      <c r="U116" s="25"/>
      <c r="V116" s="84"/>
    </row>
    <row r="117" s="3" customFormat="1" customHeight="1" spans="1:22">
      <c r="A117" s="84"/>
      <c r="B117" s="25"/>
      <c r="C117" s="25"/>
      <c r="D117" s="25"/>
      <c r="E117" s="25"/>
      <c r="F117" s="25"/>
      <c r="G117" s="25"/>
      <c r="H117" s="25"/>
      <c r="I117" s="25"/>
      <c r="J117" s="25"/>
      <c r="K117" s="25"/>
      <c r="L117" s="25"/>
      <c r="M117" s="25"/>
      <c r="N117" s="25"/>
      <c r="O117" s="25"/>
      <c r="P117" s="26"/>
      <c r="Q117" s="25"/>
      <c r="R117" s="25"/>
      <c r="S117" s="40"/>
      <c r="T117" s="18"/>
      <c r="U117" s="25"/>
      <c r="V117" s="84"/>
    </row>
    <row r="118" s="3" customFormat="1" customHeight="1" spans="1:22">
      <c r="A118" s="84"/>
      <c r="B118" s="25"/>
      <c r="C118" s="25"/>
      <c r="D118" s="25"/>
      <c r="E118" s="25"/>
      <c r="F118" s="25"/>
      <c r="G118" s="25"/>
      <c r="H118" s="25"/>
      <c r="I118" s="25"/>
      <c r="J118" s="25"/>
      <c r="K118" s="25"/>
      <c r="L118" s="25"/>
      <c r="M118" s="25"/>
      <c r="N118" s="25"/>
      <c r="O118" s="25"/>
      <c r="P118" s="26"/>
      <c r="Q118" s="25"/>
      <c r="R118" s="25"/>
      <c r="S118" s="40"/>
      <c r="T118" s="18"/>
      <c r="U118" s="25"/>
      <c r="V118" s="84"/>
    </row>
    <row r="119" s="3" customFormat="1" customHeight="1" spans="1:22">
      <c r="A119" s="84"/>
      <c r="B119" s="25"/>
      <c r="C119" s="25"/>
      <c r="D119" s="25"/>
      <c r="E119" s="25"/>
      <c r="F119" s="25"/>
      <c r="G119" s="25"/>
      <c r="H119" s="25"/>
      <c r="I119" s="25"/>
      <c r="J119" s="25"/>
      <c r="K119" s="25"/>
      <c r="L119" s="25"/>
      <c r="M119" s="25"/>
      <c r="N119" s="25"/>
      <c r="O119" s="25"/>
      <c r="P119" s="26"/>
      <c r="Q119" s="25"/>
      <c r="R119" s="25"/>
      <c r="S119" s="40"/>
      <c r="T119" s="18"/>
      <c r="U119" s="25"/>
      <c r="V119" s="84"/>
    </row>
    <row r="120" s="3" customFormat="1" customHeight="1" spans="1:22">
      <c r="A120" s="84"/>
      <c r="B120" s="25"/>
      <c r="C120" s="25"/>
      <c r="D120" s="25"/>
      <c r="E120" s="25"/>
      <c r="F120" s="25"/>
      <c r="G120" s="25"/>
      <c r="H120" s="25"/>
      <c r="I120" s="25"/>
      <c r="J120" s="25"/>
      <c r="K120" s="25"/>
      <c r="L120" s="25"/>
      <c r="M120" s="25"/>
      <c r="N120" s="25"/>
      <c r="O120" s="25"/>
      <c r="P120" s="26"/>
      <c r="Q120" s="25"/>
      <c r="R120" s="25"/>
      <c r="S120" s="40"/>
      <c r="T120" s="18"/>
      <c r="U120" s="25"/>
      <c r="V120" s="84"/>
    </row>
    <row r="121" s="3" customFormat="1" customHeight="1" spans="1:22">
      <c r="A121" s="84"/>
      <c r="B121" s="25"/>
      <c r="C121" s="25"/>
      <c r="D121" s="25"/>
      <c r="E121" s="25"/>
      <c r="F121" s="25"/>
      <c r="G121" s="25"/>
      <c r="H121" s="25"/>
      <c r="I121" s="25"/>
      <c r="J121" s="25"/>
      <c r="K121" s="25"/>
      <c r="L121" s="25"/>
      <c r="M121" s="25"/>
      <c r="N121" s="25"/>
      <c r="O121" s="25"/>
      <c r="P121" s="26"/>
      <c r="Q121" s="25"/>
      <c r="R121" s="25"/>
      <c r="S121" s="40"/>
      <c r="T121" s="18"/>
      <c r="U121" s="25"/>
      <c r="V121" s="84"/>
    </row>
    <row r="122" s="3" customFormat="1" customHeight="1" spans="1:22">
      <c r="A122" s="84"/>
      <c r="B122" s="25"/>
      <c r="C122" s="25"/>
      <c r="D122" s="25"/>
      <c r="E122" s="25"/>
      <c r="F122" s="25"/>
      <c r="G122" s="25"/>
      <c r="H122" s="25"/>
      <c r="I122" s="25"/>
      <c r="J122" s="25"/>
      <c r="K122" s="25"/>
      <c r="L122" s="25"/>
      <c r="M122" s="25"/>
      <c r="N122" s="25"/>
      <c r="O122" s="25"/>
      <c r="P122" s="26"/>
      <c r="Q122" s="25"/>
      <c r="R122" s="25"/>
      <c r="S122" s="40"/>
      <c r="T122" s="18"/>
      <c r="U122" s="25"/>
      <c r="V122" s="84"/>
    </row>
    <row r="123" s="3" customFormat="1" customHeight="1" spans="1:22">
      <c r="A123" s="84">
        <v>26</v>
      </c>
      <c r="B123" s="175" t="s">
        <v>2400</v>
      </c>
      <c r="C123" s="175" t="s">
        <v>165</v>
      </c>
      <c r="D123" s="175" t="s">
        <v>2401</v>
      </c>
      <c r="E123" s="25">
        <v>18879267195</v>
      </c>
      <c r="F123" s="175" t="s">
        <v>156</v>
      </c>
      <c r="G123" s="175" t="s">
        <v>14</v>
      </c>
      <c r="H123" s="25">
        <v>202102001</v>
      </c>
      <c r="I123" s="175" t="s">
        <v>279</v>
      </c>
      <c r="J123" s="175" t="s">
        <v>339</v>
      </c>
      <c r="K123" s="175" t="s">
        <v>348</v>
      </c>
      <c r="L123" s="175" t="s">
        <v>170</v>
      </c>
      <c r="M123" s="175" t="s">
        <v>180</v>
      </c>
      <c r="N123" s="175" t="s">
        <v>14</v>
      </c>
      <c r="O123" s="175" t="s">
        <v>2403</v>
      </c>
      <c r="P123" s="26" t="str">
        <f>_xlfn.DISPIMG("ID_FE029F69B78E439BA992D666A5ADF87E",1)</f>
        <v>=DISPIMG("ID_FE029F69B78E439BA992D666A5ADF87E",1)</v>
      </c>
      <c r="Q123" s="25" t="s">
        <v>2404</v>
      </c>
      <c r="R123" s="25">
        <v>285</v>
      </c>
      <c r="S123" s="40" t="s">
        <v>4446</v>
      </c>
      <c r="T123" s="18" t="s">
        <v>43</v>
      </c>
      <c r="U123" s="25">
        <v>1</v>
      </c>
      <c r="V123" s="84"/>
    </row>
    <row r="124" s="3" customFormat="1" customHeight="1" spans="1:22">
      <c r="A124" s="84">
        <v>21</v>
      </c>
      <c r="B124" s="175" t="s">
        <v>1989</v>
      </c>
      <c r="C124" s="175" t="s">
        <v>165</v>
      </c>
      <c r="D124" s="175" t="s">
        <v>1990</v>
      </c>
      <c r="E124" s="25">
        <v>18720291086</v>
      </c>
      <c r="F124" s="175" t="s">
        <v>156</v>
      </c>
      <c r="G124" s="175" t="s">
        <v>14</v>
      </c>
      <c r="H124" s="25">
        <v>202102001</v>
      </c>
      <c r="I124" s="175" t="s">
        <v>279</v>
      </c>
      <c r="J124" s="175" t="s">
        <v>367</v>
      </c>
      <c r="K124" s="175" t="s">
        <v>348</v>
      </c>
      <c r="L124" s="175" t="s">
        <v>170</v>
      </c>
      <c r="M124" s="175" t="s">
        <v>180</v>
      </c>
      <c r="N124" s="175" t="s">
        <v>1992</v>
      </c>
      <c r="O124" s="175" t="s">
        <v>1993</v>
      </c>
      <c r="P124" s="26" t="str">
        <f>_xlfn.DISPIMG("ID_08685AD380B84575A97C010891A129EA",1)</f>
        <v>=DISPIMG("ID_08685AD380B84575A97C010891A129EA",1)</v>
      </c>
      <c r="Q124" s="25" t="s">
        <v>1994</v>
      </c>
      <c r="R124" s="25">
        <v>231</v>
      </c>
      <c r="S124" s="40" t="s">
        <v>4441</v>
      </c>
      <c r="T124" s="18" t="s">
        <v>43</v>
      </c>
      <c r="U124" s="25">
        <v>2</v>
      </c>
      <c r="V124" s="84"/>
    </row>
    <row r="125" s="3" customFormat="1" customHeight="1" spans="1:22">
      <c r="A125" s="84">
        <v>16</v>
      </c>
      <c r="B125" s="175" t="s">
        <v>1939</v>
      </c>
      <c r="C125" s="175" t="s">
        <v>165</v>
      </c>
      <c r="D125" s="175" t="s">
        <v>1940</v>
      </c>
      <c r="E125" s="25">
        <v>15727538228</v>
      </c>
      <c r="F125" s="175" t="s">
        <v>156</v>
      </c>
      <c r="G125" s="175" t="s">
        <v>14</v>
      </c>
      <c r="H125" s="25">
        <v>202102001</v>
      </c>
      <c r="I125" s="175" t="s">
        <v>157</v>
      </c>
      <c r="J125" s="175" t="s">
        <v>233</v>
      </c>
      <c r="K125" s="175" t="s">
        <v>454</v>
      </c>
      <c r="L125" s="175" t="s">
        <v>170</v>
      </c>
      <c r="M125" s="175" t="s">
        <v>1942</v>
      </c>
      <c r="N125" s="175" t="s">
        <v>498</v>
      </c>
      <c r="O125" s="175" t="s">
        <v>1943</v>
      </c>
      <c r="P125" s="26" t="str">
        <f>_xlfn.DISPIMG("ID_1C58977D34D3459483FD1AF3B2109430",1)</f>
        <v>=DISPIMG("ID_1C58977D34D3459483FD1AF3B2109430",1)</v>
      </c>
      <c r="Q125" s="25" t="s">
        <v>1944</v>
      </c>
      <c r="R125" s="25">
        <v>224</v>
      </c>
      <c r="S125" s="40" t="s">
        <v>4436</v>
      </c>
      <c r="T125" s="18" t="s">
        <v>43</v>
      </c>
      <c r="U125" s="25">
        <v>3</v>
      </c>
      <c r="V125" s="84"/>
    </row>
    <row r="126" s="3" customFormat="1" customHeight="1" spans="1:22">
      <c r="A126" s="84">
        <v>11</v>
      </c>
      <c r="B126" s="175" t="s">
        <v>1496</v>
      </c>
      <c r="C126" s="175" t="s">
        <v>165</v>
      </c>
      <c r="D126" s="175" t="s">
        <v>1497</v>
      </c>
      <c r="E126" s="25">
        <v>18770916920</v>
      </c>
      <c r="F126" s="175" t="s">
        <v>156</v>
      </c>
      <c r="G126" s="175" t="s">
        <v>14</v>
      </c>
      <c r="H126" s="25">
        <v>202102001</v>
      </c>
      <c r="I126" s="175" t="s">
        <v>157</v>
      </c>
      <c r="J126" s="175" t="s">
        <v>876</v>
      </c>
      <c r="K126" s="175" t="s">
        <v>1499</v>
      </c>
      <c r="L126" s="175" t="s">
        <v>160</v>
      </c>
      <c r="M126" s="175" t="s">
        <v>396</v>
      </c>
      <c r="N126" s="175" t="s">
        <v>14</v>
      </c>
      <c r="O126" s="25">
        <v>0</v>
      </c>
      <c r="P126" s="26" t="str">
        <f>_xlfn.DISPIMG("ID_F699C2D8D57643CC8A99CF3C2C6B152A",1)</f>
        <v>=DISPIMG("ID_F699C2D8D57643CC8A99CF3C2C6B152A",1)</v>
      </c>
      <c r="Q126" s="25" t="s">
        <v>1500</v>
      </c>
      <c r="R126" s="25">
        <v>166</v>
      </c>
      <c r="S126" s="40" t="s">
        <v>4431</v>
      </c>
      <c r="T126" s="18" t="s">
        <v>43</v>
      </c>
      <c r="U126" s="25">
        <v>4</v>
      </c>
      <c r="V126" s="84"/>
    </row>
    <row r="127" s="5" customFormat="1" customHeight="1" spans="1:22">
      <c r="A127" s="84">
        <v>6</v>
      </c>
      <c r="B127" s="175" t="s">
        <v>916</v>
      </c>
      <c r="C127" s="175" t="s">
        <v>165</v>
      </c>
      <c r="D127" s="175" t="s">
        <v>917</v>
      </c>
      <c r="E127" s="25">
        <v>15070951954</v>
      </c>
      <c r="F127" s="175" t="s">
        <v>156</v>
      </c>
      <c r="G127" s="175" t="s">
        <v>14</v>
      </c>
      <c r="H127" s="25">
        <v>202102001</v>
      </c>
      <c r="I127" s="175" t="s">
        <v>157</v>
      </c>
      <c r="J127" s="175" t="s">
        <v>233</v>
      </c>
      <c r="K127" s="175" t="s">
        <v>454</v>
      </c>
      <c r="L127" s="175" t="s">
        <v>160</v>
      </c>
      <c r="M127" s="175" t="s">
        <v>919</v>
      </c>
      <c r="N127" s="175" t="s">
        <v>14</v>
      </c>
      <c r="O127" s="175" t="s">
        <v>920</v>
      </c>
      <c r="P127" s="26" t="str">
        <f>_xlfn.DISPIMG("ID_ADE94A403A29454787C6186CC5AA20B8",1)</f>
        <v>=DISPIMG("ID_ADE94A403A29454787C6186CC5AA20B8",1)</v>
      </c>
      <c r="Q127" s="25" t="s">
        <v>921</v>
      </c>
      <c r="R127" s="25">
        <v>92</v>
      </c>
      <c r="S127" s="40" t="s">
        <v>4426</v>
      </c>
      <c r="T127" s="18" t="s">
        <v>43</v>
      </c>
      <c r="U127" s="25">
        <v>5</v>
      </c>
      <c r="V127" s="84"/>
    </row>
    <row r="128" s="3" customFormat="1" customHeight="1" spans="1:22">
      <c r="A128" s="84">
        <v>1</v>
      </c>
      <c r="B128" s="175" t="s">
        <v>635</v>
      </c>
      <c r="C128" s="175" t="s">
        <v>165</v>
      </c>
      <c r="D128" s="175" t="s">
        <v>636</v>
      </c>
      <c r="E128" s="25">
        <v>15070232391</v>
      </c>
      <c r="F128" s="175" t="s">
        <v>156</v>
      </c>
      <c r="G128" s="175" t="s">
        <v>14</v>
      </c>
      <c r="H128" s="25">
        <v>202102001</v>
      </c>
      <c r="I128" s="175" t="s">
        <v>279</v>
      </c>
      <c r="J128" s="175" t="s">
        <v>158</v>
      </c>
      <c r="K128" s="175" t="s">
        <v>348</v>
      </c>
      <c r="L128" s="175" t="s">
        <v>170</v>
      </c>
      <c r="M128" s="175" t="s">
        <v>548</v>
      </c>
      <c r="N128" s="175" t="s">
        <v>638</v>
      </c>
      <c r="O128" s="175" t="s">
        <v>639</v>
      </c>
      <c r="P128" s="26" t="str">
        <f>_xlfn.DISPIMG("ID_89E406E2AE894B018BFF7E7198130BCA",1)</f>
        <v>=DISPIMG("ID_89E406E2AE894B018BFF7E7198130BCA",1)</v>
      </c>
      <c r="Q128" s="25" t="s">
        <v>640</v>
      </c>
      <c r="R128" s="25">
        <v>58</v>
      </c>
      <c r="S128" s="40" t="s">
        <v>4413</v>
      </c>
      <c r="T128" s="18" t="s">
        <v>43</v>
      </c>
      <c r="U128" s="25">
        <v>6</v>
      </c>
      <c r="V128" s="84"/>
    </row>
    <row r="129" s="3" customFormat="1" customHeight="1" spans="1:22">
      <c r="A129" s="84">
        <v>2</v>
      </c>
      <c r="B129" s="175" t="s">
        <v>643</v>
      </c>
      <c r="C129" s="175" t="s">
        <v>165</v>
      </c>
      <c r="D129" s="175" t="s">
        <v>644</v>
      </c>
      <c r="E129" s="25">
        <v>17808826021</v>
      </c>
      <c r="F129" s="175" t="s">
        <v>156</v>
      </c>
      <c r="G129" s="175" t="s">
        <v>14</v>
      </c>
      <c r="H129" s="25">
        <v>202102001</v>
      </c>
      <c r="I129" s="175" t="s">
        <v>157</v>
      </c>
      <c r="J129" s="175" t="s">
        <v>646</v>
      </c>
      <c r="K129" s="175" t="s">
        <v>454</v>
      </c>
      <c r="L129" s="175" t="s">
        <v>160</v>
      </c>
      <c r="M129" s="175" t="s">
        <v>224</v>
      </c>
      <c r="N129" s="175" t="s">
        <v>14</v>
      </c>
      <c r="O129" s="175" t="s">
        <v>647</v>
      </c>
      <c r="P129" s="26" t="str">
        <f>_xlfn.DISPIMG("ID_905C387E694F4B30B6CB8B8291B01F38",1)</f>
        <v>=DISPIMG("ID_905C387E694F4B30B6CB8B8291B01F38",1)</v>
      </c>
      <c r="Q129" s="25" t="s">
        <v>648</v>
      </c>
      <c r="R129" s="25">
        <v>59</v>
      </c>
      <c r="S129" s="40" t="s">
        <v>4414</v>
      </c>
      <c r="T129" s="18" t="s">
        <v>43</v>
      </c>
      <c r="U129" s="25">
        <v>7</v>
      </c>
      <c r="V129" s="84"/>
    </row>
    <row r="130" s="3" customFormat="1" customHeight="1" spans="1:22">
      <c r="A130" s="84">
        <v>7</v>
      </c>
      <c r="B130" s="175" t="s">
        <v>1102</v>
      </c>
      <c r="C130" s="175" t="s">
        <v>165</v>
      </c>
      <c r="D130" s="175" t="s">
        <v>1103</v>
      </c>
      <c r="E130" s="25">
        <v>18890061239</v>
      </c>
      <c r="F130" s="175" t="s">
        <v>156</v>
      </c>
      <c r="G130" s="175" t="s">
        <v>14</v>
      </c>
      <c r="H130" s="25">
        <v>202102001</v>
      </c>
      <c r="I130" s="175" t="s">
        <v>157</v>
      </c>
      <c r="J130" s="175" t="s">
        <v>1105</v>
      </c>
      <c r="K130" s="175" t="s">
        <v>454</v>
      </c>
      <c r="L130" s="175" t="s">
        <v>160</v>
      </c>
      <c r="M130" s="175" t="s">
        <v>161</v>
      </c>
      <c r="N130" s="175" t="s">
        <v>14</v>
      </c>
      <c r="O130" s="25">
        <v>0</v>
      </c>
      <c r="P130" s="26" t="str">
        <f>_xlfn.DISPIMG("ID_85B66E0F069149898E44BCE57E5EBF40",1)</f>
        <v>=DISPIMG("ID_85B66E0F069149898E44BCE57E5EBF40",1)</v>
      </c>
      <c r="Q130" s="25" t="s">
        <v>1106</v>
      </c>
      <c r="R130" s="25">
        <v>115</v>
      </c>
      <c r="S130" s="40" t="s">
        <v>4427</v>
      </c>
      <c r="T130" s="18" t="s">
        <v>43</v>
      </c>
      <c r="U130" s="25">
        <v>8</v>
      </c>
      <c r="V130" s="84"/>
    </row>
    <row r="131" s="3" customFormat="1" customHeight="1" spans="1:22">
      <c r="A131" s="84">
        <v>12</v>
      </c>
      <c r="B131" s="175" t="s">
        <v>1542</v>
      </c>
      <c r="C131" s="175" t="s">
        <v>153</v>
      </c>
      <c r="D131" s="175" t="s">
        <v>1543</v>
      </c>
      <c r="E131" s="25">
        <v>15270866526</v>
      </c>
      <c r="F131" s="175" t="s">
        <v>156</v>
      </c>
      <c r="G131" s="175" t="s">
        <v>14</v>
      </c>
      <c r="H131" s="25">
        <v>202102001</v>
      </c>
      <c r="I131" s="175" t="s">
        <v>157</v>
      </c>
      <c r="J131" s="175" t="s">
        <v>1545</v>
      </c>
      <c r="K131" s="175" t="s">
        <v>1546</v>
      </c>
      <c r="L131" s="175" t="s">
        <v>170</v>
      </c>
      <c r="M131" s="175" t="s">
        <v>235</v>
      </c>
      <c r="N131" s="175" t="s">
        <v>1547</v>
      </c>
      <c r="O131" s="175" t="s">
        <v>1548</v>
      </c>
      <c r="P131" s="26" t="str">
        <f>_xlfn.DISPIMG("ID_08EA3F14C88D463E8A5342E5A111BC99",1)</f>
        <v>=DISPIMG("ID_08EA3F14C88D463E8A5342E5A111BC99",1)</v>
      </c>
      <c r="Q131" s="25" t="s">
        <v>1549</v>
      </c>
      <c r="R131" s="25">
        <v>172</v>
      </c>
      <c r="S131" s="40" t="s">
        <v>4432</v>
      </c>
      <c r="T131" s="18" t="s">
        <v>43</v>
      </c>
      <c r="U131" s="25">
        <v>9</v>
      </c>
      <c r="V131" s="84"/>
    </row>
    <row r="132" s="3" customFormat="1" customHeight="1" spans="1:22">
      <c r="A132" s="84">
        <v>17</v>
      </c>
      <c r="B132" s="175" t="s">
        <v>1947</v>
      </c>
      <c r="C132" s="175" t="s">
        <v>165</v>
      </c>
      <c r="D132" s="175" t="s">
        <v>1948</v>
      </c>
      <c r="E132" s="25">
        <v>15070578947</v>
      </c>
      <c r="F132" s="175" t="s">
        <v>156</v>
      </c>
      <c r="G132" s="175" t="s">
        <v>14</v>
      </c>
      <c r="H132" s="25">
        <v>202102001</v>
      </c>
      <c r="I132" s="175" t="s">
        <v>279</v>
      </c>
      <c r="J132" s="175" t="s">
        <v>1523</v>
      </c>
      <c r="K132" s="175" t="s">
        <v>1950</v>
      </c>
      <c r="L132" s="175" t="s">
        <v>170</v>
      </c>
      <c r="M132" s="175" t="s">
        <v>396</v>
      </c>
      <c r="N132" s="175" t="s">
        <v>14</v>
      </c>
      <c r="O132" s="175" t="s">
        <v>1951</v>
      </c>
      <c r="P132" s="26" t="str">
        <f>_xlfn.DISPIMG("ID_86A99051306F46439DFFA2E8604105B2",1)</f>
        <v>=DISPIMG("ID_86A99051306F46439DFFA2E8604105B2",1)</v>
      </c>
      <c r="Q132" s="25" t="s">
        <v>1952</v>
      </c>
      <c r="R132" s="25">
        <v>225</v>
      </c>
      <c r="S132" s="40" t="s">
        <v>4437</v>
      </c>
      <c r="T132" s="18" t="s">
        <v>43</v>
      </c>
      <c r="U132" s="25">
        <v>10</v>
      </c>
      <c r="V132" s="84"/>
    </row>
    <row r="133" s="3" customFormat="1" customHeight="1" spans="1:22">
      <c r="A133" s="84">
        <v>22</v>
      </c>
      <c r="B133" s="175" t="s">
        <v>2028</v>
      </c>
      <c r="C133" s="175" t="s">
        <v>165</v>
      </c>
      <c r="D133" s="175" t="s">
        <v>2029</v>
      </c>
      <c r="E133" s="25">
        <v>18379220348</v>
      </c>
      <c r="F133" s="175" t="s">
        <v>156</v>
      </c>
      <c r="G133" s="175" t="s">
        <v>14</v>
      </c>
      <c r="H133" s="25">
        <v>202102001</v>
      </c>
      <c r="I133" s="175" t="s">
        <v>157</v>
      </c>
      <c r="J133" s="175" t="s">
        <v>158</v>
      </c>
      <c r="K133" s="175" t="s">
        <v>1546</v>
      </c>
      <c r="L133" s="175" t="s">
        <v>170</v>
      </c>
      <c r="M133" s="175" t="s">
        <v>161</v>
      </c>
      <c r="N133" s="175" t="s">
        <v>2031</v>
      </c>
      <c r="O133" s="175" t="s">
        <v>2032</v>
      </c>
      <c r="P133" s="26" t="str">
        <f>_xlfn.DISPIMG("ID_23D2336FF3CB4EA6B1558E965302CC98",1)</f>
        <v>=DISPIMG("ID_23D2336FF3CB4EA6B1558E965302CC98",1)</v>
      </c>
      <c r="Q133" s="25" t="s">
        <v>2033</v>
      </c>
      <c r="R133" s="25">
        <v>236</v>
      </c>
      <c r="S133" s="40" t="s">
        <v>4442</v>
      </c>
      <c r="T133" s="18" t="s">
        <v>43</v>
      </c>
      <c r="U133" s="25">
        <v>11</v>
      </c>
      <c r="V133" s="84"/>
    </row>
    <row r="134" s="3" customFormat="1" customHeight="1" spans="1:22">
      <c r="A134" s="84">
        <v>27</v>
      </c>
      <c r="B134" s="175" t="s">
        <v>2430</v>
      </c>
      <c r="C134" s="175" t="s">
        <v>165</v>
      </c>
      <c r="D134" s="175" t="s">
        <v>2431</v>
      </c>
      <c r="E134" s="25">
        <v>18379086106</v>
      </c>
      <c r="F134" s="175" t="s">
        <v>156</v>
      </c>
      <c r="G134" s="175" t="s">
        <v>14</v>
      </c>
      <c r="H134" s="25">
        <v>202102001</v>
      </c>
      <c r="I134" s="175" t="s">
        <v>279</v>
      </c>
      <c r="J134" s="175" t="s">
        <v>178</v>
      </c>
      <c r="K134" s="175" t="s">
        <v>348</v>
      </c>
      <c r="L134" s="175" t="s">
        <v>170</v>
      </c>
      <c r="M134" s="175" t="s">
        <v>396</v>
      </c>
      <c r="N134" s="175" t="s">
        <v>14</v>
      </c>
      <c r="O134" s="175" t="s">
        <v>2433</v>
      </c>
      <c r="P134" s="26" t="str">
        <f>_xlfn.DISPIMG("ID_490114996A5646149508AE2796C7FCA8",1)</f>
        <v>=DISPIMG("ID_490114996A5646149508AE2796C7FCA8",1)</v>
      </c>
      <c r="Q134" s="25" t="s">
        <v>2434</v>
      </c>
      <c r="R134" s="25">
        <v>289</v>
      </c>
      <c r="S134" s="40" t="s">
        <v>4447</v>
      </c>
      <c r="T134" s="18" t="s">
        <v>43</v>
      </c>
      <c r="U134" s="25">
        <v>12</v>
      </c>
      <c r="V134" s="84"/>
    </row>
    <row r="135" s="3" customFormat="1" customHeight="1" spans="1:22">
      <c r="A135" s="84">
        <v>28</v>
      </c>
      <c r="B135" s="175" t="s">
        <v>2452</v>
      </c>
      <c r="C135" s="175" t="s">
        <v>165</v>
      </c>
      <c r="D135" s="175" t="s">
        <v>2453</v>
      </c>
      <c r="E135" s="25">
        <v>18720955003</v>
      </c>
      <c r="F135" s="175" t="s">
        <v>156</v>
      </c>
      <c r="G135" s="175" t="s">
        <v>14</v>
      </c>
      <c r="H135" s="25">
        <v>202102001</v>
      </c>
      <c r="I135" s="175" t="s">
        <v>157</v>
      </c>
      <c r="J135" s="175" t="s">
        <v>197</v>
      </c>
      <c r="K135" s="175" t="s">
        <v>454</v>
      </c>
      <c r="L135" s="175" t="s">
        <v>160</v>
      </c>
      <c r="M135" s="175" t="s">
        <v>216</v>
      </c>
      <c r="N135" s="175" t="s">
        <v>14</v>
      </c>
      <c r="O135" s="175" t="s">
        <v>2455</v>
      </c>
      <c r="P135" s="26" t="str">
        <f>_xlfn.DISPIMG("ID_FC7219DD86F84BE1856628C95CBE9A35",1)</f>
        <v>=DISPIMG("ID_FC7219DD86F84BE1856628C95CBE9A35",1)</v>
      </c>
      <c r="Q135" s="25" t="s">
        <v>2456</v>
      </c>
      <c r="R135" s="25">
        <v>292</v>
      </c>
      <c r="S135" s="40" t="s">
        <v>4448</v>
      </c>
      <c r="T135" s="18" t="s">
        <v>43</v>
      </c>
      <c r="U135" s="25">
        <v>13</v>
      </c>
      <c r="V135" s="84"/>
    </row>
    <row r="136" s="3" customFormat="1" customHeight="1" spans="1:22">
      <c r="A136" s="84">
        <v>23</v>
      </c>
      <c r="B136" s="175" t="s">
        <v>2053</v>
      </c>
      <c r="C136" s="175" t="s">
        <v>165</v>
      </c>
      <c r="D136" s="175" t="s">
        <v>2054</v>
      </c>
      <c r="E136" s="25">
        <v>15079910015</v>
      </c>
      <c r="F136" s="175" t="s">
        <v>156</v>
      </c>
      <c r="G136" s="175" t="s">
        <v>14</v>
      </c>
      <c r="H136" s="25">
        <v>202102001</v>
      </c>
      <c r="I136" s="175" t="s">
        <v>279</v>
      </c>
      <c r="J136" s="175" t="s">
        <v>1424</v>
      </c>
      <c r="K136" s="175" t="s">
        <v>348</v>
      </c>
      <c r="L136" s="175" t="s">
        <v>170</v>
      </c>
      <c r="M136" s="175" t="s">
        <v>199</v>
      </c>
      <c r="N136" s="175" t="s">
        <v>14</v>
      </c>
      <c r="O136" s="175" t="s">
        <v>2056</v>
      </c>
      <c r="P136" s="26" t="str">
        <f>_xlfn.DISPIMG("ID_4A26FAD7BD014883BE19E7EBABEADF70",1)</f>
        <v>=DISPIMG("ID_4A26FAD7BD014883BE19E7EBABEADF70",1)</v>
      </c>
      <c r="Q136" s="25" t="s">
        <v>2057</v>
      </c>
      <c r="R136" s="25">
        <v>239</v>
      </c>
      <c r="S136" s="40" t="s">
        <v>4443</v>
      </c>
      <c r="T136" s="18" t="s">
        <v>43</v>
      </c>
      <c r="U136" s="25">
        <v>14</v>
      </c>
      <c r="V136" s="84"/>
    </row>
    <row r="137" s="3" customFormat="1" customHeight="1" spans="1:22">
      <c r="A137" s="84">
        <v>18</v>
      </c>
      <c r="B137" s="175" t="s">
        <v>1955</v>
      </c>
      <c r="C137" s="175" t="s">
        <v>165</v>
      </c>
      <c r="D137" s="175" t="s">
        <v>1956</v>
      </c>
      <c r="E137" s="25">
        <v>13687028289</v>
      </c>
      <c r="F137" s="175" t="s">
        <v>156</v>
      </c>
      <c r="G137" s="175" t="s">
        <v>14</v>
      </c>
      <c r="H137" s="25">
        <v>202102001</v>
      </c>
      <c r="I137" s="175" t="s">
        <v>279</v>
      </c>
      <c r="J137" s="175" t="s">
        <v>339</v>
      </c>
      <c r="K137" s="175" t="s">
        <v>348</v>
      </c>
      <c r="L137" s="175" t="s">
        <v>170</v>
      </c>
      <c r="M137" s="175" t="s">
        <v>180</v>
      </c>
      <c r="N137" s="175" t="s">
        <v>638</v>
      </c>
      <c r="O137" s="175" t="s">
        <v>1958</v>
      </c>
      <c r="P137" s="26" t="str">
        <f>_xlfn.DISPIMG("ID_2D011236909B4AB48CEACAF4EB3A9013",1)</f>
        <v>=DISPIMG("ID_2D011236909B4AB48CEACAF4EB3A9013",1)</v>
      </c>
      <c r="Q137" s="25" t="s">
        <v>1959</v>
      </c>
      <c r="R137" s="25">
        <v>226</v>
      </c>
      <c r="S137" s="40" t="s">
        <v>4438</v>
      </c>
      <c r="T137" s="18" t="s">
        <v>43</v>
      </c>
      <c r="U137" s="25">
        <v>15</v>
      </c>
      <c r="V137" s="84"/>
    </row>
    <row r="138" s="3" customFormat="1" customHeight="1" spans="1:22">
      <c r="A138" s="84">
        <v>13</v>
      </c>
      <c r="B138" s="175" t="s">
        <v>1697</v>
      </c>
      <c r="C138" s="175" t="s">
        <v>165</v>
      </c>
      <c r="D138" s="175" t="s">
        <v>1698</v>
      </c>
      <c r="E138" s="25">
        <v>13732925421</v>
      </c>
      <c r="F138" s="175" t="s">
        <v>156</v>
      </c>
      <c r="G138" s="175" t="s">
        <v>14</v>
      </c>
      <c r="H138" s="25">
        <v>202102001</v>
      </c>
      <c r="I138" s="175" t="s">
        <v>157</v>
      </c>
      <c r="J138" s="175" t="s">
        <v>1654</v>
      </c>
      <c r="K138" s="175" t="s">
        <v>1700</v>
      </c>
      <c r="L138" s="175" t="s">
        <v>160</v>
      </c>
      <c r="M138" s="175" t="s">
        <v>235</v>
      </c>
      <c r="N138" s="175" t="s">
        <v>1701</v>
      </c>
      <c r="O138" s="175" t="s">
        <v>1702</v>
      </c>
      <c r="P138" s="26" t="str">
        <f>_xlfn.DISPIMG("ID_9C3AAF7BA09C4626832FC4C49E6F802D",1)</f>
        <v>=DISPIMG("ID_9C3AAF7BA09C4626832FC4C49E6F802D",1)</v>
      </c>
      <c r="Q138" s="25" t="s">
        <v>1703</v>
      </c>
      <c r="R138" s="25">
        <v>192</v>
      </c>
      <c r="S138" s="40" t="s">
        <v>4433</v>
      </c>
      <c r="T138" s="18" t="s">
        <v>43</v>
      </c>
      <c r="U138" s="25">
        <v>16</v>
      </c>
      <c r="V138" s="84"/>
    </row>
    <row r="139" s="3" customFormat="1" customHeight="1" spans="1:22">
      <c r="A139" s="84">
        <v>8</v>
      </c>
      <c r="B139" s="175" t="s">
        <v>1255</v>
      </c>
      <c r="C139" s="175" t="s">
        <v>165</v>
      </c>
      <c r="D139" s="175" t="s">
        <v>1256</v>
      </c>
      <c r="E139" s="25">
        <v>18370224457</v>
      </c>
      <c r="F139" s="175" t="s">
        <v>506</v>
      </c>
      <c r="G139" s="175" t="s">
        <v>14</v>
      </c>
      <c r="H139" s="25">
        <v>202102014</v>
      </c>
      <c r="I139" s="175" t="s">
        <v>279</v>
      </c>
      <c r="J139" s="175" t="s">
        <v>1258</v>
      </c>
      <c r="K139" s="175" t="s">
        <v>348</v>
      </c>
      <c r="L139" s="175" t="s">
        <v>170</v>
      </c>
      <c r="M139" s="175" t="s">
        <v>161</v>
      </c>
      <c r="N139" s="175" t="s">
        <v>121</v>
      </c>
      <c r="O139" s="175" t="s">
        <v>1259</v>
      </c>
      <c r="P139" s="26" t="str">
        <f>_xlfn.DISPIMG("ID_AF9D4A23BC36463DA48841C24B1BEB6F",1)</f>
        <v>=DISPIMG("ID_AF9D4A23BC36463DA48841C24B1BEB6F",1)</v>
      </c>
      <c r="Q139" s="25" t="s">
        <v>1260</v>
      </c>
      <c r="R139" s="25">
        <v>134</v>
      </c>
      <c r="S139" s="40" t="s">
        <v>4428</v>
      </c>
      <c r="T139" s="18" t="s">
        <v>43</v>
      </c>
      <c r="U139" s="25">
        <v>17</v>
      </c>
      <c r="V139" s="84"/>
    </row>
    <row r="140" s="3" customFormat="1" customHeight="1" spans="1:22">
      <c r="A140" s="84">
        <v>3</v>
      </c>
      <c r="B140" s="175" t="s">
        <v>651</v>
      </c>
      <c r="C140" s="175" t="s">
        <v>165</v>
      </c>
      <c r="D140" s="175" t="s">
        <v>652</v>
      </c>
      <c r="E140" s="25">
        <v>13677913381</v>
      </c>
      <c r="F140" s="175" t="s">
        <v>156</v>
      </c>
      <c r="G140" s="175" t="s">
        <v>14</v>
      </c>
      <c r="H140" s="25">
        <v>202102001</v>
      </c>
      <c r="I140" s="175" t="s">
        <v>279</v>
      </c>
      <c r="J140" s="175" t="s">
        <v>339</v>
      </c>
      <c r="K140" s="175" t="s">
        <v>348</v>
      </c>
      <c r="L140" s="175" t="s">
        <v>170</v>
      </c>
      <c r="M140" s="175" t="s">
        <v>171</v>
      </c>
      <c r="N140" s="175" t="s">
        <v>654</v>
      </c>
      <c r="O140" s="175" t="s">
        <v>655</v>
      </c>
      <c r="P140" s="26" t="str">
        <f>_xlfn.DISPIMG("ID_F245B8B6D20E4BBA8409FA8C63902E06",1)</f>
        <v>=DISPIMG("ID_F245B8B6D20E4BBA8409FA8C63902E06",1)</v>
      </c>
      <c r="Q140" s="25" t="s">
        <v>656</v>
      </c>
      <c r="R140" s="25">
        <v>60</v>
      </c>
      <c r="S140" s="40" t="s">
        <v>4417</v>
      </c>
      <c r="T140" s="18" t="s">
        <v>43</v>
      </c>
      <c r="U140" s="25">
        <v>18</v>
      </c>
      <c r="V140" s="84"/>
    </row>
    <row r="141" s="3" customFormat="1" customHeight="1" spans="1:22">
      <c r="A141" s="84">
        <v>4</v>
      </c>
      <c r="B141" s="175" t="s">
        <v>687</v>
      </c>
      <c r="C141" s="175" t="s">
        <v>153</v>
      </c>
      <c r="D141" s="175" t="s">
        <v>688</v>
      </c>
      <c r="E141" s="25">
        <v>18370106328</v>
      </c>
      <c r="F141" s="175" t="s">
        <v>156</v>
      </c>
      <c r="G141" s="175" t="s">
        <v>14</v>
      </c>
      <c r="H141" s="25">
        <v>202102001</v>
      </c>
      <c r="I141" s="175" t="s">
        <v>279</v>
      </c>
      <c r="J141" s="175" t="s">
        <v>158</v>
      </c>
      <c r="K141" s="175" t="s">
        <v>348</v>
      </c>
      <c r="L141" s="175" t="s">
        <v>170</v>
      </c>
      <c r="M141" s="175" t="s">
        <v>281</v>
      </c>
      <c r="N141" s="175" t="s">
        <v>689</v>
      </c>
      <c r="O141" s="175" t="s">
        <v>690</v>
      </c>
      <c r="P141" s="26" t="str">
        <f>_xlfn.DISPIMG("ID_54204C01855F423A99B7E1E3FD940E61",1)</f>
        <v>=DISPIMG("ID_54204C01855F423A99B7E1E3FD940E61",1)</v>
      </c>
      <c r="Q141" s="25" t="s">
        <v>691</v>
      </c>
      <c r="R141" s="25">
        <v>64</v>
      </c>
      <c r="S141" s="40" t="s">
        <v>4420</v>
      </c>
      <c r="T141" s="18" t="s">
        <v>43</v>
      </c>
      <c r="U141" s="25">
        <v>19</v>
      </c>
      <c r="V141" s="84"/>
    </row>
    <row r="142" s="3" customFormat="1" customHeight="1" spans="1:22">
      <c r="A142" s="84">
        <v>9</v>
      </c>
      <c r="B142" s="175" t="s">
        <v>1350</v>
      </c>
      <c r="C142" s="175" t="s">
        <v>165</v>
      </c>
      <c r="D142" s="175" t="s">
        <v>1351</v>
      </c>
      <c r="E142" s="25">
        <v>13767415091</v>
      </c>
      <c r="F142" s="175" t="s">
        <v>156</v>
      </c>
      <c r="G142" s="175" t="s">
        <v>14</v>
      </c>
      <c r="H142" s="25">
        <v>202102001</v>
      </c>
      <c r="I142" s="175" t="s">
        <v>157</v>
      </c>
      <c r="J142" s="175" t="s">
        <v>827</v>
      </c>
      <c r="K142" s="175" t="s">
        <v>223</v>
      </c>
      <c r="L142" s="175" t="s">
        <v>170</v>
      </c>
      <c r="M142" s="175" t="s">
        <v>306</v>
      </c>
      <c r="N142" s="175" t="s">
        <v>1353</v>
      </c>
      <c r="O142" s="25">
        <v>0</v>
      </c>
      <c r="P142" s="26" t="str">
        <f>_xlfn.DISPIMG("ID_7AB2E23FEFF940D9992E8955A95BEDD5",1)</f>
        <v>=DISPIMG("ID_7AB2E23FEFF940D9992E8955A95BEDD5",1)</v>
      </c>
      <c r="Q142" s="25" t="s">
        <v>1354</v>
      </c>
      <c r="R142" s="25">
        <v>147</v>
      </c>
      <c r="S142" s="40" t="s">
        <v>4429</v>
      </c>
      <c r="T142" s="18" t="s">
        <v>43</v>
      </c>
      <c r="U142" s="25">
        <v>20</v>
      </c>
      <c r="V142" s="84"/>
    </row>
    <row r="143" s="3" customFormat="1" customHeight="1" spans="1:22">
      <c r="A143" s="84">
        <v>14</v>
      </c>
      <c r="B143" s="175" t="s">
        <v>1723</v>
      </c>
      <c r="C143" s="175" t="s">
        <v>165</v>
      </c>
      <c r="D143" s="175" t="s">
        <v>1724</v>
      </c>
      <c r="E143" s="25">
        <v>13697028942</v>
      </c>
      <c r="F143" s="175" t="s">
        <v>156</v>
      </c>
      <c r="G143" s="175" t="s">
        <v>14</v>
      </c>
      <c r="H143" s="25">
        <v>202102001</v>
      </c>
      <c r="I143" s="175" t="s">
        <v>157</v>
      </c>
      <c r="J143" s="175" t="s">
        <v>827</v>
      </c>
      <c r="K143" s="175" t="s">
        <v>454</v>
      </c>
      <c r="L143" s="175" t="s">
        <v>170</v>
      </c>
      <c r="M143" s="175" t="s">
        <v>261</v>
      </c>
      <c r="N143" s="175" t="s">
        <v>26</v>
      </c>
      <c r="O143" s="25">
        <v>0</v>
      </c>
      <c r="P143" s="26" t="str">
        <f>_xlfn.DISPIMG("ID_9F3C5B09040D438283C530134A5BD84D",1)</f>
        <v>=DISPIMG("ID_9F3C5B09040D438283C530134A5BD84D",1)</v>
      </c>
      <c r="Q143" s="25" t="s">
        <v>1726</v>
      </c>
      <c r="R143" s="25">
        <v>195</v>
      </c>
      <c r="S143" s="40" t="s">
        <v>4434</v>
      </c>
      <c r="T143" s="18" t="s">
        <v>43</v>
      </c>
      <c r="U143" s="25">
        <v>21</v>
      </c>
      <c r="V143" s="84"/>
    </row>
    <row r="144" s="3" customFormat="1" customHeight="1" spans="1:22">
      <c r="A144" s="84">
        <v>19</v>
      </c>
      <c r="B144" s="175" t="s">
        <v>1962</v>
      </c>
      <c r="C144" s="175" t="s">
        <v>165</v>
      </c>
      <c r="D144" s="175" t="s">
        <v>1963</v>
      </c>
      <c r="E144" s="25">
        <v>18279199773</v>
      </c>
      <c r="F144" s="175" t="s">
        <v>156</v>
      </c>
      <c r="G144" s="175" t="s">
        <v>14</v>
      </c>
      <c r="H144" s="25">
        <v>202102001</v>
      </c>
      <c r="I144" s="175" t="s">
        <v>157</v>
      </c>
      <c r="J144" s="175" t="s">
        <v>1121</v>
      </c>
      <c r="K144" s="175" t="s">
        <v>813</v>
      </c>
      <c r="L144" s="175" t="s">
        <v>160</v>
      </c>
      <c r="M144" s="175" t="s">
        <v>199</v>
      </c>
      <c r="N144" s="175" t="s">
        <v>14</v>
      </c>
      <c r="O144" s="175" t="s">
        <v>1965</v>
      </c>
      <c r="P144" s="26" t="str">
        <f>_xlfn.DISPIMG("ID_978F05F9424741AE81F8E8335A7E991E",1)</f>
        <v>=DISPIMG("ID_978F05F9424741AE81F8E8335A7E991E",1)</v>
      </c>
      <c r="Q144" s="25" t="s">
        <v>1966</v>
      </c>
      <c r="R144" s="25">
        <v>227</v>
      </c>
      <c r="S144" s="40" t="s">
        <v>4439</v>
      </c>
      <c r="T144" s="18" t="s">
        <v>43</v>
      </c>
      <c r="U144" s="25">
        <v>22</v>
      </c>
      <c r="V144" s="84"/>
    </row>
    <row r="145" s="3" customFormat="1" customHeight="1" spans="1:22">
      <c r="A145" s="84">
        <v>24</v>
      </c>
      <c r="B145" s="175" t="s">
        <v>2165</v>
      </c>
      <c r="C145" s="175" t="s">
        <v>165</v>
      </c>
      <c r="D145" s="175" t="s">
        <v>2166</v>
      </c>
      <c r="E145" s="25">
        <v>15270256109</v>
      </c>
      <c r="F145" s="175" t="s">
        <v>156</v>
      </c>
      <c r="G145" s="175" t="s">
        <v>14</v>
      </c>
      <c r="H145" s="25">
        <v>202102001</v>
      </c>
      <c r="I145" s="175" t="s">
        <v>279</v>
      </c>
      <c r="J145" s="175" t="s">
        <v>158</v>
      </c>
      <c r="K145" s="175" t="s">
        <v>348</v>
      </c>
      <c r="L145" s="175" t="s">
        <v>170</v>
      </c>
      <c r="M145" s="175" t="s">
        <v>306</v>
      </c>
      <c r="N145" s="175" t="s">
        <v>638</v>
      </c>
      <c r="O145" s="175" t="s">
        <v>2168</v>
      </c>
      <c r="P145" s="26" t="str">
        <f>_xlfn.DISPIMG("ID_3CABC7DA53ED4401B09BC2C27086B239",1)</f>
        <v>=DISPIMG("ID_3CABC7DA53ED4401B09BC2C27086B239",1)</v>
      </c>
      <c r="Q145" s="25" t="s">
        <v>2169</v>
      </c>
      <c r="R145" s="25">
        <v>254</v>
      </c>
      <c r="S145" s="40" t="s">
        <v>4444</v>
      </c>
      <c r="T145" s="18" t="s">
        <v>43</v>
      </c>
      <c r="U145" s="25">
        <v>23</v>
      </c>
      <c r="V145" s="84"/>
    </row>
    <row r="146" s="3" customFormat="1" customHeight="1" spans="1:22">
      <c r="A146" s="84">
        <v>29</v>
      </c>
      <c r="B146" s="175" t="s">
        <v>2466</v>
      </c>
      <c r="C146" s="175" t="s">
        <v>165</v>
      </c>
      <c r="D146" s="175" t="s">
        <v>2467</v>
      </c>
      <c r="E146" s="25">
        <v>18296295635</v>
      </c>
      <c r="F146" s="175" t="s">
        <v>156</v>
      </c>
      <c r="G146" s="175" t="s">
        <v>14</v>
      </c>
      <c r="H146" s="25">
        <v>202102001</v>
      </c>
      <c r="I146" s="175" t="s">
        <v>279</v>
      </c>
      <c r="J146" s="175" t="s">
        <v>233</v>
      </c>
      <c r="K146" s="175" t="s">
        <v>348</v>
      </c>
      <c r="L146" s="175" t="s">
        <v>170</v>
      </c>
      <c r="M146" s="175" t="s">
        <v>368</v>
      </c>
      <c r="N146" s="175" t="s">
        <v>14</v>
      </c>
      <c r="O146" s="175" t="s">
        <v>2469</v>
      </c>
      <c r="P146" s="26" t="str">
        <f>_xlfn.DISPIMG("ID_F16EE101B40044CF89D1DFEEC618BA53",1)</f>
        <v>=DISPIMG("ID_F16EE101B40044CF89D1DFEEC618BA53",1)</v>
      </c>
      <c r="Q146" s="25" t="s">
        <v>2470</v>
      </c>
      <c r="R146" s="25">
        <v>294</v>
      </c>
      <c r="S146" s="40" t="s">
        <v>4449</v>
      </c>
      <c r="T146" s="18" t="s">
        <v>43</v>
      </c>
      <c r="U146" s="25">
        <v>24</v>
      </c>
      <c r="V146" s="84"/>
    </row>
    <row r="147" s="3" customFormat="1" customHeight="1" spans="1:22">
      <c r="A147" s="84">
        <v>30</v>
      </c>
      <c r="B147" s="175" t="s">
        <v>2562</v>
      </c>
      <c r="C147" s="175" t="s">
        <v>165</v>
      </c>
      <c r="D147" s="175" t="s">
        <v>2563</v>
      </c>
      <c r="E147" s="25">
        <v>18279531380</v>
      </c>
      <c r="F147" s="175" t="s">
        <v>156</v>
      </c>
      <c r="G147" s="175" t="s">
        <v>14</v>
      </c>
      <c r="H147" s="25">
        <v>202102001</v>
      </c>
      <c r="I147" s="175" t="s">
        <v>705</v>
      </c>
      <c r="J147" s="175" t="s">
        <v>2565</v>
      </c>
      <c r="K147" s="175" t="s">
        <v>790</v>
      </c>
      <c r="L147" s="175" t="s">
        <v>160</v>
      </c>
      <c r="M147" s="175" t="s">
        <v>455</v>
      </c>
      <c r="N147" s="175" t="s">
        <v>14</v>
      </c>
      <c r="O147" s="175" t="s">
        <v>2566</v>
      </c>
      <c r="P147" s="26" t="str">
        <f>_xlfn.DISPIMG("ID_DA928F2BE2B24AF3ABF5D40BAC268946",1)</f>
        <v>=DISPIMG("ID_DA928F2BE2B24AF3ABF5D40BAC268946",1)</v>
      </c>
      <c r="Q147" s="25" t="s">
        <v>2567</v>
      </c>
      <c r="R147" s="25">
        <v>307</v>
      </c>
      <c r="S147" s="40" t="s">
        <v>4450</v>
      </c>
      <c r="T147" s="18" t="s">
        <v>43</v>
      </c>
      <c r="U147" s="25">
        <v>25</v>
      </c>
      <c r="V147" s="84"/>
    </row>
    <row r="148" s="3" customFormat="1" customHeight="1" spans="1:22">
      <c r="A148" s="84">
        <v>25</v>
      </c>
      <c r="B148" s="175" t="s">
        <v>2218</v>
      </c>
      <c r="C148" s="175" t="s">
        <v>165</v>
      </c>
      <c r="D148" s="175" t="s">
        <v>2219</v>
      </c>
      <c r="E148" s="25">
        <v>15179156312</v>
      </c>
      <c r="F148" s="175" t="s">
        <v>156</v>
      </c>
      <c r="G148" s="175" t="s">
        <v>14</v>
      </c>
      <c r="H148" s="25">
        <v>202102001</v>
      </c>
      <c r="I148" s="175" t="s">
        <v>157</v>
      </c>
      <c r="J148" s="175" t="s">
        <v>233</v>
      </c>
      <c r="K148" s="175" t="s">
        <v>1195</v>
      </c>
      <c r="L148" s="175" t="s">
        <v>160</v>
      </c>
      <c r="M148" s="175" t="s">
        <v>2221</v>
      </c>
      <c r="N148" s="175" t="s">
        <v>638</v>
      </c>
      <c r="O148" s="175" t="s">
        <v>2222</v>
      </c>
      <c r="P148" s="26" t="str">
        <f>_xlfn.DISPIMG("ID_D4DBACC4389B49D6B9C508C515595D5D",1)</f>
        <v>=DISPIMG("ID_D4DBACC4389B49D6B9C508C515595D5D",1)</v>
      </c>
      <c r="Q148" s="25" t="s">
        <v>2223</v>
      </c>
      <c r="R148" s="25">
        <v>261</v>
      </c>
      <c r="S148" s="40" t="s">
        <v>4445</v>
      </c>
      <c r="T148" s="18" t="s">
        <v>43</v>
      </c>
      <c r="U148" s="25">
        <v>26</v>
      </c>
      <c r="V148" s="84"/>
    </row>
    <row r="149" s="3" customFormat="1" customHeight="1" spans="1:22">
      <c r="A149" s="84">
        <v>20</v>
      </c>
      <c r="B149" s="175" t="s">
        <v>1983</v>
      </c>
      <c r="C149" s="175" t="s">
        <v>165</v>
      </c>
      <c r="D149" s="175" t="s">
        <v>1984</v>
      </c>
      <c r="E149" s="25">
        <v>15070924105</v>
      </c>
      <c r="F149" s="175" t="s">
        <v>156</v>
      </c>
      <c r="G149" s="175" t="s">
        <v>14</v>
      </c>
      <c r="H149" s="25">
        <v>202102001</v>
      </c>
      <c r="I149" s="175" t="s">
        <v>279</v>
      </c>
      <c r="J149" s="175" t="s">
        <v>515</v>
      </c>
      <c r="K149" s="175" t="s">
        <v>223</v>
      </c>
      <c r="L149" s="175" t="s">
        <v>170</v>
      </c>
      <c r="M149" s="175" t="s">
        <v>224</v>
      </c>
      <c r="N149" s="175" t="s">
        <v>14</v>
      </c>
      <c r="O149" s="25">
        <v>0</v>
      </c>
      <c r="P149" s="26" t="str">
        <f>_xlfn.DISPIMG("ID_88D6D1C166864D0C988B38CB94A18A2D",1)</f>
        <v>=DISPIMG("ID_88D6D1C166864D0C988B38CB94A18A2D",1)</v>
      </c>
      <c r="Q149" s="25" t="s">
        <v>1986</v>
      </c>
      <c r="R149" s="25">
        <v>230</v>
      </c>
      <c r="S149" s="40" t="s">
        <v>4440</v>
      </c>
      <c r="T149" s="18" t="s">
        <v>43</v>
      </c>
      <c r="U149" s="25">
        <v>27</v>
      </c>
      <c r="V149" s="84"/>
    </row>
    <row r="150" s="3" customFormat="1" customHeight="1" spans="1:22">
      <c r="A150" s="84">
        <v>15</v>
      </c>
      <c r="B150" s="175" t="s">
        <v>1828</v>
      </c>
      <c r="C150" s="175" t="s">
        <v>165</v>
      </c>
      <c r="D150" s="175" t="s">
        <v>1829</v>
      </c>
      <c r="E150" s="25">
        <v>18797851564</v>
      </c>
      <c r="F150" s="175" t="s">
        <v>156</v>
      </c>
      <c r="G150" s="175" t="s">
        <v>14</v>
      </c>
      <c r="H150" s="25">
        <v>202102001</v>
      </c>
      <c r="I150" s="175" t="s">
        <v>157</v>
      </c>
      <c r="J150" s="175" t="s">
        <v>1831</v>
      </c>
      <c r="K150" s="175" t="s">
        <v>1832</v>
      </c>
      <c r="L150" s="175" t="s">
        <v>160</v>
      </c>
      <c r="M150" s="175" t="s">
        <v>171</v>
      </c>
      <c r="N150" s="175" t="s">
        <v>14</v>
      </c>
      <c r="O150" s="175" t="s">
        <v>1833</v>
      </c>
      <c r="P150" s="26" t="str">
        <f>_xlfn.DISPIMG("ID_9C01FBB9DB4A4DB19EA599EA9C699E26",1)</f>
        <v>=DISPIMG("ID_9C01FBB9DB4A4DB19EA599EA9C699E26",1)</v>
      </c>
      <c r="Q150" s="25" t="s">
        <v>1834</v>
      </c>
      <c r="R150" s="25">
        <v>209</v>
      </c>
      <c r="S150" s="40" t="s">
        <v>4435</v>
      </c>
      <c r="T150" s="18" t="s">
        <v>43</v>
      </c>
      <c r="U150" s="25">
        <v>28</v>
      </c>
      <c r="V150" s="84"/>
    </row>
    <row r="151" s="3" customFormat="1" customHeight="1" spans="1:22">
      <c r="A151" s="84">
        <v>10</v>
      </c>
      <c r="B151" s="175" t="s">
        <v>1380</v>
      </c>
      <c r="C151" s="175" t="s">
        <v>165</v>
      </c>
      <c r="D151" s="175" t="s">
        <v>1381</v>
      </c>
      <c r="E151" s="25">
        <v>15279288135</v>
      </c>
      <c r="F151" s="175" t="s">
        <v>156</v>
      </c>
      <c r="G151" s="175" t="s">
        <v>14</v>
      </c>
      <c r="H151" s="25">
        <v>202102001</v>
      </c>
      <c r="I151" s="175" t="s">
        <v>279</v>
      </c>
      <c r="J151" s="175" t="s">
        <v>339</v>
      </c>
      <c r="K151" s="175" t="s">
        <v>348</v>
      </c>
      <c r="L151" s="175" t="s">
        <v>170</v>
      </c>
      <c r="M151" s="175" t="s">
        <v>368</v>
      </c>
      <c r="N151" s="175" t="s">
        <v>350</v>
      </c>
      <c r="O151" s="175" t="s">
        <v>1383</v>
      </c>
      <c r="P151" s="26" t="str">
        <f>_xlfn.DISPIMG("ID_05A4371881E64A5ABCF18AC5C0DCA23F",1)</f>
        <v>=DISPIMG("ID_05A4371881E64A5ABCF18AC5C0DCA23F",1)</v>
      </c>
      <c r="Q151" s="25" t="s">
        <v>1384</v>
      </c>
      <c r="R151" s="25">
        <v>151</v>
      </c>
      <c r="S151" s="40" t="s">
        <v>4430</v>
      </c>
      <c r="T151" s="18" t="s">
        <v>43</v>
      </c>
      <c r="U151" s="25">
        <v>29</v>
      </c>
      <c r="V151" s="84"/>
    </row>
    <row r="152" s="3" customFormat="1" customHeight="1" spans="1:22">
      <c r="A152" s="84">
        <v>5</v>
      </c>
      <c r="B152" s="175" t="s">
        <v>738</v>
      </c>
      <c r="C152" s="175" t="s">
        <v>165</v>
      </c>
      <c r="D152" s="175" t="s">
        <v>739</v>
      </c>
      <c r="E152" s="25">
        <v>15279225160</v>
      </c>
      <c r="F152" s="175" t="s">
        <v>156</v>
      </c>
      <c r="G152" s="175" t="s">
        <v>14</v>
      </c>
      <c r="H152" s="25">
        <v>202102001</v>
      </c>
      <c r="I152" s="175" t="s">
        <v>279</v>
      </c>
      <c r="J152" s="175" t="s">
        <v>576</v>
      </c>
      <c r="K152" s="175" t="s">
        <v>348</v>
      </c>
      <c r="L152" s="175" t="s">
        <v>170</v>
      </c>
      <c r="M152" s="175" t="s">
        <v>224</v>
      </c>
      <c r="N152" s="175" t="s">
        <v>741</v>
      </c>
      <c r="O152" s="175" t="s">
        <v>742</v>
      </c>
      <c r="P152" s="26" t="str">
        <f>_xlfn.DISPIMG("ID_05F523224C924653A8F56CD5737A4E8C",1)</f>
        <v>=DISPIMG("ID_05F523224C924653A8F56CD5737A4E8C",1)</v>
      </c>
      <c r="Q152" s="25" t="s">
        <v>743</v>
      </c>
      <c r="R152" s="25">
        <v>70</v>
      </c>
      <c r="S152" s="40" t="s">
        <v>4423</v>
      </c>
      <c r="T152" s="18" t="s">
        <v>43</v>
      </c>
      <c r="U152" s="25">
        <v>30</v>
      </c>
      <c r="V152" s="85"/>
    </row>
    <row r="153" s="3" customFormat="1" customHeight="1" spans="1:22">
      <c r="A153" s="84">
        <v>26</v>
      </c>
      <c r="B153" s="175" t="s">
        <v>4082</v>
      </c>
      <c r="C153" s="175" t="s">
        <v>165</v>
      </c>
      <c r="D153" s="175" t="s">
        <v>4083</v>
      </c>
      <c r="E153" s="25">
        <v>17352963741</v>
      </c>
      <c r="F153" s="175" t="s">
        <v>506</v>
      </c>
      <c r="G153" s="175" t="s">
        <v>14</v>
      </c>
      <c r="H153" s="25">
        <v>202102014</v>
      </c>
      <c r="I153" s="175" t="s">
        <v>157</v>
      </c>
      <c r="J153" s="175" t="s">
        <v>178</v>
      </c>
      <c r="K153" s="175" t="s">
        <v>348</v>
      </c>
      <c r="L153" s="175" t="s">
        <v>170</v>
      </c>
      <c r="M153" s="175" t="s">
        <v>548</v>
      </c>
      <c r="N153" s="175" t="s">
        <v>4084</v>
      </c>
      <c r="O153" s="175" t="s">
        <v>4085</v>
      </c>
      <c r="P153" s="26" t="str">
        <f>_xlfn.DISPIMG("ID_C5311387C2FF404D8FA717D4979E175B",1)</f>
        <v>=DISPIMG("ID_C5311387C2FF404D8FA717D4979E175B",1)</v>
      </c>
      <c r="Q153" s="25" t="s">
        <v>4086</v>
      </c>
      <c r="R153" s="25">
        <v>522</v>
      </c>
      <c r="S153" s="40" t="s">
        <v>4476</v>
      </c>
      <c r="T153" s="18" t="s">
        <v>45</v>
      </c>
      <c r="U153" s="25">
        <v>1</v>
      </c>
      <c r="V153" s="84"/>
    </row>
    <row r="154" s="3" customFormat="1" customHeight="1" spans="1:22">
      <c r="A154" s="84">
        <v>21</v>
      </c>
      <c r="B154" s="175" t="s">
        <v>3881</v>
      </c>
      <c r="C154" s="175" t="s">
        <v>165</v>
      </c>
      <c r="D154" s="175" t="s">
        <v>3882</v>
      </c>
      <c r="E154" s="25">
        <v>18770914505</v>
      </c>
      <c r="F154" s="175" t="s">
        <v>156</v>
      </c>
      <c r="G154" s="175" t="s">
        <v>14</v>
      </c>
      <c r="H154" s="25">
        <v>202102001</v>
      </c>
      <c r="I154" s="175" t="s">
        <v>279</v>
      </c>
      <c r="J154" s="175" t="s">
        <v>178</v>
      </c>
      <c r="K154" s="175" t="s">
        <v>348</v>
      </c>
      <c r="L154" s="175" t="s">
        <v>170</v>
      </c>
      <c r="M154" s="175" t="s">
        <v>281</v>
      </c>
      <c r="N154" s="175" t="s">
        <v>498</v>
      </c>
      <c r="O154" s="175" t="s">
        <v>3884</v>
      </c>
      <c r="P154" s="26" t="str">
        <f>_xlfn.DISPIMG("ID_3C6B462D1CF047DC951D0874F80418DC",1)</f>
        <v>=DISPIMG("ID_3C6B462D1CF047DC951D0874F80418DC",1)</v>
      </c>
      <c r="Q154" s="25" t="s">
        <v>3885</v>
      </c>
      <c r="R154" s="25">
        <v>495</v>
      </c>
      <c r="S154" s="40" t="s">
        <v>4471</v>
      </c>
      <c r="T154" s="18" t="s">
        <v>45</v>
      </c>
      <c r="U154" s="25">
        <v>2</v>
      </c>
      <c r="V154" s="84"/>
    </row>
    <row r="155" s="3" customFormat="1" customHeight="1" spans="1:22">
      <c r="A155" s="84">
        <v>16</v>
      </c>
      <c r="B155" s="175" t="s">
        <v>3500</v>
      </c>
      <c r="C155" s="175" t="s">
        <v>165</v>
      </c>
      <c r="D155" s="175" t="s">
        <v>3501</v>
      </c>
      <c r="E155" s="25">
        <v>15070192175</v>
      </c>
      <c r="F155" s="175" t="s">
        <v>156</v>
      </c>
      <c r="G155" s="175" t="s">
        <v>14</v>
      </c>
      <c r="H155" s="25">
        <v>202102001</v>
      </c>
      <c r="I155" s="175" t="s">
        <v>279</v>
      </c>
      <c r="J155" s="175" t="s">
        <v>1545</v>
      </c>
      <c r="K155" s="175" t="s">
        <v>348</v>
      </c>
      <c r="L155" s="175" t="s">
        <v>170</v>
      </c>
      <c r="M155" s="175" t="s">
        <v>577</v>
      </c>
      <c r="N155" s="175" t="s">
        <v>638</v>
      </c>
      <c r="O155" s="175" t="s">
        <v>3503</v>
      </c>
      <c r="P155" s="26" t="str">
        <f>_xlfn.DISPIMG("ID_582DA32893494A1CB2F261C9DF30C5FF",1)</f>
        <v>=DISPIMG("ID_582DA32893494A1CB2F261C9DF30C5FF",1)</v>
      </c>
      <c r="Q155" s="25" t="s">
        <v>3504</v>
      </c>
      <c r="R155" s="25">
        <v>443</v>
      </c>
      <c r="S155" s="40" t="s">
        <v>4466</v>
      </c>
      <c r="T155" s="18" t="s">
        <v>45</v>
      </c>
      <c r="U155" s="25">
        <v>3</v>
      </c>
      <c r="V155" s="70"/>
    </row>
    <row r="156" s="3" customFormat="1" customHeight="1" spans="1:22">
      <c r="A156" s="84">
        <v>11</v>
      </c>
      <c r="B156" s="175" t="s">
        <v>3283</v>
      </c>
      <c r="C156" s="175" t="s">
        <v>165</v>
      </c>
      <c r="D156" s="175" t="s">
        <v>3284</v>
      </c>
      <c r="E156" s="25">
        <v>18970283911</v>
      </c>
      <c r="F156" s="175" t="s">
        <v>156</v>
      </c>
      <c r="G156" s="175" t="s">
        <v>14</v>
      </c>
      <c r="H156" s="25">
        <v>202102001</v>
      </c>
      <c r="I156" s="175" t="s">
        <v>157</v>
      </c>
      <c r="J156" s="175" t="s">
        <v>178</v>
      </c>
      <c r="K156" s="175" t="s">
        <v>3286</v>
      </c>
      <c r="L156" s="175" t="s">
        <v>170</v>
      </c>
      <c r="M156" s="175" t="s">
        <v>199</v>
      </c>
      <c r="N156" s="175" t="s">
        <v>14</v>
      </c>
      <c r="O156" s="175" t="s">
        <v>3287</v>
      </c>
      <c r="P156" s="26" t="str">
        <f>_xlfn.DISPIMG("ID_CEC6054CEEDC4B7EB64CEFDE8D077DB1",1)</f>
        <v>=DISPIMG("ID_CEC6054CEEDC4B7EB64CEFDE8D077DB1",1)</v>
      </c>
      <c r="Q156" s="25" t="s">
        <v>3288</v>
      </c>
      <c r="R156" s="25">
        <v>410</v>
      </c>
      <c r="S156" s="40" t="s">
        <v>4461</v>
      </c>
      <c r="T156" s="18" t="s">
        <v>45</v>
      </c>
      <c r="U156" s="25">
        <v>4</v>
      </c>
      <c r="V156" s="84"/>
    </row>
    <row r="157" s="3" customFormat="1" customHeight="1" spans="1:22">
      <c r="A157" s="84">
        <v>6</v>
      </c>
      <c r="B157" s="175" t="s">
        <v>3036</v>
      </c>
      <c r="C157" s="175" t="s">
        <v>165</v>
      </c>
      <c r="D157" s="175" t="s">
        <v>3037</v>
      </c>
      <c r="E157" s="25">
        <v>13755268380</v>
      </c>
      <c r="F157" s="175" t="s">
        <v>156</v>
      </c>
      <c r="G157" s="175" t="s">
        <v>14</v>
      </c>
      <c r="H157" s="25">
        <v>202102001</v>
      </c>
      <c r="I157" s="175" t="s">
        <v>279</v>
      </c>
      <c r="J157" s="175" t="s">
        <v>1674</v>
      </c>
      <c r="K157" s="175" t="s">
        <v>348</v>
      </c>
      <c r="L157" s="175" t="s">
        <v>170</v>
      </c>
      <c r="M157" s="175" t="s">
        <v>3039</v>
      </c>
      <c r="N157" s="175" t="s">
        <v>2395</v>
      </c>
      <c r="O157" s="175" t="s">
        <v>3040</v>
      </c>
      <c r="P157" s="26" t="str">
        <f>_xlfn.DISPIMG("ID_BCD8D492551D473299BE1D3404EC1A74",1)</f>
        <v>=DISPIMG("ID_BCD8D492551D473299BE1D3404EC1A74",1)</v>
      </c>
      <c r="Q157" s="25" t="s">
        <v>3041</v>
      </c>
      <c r="R157" s="25">
        <v>375</v>
      </c>
      <c r="S157" s="40" t="s">
        <v>4456</v>
      </c>
      <c r="T157" s="18" t="s">
        <v>45</v>
      </c>
      <c r="U157" s="25">
        <v>5</v>
      </c>
      <c r="V157" s="84"/>
    </row>
    <row r="158" s="3" customFormat="1" customHeight="1" spans="1:22">
      <c r="A158" s="84">
        <v>1</v>
      </c>
      <c r="B158" s="175" t="s">
        <v>2635</v>
      </c>
      <c r="C158" s="175" t="s">
        <v>165</v>
      </c>
      <c r="D158" s="175" t="s">
        <v>2636</v>
      </c>
      <c r="E158" s="25">
        <v>15170208662</v>
      </c>
      <c r="F158" s="175" t="s">
        <v>156</v>
      </c>
      <c r="G158" s="175" t="s">
        <v>14</v>
      </c>
      <c r="H158" s="25">
        <v>202102001</v>
      </c>
      <c r="I158" s="175" t="s">
        <v>157</v>
      </c>
      <c r="J158" s="175" t="s">
        <v>233</v>
      </c>
      <c r="K158" s="175" t="s">
        <v>454</v>
      </c>
      <c r="L158" s="175" t="s">
        <v>170</v>
      </c>
      <c r="M158" s="175" t="s">
        <v>349</v>
      </c>
      <c r="N158" s="175" t="s">
        <v>2638</v>
      </c>
      <c r="O158" s="175" t="s">
        <v>2639</v>
      </c>
      <c r="P158" s="26" t="str">
        <f>_xlfn.DISPIMG("ID_E1D95DAB49404461BEFC75E6320DFECC",1)</f>
        <v>=DISPIMG("ID_E1D95DAB49404461BEFC75E6320DFECC",1)</v>
      </c>
      <c r="Q158" s="25" t="s">
        <v>2640</v>
      </c>
      <c r="R158" s="25">
        <v>317</v>
      </c>
      <c r="S158" s="40" t="s">
        <v>4451</v>
      </c>
      <c r="T158" s="18" t="s">
        <v>45</v>
      </c>
      <c r="U158" s="25">
        <v>6</v>
      </c>
      <c r="V158" s="84"/>
    </row>
    <row r="159" s="3" customFormat="1" customHeight="1" spans="1:22">
      <c r="A159" s="84">
        <v>2</v>
      </c>
      <c r="B159" s="175" t="s">
        <v>2659</v>
      </c>
      <c r="C159" s="175" t="s">
        <v>165</v>
      </c>
      <c r="D159" s="175" t="s">
        <v>2660</v>
      </c>
      <c r="E159" s="25">
        <v>13627065761</v>
      </c>
      <c r="F159" s="175" t="s">
        <v>156</v>
      </c>
      <c r="G159" s="175" t="s">
        <v>14</v>
      </c>
      <c r="H159" s="25">
        <v>202102001</v>
      </c>
      <c r="I159" s="175" t="s">
        <v>157</v>
      </c>
      <c r="J159" s="175" t="s">
        <v>269</v>
      </c>
      <c r="K159" s="175" t="s">
        <v>454</v>
      </c>
      <c r="L159" s="175" t="s">
        <v>170</v>
      </c>
      <c r="M159" s="175" t="s">
        <v>161</v>
      </c>
      <c r="N159" s="175" t="s">
        <v>26</v>
      </c>
      <c r="O159" s="175" t="s">
        <v>2662</v>
      </c>
      <c r="P159" s="26" t="str">
        <f>_xlfn.DISPIMG("ID_4750BE615CAB4B2790251BC514AE2277",1)</f>
        <v>=DISPIMG("ID_4750BE615CAB4B2790251BC514AE2277",1)</v>
      </c>
      <c r="Q159" s="25" t="s">
        <v>2663</v>
      </c>
      <c r="R159" s="25">
        <v>320</v>
      </c>
      <c r="S159" s="40" t="s">
        <v>4452</v>
      </c>
      <c r="T159" s="18" t="s">
        <v>45</v>
      </c>
      <c r="U159" s="25">
        <v>7</v>
      </c>
      <c r="V159" s="84"/>
    </row>
    <row r="160" s="3" customFormat="1" customHeight="1" spans="1:22">
      <c r="A160" s="84">
        <v>7</v>
      </c>
      <c r="B160" s="175" t="s">
        <v>3058</v>
      </c>
      <c r="C160" s="175" t="s">
        <v>165</v>
      </c>
      <c r="D160" s="175" t="s">
        <v>3059</v>
      </c>
      <c r="E160" s="25">
        <v>18616047542</v>
      </c>
      <c r="F160" s="175" t="s">
        <v>156</v>
      </c>
      <c r="G160" s="175" t="s">
        <v>14</v>
      </c>
      <c r="H160" s="25">
        <v>202102001</v>
      </c>
      <c r="I160" s="175" t="s">
        <v>157</v>
      </c>
      <c r="J160" s="175" t="s">
        <v>233</v>
      </c>
      <c r="K160" s="175" t="s">
        <v>1489</v>
      </c>
      <c r="L160" s="175" t="s">
        <v>170</v>
      </c>
      <c r="M160" s="175" t="s">
        <v>3061</v>
      </c>
      <c r="N160" s="175" t="s">
        <v>3062</v>
      </c>
      <c r="O160" s="175" t="s">
        <v>3063</v>
      </c>
      <c r="P160" s="26" t="str">
        <f>_xlfn.DISPIMG("ID_0F24A07024DD4EC28C638A81C28E0099",1)</f>
        <v>=DISPIMG("ID_0F24A07024DD4EC28C638A81C28E0099",1)</v>
      </c>
      <c r="Q160" s="25" t="s">
        <v>3064</v>
      </c>
      <c r="R160" s="25">
        <v>378</v>
      </c>
      <c r="S160" s="40" t="s">
        <v>4457</v>
      </c>
      <c r="T160" s="18" t="s">
        <v>45</v>
      </c>
      <c r="U160" s="25">
        <v>8</v>
      </c>
      <c r="V160" s="84"/>
    </row>
    <row r="161" s="3" customFormat="1" customHeight="1" spans="1:22">
      <c r="A161" s="84">
        <v>12</v>
      </c>
      <c r="B161" s="175" t="s">
        <v>3374</v>
      </c>
      <c r="C161" s="175" t="s">
        <v>165</v>
      </c>
      <c r="D161" s="175" t="s">
        <v>3375</v>
      </c>
      <c r="E161" s="25">
        <v>18879135233</v>
      </c>
      <c r="F161" s="175" t="s">
        <v>156</v>
      </c>
      <c r="G161" s="175" t="s">
        <v>14</v>
      </c>
      <c r="H161" s="25">
        <v>202102001</v>
      </c>
      <c r="I161" s="175" t="s">
        <v>279</v>
      </c>
      <c r="J161" s="175" t="s">
        <v>339</v>
      </c>
      <c r="K161" s="175" t="s">
        <v>1950</v>
      </c>
      <c r="L161" s="175" t="s">
        <v>170</v>
      </c>
      <c r="M161" s="175" t="s">
        <v>216</v>
      </c>
      <c r="N161" s="175" t="s">
        <v>350</v>
      </c>
      <c r="O161" s="175" t="s">
        <v>3377</v>
      </c>
      <c r="P161" s="26" t="str">
        <f>_xlfn.DISPIMG("ID_A4F86B02E8AC4C77B083B94B4997B486",1)</f>
        <v>=DISPIMG("ID_A4F86B02E8AC4C77B083B94B4997B486",1)</v>
      </c>
      <c r="Q161" s="25" t="s">
        <v>3378</v>
      </c>
      <c r="R161" s="25">
        <v>425</v>
      </c>
      <c r="S161" s="40" t="s">
        <v>4462</v>
      </c>
      <c r="T161" s="18" t="s">
        <v>45</v>
      </c>
      <c r="U161" s="25">
        <v>9</v>
      </c>
      <c r="V161" s="84"/>
    </row>
    <row r="162" s="3" customFormat="1" customHeight="1" spans="1:22">
      <c r="A162" s="84">
        <v>17</v>
      </c>
      <c r="B162" s="175" t="s">
        <v>3602</v>
      </c>
      <c r="C162" s="175" t="s">
        <v>165</v>
      </c>
      <c r="D162" s="175" t="s">
        <v>3603</v>
      </c>
      <c r="E162" s="25">
        <v>18507927596</v>
      </c>
      <c r="F162" s="175" t="s">
        <v>156</v>
      </c>
      <c r="G162" s="175" t="s">
        <v>14</v>
      </c>
      <c r="H162" s="25">
        <v>202102001</v>
      </c>
      <c r="I162" s="175" t="s">
        <v>279</v>
      </c>
      <c r="J162" s="175" t="s">
        <v>158</v>
      </c>
      <c r="K162" s="175" t="s">
        <v>348</v>
      </c>
      <c r="L162" s="175" t="s">
        <v>170</v>
      </c>
      <c r="M162" s="175" t="s">
        <v>281</v>
      </c>
      <c r="N162" s="175" t="s">
        <v>14</v>
      </c>
      <c r="O162" s="175" t="s">
        <v>3604</v>
      </c>
      <c r="P162" s="26" t="str">
        <f>_xlfn.DISPIMG("ID_ADF263347E1B436A9E9869CDB170C299",1)</f>
        <v>=DISPIMG("ID_ADF263347E1B436A9E9869CDB170C299",1)</v>
      </c>
      <c r="Q162" s="25" t="s">
        <v>3605</v>
      </c>
      <c r="R162" s="25">
        <v>458</v>
      </c>
      <c r="S162" s="40" t="s">
        <v>4467</v>
      </c>
      <c r="T162" s="18" t="s">
        <v>45</v>
      </c>
      <c r="U162" s="25">
        <v>10</v>
      </c>
      <c r="V162" s="84"/>
    </row>
    <row r="163" s="3" customFormat="1" customHeight="1" spans="1:22">
      <c r="A163" s="84">
        <v>22</v>
      </c>
      <c r="B163" s="175" t="s">
        <v>3888</v>
      </c>
      <c r="C163" s="175" t="s">
        <v>165</v>
      </c>
      <c r="D163" s="175" t="s">
        <v>3889</v>
      </c>
      <c r="E163" s="25">
        <v>15949598955</v>
      </c>
      <c r="F163" s="175" t="s">
        <v>156</v>
      </c>
      <c r="G163" s="175" t="s">
        <v>14</v>
      </c>
      <c r="H163" s="25">
        <v>202102001</v>
      </c>
      <c r="I163" s="175" t="s">
        <v>279</v>
      </c>
      <c r="J163" s="175" t="s">
        <v>367</v>
      </c>
      <c r="K163" s="175" t="s">
        <v>348</v>
      </c>
      <c r="L163" s="175" t="s">
        <v>170</v>
      </c>
      <c r="M163" s="175" t="s">
        <v>587</v>
      </c>
      <c r="N163" s="175" t="s">
        <v>14</v>
      </c>
      <c r="O163" s="175" t="s">
        <v>3891</v>
      </c>
      <c r="P163" s="26" t="str">
        <f>_xlfn.DISPIMG("ID_2410E866E9B946F380BB65E1492A0355",1)</f>
        <v>=DISPIMG("ID_2410E866E9B946F380BB65E1492A0355",1)</v>
      </c>
      <c r="Q163" s="25" t="s">
        <v>3892</v>
      </c>
      <c r="R163" s="25">
        <v>496</v>
      </c>
      <c r="S163" s="40" t="s">
        <v>4472</v>
      </c>
      <c r="T163" s="18" t="s">
        <v>45</v>
      </c>
      <c r="U163" s="25">
        <v>11</v>
      </c>
      <c r="V163" s="84"/>
    </row>
    <row r="164" s="3" customFormat="1" customHeight="1" spans="1:22">
      <c r="A164" s="84">
        <v>27</v>
      </c>
      <c r="B164" s="176" t="s">
        <v>4103</v>
      </c>
      <c r="C164" s="176" t="s">
        <v>165</v>
      </c>
      <c r="D164" s="176" t="s">
        <v>4104</v>
      </c>
      <c r="E164" s="70">
        <v>15270173371</v>
      </c>
      <c r="F164" s="176" t="s">
        <v>384</v>
      </c>
      <c r="G164" s="176" t="s">
        <v>14</v>
      </c>
      <c r="H164" s="70">
        <v>202102001</v>
      </c>
      <c r="I164" s="176" t="s">
        <v>157</v>
      </c>
      <c r="J164" s="176" t="s">
        <v>233</v>
      </c>
      <c r="K164" s="176" t="s">
        <v>454</v>
      </c>
      <c r="L164" s="176" t="s">
        <v>170</v>
      </c>
      <c r="M164" s="176" t="s">
        <v>4106</v>
      </c>
      <c r="N164" s="176" t="s">
        <v>14</v>
      </c>
      <c r="O164" s="176" t="s">
        <v>4107</v>
      </c>
      <c r="P164" s="86" t="str">
        <f>_xlfn.DISPIMG("ID_EDE9A315C64A4BE2AC2F986557EA53FC",1)</f>
        <v>=DISPIMG("ID_EDE9A315C64A4BE2AC2F986557EA53FC",1)</v>
      </c>
      <c r="Q164" s="70" t="s">
        <v>4108</v>
      </c>
      <c r="R164" s="70">
        <v>525</v>
      </c>
      <c r="S164" s="40" t="s">
        <v>4477</v>
      </c>
      <c r="T164" s="18" t="s">
        <v>45</v>
      </c>
      <c r="U164" s="25">
        <v>12</v>
      </c>
      <c r="V164" s="70"/>
    </row>
    <row r="165" s="3" customFormat="1" customHeight="1" spans="1:22">
      <c r="A165" s="84">
        <v>28</v>
      </c>
      <c r="B165" s="175" t="s">
        <v>4177</v>
      </c>
      <c r="C165" s="175" t="s">
        <v>165</v>
      </c>
      <c r="D165" s="175" t="s">
        <v>4178</v>
      </c>
      <c r="E165" s="25">
        <v>18759251284</v>
      </c>
      <c r="F165" s="175" t="s">
        <v>156</v>
      </c>
      <c r="G165" s="175" t="s">
        <v>14</v>
      </c>
      <c r="H165" s="25">
        <v>202102001</v>
      </c>
      <c r="I165" s="175" t="s">
        <v>157</v>
      </c>
      <c r="J165" s="175" t="s">
        <v>2363</v>
      </c>
      <c r="K165" s="175" t="s">
        <v>454</v>
      </c>
      <c r="L165" s="175" t="s">
        <v>170</v>
      </c>
      <c r="M165" s="175" t="s">
        <v>455</v>
      </c>
      <c r="N165" s="175" t="s">
        <v>26</v>
      </c>
      <c r="O165" s="175" t="s">
        <v>4180</v>
      </c>
      <c r="P165" s="26" t="str">
        <f>_xlfn.DISPIMG("ID_E9338F1098B64D83A2AE0E9576D18B92",1)</f>
        <v>=DISPIMG("ID_E9338F1098B64D83A2AE0E9576D18B92",1)</v>
      </c>
      <c r="Q165" s="25" t="s">
        <v>4181</v>
      </c>
      <c r="R165" s="25">
        <v>534</v>
      </c>
      <c r="S165" s="40" t="s">
        <v>4478</v>
      </c>
      <c r="T165" s="18" t="s">
        <v>45</v>
      </c>
      <c r="U165" s="25">
        <v>13</v>
      </c>
      <c r="V165" s="84"/>
    </row>
    <row r="166" s="3" customFormat="1" customHeight="1" spans="1:22">
      <c r="A166" s="84">
        <v>23</v>
      </c>
      <c r="B166" s="175" t="s">
        <v>3910</v>
      </c>
      <c r="C166" s="175" t="s">
        <v>165</v>
      </c>
      <c r="D166" s="175" t="s">
        <v>3911</v>
      </c>
      <c r="E166" s="25">
        <v>13627096197</v>
      </c>
      <c r="F166" s="175" t="s">
        <v>156</v>
      </c>
      <c r="G166" s="175" t="s">
        <v>14</v>
      </c>
      <c r="H166" s="25">
        <v>202102001</v>
      </c>
      <c r="I166" s="175" t="s">
        <v>157</v>
      </c>
      <c r="J166" s="175" t="s">
        <v>233</v>
      </c>
      <c r="K166" s="175" t="s">
        <v>454</v>
      </c>
      <c r="L166" s="175" t="s">
        <v>170</v>
      </c>
      <c r="M166" s="175" t="s">
        <v>516</v>
      </c>
      <c r="N166" s="175" t="s">
        <v>3913</v>
      </c>
      <c r="O166" s="175" t="s">
        <v>3914</v>
      </c>
      <c r="P166" s="26" t="str">
        <f>_xlfn.DISPIMG("ID_2CCA277749F14624BD11838DCC078340",1)</f>
        <v>=DISPIMG("ID_2CCA277749F14624BD11838DCC078340",1)</v>
      </c>
      <c r="Q166" s="25" t="s">
        <v>3915</v>
      </c>
      <c r="R166" s="25">
        <v>499</v>
      </c>
      <c r="S166" s="40" t="s">
        <v>4473</v>
      </c>
      <c r="T166" s="18" t="s">
        <v>45</v>
      </c>
      <c r="U166" s="25">
        <v>14</v>
      </c>
      <c r="V166" s="84"/>
    </row>
    <row r="167" s="3" customFormat="1" customHeight="1" spans="1:22">
      <c r="A167" s="84">
        <v>18</v>
      </c>
      <c r="B167" s="175" t="s">
        <v>3705</v>
      </c>
      <c r="C167" s="175" t="s">
        <v>165</v>
      </c>
      <c r="D167" s="175" t="s">
        <v>3706</v>
      </c>
      <c r="E167" s="25">
        <v>15079123471</v>
      </c>
      <c r="F167" s="175" t="s">
        <v>156</v>
      </c>
      <c r="G167" s="175" t="s">
        <v>14</v>
      </c>
      <c r="H167" s="25">
        <v>202102011</v>
      </c>
      <c r="I167" s="175" t="s">
        <v>157</v>
      </c>
      <c r="J167" s="175" t="s">
        <v>233</v>
      </c>
      <c r="K167" s="175" t="s">
        <v>3708</v>
      </c>
      <c r="L167" s="175" t="s">
        <v>170</v>
      </c>
      <c r="M167" s="175" t="s">
        <v>216</v>
      </c>
      <c r="N167" s="175" t="s">
        <v>14</v>
      </c>
      <c r="O167" s="175" t="s">
        <v>3709</v>
      </c>
      <c r="P167" s="26" t="str">
        <f>_xlfn.DISPIMG("ID_BF7D6285C9C043E7887E7AA2FA4C62A7",1)</f>
        <v>=DISPIMG("ID_BF7D6285C9C043E7887E7AA2FA4C62A7",1)</v>
      </c>
      <c r="Q167" s="25" t="s">
        <v>3710</v>
      </c>
      <c r="R167" s="25">
        <v>472</v>
      </c>
      <c r="S167" s="40" t="s">
        <v>4468</v>
      </c>
      <c r="T167" s="18" t="s">
        <v>45</v>
      </c>
      <c r="U167" s="25">
        <v>15</v>
      </c>
      <c r="V167" s="84"/>
    </row>
    <row r="168" s="4" customFormat="1" customHeight="1" spans="1:22">
      <c r="A168" s="84">
        <v>13</v>
      </c>
      <c r="B168" s="175" t="s">
        <v>3381</v>
      </c>
      <c r="C168" s="175" t="s">
        <v>165</v>
      </c>
      <c r="D168" s="175" t="s">
        <v>3382</v>
      </c>
      <c r="E168" s="25">
        <v>15070017489</v>
      </c>
      <c r="F168" s="175" t="s">
        <v>156</v>
      </c>
      <c r="G168" s="175" t="s">
        <v>14</v>
      </c>
      <c r="H168" s="25">
        <v>202102001</v>
      </c>
      <c r="I168" s="175" t="s">
        <v>157</v>
      </c>
      <c r="J168" s="175" t="s">
        <v>1121</v>
      </c>
      <c r="K168" s="175" t="s">
        <v>1832</v>
      </c>
      <c r="L168" s="175" t="s">
        <v>160</v>
      </c>
      <c r="M168" s="175" t="s">
        <v>199</v>
      </c>
      <c r="N168" s="175" t="s">
        <v>14</v>
      </c>
      <c r="O168" s="25">
        <v>0</v>
      </c>
      <c r="P168" s="26" t="str">
        <f>_xlfn.DISPIMG("ID_755EB9C887424753BE38DCDA04F5D53F",1)</f>
        <v>=DISPIMG("ID_755EB9C887424753BE38DCDA04F5D53F",1)</v>
      </c>
      <c r="Q168" s="25" t="s">
        <v>3384</v>
      </c>
      <c r="R168" s="25">
        <v>426</v>
      </c>
      <c r="S168" s="40" t="s">
        <v>4463</v>
      </c>
      <c r="T168" s="18" t="s">
        <v>45</v>
      </c>
      <c r="U168" s="25">
        <v>16</v>
      </c>
      <c r="V168" s="84"/>
    </row>
    <row r="169" s="3" customFormat="1" customHeight="1" spans="1:22">
      <c r="A169" s="84">
        <v>8</v>
      </c>
      <c r="B169" s="175" t="s">
        <v>3067</v>
      </c>
      <c r="C169" s="175" t="s">
        <v>165</v>
      </c>
      <c r="D169" s="175" t="s">
        <v>3068</v>
      </c>
      <c r="E169" s="25">
        <v>18070525525</v>
      </c>
      <c r="F169" s="175" t="s">
        <v>156</v>
      </c>
      <c r="G169" s="175" t="s">
        <v>14</v>
      </c>
      <c r="H169" s="25">
        <v>202102001</v>
      </c>
      <c r="I169" s="175" t="s">
        <v>157</v>
      </c>
      <c r="J169" s="175" t="s">
        <v>3070</v>
      </c>
      <c r="K169" s="175" t="s">
        <v>454</v>
      </c>
      <c r="L169" s="175" t="s">
        <v>170</v>
      </c>
      <c r="M169" s="175" t="s">
        <v>577</v>
      </c>
      <c r="N169" s="175" t="s">
        <v>1579</v>
      </c>
      <c r="O169" s="175" t="s">
        <v>3071</v>
      </c>
      <c r="P169" s="26" t="str">
        <f>_xlfn.DISPIMG("ID_2CCF9645E24E4A3B81BAE72B8AED314D",1)</f>
        <v>=DISPIMG("ID_2CCF9645E24E4A3B81BAE72B8AED314D",1)</v>
      </c>
      <c r="Q169" s="25" t="s">
        <v>3072</v>
      </c>
      <c r="R169" s="25">
        <v>379</v>
      </c>
      <c r="S169" s="40" t="s">
        <v>4458</v>
      </c>
      <c r="T169" s="18" t="s">
        <v>45</v>
      </c>
      <c r="U169" s="25">
        <v>17</v>
      </c>
      <c r="V169" s="84"/>
    </row>
    <row r="170" s="3" customFormat="1" customHeight="1" spans="1:22">
      <c r="A170" s="84">
        <v>3</v>
      </c>
      <c r="B170" s="175" t="s">
        <v>2726</v>
      </c>
      <c r="C170" s="175" t="s">
        <v>165</v>
      </c>
      <c r="D170" s="175" t="s">
        <v>2727</v>
      </c>
      <c r="E170" s="25">
        <v>18770822590</v>
      </c>
      <c r="F170" s="175" t="s">
        <v>156</v>
      </c>
      <c r="G170" s="175" t="s">
        <v>14</v>
      </c>
      <c r="H170" s="25">
        <v>202102001</v>
      </c>
      <c r="I170" s="175" t="s">
        <v>157</v>
      </c>
      <c r="J170" s="175" t="s">
        <v>233</v>
      </c>
      <c r="K170" s="175" t="s">
        <v>1570</v>
      </c>
      <c r="L170" s="175" t="s">
        <v>160</v>
      </c>
      <c r="M170" s="175" t="s">
        <v>252</v>
      </c>
      <c r="N170" s="175" t="s">
        <v>26</v>
      </c>
      <c r="O170" s="175" t="s">
        <v>2728</v>
      </c>
      <c r="P170" s="26" t="str">
        <f>_xlfn.DISPIMG("ID_BA1DF7BF960547A0983F8DB11C878B07",1)</f>
        <v>=DISPIMG("ID_BA1DF7BF960547A0983F8DB11C878B07",1)</v>
      </c>
      <c r="Q170" s="25" t="s">
        <v>2729</v>
      </c>
      <c r="R170" s="25">
        <v>329</v>
      </c>
      <c r="S170" s="40" t="s">
        <v>4453</v>
      </c>
      <c r="T170" s="18" t="s">
        <v>45</v>
      </c>
      <c r="U170" s="25">
        <v>18</v>
      </c>
      <c r="V170" s="84"/>
    </row>
    <row r="171" s="3" customFormat="1" customHeight="1" spans="1:22">
      <c r="A171" s="84">
        <v>4</v>
      </c>
      <c r="B171" s="175" t="s">
        <v>2767</v>
      </c>
      <c r="C171" s="175" t="s">
        <v>165</v>
      </c>
      <c r="D171" s="175" t="s">
        <v>2768</v>
      </c>
      <c r="E171" s="25">
        <v>18270257502</v>
      </c>
      <c r="F171" s="175" t="s">
        <v>506</v>
      </c>
      <c r="G171" s="175" t="s">
        <v>14</v>
      </c>
      <c r="H171" s="25">
        <v>202102014</v>
      </c>
      <c r="I171" s="175" t="s">
        <v>279</v>
      </c>
      <c r="J171" s="175" t="s">
        <v>367</v>
      </c>
      <c r="K171" s="175" t="s">
        <v>1878</v>
      </c>
      <c r="L171" s="175" t="s">
        <v>170</v>
      </c>
      <c r="M171" s="175" t="s">
        <v>161</v>
      </c>
      <c r="N171" s="175" t="s">
        <v>14</v>
      </c>
      <c r="O171" s="175" t="s">
        <v>2770</v>
      </c>
      <c r="P171" s="26" t="str">
        <f>_xlfn.DISPIMG("ID_599781AB8A9B405FA1C45AEDC9F43F4B",1)</f>
        <v>=DISPIMG("ID_599781AB8A9B405FA1C45AEDC9F43F4B",1)</v>
      </c>
      <c r="Q171" s="25" t="s">
        <v>2771</v>
      </c>
      <c r="R171" s="25">
        <v>335</v>
      </c>
      <c r="S171" s="40" t="s">
        <v>4454</v>
      </c>
      <c r="T171" s="18" t="s">
        <v>45</v>
      </c>
      <c r="U171" s="25">
        <v>19</v>
      </c>
      <c r="V171" s="84"/>
    </row>
    <row r="172" s="3" customFormat="1" customHeight="1" spans="1:22">
      <c r="A172" s="84">
        <v>9</v>
      </c>
      <c r="B172" s="175" t="s">
        <v>3166</v>
      </c>
      <c r="C172" s="175" t="s">
        <v>165</v>
      </c>
      <c r="D172" s="175" t="s">
        <v>3167</v>
      </c>
      <c r="E172" s="25">
        <v>18797976473</v>
      </c>
      <c r="F172" s="175" t="s">
        <v>156</v>
      </c>
      <c r="G172" s="175" t="s">
        <v>14</v>
      </c>
      <c r="H172" s="25">
        <v>202102001</v>
      </c>
      <c r="I172" s="175" t="s">
        <v>157</v>
      </c>
      <c r="J172" s="175" t="s">
        <v>158</v>
      </c>
      <c r="K172" s="175" t="s">
        <v>395</v>
      </c>
      <c r="L172" s="175" t="s">
        <v>160</v>
      </c>
      <c r="M172" s="175" t="s">
        <v>587</v>
      </c>
      <c r="N172" s="175" t="s">
        <v>14</v>
      </c>
      <c r="O172" s="25">
        <v>0</v>
      </c>
      <c r="P172" s="26" t="str">
        <f>_xlfn.DISPIMG("ID_F2E559AD12664A6E81B51441D537B134",1)</f>
        <v>=DISPIMG("ID_F2E559AD12664A6E81B51441D537B134",1)</v>
      </c>
      <c r="Q172" s="25" t="s">
        <v>3169</v>
      </c>
      <c r="R172" s="25">
        <v>393</v>
      </c>
      <c r="S172" s="40" t="s">
        <v>4459</v>
      </c>
      <c r="T172" s="18" t="s">
        <v>45</v>
      </c>
      <c r="U172" s="25">
        <v>20</v>
      </c>
      <c r="V172" s="84"/>
    </row>
    <row r="173" s="3" customFormat="1" customHeight="1" spans="1:22">
      <c r="A173" s="84">
        <v>14</v>
      </c>
      <c r="B173" s="175" t="s">
        <v>3436</v>
      </c>
      <c r="C173" s="175" t="s">
        <v>165</v>
      </c>
      <c r="D173" s="175" t="s">
        <v>3437</v>
      </c>
      <c r="E173" s="25">
        <v>15396816962</v>
      </c>
      <c r="F173" s="175" t="s">
        <v>156</v>
      </c>
      <c r="G173" s="175" t="s">
        <v>14</v>
      </c>
      <c r="H173" s="25">
        <v>202102001</v>
      </c>
      <c r="I173" s="175" t="s">
        <v>279</v>
      </c>
      <c r="J173" s="175" t="s">
        <v>367</v>
      </c>
      <c r="K173" s="175" t="s">
        <v>348</v>
      </c>
      <c r="L173" s="175" t="s">
        <v>170</v>
      </c>
      <c r="M173" s="175" t="s">
        <v>180</v>
      </c>
      <c r="N173" s="175" t="s">
        <v>638</v>
      </c>
      <c r="O173" s="175" t="s">
        <v>3439</v>
      </c>
      <c r="P173" s="26" t="str">
        <f>_xlfn.DISPIMG("ID_82244367FBEE45C5B0219468F4CFBAF4",1)</f>
        <v>=DISPIMG("ID_82244367FBEE45C5B0219468F4CFBAF4",1)</v>
      </c>
      <c r="Q173" s="25" t="s">
        <v>3440</v>
      </c>
      <c r="R173" s="25">
        <v>434</v>
      </c>
      <c r="S173" s="40" t="s">
        <v>4464</v>
      </c>
      <c r="T173" s="18" t="s">
        <v>45</v>
      </c>
      <c r="U173" s="25">
        <v>21</v>
      </c>
      <c r="V173" s="84"/>
    </row>
    <row r="174" s="3" customFormat="1" customHeight="1" spans="1:22">
      <c r="A174" s="84">
        <v>19</v>
      </c>
      <c r="B174" s="175" t="s">
        <v>3773</v>
      </c>
      <c r="C174" s="175" t="s">
        <v>165</v>
      </c>
      <c r="D174" s="175" t="s">
        <v>3774</v>
      </c>
      <c r="E174" s="25">
        <v>15083553694</v>
      </c>
      <c r="F174" s="175" t="s">
        <v>156</v>
      </c>
      <c r="G174" s="175" t="s">
        <v>14</v>
      </c>
      <c r="H174" s="25">
        <v>202102001</v>
      </c>
      <c r="I174" s="175" t="s">
        <v>279</v>
      </c>
      <c r="J174" s="175" t="s">
        <v>178</v>
      </c>
      <c r="K174" s="175" t="s">
        <v>348</v>
      </c>
      <c r="L174" s="175" t="s">
        <v>170</v>
      </c>
      <c r="M174" s="175" t="s">
        <v>180</v>
      </c>
      <c r="N174" s="175" t="s">
        <v>14</v>
      </c>
      <c r="O174" s="175" t="s">
        <v>3776</v>
      </c>
      <c r="P174" s="26" t="str">
        <f>_xlfn.DISPIMG("ID_CF1C1431032D4C21956EAEFBC2630095",1)</f>
        <v>=DISPIMG("ID_CF1C1431032D4C21956EAEFBC2630095",1)</v>
      </c>
      <c r="Q174" s="25" t="s">
        <v>3777</v>
      </c>
      <c r="R174" s="25">
        <v>481</v>
      </c>
      <c r="S174" s="40" t="s">
        <v>4469</v>
      </c>
      <c r="T174" s="18" t="s">
        <v>45</v>
      </c>
      <c r="U174" s="25">
        <v>22</v>
      </c>
      <c r="V174" s="84"/>
    </row>
    <row r="175" s="3" customFormat="1" customHeight="1" spans="1:22">
      <c r="A175" s="84">
        <v>24</v>
      </c>
      <c r="B175" s="175" t="s">
        <v>3931</v>
      </c>
      <c r="C175" s="175" t="s">
        <v>165</v>
      </c>
      <c r="D175" s="175" t="s">
        <v>3932</v>
      </c>
      <c r="E175" s="25">
        <v>13064153607</v>
      </c>
      <c r="F175" s="175" t="s">
        <v>156</v>
      </c>
      <c r="G175" s="175" t="s">
        <v>14</v>
      </c>
      <c r="H175" s="25">
        <v>202102001</v>
      </c>
      <c r="I175" s="175" t="s">
        <v>279</v>
      </c>
      <c r="J175" s="175" t="s">
        <v>3934</v>
      </c>
      <c r="K175" s="175" t="s">
        <v>348</v>
      </c>
      <c r="L175" s="175" t="s">
        <v>170</v>
      </c>
      <c r="M175" s="175" t="s">
        <v>349</v>
      </c>
      <c r="N175" s="175" t="s">
        <v>3935</v>
      </c>
      <c r="O175" s="175" t="s">
        <v>3936</v>
      </c>
      <c r="P175" s="26" t="str">
        <f>_xlfn.DISPIMG("ID_FD6A12B7DDFB4497A1625AEB18B6C93E",1)</f>
        <v>=DISPIMG("ID_FD6A12B7DDFB4497A1625AEB18B6C93E",1)</v>
      </c>
      <c r="Q175" s="25" t="s">
        <v>3937</v>
      </c>
      <c r="R175" s="25">
        <v>502</v>
      </c>
      <c r="S175" s="40" t="s">
        <v>4474</v>
      </c>
      <c r="T175" s="18" t="s">
        <v>45</v>
      </c>
      <c r="U175" s="25">
        <v>23</v>
      </c>
      <c r="V175" s="84"/>
    </row>
    <row r="176" s="3" customFormat="1" customHeight="1" spans="1:22">
      <c r="A176" s="84">
        <v>29</v>
      </c>
      <c r="B176" s="175" t="s">
        <v>4214</v>
      </c>
      <c r="C176" s="175" t="s">
        <v>165</v>
      </c>
      <c r="D176" s="175" t="s">
        <v>4215</v>
      </c>
      <c r="E176" s="25">
        <v>19979263918</v>
      </c>
      <c r="F176" s="175" t="s">
        <v>156</v>
      </c>
      <c r="G176" s="175" t="s">
        <v>14</v>
      </c>
      <c r="H176" s="25">
        <v>202102001</v>
      </c>
      <c r="I176" s="175" t="s">
        <v>157</v>
      </c>
      <c r="J176" s="175" t="s">
        <v>412</v>
      </c>
      <c r="K176" s="175" t="s">
        <v>4217</v>
      </c>
      <c r="L176" s="175" t="s">
        <v>160</v>
      </c>
      <c r="M176" s="175" t="s">
        <v>180</v>
      </c>
      <c r="N176" s="175" t="s">
        <v>26</v>
      </c>
      <c r="O176" s="175" t="s">
        <v>4218</v>
      </c>
      <c r="P176" s="26" t="str">
        <f>_xlfn.DISPIMG("ID_458825B7ED724C7B8EAA7308C4517BC8",1)</f>
        <v>=DISPIMG("ID_458825B7ED724C7B8EAA7308C4517BC8",1)</v>
      </c>
      <c r="Q176" s="25" t="s">
        <v>4219</v>
      </c>
      <c r="R176" s="25">
        <v>539</v>
      </c>
      <c r="S176" s="40" t="s">
        <v>4479</v>
      </c>
      <c r="T176" s="18" t="s">
        <v>45</v>
      </c>
      <c r="U176" s="25">
        <v>24</v>
      </c>
      <c r="V176" s="84"/>
    </row>
    <row r="177" s="3" customFormat="1" customHeight="1" spans="1:22">
      <c r="A177" s="84">
        <v>30</v>
      </c>
      <c r="B177" s="175" t="s">
        <v>4308</v>
      </c>
      <c r="C177" s="175" t="s">
        <v>165</v>
      </c>
      <c r="D177" s="175" t="s">
        <v>4309</v>
      </c>
      <c r="E177" s="25">
        <v>17770159034</v>
      </c>
      <c r="F177" s="175" t="s">
        <v>156</v>
      </c>
      <c r="G177" s="175" t="s">
        <v>14</v>
      </c>
      <c r="H177" s="25">
        <v>202102001</v>
      </c>
      <c r="I177" s="175" t="s">
        <v>279</v>
      </c>
      <c r="J177" s="175" t="s">
        <v>1237</v>
      </c>
      <c r="K177" s="175" t="s">
        <v>348</v>
      </c>
      <c r="L177" s="175" t="s">
        <v>170</v>
      </c>
      <c r="M177" s="175" t="s">
        <v>180</v>
      </c>
      <c r="N177" s="175" t="s">
        <v>2395</v>
      </c>
      <c r="O177" s="175" t="s">
        <v>4310</v>
      </c>
      <c r="P177" s="26" t="str">
        <f>_xlfn.DISPIMG("ID_E6307ECF32B442B8A8FC80EADAF6E26D",1)</f>
        <v>=DISPIMG("ID_E6307ECF32B442B8A8FC80EADAF6E26D",1)</v>
      </c>
      <c r="Q177" s="25" t="s">
        <v>4311</v>
      </c>
      <c r="R177" s="25">
        <v>552</v>
      </c>
      <c r="S177" s="40" t="s">
        <v>4480</v>
      </c>
      <c r="T177" s="18" t="s">
        <v>45</v>
      </c>
      <c r="U177" s="25">
        <v>25</v>
      </c>
      <c r="V177" s="84"/>
    </row>
    <row r="178" s="3" customFormat="1" customHeight="1" spans="1:22">
      <c r="A178" s="84">
        <v>25</v>
      </c>
      <c r="B178" s="175" t="s">
        <v>4036</v>
      </c>
      <c r="C178" s="175" t="s">
        <v>165</v>
      </c>
      <c r="D178" s="175" t="s">
        <v>4037</v>
      </c>
      <c r="E178" s="25">
        <v>13755593629</v>
      </c>
      <c r="F178" s="175" t="s">
        <v>156</v>
      </c>
      <c r="G178" s="175" t="s">
        <v>14</v>
      </c>
      <c r="H178" s="25">
        <v>202102001</v>
      </c>
      <c r="I178" s="175" t="s">
        <v>279</v>
      </c>
      <c r="J178" s="175" t="s">
        <v>1545</v>
      </c>
      <c r="K178" s="175" t="s">
        <v>348</v>
      </c>
      <c r="L178" s="175" t="s">
        <v>170</v>
      </c>
      <c r="M178" s="175" t="s">
        <v>216</v>
      </c>
      <c r="N178" s="175" t="s">
        <v>14</v>
      </c>
      <c r="O178" s="175" t="s">
        <v>4039</v>
      </c>
      <c r="P178" s="26" t="str">
        <f>_xlfn.DISPIMG("ID_25A2772C2A4349D4AAD4F2B8F942612C",1)</f>
        <v>=DISPIMG("ID_25A2772C2A4349D4AAD4F2B8F942612C",1)</v>
      </c>
      <c r="Q178" s="25" t="s">
        <v>4040</v>
      </c>
      <c r="R178" s="25">
        <v>516</v>
      </c>
      <c r="S178" s="40" t="s">
        <v>4475</v>
      </c>
      <c r="T178" s="18" t="s">
        <v>45</v>
      </c>
      <c r="U178" s="25">
        <v>26</v>
      </c>
      <c r="V178" s="84"/>
    </row>
    <row r="179" s="4" customFormat="1" customHeight="1" spans="1:22">
      <c r="A179" s="84">
        <v>20</v>
      </c>
      <c r="B179" s="175" t="s">
        <v>3858</v>
      </c>
      <c r="C179" s="175" t="s">
        <v>165</v>
      </c>
      <c r="D179" s="175" t="s">
        <v>3859</v>
      </c>
      <c r="E179" s="25">
        <v>15374225748</v>
      </c>
      <c r="F179" s="175" t="s">
        <v>156</v>
      </c>
      <c r="G179" s="175" t="s">
        <v>14</v>
      </c>
      <c r="H179" s="25">
        <v>202102001</v>
      </c>
      <c r="I179" s="175" t="s">
        <v>279</v>
      </c>
      <c r="J179" s="175" t="s">
        <v>3861</v>
      </c>
      <c r="K179" s="175" t="s">
        <v>298</v>
      </c>
      <c r="L179" s="175" t="s">
        <v>160</v>
      </c>
      <c r="M179" s="175" t="s">
        <v>805</v>
      </c>
      <c r="N179" s="175" t="s">
        <v>121</v>
      </c>
      <c r="O179" s="25">
        <v>0</v>
      </c>
      <c r="P179" s="26" t="str">
        <f>_xlfn.DISPIMG("ID_8CF8C6C0A559454996AB6FB606BDA1DD",1)</f>
        <v>=DISPIMG("ID_8CF8C6C0A559454996AB6FB606BDA1DD",1)</v>
      </c>
      <c r="Q179" s="25" t="s">
        <v>3862</v>
      </c>
      <c r="R179" s="25">
        <v>492</v>
      </c>
      <c r="S179" s="40" t="s">
        <v>4470</v>
      </c>
      <c r="T179" s="18" t="s">
        <v>45</v>
      </c>
      <c r="U179" s="25">
        <v>27</v>
      </c>
      <c r="V179" s="84"/>
    </row>
    <row r="180" s="3" customFormat="1" customHeight="1" spans="1:22">
      <c r="A180" s="84">
        <v>15</v>
      </c>
      <c r="B180" s="175" t="s">
        <v>3494</v>
      </c>
      <c r="C180" s="175" t="s">
        <v>165</v>
      </c>
      <c r="D180" s="175" t="s">
        <v>3495</v>
      </c>
      <c r="E180" s="25">
        <v>18000225971</v>
      </c>
      <c r="F180" s="175" t="s">
        <v>156</v>
      </c>
      <c r="G180" s="175" t="s">
        <v>14</v>
      </c>
      <c r="H180" s="25">
        <v>202102001</v>
      </c>
      <c r="I180" s="175" t="s">
        <v>157</v>
      </c>
      <c r="J180" s="175" t="s">
        <v>158</v>
      </c>
      <c r="K180" s="175" t="s">
        <v>348</v>
      </c>
      <c r="L180" s="175" t="s">
        <v>170</v>
      </c>
      <c r="M180" s="175" t="s">
        <v>349</v>
      </c>
      <c r="N180" s="175" t="s">
        <v>689</v>
      </c>
      <c r="O180" s="175" t="s">
        <v>3496</v>
      </c>
      <c r="P180" s="26" t="str">
        <f>_xlfn.DISPIMG("ID_92399A40D7B44F3B89AA85711A99D812",1)</f>
        <v>=DISPIMG("ID_92399A40D7B44F3B89AA85711A99D812",1)</v>
      </c>
      <c r="Q180" s="25" t="s">
        <v>3497</v>
      </c>
      <c r="R180" s="25">
        <v>442</v>
      </c>
      <c r="S180" s="40" t="s">
        <v>4465</v>
      </c>
      <c r="T180" s="18" t="s">
        <v>45</v>
      </c>
      <c r="U180" s="25">
        <v>28</v>
      </c>
      <c r="V180" s="84"/>
    </row>
    <row r="181" s="3" customFormat="1" customHeight="1" spans="1:22">
      <c r="A181" s="84">
        <v>10</v>
      </c>
      <c r="B181" s="175" t="s">
        <v>3268</v>
      </c>
      <c r="C181" s="175" t="s">
        <v>165</v>
      </c>
      <c r="D181" s="175" t="s">
        <v>3269</v>
      </c>
      <c r="E181" s="25">
        <v>18770914454</v>
      </c>
      <c r="F181" s="175" t="s">
        <v>156</v>
      </c>
      <c r="G181" s="175" t="s">
        <v>14</v>
      </c>
      <c r="H181" s="25">
        <v>202102001</v>
      </c>
      <c r="I181" s="175" t="s">
        <v>279</v>
      </c>
      <c r="J181" s="175" t="s">
        <v>178</v>
      </c>
      <c r="K181" s="175" t="s">
        <v>348</v>
      </c>
      <c r="L181" s="175" t="s">
        <v>170</v>
      </c>
      <c r="M181" s="175" t="s">
        <v>216</v>
      </c>
      <c r="N181" s="175" t="s">
        <v>638</v>
      </c>
      <c r="O181" s="175" t="s">
        <v>3271</v>
      </c>
      <c r="P181" s="26" t="str">
        <f>_xlfn.DISPIMG("ID_A7E75D79E714426086202D465053808C",1)</f>
        <v>=DISPIMG("ID_A7E75D79E714426086202D465053808C",1)</v>
      </c>
      <c r="Q181" s="25" t="s">
        <v>3272</v>
      </c>
      <c r="R181" s="25">
        <v>408</v>
      </c>
      <c r="S181" s="40" t="s">
        <v>4460</v>
      </c>
      <c r="T181" s="18" t="s">
        <v>45</v>
      </c>
      <c r="U181" s="25">
        <v>29</v>
      </c>
      <c r="V181" s="84"/>
    </row>
    <row r="182" s="3" customFormat="1" customHeight="1" spans="1:22">
      <c r="A182" s="84">
        <v>5</v>
      </c>
      <c r="B182" s="175" t="s">
        <v>2991</v>
      </c>
      <c r="C182" s="175" t="s">
        <v>165</v>
      </c>
      <c r="D182" s="175" t="s">
        <v>2992</v>
      </c>
      <c r="E182" s="25">
        <v>18720220590</v>
      </c>
      <c r="F182" s="175" t="s">
        <v>156</v>
      </c>
      <c r="G182" s="175" t="s">
        <v>14</v>
      </c>
      <c r="H182" s="25">
        <v>202102001</v>
      </c>
      <c r="I182" s="175" t="s">
        <v>157</v>
      </c>
      <c r="J182" s="175" t="s">
        <v>611</v>
      </c>
      <c r="K182" s="175" t="s">
        <v>179</v>
      </c>
      <c r="L182" s="175" t="s">
        <v>160</v>
      </c>
      <c r="M182" s="175" t="s">
        <v>216</v>
      </c>
      <c r="N182" s="175" t="s">
        <v>14</v>
      </c>
      <c r="O182" s="25">
        <v>0</v>
      </c>
      <c r="P182" s="26" t="str">
        <f>_xlfn.DISPIMG("ID_AFAEC7F47E5847F688912010DE531FF7",1)</f>
        <v>=DISPIMG("ID_AFAEC7F47E5847F688912010DE531FF7",1)</v>
      </c>
      <c r="Q182" s="25" t="s">
        <v>2994</v>
      </c>
      <c r="R182" s="25">
        <v>368</v>
      </c>
      <c r="S182" s="40" t="s">
        <v>4455</v>
      </c>
      <c r="T182" s="18" t="s">
        <v>45</v>
      </c>
      <c r="U182" s="25">
        <v>30</v>
      </c>
      <c r="V182" s="84"/>
    </row>
    <row r="183" s="3" customFormat="1" customHeight="1" spans="1:22">
      <c r="A183" s="84">
        <v>26</v>
      </c>
      <c r="B183" s="175" t="s">
        <v>2345</v>
      </c>
      <c r="C183" s="175" t="s">
        <v>153</v>
      </c>
      <c r="D183" s="175" t="s">
        <v>2346</v>
      </c>
      <c r="E183" s="25">
        <v>15267177470</v>
      </c>
      <c r="F183" s="175" t="s">
        <v>156</v>
      </c>
      <c r="G183" s="175" t="s">
        <v>8</v>
      </c>
      <c r="H183" s="25">
        <v>202102002</v>
      </c>
      <c r="I183" s="175" t="s">
        <v>279</v>
      </c>
      <c r="J183" s="175" t="s">
        <v>2348</v>
      </c>
      <c r="K183" s="175" t="s">
        <v>1950</v>
      </c>
      <c r="L183" s="175" t="s">
        <v>170</v>
      </c>
      <c r="M183" s="175" t="s">
        <v>2047</v>
      </c>
      <c r="N183" s="175" t="s">
        <v>2349</v>
      </c>
      <c r="O183" s="175" t="s">
        <v>2350</v>
      </c>
      <c r="P183" s="26" t="str">
        <f>_xlfn.DISPIMG("ID_5E2BE4A32E0C443299D86A217DB8E55F",1)</f>
        <v>=DISPIMG("ID_5E2BE4A32E0C443299D86A217DB8E55F",1)</v>
      </c>
      <c r="Q183" s="25" t="s">
        <v>2351</v>
      </c>
      <c r="R183" s="25">
        <v>278</v>
      </c>
      <c r="S183" s="40" t="s">
        <v>4506</v>
      </c>
      <c r="T183" s="18" t="s">
        <v>46</v>
      </c>
      <c r="U183" s="25">
        <v>1</v>
      </c>
      <c r="V183" s="84"/>
    </row>
    <row r="184" s="3" customFormat="1" customHeight="1" spans="1:22">
      <c r="A184" s="84">
        <v>21</v>
      </c>
      <c r="B184" s="175" t="s">
        <v>2126</v>
      </c>
      <c r="C184" s="175" t="s">
        <v>165</v>
      </c>
      <c r="D184" s="175" t="s">
        <v>2127</v>
      </c>
      <c r="E184" s="25">
        <v>18370269701</v>
      </c>
      <c r="F184" s="175" t="s">
        <v>156</v>
      </c>
      <c r="G184" s="175" t="s">
        <v>8</v>
      </c>
      <c r="H184" s="25">
        <v>202102002</v>
      </c>
      <c r="I184" s="175" t="s">
        <v>157</v>
      </c>
      <c r="J184" s="175" t="s">
        <v>789</v>
      </c>
      <c r="K184" s="175" t="s">
        <v>2129</v>
      </c>
      <c r="L184" s="175" t="s">
        <v>160</v>
      </c>
      <c r="M184" s="175" t="s">
        <v>252</v>
      </c>
      <c r="N184" s="175" t="s">
        <v>20</v>
      </c>
      <c r="O184" s="25">
        <v>0</v>
      </c>
      <c r="P184" s="26" t="str">
        <f>_xlfn.DISPIMG("ID_03579C230E4B4D1F94606FFA97C412A2",1)</f>
        <v>=DISPIMG("ID_03579C230E4B4D1F94606FFA97C412A2",1)</v>
      </c>
      <c r="Q184" s="25" t="s">
        <v>2130</v>
      </c>
      <c r="R184" s="25">
        <v>249</v>
      </c>
      <c r="S184" s="40" t="s">
        <v>4501</v>
      </c>
      <c r="T184" s="18" t="s">
        <v>46</v>
      </c>
      <c r="U184" s="25">
        <v>2</v>
      </c>
      <c r="V184" s="84"/>
    </row>
    <row r="185" s="3" customFormat="1" customHeight="1" spans="1:22">
      <c r="A185" s="84">
        <v>16</v>
      </c>
      <c r="B185" s="175" t="s">
        <v>1766</v>
      </c>
      <c r="C185" s="175" t="s">
        <v>165</v>
      </c>
      <c r="D185" s="175" t="s">
        <v>1767</v>
      </c>
      <c r="E185" s="25">
        <v>18370038373</v>
      </c>
      <c r="F185" s="175" t="s">
        <v>156</v>
      </c>
      <c r="G185" s="175" t="s">
        <v>8</v>
      </c>
      <c r="H185" s="25">
        <v>202102002</v>
      </c>
      <c r="I185" s="175" t="s">
        <v>157</v>
      </c>
      <c r="J185" s="175" t="s">
        <v>269</v>
      </c>
      <c r="K185" s="175" t="s">
        <v>813</v>
      </c>
      <c r="L185" s="175" t="s">
        <v>160</v>
      </c>
      <c r="M185" s="175" t="s">
        <v>180</v>
      </c>
      <c r="N185" s="175" t="s">
        <v>8</v>
      </c>
      <c r="O185" s="175" t="s">
        <v>1769</v>
      </c>
      <c r="P185" s="26" t="str">
        <f>_xlfn.DISPIMG("ID_DCEB7245249347F4A2C197E5AB7C6C11",1)</f>
        <v>=DISPIMG("ID_DCEB7245249347F4A2C197E5AB7C6C11",1)</v>
      </c>
      <c r="Q185" s="25" t="s">
        <v>1770</v>
      </c>
      <c r="R185" s="25">
        <v>201</v>
      </c>
      <c r="S185" s="40" t="s">
        <v>4496</v>
      </c>
      <c r="T185" s="18" t="s">
        <v>46</v>
      </c>
      <c r="U185" s="25">
        <v>3</v>
      </c>
      <c r="V185" s="84"/>
    </row>
    <row r="186" s="3" customFormat="1" customHeight="1" spans="1:22">
      <c r="A186" s="84">
        <v>11</v>
      </c>
      <c r="B186" s="175" t="s">
        <v>1200</v>
      </c>
      <c r="C186" s="175" t="s">
        <v>165</v>
      </c>
      <c r="D186" s="175" t="s">
        <v>1201</v>
      </c>
      <c r="E186" s="25">
        <v>15270186776</v>
      </c>
      <c r="F186" s="175" t="s">
        <v>156</v>
      </c>
      <c r="G186" s="175" t="s">
        <v>8</v>
      </c>
      <c r="H186" s="25">
        <v>202102002</v>
      </c>
      <c r="I186" s="175" t="s">
        <v>157</v>
      </c>
      <c r="J186" s="175" t="s">
        <v>1203</v>
      </c>
      <c r="K186" s="175" t="s">
        <v>1204</v>
      </c>
      <c r="L186" s="175" t="s">
        <v>160</v>
      </c>
      <c r="M186" s="175" t="s">
        <v>1089</v>
      </c>
      <c r="N186" s="175" t="s">
        <v>1205</v>
      </c>
      <c r="O186" s="175" t="s">
        <v>1206</v>
      </c>
      <c r="P186" s="26" t="str">
        <f>_xlfn.DISPIMG("ID_0C966700704E44E6A4C50F763206BC81",1)</f>
        <v>=DISPIMG("ID_0C966700704E44E6A4C50F763206BC81",1)</v>
      </c>
      <c r="Q186" s="25" t="s">
        <v>1207</v>
      </c>
      <c r="R186" s="25">
        <v>127</v>
      </c>
      <c r="S186" s="40" t="s">
        <v>4491</v>
      </c>
      <c r="T186" s="18" t="s">
        <v>46</v>
      </c>
      <c r="U186" s="25">
        <v>4</v>
      </c>
      <c r="V186" s="84"/>
    </row>
    <row r="187" s="3" customFormat="1" customHeight="1" spans="1:22">
      <c r="A187" s="84">
        <v>6</v>
      </c>
      <c r="B187" s="175" t="s">
        <v>864</v>
      </c>
      <c r="C187" s="175" t="s">
        <v>165</v>
      </c>
      <c r="D187" s="175" t="s">
        <v>865</v>
      </c>
      <c r="E187" s="25">
        <v>18958190827</v>
      </c>
      <c r="F187" s="175" t="s">
        <v>156</v>
      </c>
      <c r="G187" s="175" t="s">
        <v>8</v>
      </c>
      <c r="H187" s="25">
        <v>202102002</v>
      </c>
      <c r="I187" s="175" t="s">
        <v>157</v>
      </c>
      <c r="J187" s="175" t="s">
        <v>867</v>
      </c>
      <c r="K187" s="175" t="s">
        <v>868</v>
      </c>
      <c r="L187" s="175" t="s">
        <v>160</v>
      </c>
      <c r="M187" s="175" t="s">
        <v>548</v>
      </c>
      <c r="N187" s="175" t="s">
        <v>8</v>
      </c>
      <c r="O187" s="175" t="s">
        <v>869</v>
      </c>
      <c r="P187" s="26" t="str">
        <f>_xlfn.DISPIMG("ID_019B47D80B6342B48EC2873E3CE82AE8",1)</f>
        <v>=DISPIMG("ID_019B47D80B6342B48EC2873E3CE82AE8",1)</v>
      </c>
      <c r="Q187" s="25" t="s">
        <v>870</v>
      </c>
      <c r="R187" s="25">
        <v>86</v>
      </c>
      <c r="S187" s="40" t="s">
        <v>4486</v>
      </c>
      <c r="T187" s="18" t="s">
        <v>46</v>
      </c>
      <c r="U187" s="25">
        <v>5</v>
      </c>
      <c r="V187" s="84"/>
    </row>
    <row r="188" s="3" customFormat="1" customHeight="1" spans="1:22">
      <c r="A188" s="84">
        <v>1</v>
      </c>
      <c r="B188" s="175" t="s">
        <v>494</v>
      </c>
      <c r="C188" s="175" t="s">
        <v>165</v>
      </c>
      <c r="D188" s="175" t="s">
        <v>495</v>
      </c>
      <c r="E188" s="25">
        <v>13662204471</v>
      </c>
      <c r="F188" s="175" t="s">
        <v>156</v>
      </c>
      <c r="G188" s="175" t="s">
        <v>8</v>
      </c>
      <c r="H188" s="25">
        <v>202102002</v>
      </c>
      <c r="I188" s="175" t="s">
        <v>279</v>
      </c>
      <c r="J188" s="175" t="s">
        <v>158</v>
      </c>
      <c r="K188" s="175" t="s">
        <v>497</v>
      </c>
      <c r="L188" s="175" t="s">
        <v>170</v>
      </c>
      <c r="M188" s="175" t="s">
        <v>180</v>
      </c>
      <c r="N188" s="175" t="s">
        <v>498</v>
      </c>
      <c r="O188" s="175" t="s">
        <v>499</v>
      </c>
      <c r="P188" s="26" t="str">
        <f>_xlfn.DISPIMG("ID_83DE97F5DD9E4626804875394FE0FC9C",1)</f>
        <v>=DISPIMG("ID_83DE97F5DD9E4626804875394FE0FC9C",1)</v>
      </c>
      <c r="Q188" s="25" t="s">
        <v>500</v>
      </c>
      <c r="R188" s="25">
        <v>41</v>
      </c>
      <c r="S188" s="40" t="s">
        <v>4481</v>
      </c>
      <c r="T188" s="18" t="s">
        <v>46</v>
      </c>
      <c r="U188" s="25">
        <v>6</v>
      </c>
      <c r="V188" s="84"/>
    </row>
    <row r="189" s="3" customFormat="1" customHeight="1" spans="1:22">
      <c r="A189" s="84">
        <v>2</v>
      </c>
      <c r="B189" s="175" t="s">
        <v>565</v>
      </c>
      <c r="C189" s="175" t="s">
        <v>165</v>
      </c>
      <c r="D189" s="175" t="s">
        <v>566</v>
      </c>
      <c r="E189" s="25">
        <v>13184588975</v>
      </c>
      <c r="F189" s="175" t="s">
        <v>156</v>
      </c>
      <c r="G189" s="175" t="s">
        <v>8</v>
      </c>
      <c r="H189" s="25">
        <v>202102002</v>
      </c>
      <c r="I189" s="175" t="s">
        <v>279</v>
      </c>
      <c r="J189" s="175" t="s">
        <v>178</v>
      </c>
      <c r="K189" s="175" t="s">
        <v>497</v>
      </c>
      <c r="L189" s="175" t="s">
        <v>170</v>
      </c>
      <c r="M189" s="175" t="s">
        <v>368</v>
      </c>
      <c r="N189" s="175" t="s">
        <v>568</v>
      </c>
      <c r="O189" s="175" t="s">
        <v>569</v>
      </c>
      <c r="P189" s="26" t="str">
        <f>_xlfn.DISPIMG("ID_937169E203CF4CFF91192737B547BFCD",1)</f>
        <v>=DISPIMG("ID_937169E203CF4CFF91192737B547BFCD",1)</v>
      </c>
      <c r="Q189" s="25" t="s">
        <v>570</v>
      </c>
      <c r="R189" s="25">
        <v>49</v>
      </c>
      <c r="S189" s="40" t="s">
        <v>4482</v>
      </c>
      <c r="T189" s="18" t="s">
        <v>46</v>
      </c>
      <c r="U189" s="25">
        <v>7</v>
      </c>
      <c r="V189" s="84"/>
    </row>
    <row r="190" s="4" customFormat="1" customHeight="1" spans="1:22">
      <c r="A190" s="84">
        <v>7</v>
      </c>
      <c r="B190" s="175" t="s">
        <v>941</v>
      </c>
      <c r="C190" s="175" t="s">
        <v>165</v>
      </c>
      <c r="D190" s="175" t="s">
        <v>942</v>
      </c>
      <c r="E190" s="25">
        <v>18379646602</v>
      </c>
      <c r="F190" s="175" t="s">
        <v>156</v>
      </c>
      <c r="G190" s="175" t="s">
        <v>8</v>
      </c>
      <c r="H190" s="25">
        <v>202102002</v>
      </c>
      <c r="I190" s="175" t="s">
        <v>157</v>
      </c>
      <c r="J190" s="175" t="s">
        <v>269</v>
      </c>
      <c r="K190" s="175" t="s">
        <v>944</v>
      </c>
      <c r="L190" s="175" t="s">
        <v>170</v>
      </c>
      <c r="M190" s="175" t="s">
        <v>261</v>
      </c>
      <c r="N190" s="175" t="s">
        <v>945</v>
      </c>
      <c r="O190" s="25">
        <v>0</v>
      </c>
      <c r="P190" s="26" t="str">
        <f>_xlfn.DISPIMG("ID_BCCBED5385A54C5D88278A56BF2ABF99",1)</f>
        <v>=DISPIMG("ID_BCCBED5385A54C5D88278A56BF2ABF99",1)</v>
      </c>
      <c r="Q190" s="25" t="s">
        <v>946</v>
      </c>
      <c r="R190" s="25">
        <v>95</v>
      </c>
      <c r="S190" s="40" t="s">
        <v>4487</v>
      </c>
      <c r="T190" s="18" t="s">
        <v>46</v>
      </c>
      <c r="U190" s="25">
        <v>8</v>
      </c>
      <c r="V190" s="84"/>
    </row>
    <row r="191" s="3" customFormat="1" customHeight="1" spans="1:22">
      <c r="A191" s="84">
        <v>12</v>
      </c>
      <c r="B191" s="175" t="s">
        <v>1262</v>
      </c>
      <c r="C191" s="175" t="s">
        <v>165</v>
      </c>
      <c r="D191" s="175" t="s">
        <v>1263</v>
      </c>
      <c r="E191" s="25">
        <v>18897926715</v>
      </c>
      <c r="F191" s="175" t="s">
        <v>156</v>
      </c>
      <c r="G191" s="175" t="s">
        <v>8</v>
      </c>
      <c r="H191" s="25">
        <v>202102002</v>
      </c>
      <c r="I191" s="175" t="s">
        <v>157</v>
      </c>
      <c r="J191" s="175" t="s">
        <v>1265</v>
      </c>
      <c r="K191" s="175" t="s">
        <v>813</v>
      </c>
      <c r="L191" s="175" t="s">
        <v>160</v>
      </c>
      <c r="M191" s="175" t="s">
        <v>199</v>
      </c>
      <c r="N191" s="175" t="s">
        <v>1266</v>
      </c>
      <c r="O191" s="25">
        <v>0</v>
      </c>
      <c r="P191" s="26" t="str">
        <f>_xlfn.DISPIMG("ID_5DC2209F39824089B70DAE46CB942DD1",1)</f>
        <v>=DISPIMG("ID_5DC2209F39824089B70DAE46CB942DD1",1)</v>
      </c>
      <c r="Q191" s="25" t="s">
        <v>1267</v>
      </c>
      <c r="R191" s="25">
        <v>135</v>
      </c>
      <c r="S191" s="40" t="s">
        <v>4492</v>
      </c>
      <c r="T191" s="18" t="s">
        <v>46</v>
      </c>
      <c r="U191" s="25">
        <v>9</v>
      </c>
      <c r="V191" s="84"/>
    </row>
    <row r="192" s="5" customFormat="1" customHeight="1" spans="1:22">
      <c r="A192" s="84">
        <v>17</v>
      </c>
      <c r="B192" s="175" t="s">
        <v>1837</v>
      </c>
      <c r="C192" s="175" t="s">
        <v>165</v>
      </c>
      <c r="D192" s="175" t="s">
        <v>1838</v>
      </c>
      <c r="E192" s="25">
        <v>13480509971</v>
      </c>
      <c r="F192" s="175" t="s">
        <v>156</v>
      </c>
      <c r="G192" s="175" t="s">
        <v>8</v>
      </c>
      <c r="H192" s="25">
        <v>202102002</v>
      </c>
      <c r="I192" s="175" t="s">
        <v>157</v>
      </c>
      <c r="J192" s="175" t="s">
        <v>540</v>
      </c>
      <c r="K192" s="175" t="s">
        <v>1840</v>
      </c>
      <c r="L192" s="175" t="s">
        <v>160</v>
      </c>
      <c r="M192" s="175" t="s">
        <v>587</v>
      </c>
      <c r="N192" s="175" t="s">
        <v>1841</v>
      </c>
      <c r="O192" s="175" t="s">
        <v>1842</v>
      </c>
      <c r="P192" s="26" t="str">
        <f>_xlfn.DISPIMG("ID_0F8BA8686B8D4F92BF1EF6F4CB55E695",1)</f>
        <v>=DISPIMG("ID_0F8BA8686B8D4F92BF1EF6F4CB55E695",1)</v>
      </c>
      <c r="Q192" s="25" t="s">
        <v>1843</v>
      </c>
      <c r="R192" s="25">
        <v>210</v>
      </c>
      <c r="S192" s="40" t="s">
        <v>4497</v>
      </c>
      <c r="T192" s="18" t="s">
        <v>46</v>
      </c>
      <c r="U192" s="25">
        <v>10</v>
      </c>
      <c r="V192" s="84"/>
    </row>
    <row r="193" s="3" customFormat="1" customHeight="1" spans="1:22">
      <c r="A193" s="84">
        <v>22</v>
      </c>
      <c r="B193" s="175" t="s">
        <v>2133</v>
      </c>
      <c r="C193" s="175" t="s">
        <v>165</v>
      </c>
      <c r="D193" s="175" t="s">
        <v>2134</v>
      </c>
      <c r="E193" s="25">
        <v>15079264291</v>
      </c>
      <c r="F193" s="175" t="s">
        <v>156</v>
      </c>
      <c r="G193" s="175" t="s">
        <v>8</v>
      </c>
      <c r="H193" s="25">
        <v>202102002</v>
      </c>
      <c r="I193" s="175" t="s">
        <v>157</v>
      </c>
      <c r="J193" s="175" t="s">
        <v>876</v>
      </c>
      <c r="K193" s="175" t="s">
        <v>270</v>
      </c>
      <c r="L193" s="175" t="s">
        <v>170</v>
      </c>
      <c r="M193" s="175" t="s">
        <v>455</v>
      </c>
      <c r="N193" s="175" t="s">
        <v>20</v>
      </c>
      <c r="O193" s="175" t="s">
        <v>2136</v>
      </c>
      <c r="P193" s="26" t="str">
        <f>_xlfn.DISPIMG("ID_96FF4E1240E04D98ACBC33F8D3EE9C8F",1)</f>
        <v>=DISPIMG("ID_96FF4E1240E04D98ACBC33F8D3EE9C8F",1)</v>
      </c>
      <c r="Q193" s="25" t="s">
        <v>2137</v>
      </c>
      <c r="R193" s="25">
        <v>250</v>
      </c>
      <c r="S193" s="40" t="s">
        <v>4502</v>
      </c>
      <c r="T193" s="18" t="s">
        <v>46</v>
      </c>
      <c r="U193" s="25">
        <v>11</v>
      </c>
      <c r="V193" s="84"/>
    </row>
    <row r="194" s="3" customFormat="1" customHeight="1" spans="1:22">
      <c r="A194" s="84">
        <v>27</v>
      </c>
      <c r="B194" s="175" t="s">
        <v>2376</v>
      </c>
      <c r="C194" s="175" t="s">
        <v>165</v>
      </c>
      <c r="D194" s="175" t="s">
        <v>2377</v>
      </c>
      <c r="E194" s="25">
        <v>15779112128</v>
      </c>
      <c r="F194" s="175" t="s">
        <v>156</v>
      </c>
      <c r="G194" s="175" t="s">
        <v>8</v>
      </c>
      <c r="H194" s="25">
        <v>202102002</v>
      </c>
      <c r="I194" s="175" t="s">
        <v>157</v>
      </c>
      <c r="J194" s="175" t="s">
        <v>603</v>
      </c>
      <c r="K194" s="175" t="s">
        <v>2379</v>
      </c>
      <c r="L194" s="175" t="s">
        <v>160</v>
      </c>
      <c r="M194" s="175" t="s">
        <v>180</v>
      </c>
      <c r="N194" s="175" t="s">
        <v>8</v>
      </c>
      <c r="O194" s="175" t="s">
        <v>2380</v>
      </c>
      <c r="P194" s="26" t="str">
        <f>_xlfn.DISPIMG("ID_9499CE74334F4664AC42AD98401CDCF8",1)</f>
        <v>=DISPIMG("ID_9499CE74334F4664AC42AD98401CDCF8",1)</v>
      </c>
      <c r="Q194" s="25" t="s">
        <v>2381</v>
      </c>
      <c r="R194" s="25">
        <v>282</v>
      </c>
      <c r="S194" s="40" t="s">
        <v>4507</v>
      </c>
      <c r="T194" s="18" t="s">
        <v>46</v>
      </c>
      <c r="U194" s="25">
        <v>12</v>
      </c>
      <c r="V194" s="84"/>
    </row>
    <row r="195" s="3" customFormat="1" customHeight="1" spans="1:22">
      <c r="A195" s="84">
        <v>28</v>
      </c>
      <c r="B195" s="175" t="s">
        <v>2391</v>
      </c>
      <c r="C195" s="175" t="s">
        <v>165</v>
      </c>
      <c r="D195" s="175" t="s">
        <v>2392</v>
      </c>
      <c r="E195" s="25">
        <v>18779160835</v>
      </c>
      <c r="F195" s="175" t="s">
        <v>156</v>
      </c>
      <c r="G195" s="175" t="s">
        <v>8</v>
      </c>
      <c r="H195" s="25">
        <v>202102002</v>
      </c>
      <c r="I195" s="175" t="s">
        <v>157</v>
      </c>
      <c r="J195" s="175" t="s">
        <v>385</v>
      </c>
      <c r="K195" s="175" t="s">
        <v>2394</v>
      </c>
      <c r="L195" s="175" t="s">
        <v>160</v>
      </c>
      <c r="M195" s="175" t="s">
        <v>306</v>
      </c>
      <c r="N195" s="175" t="s">
        <v>2395</v>
      </c>
      <c r="O195" s="175" t="s">
        <v>2396</v>
      </c>
      <c r="P195" s="26" t="str">
        <f>_xlfn.DISPIMG("ID_E59FBD148CC0458789196A3F7371E3AC",1)</f>
        <v>=DISPIMG("ID_E59FBD148CC0458789196A3F7371E3AC",1)</v>
      </c>
      <c r="Q195" s="25" t="s">
        <v>2397</v>
      </c>
      <c r="R195" s="25">
        <v>284</v>
      </c>
      <c r="S195" s="40" t="s">
        <v>4508</v>
      </c>
      <c r="T195" s="18" t="s">
        <v>46</v>
      </c>
      <c r="U195" s="25">
        <v>13</v>
      </c>
      <c r="V195" s="84"/>
    </row>
    <row r="196" s="3" customFormat="1" customHeight="1" spans="1:22">
      <c r="A196" s="84">
        <v>23</v>
      </c>
      <c r="B196" s="175" t="s">
        <v>2194</v>
      </c>
      <c r="C196" s="175" t="s">
        <v>165</v>
      </c>
      <c r="D196" s="175" t="s">
        <v>2195</v>
      </c>
      <c r="E196" s="25">
        <v>13617094078</v>
      </c>
      <c r="F196" s="175" t="s">
        <v>156</v>
      </c>
      <c r="G196" s="175" t="s">
        <v>8</v>
      </c>
      <c r="H196" s="25">
        <v>202102002</v>
      </c>
      <c r="I196" s="175" t="s">
        <v>157</v>
      </c>
      <c r="J196" s="175" t="s">
        <v>2197</v>
      </c>
      <c r="K196" s="175" t="s">
        <v>2198</v>
      </c>
      <c r="L196" s="175" t="s">
        <v>160</v>
      </c>
      <c r="M196" s="175" t="s">
        <v>281</v>
      </c>
      <c r="N196" s="175" t="s">
        <v>8</v>
      </c>
      <c r="O196" s="175" t="s">
        <v>2199</v>
      </c>
      <c r="P196" s="26" t="str">
        <f>_xlfn.DISPIMG("ID_C169A98BEF614A41ADF43CA619535221",1)</f>
        <v>=DISPIMG("ID_C169A98BEF614A41ADF43CA619535221",1)</v>
      </c>
      <c r="Q196" s="25" t="s">
        <v>2200</v>
      </c>
      <c r="R196" s="25">
        <v>258</v>
      </c>
      <c r="S196" s="40" t="s">
        <v>4503</v>
      </c>
      <c r="T196" s="18" t="s">
        <v>46</v>
      </c>
      <c r="U196" s="25">
        <v>14</v>
      </c>
      <c r="V196" s="84"/>
    </row>
    <row r="197" s="3" customFormat="1" customHeight="1" spans="1:22">
      <c r="A197" s="84">
        <v>18</v>
      </c>
      <c r="B197" s="175" t="s">
        <v>1904</v>
      </c>
      <c r="C197" s="175" t="s">
        <v>165</v>
      </c>
      <c r="D197" s="175" t="s">
        <v>1905</v>
      </c>
      <c r="E197" s="25">
        <v>15070412978</v>
      </c>
      <c r="F197" s="175" t="s">
        <v>156</v>
      </c>
      <c r="G197" s="175" t="s">
        <v>8</v>
      </c>
      <c r="H197" s="25">
        <v>202102002</v>
      </c>
      <c r="I197" s="175" t="s">
        <v>157</v>
      </c>
      <c r="J197" s="175" t="s">
        <v>233</v>
      </c>
      <c r="K197" s="175" t="s">
        <v>454</v>
      </c>
      <c r="L197" s="175" t="s">
        <v>170</v>
      </c>
      <c r="M197" s="175" t="s">
        <v>1907</v>
      </c>
      <c r="N197" s="175" t="s">
        <v>8</v>
      </c>
      <c r="O197" s="175" t="s">
        <v>1908</v>
      </c>
      <c r="P197" s="26" t="str">
        <f>_xlfn.DISPIMG("ID_02D14B5C83BE4DBBBCAAA0B55D7FE392",1)</f>
        <v>=DISPIMG("ID_02D14B5C83BE4DBBBCAAA0B55D7FE392",1)</v>
      </c>
      <c r="Q197" s="25" t="s">
        <v>1909</v>
      </c>
      <c r="R197" s="25">
        <v>219</v>
      </c>
      <c r="S197" s="40" t="s">
        <v>4498</v>
      </c>
      <c r="T197" s="18" t="s">
        <v>46</v>
      </c>
      <c r="U197" s="25">
        <v>15</v>
      </c>
      <c r="V197" s="84"/>
    </row>
    <row r="198" s="3" customFormat="1" customHeight="1" spans="1:22">
      <c r="A198" s="84">
        <v>13</v>
      </c>
      <c r="B198" s="175" t="s">
        <v>1318</v>
      </c>
      <c r="C198" s="175" t="s">
        <v>165</v>
      </c>
      <c r="D198" s="175" t="s">
        <v>1319</v>
      </c>
      <c r="E198" s="25">
        <v>18270633854</v>
      </c>
      <c r="F198" s="175" t="s">
        <v>156</v>
      </c>
      <c r="G198" s="175" t="s">
        <v>8</v>
      </c>
      <c r="H198" s="25">
        <v>202102002</v>
      </c>
      <c r="I198" s="175" t="s">
        <v>157</v>
      </c>
      <c r="J198" s="175" t="s">
        <v>1258</v>
      </c>
      <c r="K198" s="175" t="s">
        <v>1321</v>
      </c>
      <c r="L198" s="175" t="s">
        <v>160</v>
      </c>
      <c r="M198" s="175" t="s">
        <v>516</v>
      </c>
      <c r="N198" s="175" t="s">
        <v>1322</v>
      </c>
      <c r="O198" s="175" t="s">
        <v>1323</v>
      </c>
      <c r="P198" s="26" t="str">
        <f>_xlfn.DISPIMG("ID_D86A3E1B243D4E47B731958FB3B82FC3",1)</f>
        <v>=DISPIMG("ID_D86A3E1B243D4E47B731958FB3B82FC3",1)</v>
      </c>
      <c r="Q198" s="25" t="s">
        <v>1324</v>
      </c>
      <c r="R198" s="25">
        <v>143</v>
      </c>
      <c r="S198" s="40" t="s">
        <v>4493</v>
      </c>
      <c r="T198" s="18" t="s">
        <v>46</v>
      </c>
      <c r="U198" s="25">
        <v>16</v>
      </c>
      <c r="V198" s="84"/>
    </row>
    <row r="199" s="3" customFormat="1" customHeight="1" spans="1:22">
      <c r="A199" s="84">
        <v>8</v>
      </c>
      <c r="B199" s="175" t="s">
        <v>983</v>
      </c>
      <c r="C199" s="175" t="s">
        <v>165</v>
      </c>
      <c r="D199" s="175" t="s">
        <v>984</v>
      </c>
      <c r="E199" s="25">
        <v>18170988745</v>
      </c>
      <c r="F199" s="175" t="s">
        <v>156</v>
      </c>
      <c r="G199" s="175" t="s">
        <v>8</v>
      </c>
      <c r="H199" s="25">
        <v>202102002</v>
      </c>
      <c r="I199" s="175" t="s">
        <v>157</v>
      </c>
      <c r="J199" s="175" t="s">
        <v>986</v>
      </c>
      <c r="K199" s="175" t="s">
        <v>987</v>
      </c>
      <c r="L199" s="175" t="s">
        <v>160</v>
      </c>
      <c r="M199" s="175" t="s">
        <v>988</v>
      </c>
      <c r="N199" s="175" t="s">
        <v>989</v>
      </c>
      <c r="O199" s="175" t="s">
        <v>990</v>
      </c>
      <c r="P199" s="26" t="str">
        <f>_xlfn.DISPIMG("ID_21AE3772EA6B45FAA68CF356346534B7",1)</f>
        <v>=DISPIMG("ID_21AE3772EA6B45FAA68CF356346534B7",1)</v>
      </c>
      <c r="Q199" s="25" t="s">
        <v>991</v>
      </c>
      <c r="R199" s="25">
        <v>100</v>
      </c>
      <c r="S199" s="40" t="s">
        <v>4488</v>
      </c>
      <c r="T199" s="18" t="s">
        <v>46</v>
      </c>
      <c r="U199" s="25">
        <v>17</v>
      </c>
      <c r="V199" s="70"/>
    </row>
    <row r="200" s="3" customFormat="1" customHeight="1" spans="1:22">
      <c r="A200" s="84">
        <v>3</v>
      </c>
      <c r="B200" s="175" t="s">
        <v>668</v>
      </c>
      <c r="C200" s="175" t="s">
        <v>165</v>
      </c>
      <c r="D200" s="175" t="s">
        <v>669</v>
      </c>
      <c r="E200" s="25">
        <v>19970219155</v>
      </c>
      <c r="F200" s="175" t="s">
        <v>156</v>
      </c>
      <c r="G200" s="175" t="s">
        <v>8</v>
      </c>
      <c r="H200" s="25">
        <v>202102002</v>
      </c>
      <c r="I200" s="175" t="s">
        <v>279</v>
      </c>
      <c r="J200" s="175" t="s">
        <v>671</v>
      </c>
      <c r="K200" s="175" t="s">
        <v>672</v>
      </c>
      <c r="L200" s="175" t="s">
        <v>160</v>
      </c>
      <c r="M200" s="175" t="s">
        <v>673</v>
      </c>
      <c r="N200" s="175" t="s">
        <v>674</v>
      </c>
      <c r="O200" s="175" t="s">
        <v>675</v>
      </c>
      <c r="P200" s="26" t="str">
        <f>_xlfn.DISPIMG("ID_350951056247403B99D5F5C96BCE4CA8",1)</f>
        <v>=DISPIMG("ID_350951056247403B99D5F5C96BCE4CA8",1)</v>
      </c>
      <c r="Q200" s="25" t="s">
        <v>676</v>
      </c>
      <c r="R200" s="25">
        <v>62</v>
      </c>
      <c r="S200" s="40" t="s">
        <v>4483</v>
      </c>
      <c r="T200" s="18" t="s">
        <v>46</v>
      </c>
      <c r="U200" s="25">
        <v>18</v>
      </c>
      <c r="V200" s="84"/>
    </row>
    <row r="201" s="3" customFormat="1" customHeight="1" spans="1:22">
      <c r="A201" s="84">
        <v>4</v>
      </c>
      <c r="B201" s="175" t="s">
        <v>779</v>
      </c>
      <c r="C201" s="175" t="s">
        <v>165</v>
      </c>
      <c r="D201" s="175" t="s">
        <v>780</v>
      </c>
      <c r="E201" s="25">
        <v>18379173946</v>
      </c>
      <c r="F201" s="175" t="s">
        <v>506</v>
      </c>
      <c r="G201" s="175" t="s">
        <v>8</v>
      </c>
      <c r="H201" s="25">
        <v>202102015</v>
      </c>
      <c r="I201" s="175" t="s">
        <v>279</v>
      </c>
      <c r="J201" s="175" t="s">
        <v>662</v>
      </c>
      <c r="K201" s="175" t="s">
        <v>497</v>
      </c>
      <c r="L201" s="175" t="s">
        <v>170</v>
      </c>
      <c r="M201" s="175" t="s">
        <v>171</v>
      </c>
      <c r="N201" s="175" t="s">
        <v>568</v>
      </c>
      <c r="O201" s="175" t="s">
        <v>782</v>
      </c>
      <c r="P201" s="26" t="str">
        <f>_xlfn.DISPIMG("ID_F2E1FDE086E6423DAF30A93C1D5DA4A4",1)</f>
        <v>=DISPIMG("ID_F2E1FDE086E6423DAF30A93C1D5DA4A4",1)</v>
      </c>
      <c r="Q201" s="25" t="s">
        <v>783</v>
      </c>
      <c r="R201" s="25">
        <v>75</v>
      </c>
      <c r="S201" s="40" t="s">
        <v>4484</v>
      </c>
      <c r="T201" s="18" t="s">
        <v>46</v>
      </c>
      <c r="U201" s="25">
        <v>19</v>
      </c>
      <c r="V201" s="84"/>
    </row>
    <row r="202" s="3" customFormat="1" customHeight="1" spans="1:22">
      <c r="A202" s="84">
        <v>9</v>
      </c>
      <c r="B202" s="175" t="s">
        <v>1002</v>
      </c>
      <c r="C202" s="175" t="s">
        <v>165</v>
      </c>
      <c r="D202" s="175" t="s">
        <v>1003</v>
      </c>
      <c r="E202" s="25">
        <v>16607008286</v>
      </c>
      <c r="F202" s="175" t="s">
        <v>156</v>
      </c>
      <c r="G202" s="175" t="s">
        <v>8</v>
      </c>
      <c r="H202" s="25">
        <v>202102002</v>
      </c>
      <c r="I202" s="175" t="s">
        <v>157</v>
      </c>
      <c r="J202" s="175" t="s">
        <v>233</v>
      </c>
      <c r="K202" s="175" t="s">
        <v>1005</v>
      </c>
      <c r="L202" s="175" t="s">
        <v>170</v>
      </c>
      <c r="M202" s="175" t="s">
        <v>180</v>
      </c>
      <c r="N202" s="175" t="s">
        <v>8</v>
      </c>
      <c r="O202" s="175" t="s">
        <v>1006</v>
      </c>
      <c r="P202" s="26" t="str">
        <f>_xlfn.DISPIMG("ID_AB18BB501DAF4CA0AB480E453554BF60",1)</f>
        <v>=DISPIMG("ID_AB18BB501DAF4CA0AB480E453554BF60",1)</v>
      </c>
      <c r="Q202" s="25" t="s">
        <v>1007</v>
      </c>
      <c r="R202" s="25">
        <v>102</v>
      </c>
      <c r="S202" s="40" t="s">
        <v>4489</v>
      </c>
      <c r="T202" s="18" t="s">
        <v>46</v>
      </c>
      <c r="U202" s="25">
        <v>20</v>
      </c>
      <c r="V202" s="84"/>
    </row>
    <row r="203" s="3" customFormat="1" customHeight="1" spans="1:22">
      <c r="A203" s="84">
        <v>14</v>
      </c>
      <c r="B203" s="175" t="s">
        <v>1471</v>
      </c>
      <c r="C203" s="175" t="s">
        <v>165</v>
      </c>
      <c r="D203" s="175" t="s">
        <v>1472</v>
      </c>
      <c r="E203" s="25">
        <v>13687036753</v>
      </c>
      <c r="F203" s="175" t="s">
        <v>156</v>
      </c>
      <c r="G203" s="175" t="s">
        <v>8</v>
      </c>
      <c r="H203" s="25">
        <v>202102002</v>
      </c>
      <c r="I203" s="175" t="s">
        <v>157</v>
      </c>
      <c r="J203" s="175" t="s">
        <v>269</v>
      </c>
      <c r="K203" s="175" t="s">
        <v>1204</v>
      </c>
      <c r="L203" s="175" t="s">
        <v>160</v>
      </c>
      <c r="M203" s="175" t="s">
        <v>171</v>
      </c>
      <c r="N203" s="175" t="s">
        <v>20</v>
      </c>
      <c r="O203" s="175" t="s">
        <v>1474</v>
      </c>
      <c r="P203" s="26" t="str">
        <f>_xlfn.DISPIMG("ID_282C99EDDFB743068B1F4514F99C7126",1)</f>
        <v>=DISPIMG("ID_282C99EDDFB743068B1F4514F99C7126",1)</v>
      </c>
      <c r="Q203" s="25" t="s">
        <v>1475</v>
      </c>
      <c r="R203" s="25">
        <v>163</v>
      </c>
      <c r="S203" s="40" t="s">
        <v>4494</v>
      </c>
      <c r="T203" s="18" t="s">
        <v>46</v>
      </c>
      <c r="U203" s="25">
        <v>21</v>
      </c>
      <c r="V203" s="84"/>
    </row>
    <row r="204" s="3" customFormat="1" customHeight="1" spans="1:22">
      <c r="A204" s="84">
        <v>19</v>
      </c>
      <c r="B204" s="175" t="s">
        <v>1977</v>
      </c>
      <c r="C204" s="175" t="s">
        <v>165</v>
      </c>
      <c r="D204" s="175" t="s">
        <v>1978</v>
      </c>
      <c r="E204" s="25">
        <v>15070907830</v>
      </c>
      <c r="F204" s="175" t="s">
        <v>156</v>
      </c>
      <c r="G204" s="175" t="s">
        <v>8</v>
      </c>
      <c r="H204" s="25">
        <v>202102002</v>
      </c>
      <c r="I204" s="175" t="s">
        <v>157</v>
      </c>
      <c r="J204" s="175" t="s">
        <v>827</v>
      </c>
      <c r="K204" s="175" t="s">
        <v>243</v>
      </c>
      <c r="L204" s="175" t="s">
        <v>160</v>
      </c>
      <c r="M204" s="175" t="s">
        <v>161</v>
      </c>
      <c r="N204" s="175" t="s">
        <v>8</v>
      </c>
      <c r="O204" s="175" t="s">
        <v>1979</v>
      </c>
      <c r="P204" s="26" t="str">
        <f>_xlfn.DISPIMG("ID_4F2775F35FF241D1A9320534AD0F9FD6",1)</f>
        <v>=DISPIMG("ID_4F2775F35FF241D1A9320534AD0F9FD6",1)</v>
      </c>
      <c r="Q204" s="25" t="s">
        <v>1980</v>
      </c>
      <c r="R204" s="25">
        <v>229</v>
      </c>
      <c r="S204" s="40" t="s">
        <v>4499</v>
      </c>
      <c r="T204" s="18" t="s">
        <v>46</v>
      </c>
      <c r="U204" s="25">
        <v>22</v>
      </c>
      <c r="V204" s="84"/>
    </row>
    <row r="205" s="3" customFormat="1" customHeight="1" spans="1:22">
      <c r="A205" s="84">
        <v>24</v>
      </c>
      <c r="B205" s="175" t="s">
        <v>2309</v>
      </c>
      <c r="C205" s="175" t="s">
        <v>165</v>
      </c>
      <c r="D205" s="175" t="s">
        <v>2310</v>
      </c>
      <c r="E205" s="25">
        <v>15279968703</v>
      </c>
      <c r="F205" s="175" t="s">
        <v>156</v>
      </c>
      <c r="G205" s="175" t="s">
        <v>8</v>
      </c>
      <c r="H205" s="25">
        <v>202102002</v>
      </c>
      <c r="I205" s="175" t="s">
        <v>279</v>
      </c>
      <c r="J205" s="175" t="s">
        <v>1424</v>
      </c>
      <c r="K205" s="175" t="s">
        <v>497</v>
      </c>
      <c r="L205" s="175" t="s">
        <v>170</v>
      </c>
      <c r="M205" s="175" t="s">
        <v>180</v>
      </c>
      <c r="N205" s="175" t="s">
        <v>8</v>
      </c>
      <c r="O205" s="175" t="s">
        <v>2312</v>
      </c>
      <c r="P205" s="26" t="str">
        <f>_xlfn.DISPIMG("ID_987FF0FA37F44BD9A4B0BCCB3CF13E1D",1)</f>
        <v>=DISPIMG("ID_987FF0FA37F44BD9A4B0BCCB3CF13E1D",1)</v>
      </c>
      <c r="Q205" s="25" t="s">
        <v>2313</v>
      </c>
      <c r="R205" s="25">
        <v>273</v>
      </c>
      <c r="S205" s="40" t="s">
        <v>4504</v>
      </c>
      <c r="T205" s="18" t="s">
        <v>46</v>
      </c>
      <c r="U205" s="25">
        <v>23</v>
      </c>
      <c r="V205" s="84"/>
    </row>
    <row r="206" s="3" customFormat="1" customHeight="1" spans="1:22">
      <c r="A206" s="84">
        <v>29</v>
      </c>
      <c r="B206" s="175" t="s">
        <v>2437</v>
      </c>
      <c r="C206" s="175" t="s">
        <v>165</v>
      </c>
      <c r="D206" s="175" t="s">
        <v>2438</v>
      </c>
      <c r="E206" s="25">
        <v>13657919316</v>
      </c>
      <c r="F206" s="175" t="s">
        <v>156</v>
      </c>
      <c r="G206" s="175" t="s">
        <v>8</v>
      </c>
      <c r="H206" s="25">
        <v>202102002</v>
      </c>
      <c r="I206" s="175" t="s">
        <v>705</v>
      </c>
      <c r="J206" s="175" t="s">
        <v>2440</v>
      </c>
      <c r="K206" s="175" t="s">
        <v>2441</v>
      </c>
      <c r="L206" s="175" t="s">
        <v>160</v>
      </c>
      <c r="M206" s="175" t="s">
        <v>189</v>
      </c>
      <c r="N206" s="175" t="s">
        <v>8</v>
      </c>
      <c r="O206" s="25">
        <v>0</v>
      </c>
      <c r="P206" s="26" t="str">
        <f>_xlfn.DISPIMG("ID_840140DEA4BE4280A385428CC67C44E3",1)</f>
        <v>=DISPIMG("ID_840140DEA4BE4280A385428CC67C44E3",1)</v>
      </c>
      <c r="Q206" s="25" t="s">
        <v>2442</v>
      </c>
      <c r="R206" s="25">
        <v>290</v>
      </c>
      <c r="S206" s="40" t="s">
        <v>4509</v>
      </c>
      <c r="T206" s="18" t="s">
        <v>46</v>
      </c>
      <c r="U206" s="25">
        <v>24</v>
      </c>
      <c r="V206" s="84"/>
    </row>
    <row r="207" s="3" customFormat="1" customHeight="1" spans="1:22">
      <c r="A207" s="84">
        <v>30</v>
      </c>
      <c r="B207" s="175" t="s">
        <v>2473</v>
      </c>
      <c r="C207" s="175" t="s">
        <v>153</v>
      </c>
      <c r="D207" s="175" t="s">
        <v>2474</v>
      </c>
      <c r="E207" s="25">
        <v>18079290506</v>
      </c>
      <c r="F207" s="175" t="s">
        <v>156</v>
      </c>
      <c r="G207" s="175" t="s">
        <v>8</v>
      </c>
      <c r="H207" s="25">
        <v>202102002</v>
      </c>
      <c r="I207" s="175" t="s">
        <v>157</v>
      </c>
      <c r="J207" s="175" t="s">
        <v>935</v>
      </c>
      <c r="K207" s="175" t="s">
        <v>270</v>
      </c>
      <c r="L207" s="175" t="s">
        <v>170</v>
      </c>
      <c r="M207" s="175" t="s">
        <v>281</v>
      </c>
      <c r="N207" s="175" t="s">
        <v>1322</v>
      </c>
      <c r="O207" s="175" t="s">
        <v>2476</v>
      </c>
      <c r="P207" s="26" t="str">
        <f>_xlfn.DISPIMG("ID_DDCFE953EBFD4779B7FAA3122A1B85C5",1)</f>
        <v>=DISPIMG("ID_DDCFE953EBFD4779B7FAA3122A1B85C5",1)</v>
      </c>
      <c r="Q207" s="25" t="s">
        <v>2477</v>
      </c>
      <c r="R207" s="25">
        <v>295</v>
      </c>
      <c r="S207" s="40" t="s">
        <v>4510</v>
      </c>
      <c r="T207" s="18" t="s">
        <v>46</v>
      </c>
      <c r="U207" s="25">
        <v>25</v>
      </c>
      <c r="V207" s="84"/>
    </row>
    <row r="208" s="3" customFormat="1" customHeight="1" spans="1:22">
      <c r="A208" s="84">
        <v>25</v>
      </c>
      <c r="B208" s="175" t="s">
        <v>2337</v>
      </c>
      <c r="C208" s="175" t="s">
        <v>165</v>
      </c>
      <c r="D208" s="175" t="s">
        <v>2338</v>
      </c>
      <c r="E208" s="25">
        <v>15779252368</v>
      </c>
      <c r="F208" s="175" t="s">
        <v>156</v>
      </c>
      <c r="G208" s="175" t="s">
        <v>8</v>
      </c>
      <c r="H208" s="25">
        <v>202102002</v>
      </c>
      <c r="I208" s="175" t="s">
        <v>157</v>
      </c>
      <c r="J208" s="175" t="s">
        <v>2340</v>
      </c>
      <c r="K208" s="175" t="s">
        <v>270</v>
      </c>
      <c r="L208" s="175" t="s">
        <v>170</v>
      </c>
      <c r="M208" s="175" t="s">
        <v>548</v>
      </c>
      <c r="N208" s="175" t="s">
        <v>1322</v>
      </c>
      <c r="O208" s="175" t="s">
        <v>2341</v>
      </c>
      <c r="P208" s="26" t="str">
        <f>_xlfn.DISPIMG("ID_590DFB2A64AB463E915AA57C80368398",1)</f>
        <v>=DISPIMG("ID_590DFB2A64AB463E915AA57C80368398",1)</v>
      </c>
      <c r="Q208" s="25" t="s">
        <v>2342</v>
      </c>
      <c r="R208" s="25">
        <v>277</v>
      </c>
      <c r="S208" s="40" t="s">
        <v>4505</v>
      </c>
      <c r="T208" s="18" t="s">
        <v>46</v>
      </c>
      <c r="U208" s="25">
        <v>26</v>
      </c>
      <c r="V208" s="84"/>
    </row>
    <row r="209" s="3" customFormat="1" customHeight="1" spans="1:22">
      <c r="A209" s="84">
        <v>20</v>
      </c>
      <c r="B209" s="175" t="s">
        <v>2076</v>
      </c>
      <c r="C209" s="175" t="s">
        <v>153</v>
      </c>
      <c r="D209" s="175" t="s">
        <v>2077</v>
      </c>
      <c r="E209" s="25">
        <v>19951510515</v>
      </c>
      <c r="F209" s="175" t="s">
        <v>156</v>
      </c>
      <c r="G209" s="175" t="s">
        <v>8</v>
      </c>
      <c r="H209" s="25">
        <v>202102002</v>
      </c>
      <c r="I209" s="175" t="s">
        <v>279</v>
      </c>
      <c r="J209" s="175" t="s">
        <v>507</v>
      </c>
      <c r="K209" s="175" t="s">
        <v>497</v>
      </c>
      <c r="L209" s="175" t="s">
        <v>170</v>
      </c>
      <c r="M209" s="175" t="s">
        <v>224</v>
      </c>
      <c r="N209" s="175" t="s">
        <v>989</v>
      </c>
      <c r="O209" s="175" t="s">
        <v>2079</v>
      </c>
      <c r="P209" s="26" t="str">
        <f>_xlfn.DISPIMG("ID_55D50712BDA742E9BE089E9AEF5CFD56",1)</f>
        <v>=DISPIMG("ID_55D50712BDA742E9BE089E9AEF5CFD56",1)</v>
      </c>
      <c r="Q209" s="25" t="s">
        <v>2080</v>
      </c>
      <c r="R209" s="25">
        <v>242</v>
      </c>
      <c r="S209" s="40" t="s">
        <v>4500</v>
      </c>
      <c r="T209" s="18" t="s">
        <v>46</v>
      </c>
      <c r="U209" s="25">
        <v>27</v>
      </c>
      <c r="V209" s="84"/>
    </row>
    <row r="210" s="3" customFormat="1" customHeight="1" spans="1:22">
      <c r="A210" s="84">
        <v>15</v>
      </c>
      <c r="B210" s="175" t="s">
        <v>1613</v>
      </c>
      <c r="C210" s="175" t="s">
        <v>165</v>
      </c>
      <c r="D210" s="175" t="s">
        <v>1614</v>
      </c>
      <c r="E210" s="25">
        <v>18296280573</v>
      </c>
      <c r="F210" s="175" t="s">
        <v>156</v>
      </c>
      <c r="G210" s="175" t="s">
        <v>8</v>
      </c>
      <c r="H210" s="25">
        <v>202102002</v>
      </c>
      <c r="I210" s="175" t="s">
        <v>157</v>
      </c>
      <c r="J210" s="175" t="s">
        <v>233</v>
      </c>
      <c r="K210" s="175" t="s">
        <v>1616</v>
      </c>
      <c r="L210" s="175" t="s">
        <v>170</v>
      </c>
      <c r="M210" s="175" t="s">
        <v>235</v>
      </c>
      <c r="N210" s="175" t="s">
        <v>1617</v>
      </c>
      <c r="O210" s="175" t="s">
        <v>1618</v>
      </c>
      <c r="P210" s="26" t="str">
        <f>_xlfn.DISPIMG("ID_2062AD8B56DF4C85BF68D2846493F2B2",1)</f>
        <v>=DISPIMG("ID_2062AD8B56DF4C85BF68D2846493F2B2",1)</v>
      </c>
      <c r="Q210" s="25" t="s">
        <v>1619</v>
      </c>
      <c r="R210" s="25">
        <v>181</v>
      </c>
      <c r="S210" s="40" t="s">
        <v>4495</v>
      </c>
      <c r="T210" s="18" t="s">
        <v>46</v>
      </c>
      <c r="U210" s="25">
        <v>28</v>
      </c>
      <c r="V210" s="84"/>
    </row>
    <row r="211" s="3" customFormat="1" customHeight="1" spans="1:22">
      <c r="A211" s="84">
        <v>10</v>
      </c>
      <c r="B211" s="175" t="s">
        <v>1127</v>
      </c>
      <c r="C211" s="175" t="s">
        <v>153</v>
      </c>
      <c r="D211" s="175" t="s">
        <v>1128</v>
      </c>
      <c r="E211" s="25">
        <v>13698023687</v>
      </c>
      <c r="F211" s="175" t="s">
        <v>156</v>
      </c>
      <c r="G211" s="175" t="s">
        <v>8</v>
      </c>
      <c r="H211" s="25">
        <v>202102002</v>
      </c>
      <c r="I211" s="175" t="s">
        <v>157</v>
      </c>
      <c r="J211" s="175" t="s">
        <v>158</v>
      </c>
      <c r="K211" s="175" t="s">
        <v>270</v>
      </c>
      <c r="L211" s="175" t="s">
        <v>170</v>
      </c>
      <c r="M211" s="175" t="s">
        <v>548</v>
      </c>
      <c r="N211" s="175" t="s">
        <v>1130</v>
      </c>
      <c r="O211" s="175" t="s">
        <v>1131</v>
      </c>
      <c r="P211" s="26" t="str">
        <f>_xlfn.DISPIMG("ID_2ABFF7AF1BF04D95953E32E5250DE953",1)</f>
        <v>=DISPIMG("ID_2ABFF7AF1BF04D95953E32E5250DE953",1)</v>
      </c>
      <c r="Q211" s="25" t="s">
        <v>1132</v>
      </c>
      <c r="R211" s="25">
        <v>118</v>
      </c>
      <c r="S211" s="40" t="s">
        <v>4490</v>
      </c>
      <c r="T211" s="18" t="s">
        <v>46</v>
      </c>
      <c r="U211" s="25">
        <v>29</v>
      </c>
      <c r="V211" s="85"/>
    </row>
    <row r="212" s="3" customFormat="1" customHeight="1" spans="1:22">
      <c r="A212" s="84">
        <v>5</v>
      </c>
      <c r="B212" s="175" t="s">
        <v>810</v>
      </c>
      <c r="C212" s="175" t="s">
        <v>165</v>
      </c>
      <c r="D212" s="175" t="s">
        <v>811</v>
      </c>
      <c r="E212" s="25">
        <v>13767213363</v>
      </c>
      <c r="F212" s="175" t="s">
        <v>156</v>
      </c>
      <c r="G212" s="175" t="s">
        <v>8</v>
      </c>
      <c r="H212" s="25">
        <v>202102002</v>
      </c>
      <c r="I212" s="175" t="s">
        <v>157</v>
      </c>
      <c r="J212" s="175" t="s">
        <v>158</v>
      </c>
      <c r="K212" s="175" t="s">
        <v>813</v>
      </c>
      <c r="L212" s="175" t="s">
        <v>160</v>
      </c>
      <c r="M212" s="175" t="s">
        <v>161</v>
      </c>
      <c r="N212" s="175" t="s">
        <v>8</v>
      </c>
      <c r="O212" s="25">
        <v>0</v>
      </c>
      <c r="P212" s="26" t="str">
        <f>_xlfn.DISPIMG("ID_5528F9D8BCB3449AB737B926D9AAB949",1)</f>
        <v>=DISPIMG("ID_5528F9D8BCB3449AB737B926D9AAB949",1)</v>
      </c>
      <c r="Q212" s="25" t="s">
        <v>814</v>
      </c>
      <c r="R212" s="25">
        <v>79</v>
      </c>
      <c r="S212" s="40" t="s">
        <v>4485</v>
      </c>
      <c r="T212" s="18" t="s">
        <v>46</v>
      </c>
      <c r="U212" s="25">
        <v>30</v>
      </c>
      <c r="V212" s="84"/>
    </row>
    <row r="213" s="3" customFormat="1" customHeight="1" spans="1:22">
      <c r="A213" s="84">
        <v>22</v>
      </c>
      <c r="B213" s="175" t="s">
        <v>3948</v>
      </c>
      <c r="C213" s="175" t="s">
        <v>165</v>
      </c>
      <c r="D213" s="175" t="s">
        <v>3949</v>
      </c>
      <c r="E213" s="25">
        <v>13803563575</v>
      </c>
      <c r="F213" s="175" t="s">
        <v>156</v>
      </c>
      <c r="G213" s="175" t="s">
        <v>8</v>
      </c>
      <c r="H213" s="25">
        <v>202102002</v>
      </c>
      <c r="I213" s="175" t="s">
        <v>279</v>
      </c>
      <c r="J213" s="175" t="s">
        <v>158</v>
      </c>
      <c r="K213" s="175" t="s">
        <v>497</v>
      </c>
      <c r="L213" s="175" t="s">
        <v>170</v>
      </c>
      <c r="M213" s="175" t="s">
        <v>180</v>
      </c>
      <c r="N213" s="175" t="s">
        <v>3230</v>
      </c>
      <c r="O213" s="175" t="s">
        <v>3951</v>
      </c>
      <c r="P213" s="26" t="str">
        <f>_xlfn.DISPIMG("ID_997BB006A29449FB8D35751C6152A872",1)</f>
        <v>=DISPIMG("ID_997BB006A29449FB8D35751C6152A872",1)</v>
      </c>
      <c r="Q213" s="25" t="s">
        <v>3952</v>
      </c>
      <c r="R213" s="25">
        <v>504</v>
      </c>
      <c r="S213" s="40" t="s">
        <v>4535</v>
      </c>
      <c r="T213" s="18" t="s">
        <v>48</v>
      </c>
      <c r="U213" s="25">
        <v>1</v>
      </c>
      <c r="V213" s="84"/>
    </row>
    <row r="214" s="3" customFormat="1" customHeight="1" spans="1:22">
      <c r="A214" s="84">
        <v>17</v>
      </c>
      <c r="B214" s="175" t="s">
        <v>3811</v>
      </c>
      <c r="C214" s="175" t="s">
        <v>165</v>
      </c>
      <c r="D214" s="175" t="s">
        <v>3812</v>
      </c>
      <c r="E214" s="25">
        <v>18970830560</v>
      </c>
      <c r="F214" s="175" t="s">
        <v>156</v>
      </c>
      <c r="G214" s="175" t="s">
        <v>8</v>
      </c>
      <c r="H214" s="25">
        <v>202102002</v>
      </c>
      <c r="I214" s="175" t="s">
        <v>157</v>
      </c>
      <c r="J214" s="175" t="s">
        <v>2483</v>
      </c>
      <c r="K214" s="175" t="s">
        <v>1832</v>
      </c>
      <c r="L214" s="175" t="s">
        <v>160</v>
      </c>
      <c r="M214" s="175" t="s">
        <v>349</v>
      </c>
      <c r="N214" s="175" t="s">
        <v>8</v>
      </c>
      <c r="O214" s="25">
        <v>0</v>
      </c>
      <c r="P214" s="26" t="str">
        <f>_xlfn.DISPIMG("ID_E15E0A7D91AC4C3983241BCD063880D6",1)</f>
        <v>=DISPIMG("ID_E15E0A7D91AC4C3983241BCD063880D6",1)</v>
      </c>
      <c r="Q214" s="25" t="s">
        <v>3814</v>
      </c>
      <c r="R214" s="25">
        <v>486</v>
      </c>
      <c r="S214" s="40" t="s">
        <v>4529</v>
      </c>
      <c r="T214" s="18" t="s">
        <v>48</v>
      </c>
      <c r="U214" s="25">
        <v>2</v>
      </c>
      <c r="V214" s="84"/>
    </row>
    <row r="215" s="3" customFormat="1" customHeight="1" spans="1:22">
      <c r="A215" s="84">
        <v>13</v>
      </c>
      <c r="B215" s="175" t="s">
        <v>3594</v>
      </c>
      <c r="C215" s="175" t="s">
        <v>165</v>
      </c>
      <c r="D215" s="175" t="s">
        <v>3595</v>
      </c>
      <c r="E215" s="25">
        <v>13635983416</v>
      </c>
      <c r="F215" s="175" t="s">
        <v>156</v>
      </c>
      <c r="G215" s="175" t="s">
        <v>8</v>
      </c>
      <c r="H215" s="25">
        <v>202102002</v>
      </c>
      <c r="I215" s="175" t="s">
        <v>279</v>
      </c>
      <c r="J215" s="175" t="s">
        <v>3597</v>
      </c>
      <c r="K215" s="175" t="s">
        <v>497</v>
      </c>
      <c r="L215" s="175" t="s">
        <v>170</v>
      </c>
      <c r="M215" s="175" t="s">
        <v>189</v>
      </c>
      <c r="N215" s="175" t="s">
        <v>989</v>
      </c>
      <c r="O215" s="175" t="s">
        <v>3598</v>
      </c>
      <c r="P215" s="26" t="str">
        <f>_xlfn.DISPIMG("ID_DB80027A676342B6B8178A0E756378C3",1)</f>
        <v>=DISPIMG("ID_DB80027A676342B6B8178A0E756378C3",1)</v>
      </c>
      <c r="Q215" s="25" t="s">
        <v>3599</v>
      </c>
      <c r="R215" s="25">
        <v>457</v>
      </c>
      <c r="S215" s="40" t="s">
        <v>4524</v>
      </c>
      <c r="T215" s="18" t="s">
        <v>48</v>
      </c>
      <c r="U215" s="25">
        <v>3</v>
      </c>
      <c r="V215" s="84"/>
    </row>
    <row r="216" s="3" customFormat="1" customHeight="1" spans="1:22">
      <c r="A216" s="84">
        <v>9</v>
      </c>
      <c r="B216" s="175" t="s">
        <v>3075</v>
      </c>
      <c r="C216" s="175" t="s">
        <v>165</v>
      </c>
      <c r="D216" s="175" t="s">
        <v>3076</v>
      </c>
      <c r="E216" s="25">
        <v>13122383919</v>
      </c>
      <c r="F216" s="175" t="s">
        <v>156</v>
      </c>
      <c r="G216" s="175" t="s">
        <v>8</v>
      </c>
      <c r="H216" s="25">
        <v>202102002</v>
      </c>
      <c r="I216" s="175" t="s">
        <v>157</v>
      </c>
      <c r="J216" s="175" t="s">
        <v>3078</v>
      </c>
      <c r="K216" s="175" t="s">
        <v>3079</v>
      </c>
      <c r="L216" s="175" t="s">
        <v>160</v>
      </c>
      <c r="M216" s="175" t="s">
        <v>252</v>
      </c>
      <c r="N216" s="175" t="s">
        <v>8</v>
      </c>
      <c r="O216" s="25">
        <v>0</v>
      </c>
      <c r="P216" s="26" t="str">
        <f>_xlfn.DISPIMG("ID_0C5BA3A4E8B245D6AB6AE82F368BFF6A",1)</f>
        <v>=DISPIMG("ID_0C5BA3A4E8B245D6AB6AE82F368BFF6A",1)</v>
      </c>
      <c r="Q216" s="25" t="s">
        <v>3080</v>
      </c>
      <c r="R216" s="25">
        <v>380</v>
      </c>
      <c r="S216" s="40" t="s">
        <v>4519</v>
      </c>
      <c r="T216" s="18" t="s">
        <v>48</v>
      </c>
      <c r="U216" s="25">
        <v>4</v>
      </c>
      <c r="V216" s="84"/>
    </row>
    <row r="217" s="3" customFormat="1" customHeight="1" spans="1:22">
      <c r="A217" s="84">
        <v>5</v>
      </c>
      <c r="B217" s="175" t="s">
        <v>2180</v>
      </c>
      <c r="C217" s="175" t="s">
        <v>153</v>
      </c>
      <c r="D217" s="175" t="s">
        <v>2181</v>
      </c>
      <c r="E217" s="25">
        <v>18779219080</v>
      </c>
      <c r="F217" s="175" t="s">
        <v>506</v>
      </c>
      <c r="G217" s="175" t="s">
        <v>8</v>
      </c>
      <c r="H217" s="25">
        <v>202102015</v>
      </c>
      <c r="I217" s="175" t="s">
        <v>279</v>
      </c>
      <c r="J217" s="175" t="s">
        <v>158</v>
      </c>
      <c r="K217" s="175" t="s">
        <v>497</v>
      </c>
      <c r="L217" s="175" t="s">
        <v>170</v>
      </c>
      <c r="M217" s="175" t="s">
        <v>919</v>
      </c>
      <c r="N217" s="175" t="s">
        <v>2183</v>
      </c>
      <c r="O217" s="175" t="s">
        <v>2184</v>
      </c>
      <c r="P217" s="26" t="str">
        <f>_xlfn.DISPIMG("ID_59BF2512FDA845A780519BF3EE363C98",1)</f>
        <v>=DISPIMG("ID_59BF2512FDA845A780519BF3EE363C98",1)</v>
      </c>
      <c r="Q217" s="25" t="s">
        <v>2185</v>
      </c>
      <c r="R217" s="25">
        <v>358</v>
      </c>
      <c r="S217" s="40" t="s">
        <v>4515</v>
      </c>
      <c r="T217" s="18" t="s">
        <v>48</v>
      </c>
      <c r="U217" s="25">
        <v>5</v>
      </c>
      <c r="V217" s="84"/>
    </row>
    <row r="218" s="3" customFormat="1" customHeight="1" spans="1:22">
      <c r="A218" s="84">
        <v>1</v>
      </c>
      <c r="B218" s="175" t="s">
        <v>2480</v>
      </c>
      <c r="C218" s="175" t="s">
        <v>165</v>
      </c>
      <c r="D218" s="175" t="s">
        <v>2481</v>
      </c>
      <c r="E218" s="25">
        <v>15179240952</v>
      </c>
      <c r="F218" s="175" t="s">
        <v>156</v>
      </c>
      <c r="G218" s="175" t="s">
        <v>8</v>
      </c>
      <c r="H218" s="25">
        <v>202102002</v>
      </c>
      <c r="I218" s="175" t="s">
        <v>157</v>
      </c>
      <c r="J218" s="175" t="s">
        <v>2483</v>
      </c>
      <c r="K218" s="175" t="s">
        <v>2379</v>
      </c>
      <c r="L218" s="175" t="s">
        <v>160</v>
      </c>
      <c r="M218" s="175" t="s">
        <v>199</v>
      </c>
      <c r="N218" s="175" t="s">
        <v>8</v>
      </c>
      <c r="O218" s="175" t="s">
        <v>2484</v>
      </c>
      <c r="P218" s="26" t="str">
        <f>_xlfn.DISPIMG("ID_6EB4CC10A54B4F2AAD1518F1F500F570",1)</f>
        <v>=DISPIMG("ID_6EB4CC10A54B4F2AAD1518F1F500F570",1)</v>
      </c>
      <c r="Q218" s="25" t="s">
        <v>2485</v>
      </c>
      <c r="R218" s="25">
        <v>296</v>
      </c>
      <c r="S218" s="40" t="s">
        <v>4511</v>
      </c>
      <c r="T218" s="18" t="s">
        <v>48</v>
      </c>
      <c r="U218" s="25">
        <v>6</v>
      </c>
      <c r="V218" s="84"/>
    </row>
    <row r="219" s="3" customFormat="1" customHeight="1" spans="1:22">
      <c r="A219" s="84">
        <v>2</v>
      </c>
      <c r="B219" s="175" t="s">
        <v>2556</v>
      </c>
      <c r="C219" s="175" t="s">
        <v>165</v>
      </c>
      <c r="D219" s="175" t="s">
        <v>2557</v>
      </c>
      <c r="E219" s="25">
        <v>15770775780</v>
      </c>
      <c r="F219" s="175" t="s">
        <v>156</v>
      </c>
      <c r="G219" s="175" t="s">
        <v>8</v>
      </c>
      <c r="H219" s="25">
        <v>202102002</v>
      </c>
      <c r="I219" s="175" t="s">
        <v>157</v>
      </c>
      <c r="J219" s="175" t="s">
        <v>1413</v>
      </c>
      <c r="K219" s="175" t="s">
        <v>169</v>
      </c>
      <c r="L219" s="175" t="s">
        <v>170</v>
      </c>
      <c r="M219" s="175" t="s">
        <v>235</v>
      </c>
      <c r="N219" s="175" t="s">
        <v>8</v>
      </c>
      <c r="O219" s="25">
        <v>0</v>
      </c>
      <c r="P219" s="26" t="str">
        <f>_xlfn.DISPIMG("ID_BF27FE8641A74810A1152D199B9359D9",1)</f>
        <v>=DISPIMG("ID_BF27FE8641A74810A1152D199B9359D9",1)</v>
      </c>
      <c r="Q219" s="25" t="s">
        <v>2559</v>
      </c>
      <c r="R219" s="25">
        <v>306</v>
      </c>
      <c r="S219" s="40" t="s">
        <v>4512</v>
      </c>
      <c r="T219" s="18" t="s">
        <v>48</v>
      </c>
      <c r="U219" s="25">
        <v>7</v>
      </c>
      <c r="V219" s="84"/>
    </row>
    <row r="220" s="3" customFormat="1" customHeight="1" spans="1:22">
      <c r="A220" s="84">
        <v>6</v>
      </c>
      <c r="B220" s="175" t="s">
        <v>2947</v>
      </c>
      <c r="C220" s="175" t="s">
        <v>165</v>
      </c>
      <c r="D220" s="175" t="s">
        <v>2948</v>
      </c>
      <c r="E220" s="25">
        <v>17370852983</v>
      </c>
      <c r="F220" s="175" t="s">
        <v>156</v>
      </c>
      <c r="G220" s="175" t="s">
        <v>8</v>
      </c>
      <c r="H220" s="25">
        <v>202102002</v>
      </c>
      <c r="I220" s="175" t="s">
        <v>157</v>
      </c>
      <c r="J220" s="175" t="s">
        <v>611</v>
      </c>
      <c r="K220" s="175" t="s">
        <v>1832</v>
      </c>
      <c r="L220" s="175" t="s">
        <v>160</v>
      </c>
      <c r="M220" s="175" t="s">
        <v>306</v>
      </c>
      <c r="N220" s="175" t="s">
        <v>2950</v>
      </c>
      <c r="O220" s="175" t="s">
        <v>2951</v>
      </c>
      <c r="P220" s="26" t="str">
        <f>_xlfn.DISPIMG("ID_53C3410979BA49538F1410917AAC183C",1)</f>
        <v>=DISPIMG("ID_53C3410979BA49538F1410917AAC183C",1)</v>
      </c>
      <c r="Q220" s="25" t="s">
        <v>2952</v>
      </c>
      <c r="R220" s="25">
        <v>362</v>
      </c>
      <c r="S220" s="40" t="s">
        <v>4516</v>
      </c>
      <c r="T220" s="18" t="s">
        <v>48</v>
      </c>
      <c r="U220" s="25">
        <v>8</v>
      </c>
      <c r="V220" s="84"/>
    </row>
    <row r="221" s="3" customFormat="1" customHeight="1" spans="1:22">
      <c r="A221" s="84">
        <v>10</v>
      </c>
      <c r="B221" s="175" t="s">
        <v>3083</v>
      </c>
      <c r="C221" s="175" t="s">
        <v>165</v>
      </c>
      <c r="D221" s="175" t="s">
        <v>3084</v>
      </c>
      <c r="E221" s="25">
        <v>15070231776</v>
      </c>
      <c r="F221" s="175" t="s">
        <v>156</v>
      </c>
      <c r="G221" s="175" t="s">
        <v>8</v>
      </c>
      <c r="H221" s="25">
        <v>202102002</v>
      </c>
      <c r="I221" s="175" t="s">
        <v>157</v>
      </c>
      <c r="J221" s="175" t="s">
        <v>3086</v>
      </c>
      <c r="K221" s="175" t="s">
        <v>3087</v>
      </c>
      <c r="L221" s="175" t="s">
        <v>160</v>
      </c>
      <c r="M221" s="175" t="s">
        <v>455</v>
      </c>
      <c r="N221" s="175" t="s">
        <v>8</v>
      </c>
      <c r="O221" s="25">
        <v>0</v>
      </c>
      <c r="P221" s="26" t="str">
        <f>_xlfn.DISPIMG("ID_FE0A8F210AE74D2ABEA83714575A775F",1)</f>
        <v>=DISPIMG("ID_FE0A8F210AE74D2ABEA83714575A775F",1)</v>
      </c>
      <c r="Q221" s="25" t="s">
        <v>3088</v>
      </c>
      <c r="R221" s="25">
        <v>381</v>
      </c>
      <c r="S221" s="40" t="s">
        <v>4520</v>
      </c>
      <c r="T221" s="18" t="s">
        <v>48</v>
      </c>
      <c r="U221" s="25">
        <v>9</v>
      </c>
      <c r="V221" s="84"/>
    </row>
    <row r="222" s="3" customFormat="1" customHeight="1" spans="1:22">
      <c r="A222" s="84">
        <v>14</v>
      </c>
      <c r="B222" s="175" t="s">
        <v>1027</v>
      </c>
      <c r="C222" s="175" t="s">
        <v>165</v>
      </c>
      <c r="D222" s="175" t="s">
        <v>3692</v>
      </c>
      <c r="E222" s="25">
        <v>15779259710</v>
      </c>
      <c r="F222" s="175" t="s">
        <v>156</v>
      </c>
      <c r="G222" s="175" t="s">
        <v>8</v>
      </c>
      <c r="H222" s="25">
        <v>202102002</v>
      </c>
      <c r="I222" s="175" t="s">
        <v>279</v>
      </c>
      <c r="J222" s="175" t="s">
        <v>3694</v>
      </c>
      <c r="K222" s="175" t="s">
        <v>497</v>
      </c>
      <c r="L222" s="175" t="s">
        <v>170</v>
      </c>
      <c r="M222" s="175" t="s">
        <v>180</v>
      </c>
      <c r="N222" s="175" t="s">
        <v>8</v>
      </c>
      <c r="O222" s="175" t="s">
        <v>3695</v>
      </c>
      <c r="P222" s="26" t="str">
        <f>_xlfn.DISPIMG("ID_57DB6C2F5BCD45498E344599D2C7D1D8",1)</f>
        <v>=DISPIMG("ID_57DB6C2F5BCD45498E344599D2C7D1D8",1)</v>
      </c>
      <c r="Q222" s="25" t="s">
        <v>3696</v>
      </c>
      <c r="R222" s="25">
        <v>470</v>
      </c>
      <c r="S222" s="40" t="s">
        <v>4525</v>
      </c>
      <c r="T222" s="18" t="s">
        <v>48</v>
      </c>
      <c r="U222" s="25">
        <v>10</v>
      </c>
      <c r="V222" s="84"/>
    </row>
    <row r="223" s="3" customFormat="1" customHeight="1" spans="1:22">
      <c r="A223" s="84">
        <v>18</v>
      </c>
      <c r="B223" s="175" t="s">
        <v>3850</v>
      </c>
      <c r="C223" s="175" t="s">
        <v>165</v>
      </c>
      <c r="D223" s="175" t="s">
        <v>3851</v>
      </c>
      <c r="E223" s="25">
        <v>15797695028</v>
      </c>
      <c r="F223" s="175" t="s">
        <v>156</v>
      </c>
      <c r="G223" s="175" t="s">
        <v>8</v>
      </c>
      <c r="H223" s="25">
        <v>202102002</v>
      </c>
      <c r="I223" s="175" t="s">
        <v>157</v>
      </c>
      <c r="J223" s="175" t="s">
        <v>233</v>
      </c>
      <c r="K223" s="175" t="s">
        <v>3853</v>
      </c>
      <c r="L223" s="175" t="s">
        <v>160</v>
      </c>
      <c r="M223" s="175" t="s">
        <v>235</v>
      </c>
      <c r="N223" s="175" t="s">
        <v>3854</v>
      </c>
      <c r="O223" s="25">
        <v>0</v>
      </c>
      <c r="P223" s="26" t="str">
        <f>_xlfn.DISPIMG("ID_84872379004C4F22BC15C75702A4DBC9",1)</f>
        <v>=DISPIMG("ID_84872379004C4F22BC15C75702A4DBC9",1)</v>
      </c>
      <c r="Q223" s="25" t="s">
        <v>3855</v>
      </c>
      <c r="R223" s="25">
        <v>491</v>
      </c>
      <c r="S223" s="40" t="s">
        <v>4530</v>
      </c>
      <c r="T223" s="18" t="s">
        <v>48</v>
      </c>
      <c r="U223" s="25">
        <v>11</v>
      </c>
      <c r="V223" s="84"/>
    </row>
    <row r="224" s="3" customFormat="1" customHeight="1" spans="1:22">
      <c r="A224" s="84">
        <v>23</v>
      </c>
      <c r="B224" s="175" t="s">
        <v>4043</v>
      </c>
      <c r="C224" s="175" t="s">
        <v>165</v>
      </c>
      <c r="D224" s="175" t="s">
        <v>4044</v>
      </c>
      <c r="E224" s="25">
        <v>18046771974</v>
      </c>
      <c r="F224" s="175" t="s">
        <v>156</v>
      </c>
      <c r="G224" s="175" t="s">
        <v>8</v>
      </c>
      <c r="H224" s="25">
        <v>202102002</v>
      </c>
      <c r="I224" s="175" t="s">
        <v>157</v>
      </c>
      <c r="J224" s="175" t="s">
        <v>1368</v>
      </c>
      <c r="K224" s="175" t="s">
        <v>4046</v>
      </c>
      <c r="L224" s="175" t="s">
        <v>170</v>
      </c>
      <c r="M224" s="175" t="s">
        <v>281</v>
      </c>
      <c r="N224" s="175" t="s">
        <v>20</v>
      </c>
      <c r="O224" s="175" t="s">
        <v>4047</v>
      </c>
      <c r="P224" s="26" t="str">
        <f>_xlfn.DISPIMG("ID_5DC4628448F54176A5FF91EC25B128F5",1)</f>
        <v>=DISPIMG("ID_5DC4628448F54176A5FF91EC25B128F5",1)</v>
      </c>
      <c r="Q224" s="25" t="s">
        <v>4048</v>
      </c>
      <c r="R224" s="25">
        <v>517</v>
      </c>
      <c r="S224" s="40" t="s">
        <v>4536</v>
      </c>
      <c r="T224" s="18" t="s">
        <v>48</v>
      </c>
      <c r="U224" s="25">
        <v>12</v>
      </c>
      <c r="V224" s="84"/>
    </row>
    <row r="225" s="3" customFormat="1" customHeight="1" spans="1:22">
      <c r="A225" s="84">
        <v>24</v>
      </c>
      <c r="B225" s="175" t="s">
        <v>4089</v>
      </c>
      <c r="C225" s="175" t="s">
        <v>165</v>
      </c>
      <c r="D225" s="175" t="s">
        <v>4090</v>
      </c>
      <c r="E225" s="25">
        <v>15979951702</v>
      </c>
      <c r="F225" s="175" t="s">
        <v>156</v>
      </c>
      <c r="G225" s="175" t="s">
        <v>8</v>
      </c>
      <c r="H225" s="25">
        <v>202102002</v>
      </c>
      <c r="I225" s="175" t="s">
        <v>157</v>
      </c>
      <c r="J225" s="175" t="s">
        <v>385</v>
      </c>
      <c r="K225" s="175" t="s">
        <v>270</v>
      </c>
      <c r="L225" s="175" t="s">
        <v>170</v>
      </c>
      <c r="M225" s="175" t="s">
        <v>161</v>
      </c>
      <c r="N225" s="175" t="s">
        <v>20</v>
      </c>
      <c r="O225" s="175" t="s">
        <v>4092</v>
      </c>
      <c r="P225" s="26" t="str">
        <f>_xlfn.DISPIMG("ID_9B43E41106094708AAB8E2C3D51BAF21",1)</f>
        <v>=DISPIMG("ID_9B43E41106094708AAB8E2C3D51BAF21",1)</v>
      </c>
      <c r="Q225" s="25" t="s">
        <v>4093</v>
      </c>
      <c r="R225" s="25">
        <v>523</v>
      </c>
      <c r="S225" s="40" t="s">
        <v>4537</v>
      </c>
      <c r="T225" s="18" t="s">
        <v>48</v>
      </c>
      <c r="U225" s="25">
        <v>13</v>
      </c>
      <c r="V225" s="84"/>
    </row>
    <row r="226" s="4" customFormat="1" customHeight="1" spans="1:22">
      <c r="A226" s="84">
        <v>19</v>
      </c>
      <c r="B226" s="175" t="s">
        <v>3865</v>
      </c>
      <c r="C226" s="175" t="s">
        <v>165</v>
      </c>
      <c r="D226" s="175" t="s">
        <v>3866</v>
      </c>
      <c r="E226" s="25">
        <v>18879267212</v>
      </c>
      <c r="F226" s="175" t="s">
        <v>156</v>
      </c>
      <c r="G226" s="175" t="s">
        <v>8</v>
      </c>
      <c r="H226" s="25">
        <v>202102002</v>
      </c>
      <c r="I226" s="175" t="s">
        <v>157</v>
      </c>
      <c r="J226" s="175" t="s">
        <v>827</v>
      </c>
      <c r="K226" s="175" t="s">
        <v>270</v>
      </c>
      <c r="L226" s="175" t="s">
        <v>170</v>
      </c>
      <c r="M226" s="175" t="s">
        <v>171</v>
      </c>
      <c r="N226" s="175" t="s">
        <v>3868</v>
      </c>
      <c r="O226" s="175" t="s">
        <v>3869</v>
      </c>
      <c r="P226" s="26" t="str">
        <f>_xlfn.DISPIMG("ID_60BA691C89BB46A3A629500DC48B1B82",1)</f>
        <v>=DISPIMG("ID_60BA691C89BB46A3A629500DC48B1B82",1)</v>
      </c>
      <c r="Q226" s="25" t="s">
        <v>3870</v>
      </c>
      <c r="R226" s="25">
        <v>493</v>
      </c>
      <c r="S226" s="40" t="s">
        <v>4532</v>
      </c>
      <c r="T226" s="18" t="s">
        <v>48</v>
      </c>
      <c r="U226" s="25">
        <v>14</v>
      </c>
      <c r="V226" s="70"/>
    </row>
    <row r="227" s="3" customFormat="1" customHeight="1" spans="1:22">
      <c r="A227" s="84">
        <v>15</v>
      </c>
      <c r="B227" s="175" t="s">
        <v>3734</v>
      </c>
      <c r="C227" s="175" t="s">
        <v>165</v>
      </c>
      <c r="D227" s="175" t="s">
        <v>3735</v>
      </c>
      <c r="E227" s="25">
        <v>15070233072</v>
      </c>
      <c r="F227" s="175" t="s">
        <v>156</v>
      </c>
      <c r="G227" s="175" t="s">
        <v>8</v>
      </c>
      <c r="H227" s="25">
        <v>202102002</v>
      </c>
      <c r="I227" s="175" t="s">
        <v>157</v>
      </c>
      <c r="J227" s="175" t="s">
        <v>3737</v>
      </c>
      <c r="K227" s="175" t="s">
        <v>3738</v>
      </c>
      <c r="L227" s="175" t="s">
        <v>160</v>
      </c>
      <c r="M227" s="175" t="s">
        <v>171</v>
      </c>
      <c r="N227" s="175" t="s">
        <v>8</v>
      </c>
      <c r="O227" s="175" t="s">
        <v>3739</v>
      </c>
      <c r="P227" s="26" t="str">
        <f>_xlfn.DISPIMG("ID_B7F470084B4940CBBF67BF60A043E6F0",1)</f>
        <v>=DISPIMG("ID_B7F470084B4940CBBF67BF60A043E6F0",1)</v>
      </c>
      <c r="Q227" s="25" t="s">
        <v>3740</v>
      </c>
      <c r="R227" s="25">
        <v>476</v>
      </c>
      <c r="S227" s="40" t="s">
        <v>4527</v>
      </c>
      <c r="T227" s="18" t="s">
        <v>48</v>
      </c>
      <c r="U227" s="25">
        <v>15</v>
      </c>
      <c r="V227" s="84"/>
    </row>
    <row r="228" s="3" customFormat="1" customHeight="1" spans="1:22">
      <c r="A228" s="84">
        <v>11</v>
      </c>
      <c r="B228" s="175" t="s">
        <v>3226</v>
      </c>
      <c r="C228" s="175" t="s">
        <v>165</v>
      </c>
      <c r="D228" s="175" t="s">
        <v>3227</v>
      </c>
      <c r="E228" s="25">
        <v>18279226554</v>
      </c>
      <c r="F228" s="175" t="s">
        <v>156</v>
      </c>
      <c r="G228" s="175" t="s">
        <v>8</v>
      </c>
      <c r="H228" s="25">
        <v>202102002</v>
      </c>
      <c r="I228" s="175" t="s">
        <v>157</v>
      </c>
      <c r="J228" s="175" t="s">
        <v>3229</v>
      </c>
      <c r="K228" s="175" t="s">
        <v>1832</v>
      </c>
      <c r="L228" s="175" t="s">
        <v>160</v>
      </c>
      <c r="M228" s="175" t="s">
        <v>235</v>
      </c>
      <c r="N228" s="175" t="s">
        <v>3230</v>
      </c>
      <c r="O228" s="25">
        <v>0</v>
      </c>
      <c r="P228" s="26" t="str">
        <f>_xlfn.DISPIMG("ID_E38CE29681DB4326A5DB290E49AD4AFC",1)</f>
        <v>=DISPIMG("ID_E38CE29681DB4326A5DB290E49AD4AFC",1)</v>
      </c>
      <c r="Q228" s="25" t="s">
        <v>3231</v>
      </c>
      <c r="R228" s="25">
        <v>402</v>
      </c>
      <c r="S228" s="40" t="s">
        <v>4522</v>
      </c>
      <c r="T228" s="18" t="s">
        <v>48</v>
      </c>
      <c r="U228" s="25">
        <v>16</v>
      </c>
      <c r="V228" s="84"/>
    </row>
    <row r="229" s="3" customFormat="1" customHeight="1" spans="1:22">
      <c r="A229" s="84">
        <v>7</v>
      </c>
      <c r="B229" s="175" t="s">
        <v>2983</v>
      </c>
      <c r="C229" s="175" t="s">
        <v>165</v>
      </c>
      <c r="D229" s="175" t="s">
        <v>2984</v>
      </c>
      <c r="E229" s="25">
        <v>13699860392</v>
      </c>
      <c r="F229" s="175" t="s">
        <v>156</v>
      </c>
      <c r="G229" s="175" t="s">
        <v>8</v>
      </c>
      <c r="H229" s="25">
        <v>202102002</v>
      </c>
      <c r="I229" s="175" t="s">
        <v>157</v>
      </c>
      <c r="J229" s="175" t="s">
        <v>187</v>
      </c>
      <c r="K229" s="175" t="s">
        <v>2986</v>
      </c>
      <c r="L229" s="175" t="s">
        <v>160</v>
      </c>
      <c r="M229" s="175" t="s">
        <v>516</v>
      </c>
      <c r="N229" s="175" t="s">
        <v>20</v>
      </c>
      <c r="O229" s="175" t="s">
        <v>2987</v>
      </c>
      <c r="P229" s="26" t="str">
        <f>_xlfn.DISPIMG("ID_60E91D8703D740D9A8AE531BE158A22D",1)</f>
        <v>=DISPIMG("ID_60E91D8703D740D9A8AE531BE158A22D",1)</v>
      </c>
      <c r="Q229" s="25" t="s">
        <v>2988</v>
      </c>
      <c r="R229" s="25">
        <v>367</v>
      </c>
      <c r="S229" s="40" t="s">
        <v>4517</v>
      </c>
      <c r="T229" s="18" t="s">
        <v>48</v>
      </c>
      <c r="U229" s="25">
        <v>17</v>
      </c>
      <c r="V229" s="84"/>
    </row>
    <row r="230" s="3" customFormat="1" customHeight="1" spans="1:22">
      <c r="A230" s="84">
        <v>3</v>
      </c>
      <c r="B230" s="175" t="s">
        <v>2839</v>
      </c>
      <c r="C230" s="175" t="s">
        <v>165</v>
      </c>
      <c r="D230" s="175" t="s">
        <v>2840</v>
      </c>
      <c r="E230" s="25">
        <v>15979055139</v>
      </c>
      <c r="F230" s="175" t="s">
        <v>156</v>
      </c>
      <c r="G230" s="175" t="s">
        <v>8</v>
      </c>
      <c r="H230" s="25">
        <v>202102002</v>
      </c>
      <c r="I230" s="175" t="s">
        <v>157</v>
      </c>
      <c r="J230" s="175" t="s">
        <v>827</v>
      </c>
      <c r="K230" s="175" t="s">
        <v>270</v>
      </c>
      <c r="L230" s="175" t="s">
        <v>170</v>
      </c>
      <c r="M230" s="175" t="s">
        <v>587</v>
      </c>
      <c r="N230" s="175" t="s">
        <v>2842</v>
      </c>
      <c r="O230" s="175" t="s">
        <v>2843</v>
      </c>
      <c r="P230" s="26" t="str">
        <f>_xlfn.DISPIMG("ID_D0E61411E52441859AFE69B7874CA20C",1)</f>
        <v>=DISPIMG("ID_D0E61411E52441859AFE69B7874CA20C",1)</v>
      </c>
      <c r="Q230" s="25" t="s">
        <v>2844</v>
      </c>
      <c r="R230" s="25">
        <v>345</v>
      </c>
      <c r="S230" s="40" t="s">
        <v>4513</v>
      </c>
      <c r="T230" s="18" t="s">
        <v>48</v>
      </c>
      <c r="U230" s="25">
        <v>18</v>
      </c>
      <c r="V230" s="84"/>
    </row>
    <row r="231" s="3" customFormat="1" customHeight="1" spans="1:22">
      <c r="A231" s="84">
        <v>4</v>
      </c>
      <c r="B231" s="175" t="s">
        <v>2847</v>
      </c>
      <c r="C231" s="175" t="s">
        <v>165</v>
      </c>
      <c r="D231" s="175" t="s">
        <v>2848</v>
      </c>
      <c r="E231" s="25">
        <v>18720087898</v>
      </c>
      <c r="F231" s="175" t="s">
        <v>156</v>
      </c>
      <c r="G231" s="175" t="s">
        <v>8</v>
      </c>
      <c r="H231" s="25">
        <v>202102002</v>
      </c>
      <c r="I231" s="175" t="s">
        <v>157</v>
      </c>
      <c r="J231" s="175" t="s">
        <v>1654</v>
      </c>
      <c r="K231" s="175" t="s">
        <v>813</v>
      </c>
      <c r="L231" s="175" t="s">
        <v>160</v>
      </c>
      <c r="M231" s="175" t="s">
        <v>516</v>
      </c>
      <c r="N231" s="175" t="s">
        <v>8</v>
      </c>
      <c r="O231" s="175" t="s">
        <v>2850</v>
      </c>
      <c r="P231" s="26" t="str">
        <f>_xlfn.DISPIMG("ID_B4574457B7EA4998BCE46939492C25E1",1)</f>
        <v>=DISPIMG("ID_B4574457B7EA4998BCE46939492C25E1",1)</v>
      </c>
      <c r="Q231" s="25" t="s">
        <v>2851</v>
      </c>
      <c r="R231" s="25">
        <v>346</v>
      </c>
      <c r="S231" s="40" t="s">
        <v>4514</v>
      </c>
      <c r="T231" s="18" t="s">
        <v>48</v>
      </c>
      <c r="U231" s="25">
        <v>19</v>
      </c>
      <c r="V231" s="84"/>
    </row>
    <row r="232" s="3" customFormat="1" customHeight="1" spans="1:22">
      <c r="A232" s="84">
        <v>8</v>
      </c>
      <c r="B232" s="175" t="s">
        <v>2996</v>
      </c>
      <c r="C232" s="175" t="s">
        <v>165</v>
      </c>
      <c r="D232" s="175" t="s">
        <v>2997</v>
      </c>
      <c r="E232" s="25">
        <v>17379208038</v>
      </c>
      <c r="F232" s="175" t="s">
        <v>156</v>
      </c>
      <c r="G232" s="175" t="s">
        <v>8</v>
      </c>
      <c r="H232" s="25">
        <v>202102002</v>
      </c>
      <c r="I232" s="175" t="s">
        <v>157</v>
      </c>
      <c r="J232" s="175" t="s">
        <v>437</v>
      </c>
      <c r="K232" s="175" t="s">
        <v>1481</v>
      </c>
      <c r="L232" s="175" t="s">
        <v>160</v>
      </c>
      <c r="M232" s="175" t="s">
        <v>281</v>
      </c>
      <c r="N232" s="175" t="s">
        <v>8</v>
      </c>
      <c r="O232" s="25">
        <v>0</v>
      </c>
      <c r="P232" s="26" t="str">
        <f>_xlfn.DISPIMG("ID_A119020A43A6495588BAFB55CB082F01",1)</f>
        <v>=DISPIMG("ID_A119020A43A6495588BAFB55CB082F01",1)</v>
      </c>
      <c r="Q232" s="25" t="s">
        <v>2999</v>
      </c>
      <c r="R232" s="25">
        <v>369</v>
      </c>
      <c r="S232" s="40" t="s">
        <v>4518</v>
      </c>
      <c r="T232" s="18" t="s">
        <v>48</v>
      </c>
      <c r="U232" s="25">
        <v>20</v>
      </c>
      <c r="V232" s="84"/>
    </row>
    <row r="233" s="3" customFormat="1" customHeight="1" spans="1:22">
      <c r="A233" s="84">
        <v>12</v>
      </c>
      <c r="B233" s="175" t="s">
        <v>3416</v>
      </c>
      <c r="C233" s="175" t="s">
        <v>165</v>
      </c>
      <c r="D233" s="175" t="s">
        <v>3417</v>
      </c>
      <c r="E233" s="25">
        <v>15179885806</v>
      </c>
      <c r="F233" s="175" t="s">
        <v>156</v>
      </c>
      <c r="G233" s="175" t="s">
        <v>8</v>
      </c>
      <c r="H233" s="25">
        <v>202102002</v>
      </c>
      <c r="I233" s="175" t="s">
        <v>157</v>
      </c>
      <c r="J233" s="175" t="s">
        <v>242</v>
      </c>
      <c r="K233" s="175" t="s">
        <v>3087</v>
      </c>
      <c r="L233" s="175" t="s">
        <v>160</v>
      </c>
      <c r="M233" s="175" t="s">
        <v>180</v>
      </c>
      <c r="N233" s="175" t="s">
        <v>3418</v>
      </c>
      <c r="O233" s="175" t="s">
        <v>3419</v>
      </c>
      <c r="P233" s="26" t="str">
        <f>_xlfn.DISPIMG("ID_7663A71771F44500AC5AF2DBC8366CB5",1)</f>
        <v>=DISPIMG("ID_7663A71771F44500AC5AF2DBC8366CB5",1)</v>
      </c>
      <c r="Q233" s="25" t="s">
        <v>3420</v>
      </c>
      <c r="R233" s="25">
        <v>431</v>
      </c>
      <c r="S233" s="40" t="s">
        <v>4523</v>
      </c>
      <c r="T233" s="18" t="s">
        <v>48</v>
      </c>
      <c r="U233" s="25">
        <v>21</v>
      </c>
      <c r="V233" s="84"/>
    </row>
    <row r="234" s="3" customFormat="1" customHeight="1" spans="1:22">
      <c r="A234" s="84">
        <v>16</v>
      </c>
      <c r="B234" s="175" t="s">
        <v>3766</v>
      </c>
      <c r="C234" s="175" t="s">
        <v>165</v>
      </c>
      <c r="D234" s="175" t="s">
        <v>3767</v>
      </c>
      <c r="E234" s="25">
        <v>18079224740</v>
      </c>
      <c r="F234" s="175" t="s">
        <v>156</v>
      </c>
      <c r="G234" s="175" t="s">
        <v>8</v>
      </c>
      <c r="H234" s="25">
        <v>202102002</v>
      </c>
      <c r="I234" s="175" t="s">
        <v>157</v>
      </c>
      <c r="J234" s="175" t="s">
        <v>233</v>
      </c>
      <c r="K234" s="175" t="s">
        <v>3769</v>
      </c>
      <c r="L234" s="175" t="s">
        <v>160</v>
      </c>
      <c r="M234" s="175" t="s">
        <v>1089</v>
      </c>
      <c r="N234" s="175" t="s">
        <v>8</v>
      </c>
      <c r="O234" s="25">
        <v>0</v>
      </c>
      <c r="P234" s="26" t="str">
        <f>_xlfn.DISPIMG("ID_2E7FF83B7D12427491B1BA1300A2CD7A",1)</f>
        <v>=DISPIMG("ID_2E7FF83B7D12427491B1BA1300A2CD7A",1)</v>
      </c>
      <c r="Q234" s="25" t="s">
        <v>3770</v>
      </c>
      <c r="R234" s="25">
        <v>480</v>
      </c>
      <c r="S234" s="40" t="s">
        <v>4528</v>
      </c>
      <c r="T234" s="18" t="s">
        <v>48</v>
      </c>
      <c r="U234" s="25">
        <v>22</v>
      </c>
      <c r="V234" s="84"/>
    </row>
    <row r="235" s="3" customFormat="1" customHeight="1" spans="1:22">
      <c r="A235" s="84">
        <v>20</v>
      </c>
      <c r="B235" s="175" t="s">
        <v>3904</v>
      </c>
      <c r="C235" s="175" t="s">
        <v>153</v>
      </c>
      <c r="D235" s="175" t="s">
        <v>3905</v>
      </c>
      <c r="E235" s="25">
        <v>15007027769</v>
      </c>
      <c r="F235" s="175" t="s">
        <v>156</v>
      </c>
      <c r="G235" s="175" t="s">
        <v>8</v>
      </c>
      <c r="H235" s="25">
        <v>202102002</v>
      </c>
      <c r="I235" s="175" t="s">
        <v>157</v>
      </c>
      <c r="J235" s="175" t="s">
        <v>158</v>
      </c>
      <c r="K235" s="175" t="s">
        <v>1481</v>
      </c>
      <c r="L235" s="175" t="s">
        <v>160</v>
      </c>
      <c r="M235" s="175" t="s">
        <v>216</v>
      </c>
      <c r="N235" s="175" t="s">
        <v>8</v>
      </c>
      <c r="O235" s="25">
        <v>0</v>
      </c>
      <c r="P235" s="26" t="str">
        <f>_xlfn.DISPIMG("ID_9F8C123E434549AABE94648B98FC4902",1)</f>
        <v>=DISPIMG("ID_9F8C123E434549AABE94648B98FC4902",1)</v>
      </c>
      <c r="Q235" s="25" t="s">
        <v>3907</v>
      </c>
      <c r="R235" s="25">
        <v>498</v>
      </c>
      <c r="S235" s="40" t="s">
        <v>4533</v>
      </c>
      <c r="T235" s="18" t="s">
        <v>48</v>
      </c>
      <c r="U235" s="25">
        <v>23</v>
      </c>
      <c r="V235" s="84"/>
    </row>
    <row r="236" s="3" customFormat="1" customHeight="1" spans="1:22">
      <c r="A236" s="84">
        <v>25</v>
      </c>
      <c r="B236" s="175" t="s">
        <v>4191</v>
      </c>
      <c r="C236" s="175" t="s">
        <v>153</v>
      </c>
      <c r="D236" s="175" t="s">
        <v>4192</v>
      </c>
      <c r="E236" s="25">
        <v>15979988511</v>
      </c>
      <c r="F236" s="175" t="s">
        <v>156</v>
      </c>
      <c r="G236" s="175" t="s">
        <v>8</v>
      </c>
      <c r="H236" s="25">
        <v>202102002</v>
      </c>
      <c r="I236" s="175" t="s">
        <v>157</v>
      </c>
      <c r="J236" s="175" t="s">
        <v>789</v>
      </c>
      <c r="K236" s="175" t="s">
        <v>270</v>
      </c>
      <c r="L236" s="175" t="s">
        <v>160</v>
      </c>
      <c r="M236" s="175" t="s">
        <v>180</v>
      </c>
      <c r="N236" s="175" t="s">
        <v>8</v>
      </c>
      <c r="O236" s="175" t="s">
        <v>4194</v>
      </c>
      <c r="P236" s="26" t="str">
        <f>_xlfn.DISPIMG("ID_0D01E0F1A35045CF8FA47A6F17C3312E",1)</f>
        <v>=DISPIMG("ID_0D01E0F1A35045CF8FA47A6F17C3312E",1)</v>
      </c>
      <c r="Q236" s="25" t="s">
        <v>4195</v>
      </c>
      <c r="R236" s="25">
        <v>536</v>
      </c>
      <c r="S236" s="40" t="s">
        <v>4538</v>
      </c>
      <c r="T236" s="18" t="s">
        <v>48</v>
      </c>
      <c r="U236" s="25">
        <v>24</v>
      </c>
      <c r="V236" s="84"/>
    </row>
    <row r="237" s="3" customFormat="1" customHeight="1" spans="1:22">
      <c r="A237" s="84">
        <v>26</v>
      </c>
      <c r="B237" s="175" t="s">
        <v>4230</v>
      </c>
      <c r="C237" s="175" t="s">
        <v>165</v>
      </c>
      <c r="D237" s="175" t="s">
        <v>4231</v>
      </c>
      <c r="E237" s="25">
        <v>15797679627</v>
      </c>
      <c r="F237" s="175" t="s">
        <v>156</v>
      </c>
      <c r="G237" s="175" t="s">
        <v>8</v>
      </c>
      <c r="H237" s="25">
        <v>202102002</v>
      </c>
      <c r="I237" s="175" t="s">
        <v>157</v>
      </c>
      <c r="J237" s="175" t="s">
        <v>876</v>
      </c>
      <c r="K237" s="175" t="s">
        <v>1204</v>
      </c>
      <c r="L237" s="175" t="s">
        <v>160</v>
      </c>
      <c r="M237" s="175" t="s">
        <v>171</v>
      </c>
      <c r="N237" s="175" t="s">
        <v>4233</v>
      </c>
      <c r="O237" s="25">
        <v>0</v>
      </c>
      <c r="P237" s="26" t="str">
        <f>_xlfn.DISPIMG("ID_866D1667729041288352BAC0C5E9F611",1)</f>
        <v>=DISPIMG("ID_866D1667729041288352BAC0C5E9F611",1)</v>
      </c>
      <c r="Q237" s="25" t="s">
        <v>4234</v>
      </c>
      <c r="R237" s="25">
        <v>541</v>
      </c>
      <c r="S237" s="40" t="s">
        <v>4531</v>
      </c>
      <c r="T237" s="18" t="s">
        <v>48</v>
      </c>
      <c r="U237" s="25">
        <v>25</v>
      </c>
      <c r="V237" s="84"/>
    </row>
    <row r="238" s="3" customFormat="1" customHeight="1" spans="1:22">
      <c r="A238" s="84">
        <v>21</v>
      </c>
      <c r="B238" s="175" t="s">
        <v>3924</v>
      </c>
      <c r="C238" s="175" t="s">
        <v>165</v>
      </c>
      <c r="D238" s="175" t="s">
        <v>3925</v>
      </c>
      <c r="E238" s="25">
        <v>15797691720</v>
      </c>
      <c r="F238" s="175" t="s">
        <v>156</v>
      </c>
      <c r="G238" s="175" t="s">
        <v>8</v>
      </c>
      <c r="H238" s="25">
        <v>202102002</v>
      </c>
      <c r="I238" s="175" t="s">
        <v>157</v>
      </c>
      <c r="J238" s="175" t="s">
        <v>603</v>
      </c>
      <c r="K238" s="175" t="s">
        <v>2379</v>
      </c>
      <c r="L238" s="175" t="s">
        <v>160</v>
      </c>
      <c r="M238" s="175" t="s">
        <v>306</v>
      </c>
      <c r="N238" s="175" t="s">
        <v>989</v>
      </c>
      <c r="O238" s="175" t="s">
        <v>3927</v>
      </c>
      <c r="P238" s="26" t="str">
        <f>_xlfn.DISPIMG("ID_514B3145E6BD4A2498C42CFECAEF98E2",1)</f>
        <v>=DISPIMG("ID_514B3145E6BD4A2498C42CFECAEF98E2",1)</v>
      </c>
      <c r="Q238" s="25" t="s">
        <v>3928</v>
      </c>
      <c r="R238" s="25">
        <v>501</v>
      </c>
      <c r="S238" s="40" t="s">
        <v>4534</v>
      </c>
      <c r="T238" s="18" t="s">
        <v>48</v>
      </c>
      <c r="U238" s="25">
        <v>26</v>
      </c>
      <c r="V238" s="84"/>
    </row>
    <row r="239" s="3" customFormat="1" customHeight="1" spans="1:22">
      <c r="A239" s="84">
        <v>28</v>
      </c>
      <c r="B239" s="175" t="s">
        <v>3667</v>
      </c>
      <c r="C239" s="175" t="s">
        <v>153</v>
      </c>
      <c r="D239" s="175" t="s">
        <v>3668</v>
      </c>
      <c r="E239" s="25">
        <v>15604248160</v>
      </c>
      <c r="F239" s="175" t="s">
        <v>384</v>
      </c>
      <c r="G239" s="175" t="s">
        <v>27</v>
      </c>
      <c r="H239" s="25">
        <v>202101016</v>
      </c>
      <c r="I239" s="175" t="s">
        <v>705</v>
      </c>
      <c r="J239" s="175" t="s">
        <v>3670</v>
      </c>
      <c r="K239" s="175" t="s">
        <v>215</v>
      </c>
      <c r="L239" s="175" t="s">
        <v>160</v>
      </c>
      <c r="M239" s="175" t="s">
        <v>910</v>
      </c>
      <c r="N239" s="175" t="s">
        <v>3671</v>
      </c>
      <c r="O239" s="175" t="s">
        <v>3672</v>
      </c>
      <c r="P239" s="26" t="str">
        <f>_xlfn.DISPIMG("ID_FBBE15C9E10944F892C3BCC99A8EDA31",1)</f>
        <v>=DISPIMG("ID_FBBE15C9E10944F892C3BCC99A8EDA31",1)</v>
      </c>
      <c r="Q239" s="25" t="s">
        <v>3673</v>
      </c>
      <c r="R239" s="25">
        <v>467</v>
      </c>
      <c r="S239" s="40" t="s">
        <v>4541</v>
      </c>
      <c r="T239" s="18" t="s">
        <v>48</v>
      </c>
      <c r="U239" s="25">
        <v>27</v>
      </c>
      <c r="V239" s="84"/>
    </row>
    <row r="240" s="3" customFormat="1" customHeight="1" spans="1:22">
      <c r="A240" s="84">
        <v>27</v>
      </c>
      <c r="B240" s="175" t="s">
        <v>2210</v>
      </c>
      <c r="C240" s="175" t="s">
        <v>165</v>
      </c>
      <c r="D240" s="175" t="s">
        <v>2211</v>
      </c>
      <c r="E240" s="25">
        <v>15770710161</v>
      </c>
      <c r="F240" s="175" t="s">
        <v>384</v>
      </c>
      <c r="G240" s="175" t="s">
        <v>27</v>
      </c>
      <c r="H240" s="25">
        <v>202101016</v>
      </c>
      <c r="I240" s="175" t="s">
        <v>157</v>
      </c>
      <c r="J240" s="175" t="s">
        <v>1413</v>
      </c>
      <c r="K240" s="175" t="s">
        <v>215</v>
      </c>
      <c r="L240" s="175" t="s">
        <v>170</v>
      </c>
      <c r="M240" s="175" t="s">
        <v>171</v>
      </c>
      <c r="N240" s="175" t="s">
        <v>2213</v>
      </c>
      <c r="O240" s="175" t="s">
        <v>2214</v>
      </c>
      <c r="P240" s="26" t="str">
        <f>_xlfn.DISPIMG("ID_0AC7D7DC948D4142BC7E39C07F0EB7F8",1)</f>
        <v>=DISPIMG("ID_0AC7D7DC948D4142BC7E39C07F0EB7F8",1)</v>
      </c>
      <c r="Q240" s="25" t="s">
        <v>2215</v>
      </c>
      <c r="R240" s="25">
        <v>260</v>
      </c>
      <c r="S240" s="40" t="s">
        <v>4540</v>
      </c>
      <c r="T240" s="18" t="s">
        <v>48</v>
      </c>
      <c r="U240" s="25">
        <v>28</v>
      </c>
      <c r="V240" s="84"/>
    </row>
    <row r="241" s="3" customFormat="1" customHeight="1" spans="1:22">
      <c r="A241" s="84">
        <v>29</v>
      </c>
      <c r="B241" s="175" t="s">
        <v>425</v>
      </c>
      <c r="C241" s="175" t="s">
        <v>165</v>
      </c>
      <c r="D241" s="175" t="s">
        <v>426</v>
      </c>
      <c r="E241" s="25">
        <v>18720147865</v>
      </c>
      <c r="F241" s="175" t="s">
        <v>297</v>
      </c>
      <c r="G241" s="175" t="s">
        <v>29</v>
      </c>
      <c r="H241" s="25">
        <v>202101008</v>
      </c>
      <c r="I241" s="175" t="s">
        <v>157</v>
      </c>
      <c r="J241" s="175" t="s">
        <v>428</v>
      </c>
      <c r="K241" s="175" t="s">
        <v>429</v>
      </c>
      <c r="L241" s="175" t="s">
        <v>160</v>
      </c>
      <c r="M241" s="175" t="s">
        <v>235</v>
      </c>
      <c r="N241" s="175" t="s">
        <v>430</v>
      </c>
      <c r="O241" s="25">
        <v>0</v>
      </c>
      <c r="P241" s="26" t="str">
        <f>_xlfn.DISPIMG("ID_9C21E529A1D946A49AECBF1B4E991CC9",1)</f>
        <v>=DISPIMG("ID_9C21E529A1D946A49AECBF1B4E991CC9",1)</v>
      </c>
      <c r="Q241" s="25" t="s">
        <v>431</v>
      </c>
      <c r="R241" s="25">
        <v>32</v>
      </c>
      <c r="S241" s="40" t="s">
        <v>4542</v>
      </c>
      <c r="T241" s="18" t="s">
        <v>48</v>
      </c>
      <c r="U241" s="25">
        <v>29</v>
      </c>
      <c r="V241" s="84"/>
    </row>
    <row r="242" s="3" customFormat="1" customHeight="1" spans="1:22">
      <c r="A242" s="84"/>
      <c r="B242" s="25"/>
      <c r="C242" s="25"/>
      <c r="D242" s="25"/>
      <c r="E242" s="25"/>
      <c r="F242" s="25"/>
      <c r="G242" s="25"/>
      <c r="H242" s="25"/>
      <c r="I242" s="25"/>
      <c r="J242" s="25"/>
      <c r="K242" s="25"/>
      <c r="L242" s="25"/>
      <c r="M242" s="25"/>
      <c r="N242" s="25"/>
      <c r="O242" s="25"/>
      <c r="P242" s="26"/>
      <c r="Q242" s="25"/>
      <c r="R242" s="25"/>
      <c r="S242" s="40"/>
      <c r="T242" s="18"/>
      <c r="U242" s="25"/>
      <c r="V242" s="84"/>
    </row>
    <row r="243" s="3" customFormat="1" customHeight="1" spans="1:22">
      <c r="A243" s="84">
        <v>26</v>
      </c>
      <c r="B243" s="175" t="s">
        <v>1486</v>
      </c>
      <c r="C243" s="175" t="s">
        <v>165</v>
      </c>
      <c r="D243" s="175" t="s">
        <v>1487</v>
      </c>
      <c r="E243" s="25">
        <v>13979859802</v>
      </c>
      <c r="F243" s="175" t="s">
        <v>156</v>
      </c>
      <c r="G243" s="175" t="s">
        <v>13</v>
      </c>
      <c r="H243" s="25">
        <v>202102003</v>
      </c>
      <c r="I243" s="175" t="s">
        <v>157</v>
      </c>
      <c r="J243" s="175" t="s">
        <v>233</v>
      </c>
      <c r="K243" s="175" t="s">
        <v>1489</v>
      </c>
      <c r="L243" s="175" t="s">
        <v>170</v>
      </c>
      <c r="M243" s="175" t="s">
        <v>1490</v>
      </c>
      <c r="N243" s="175" t="s">
        <v>1491</v>
      </c>
      <c r="O243" s="175" t="s">
        <v>1492</v>
      </c>
      <c r="P243" s="26" t="str">
        <f>_xlfn.DISPIMG("ID_8C3008D7D3C74B79A4E1698AF4E9725F",1)</f>
        <v>=DISPIMG("ID_8C3008D7D3C74B79A4E1698AF4E9725F",1)</v>
      </c>
      <c r="Q243" s="25" t="s">
        <v>1493</v>
      </c>
      <c r="R243" s="25">
        <v>165</v>
      </c>
      <c r="S243" s="40" t="s">
        <v>4565</v>
      </c>
      <c r="T243" s="18" t="s">
        <v>52</v>
      </c>
      <c r="U243" s="25">
        <v>1</v>
      </c>
      <c r="V243" s="84"/>
    </row>
    <row r="244" s="3" customFormat="1" customHeight="1" spans="1:22">
      <c r="A244" s="84">
        <v>21</v>
      </c>
      <c r="B244" s="175" t="s">
        <v>1270</v>
      </c>
      <c r="C244" s="175" t="s">
        <v>153</v>
      </c>
      <c r="D244" s="175" t="s">
        <v>1271</v>
      </c>
      <c r="E244" s="25">
        <v>18879347903</v>
      </c>
      <c r="F244" s="175" t="s">
        <v>156</v>
      </c>
      <c r="G244" s="175" t="s">
        <v>13</v>
      </c>
      <c r="H244" s="25">
        <v>202102003</v>
      </c>
      <c r="I244" s="175" t="s">
        <v>279</v>
      </c>
      <c r="J244" s="175" t="s">
        <v>1273</v>
      </c>
      <c r="K244" s="175" t="s">
        <v>223</v>
      </c>
      <c r="L244" s="175" t="s">
        <v>170</v>
      </c>
      <c r="M244" s="175" t="s">
        <v>548</v>
      </c>
      <c r="N244" s="175" t="s">
        <v>13</v>
      </c>
      <c r="O244" s="175" t="s">
        <v>1274</v>
      </c>
      <c r="P244" s="26" t="str">
        <f>_xlfn.DISPIMG("ID_DF04DBFB481D40418B898CD7AB20784A",1)</f>
        <v>=DISPIMG("ID_DF04DBFB481D40418B898CD7AB20784A",1)</v>
      </c>
      <c r="Q244" s="25" t="s">
        <v>1275</v>
      </c>
      <c r="R244" s="25">
        <v>136</v>
      </c>
      <c r="S244" s="40" t="s">
        <v>4560</v>
      </c>
      <c r="T244" s="18" t="s">
        <v>52</v>
      </c>
      <c r="U244" s="25">
        <v>2</v>
      </c>
      <c r="V244" s="84"/>
    </row>
    <row r="245" s="3" customFormat="1" customHeight="1" spans="1:22">
      <c r="A245" s="84">
        <v>16</v>
      </c>
      <c r="B245" s="175" t="s">
        <v>1118</v>
      </c>
      <c r="C245" s="175" t="s">
        <v>165</v>
      </c>
      <c r="D245" s="175" t="s">
        <v>1119</v>
      </c>
      <c r="E245" s="25">
        <v>15170931048</v>
      </c>
      <c r="F245" s="175" t="s">
        <v>156</v>
      </c>
      <c r="G245" s="175" t="s">
        <v>13</v>
      </c>
      <c r="H245" s="25">
        <v>202102003</v>
      </c>
      <c r="I245" s="175" t="s">
        <v>157</v>
      </c>
      <c r="J245" s="175" t="s">
        <v>1121</v>
      </c>
      <c r="K245" s="175" t="s">
        <v>1122</v>
      </c>
      <c r="L245" s="175" t="s">
        <v>160</v>
      </c>
      <c r="M245" s="175" t="s">
        <v>577</v>
      </c>
      <c r="N245" s="175" t="s">
        <v>13</v>
      </c>
      <c r="O245" s="175" t="s">
        <v>1123</v>
      </c>
      <c r="P245" s="26" t="str">
        <f>_xlfn.DISPIMG("ID_FE9003ADDBCE49A4979CC74582466077",1)</f>
        <v>=DISPIMG("ID_FE9003ADDBCE49A4979CC74582466077",1)</v>
      </c>
      <c r="Q245" s="25" t="s">
        <v>1124</v>
      </c>
      <c r="R245" s="25">
        <v>117</v>
      </c>
      <c r="S245" s="40" t="s">
        <v>4555</v>
      </c>
      <c r="T245" s="18" t="s">
        <v>52</v>
      </c>
      <c r="U245" s="25">
        <v>3</v>
      </c>
      <c r="V245" s="84"/>
    </row>
    <row r="246" s="3" customFormat="1" customHeight="1" spans="1:22">
      <c r="A246" s="84">
        <v>11</v>
      </c>
      <c r="B246" s="175" t="s">
        <v>600</v>
      </c>
      <c r="C246" s="175" t="s">
        <v>165</v>
      </c>
      <c r="D246" s="175" t="s">
        <v>601</v>
      </c>
      <c r="E246" s="25">
        <v>18170238971</v>
      </c>
      <c r="F246" s="175" t="s">
        <v>506</v>
      </c>
      <c r="G246" s="175" t="s">
        <v>13</v>
      </c>
      <c r="H246" s="25">
        <v>202102016</v>
      </c>
      <c r="I246" s="175" t="s">
        <v>157</v>
      </c>
      <c r="J246" s="175" t="s">
        <v>603</v>
      </c>
      <c r="K246" s="175" t="s">
        <v>179</v>
      </c>
      <c r="L246" s="175" t="s">
        <v>160</v>
      </c>
      <c r="M246" s="175" t="s">
        <v>216</v>
      </c>
      <c r="N246" s="175" t="s">
        <v>13</v>
      </c>
      <c r="O246" s="175" t="s">
        <v>604</v>
      </c>
      <c r="P246" s="26" t="str">
        <f>_xlfn.DISPIMG("ID_274A21E15DE94C9DB65D865C0AE50BA3",1)</f>
        <v>=DISPIMG("ID_274A21E15DE94C9DB65D865C0AE50BA3",1)</v>
      </c>
      <c r="Q246" s="25" t="s">
        <v>605</v>
      </c>
      <c r="R246" s="25">
        <v>53</v>
      </c>
      <c r="S246" s="40" t="s">
        <v>4550</v>
      </c>
      <c r="T246" s="18" t="s">
        <v>52</v>
      </c>
      <c r="U246" s="25">
        <v>4</v>
      </c>
      <c r="V246" s="84"/>
    </row>
    <row r="247" s="3" customFormat="1" customHeight="1" spans="1:22">
      <c r="A247" s="84">
        <v>6</v>
      </c>
      <c r="B247" s="175" t="s">
        <v>355</v>
      </c>
      <c r="C247" s="175" t="s">
        <v>165</v>
      </c>
      <c r="D247" s="175" t="s">
        <v>356</v>
      </c>
      <c r="E247" s="25">
        <v>18311315751</v>
      </c>
      <c r="F247" s="175" t="s">
        <v>156</v>
      </c>
      <c r="G247" s="175" t="s">
        <v>13</v>
      </c>
      <c r="H247" s="25">
        <v>202102003</v>
      </c>
      <c r="I247" s="175" t="s">
        <v>157</v>
      </c>
      <c r="J247" s="175" t="s">
        <v>358</v>
      </c>
      <c r="K247" s="175" t="s">
        <v>179</v>
      </c>
      <c r="L247" s="175" t="s">
        <v>160</v>
      </c>
      <c r="M247" s="175" t="s">
        <v>306</v>
      </c>
      <c r="N247" s="175" t="s">
        <v>359</v>
      </c>
      <c r="O247" s="175" t="s">
        <v>360</v>
      </c>
      <c r="P247" s="26" t="str">
        <f>_xlfn.DISPIMG("ID_FD9EEFBCD596495DACB8A95ACD5E222F",1)</f>
        <v>=DISPIMG("ID_FD9EEFBCD596495DACB8A95ACD5E222F",1)</v>
      </c>
      <c r="Q247" s="25" t="s">
        <v>361</v>
      </c>
      <c r="R247" s="25">
        <v>24</v>
      </c>
      <c r="S247" s="40" t="s">
        <v>4544</v>
      </c>
      <c r="T247" s="18" t="s">
        <v>52</v>
      </c>
      <c r="U247" s="25">
        <v>5</v>
      </c>
      <c r="V247" s="84"/>
    </row>
    <row r="248" s="3" customFormat="1" customHeight="1" spans="1:22">
      <c r="A248" s="84">
        <v>1</v>
      </c>
      <c r="B248" s="175" t="s">
        <v>194</v>
      </c>
      <c r="C248" s="175" t="s">
        <v>165</v>
      </c>
      <c r="D248" s="175" t="s">
        <v>195</v>
      </c>
      <c r="E248" s="25">
        <v>15079132548</v>
      </c>
      <c r="F248" s="175" t="s">
        <v>156</v>
      </c>
      <c r="G248" s="175" t="s">
        <v>13</v>
      </c>
      <c r="H248" s="25">
        <v>202102003</v>
      </c>
      <c r="I248" s="175" t="s">
        <v>157</v>
      </c>
      <c r="J248" s="175" t="s">
        <v>197</v>
      </c>
      <c r="K248" s="175" t="s">
        <v>198</v>
      </c>
      <c r="L248" s="175" t="s">
        <v>160</v>
      </c>
      <c r="M248" s="175" t="s">
        <v>199</v>
      </c>
      <c r="N248" s="175" t="s">
        <v>13</v>
      </c>
      <c r="O248" s="25">
        <v>0</v>
      </c>
      <c r="P248" s="26" t="str">
        <f>_xlfn.DISPIMG("ID_07DCBF9A6CCC43E7BDA66377D7B2A516",1)</f>
        <v>=DISPIMG("ID_07DCBF9A6CCC43E7BDA66377D7B2A516",1)</v>
      </c>
      <c r="Q248" s="25" t="s">
        <v>200</v>
      </c>
      <c r="R248" s="25">
        <v>6</v>
      </c>
      <c r="S248" s="40" t="s">
        <v>4543</v>
      </c>
      <c r="T248" s="18" t="s">
        <v>52</v>
      </c>
      <c r="U248" s="25">
        <v>6</v>
      </c>
      <c r="V248" s="84"/>
    </row>
    <row r="249" s="3" customFormat="1" customHeight="1" spans="1:22">
      <c r="A249" s="84">
        <v>2</v>
      </c>
      <c r="B249" s="175" t="s">
        <v>220</v>
      </c>
      <c r="C249" s="175" t="s">
        <v>165</v>
      </c>
      <c r="D249" s="175" t="s">
        <v>221</v>
      </c>
      <c r="E249" s="25">
        <v>13330102770</v>
      </c>
      <c r="F249" s="175" t="s">
        <v>156</v>
      </c>
      <c r="G249" s="175" t="s">
        <v>13</v>
      </c>
      <c r="H249" s="25">
        <v>202102003</v>
      </c>
      <c r="I249" s="175" t="s">
        <v>157</v>
      </c>
      <c r="J249" s="175" t="s">
        <v>178</v>
      </c>
      <c r="K249" s="175" t="s">
        <v>223</v>
      </c>
      <c r="L249" s="175" t="s">
        <v>170</v>
      </c>
      <c r="M249" s="175" t="s">
        <v>224</v>
      </c>
      <c r="N249" s="175" t="s">
        <v>225</v>
      </c>
      <c r="O249" s="175" t="s">
        <v>226</v>
      </c>
      <c r="P249" s="26" t="str">
        <f>_xlfn.DISPIMG("ID_331C6355B784470AAD84DC8B9EBD3F4C",1)</f>
        <v>=DISPIMG("ID_331C6355B784470AAD84DC8B9EBD3F4C",1)</v>
      </c>
      <c r="Q249" s="25" t="s">
        <v>227</v>
      </c>
      <c r="R249" s="25">
        <v>9</v>
      </c>
      <c r="S249" s="40" t="s">
        <v>4526</v>
      </c>
      <c r="T249" s="18" t="s">
        <v>52</v>
      </c>
      <c r="U249" s="25">
        <v>7</v>
      </c>
      <c r="V249" s="84"/>
    </row>
    <row r="250" s="3" customFormat="1" customHeight="1" spans="1:22">
      <c r="A250" s="84">
        <v>7</v>
      </c>
      <c r="B250" s="175" t="s">
        <v>434</v>
      </c>
      <c r="C250" s="175" t="s">
        <v>165</v>
      </c>
      <c r="D250" s="175" t="s">
        <v>435</v>
      </c>
      <c r="E250" s="25">
        <v>18707020389</v>
      </c>
      <c r="F250" s="175" t="s">
        <v>156</v>
      </c>
      <c r="G250" s="175" t="s">
        <v>13</v>
      </c>
      <c r="H250" s="25">
        <v>202102003</v>
      </c>
      <c r="I250" s="175" t="s">
        <v>157</v>
      </c>
      <c r="J250" s="175" t="s">
        <v>437</v>
      </c>
      <c r="K250" s="175" t="s">
        <v>179</v>
      </c>
      <c r="L250" s="175" t="s">
        <v>160</v>
      </c>
      <c r="M250" s="175" t="s">
        <v>161</v>
      </c>
      <c r="N250" s="175" t="s">
        <v>13</v>
      </c>
      <c r="O250" s="175" t="s">
        <v>438</v>
      </c>
      <c r="P250" s="26" t="str">
        <f>_xlfn.DISPIMG("ID_A9E5DA8466964C2D98F0B0FFCCE562D8",1)</f>
        <v>=DISPIMG("ID_A9E5DA8466964C2D98F0B0FFCCE562D8",1)</v>
      </c>
      <c r="Q250" s="25" t="s">
        <v>439</v>
      </c>
      <c r="R250" s="25">
        <v>33</v>
      </c>
      <c r="S250" s="40" t="s">
        <v>4521</v>
      </c>
      <c r="T250" s="18" t="s">
        <v>52</v>
      </c>
      <c r="U250" s="25">
        <v>8</v>
      </c>
      <c r="V250" s="84"/>
    </row>
    <row r="251" s="3" customFormat="1" customHeight="1" spans="1:22">
      <c r="A251" s="84">
        <v>12</v>
      </c>
      <c r="B251" s="175" t="s">
        <v>608</v>
      </c>
      <c r="C251" s="175" t="s">
        <v>165</v>
      </c>
      <c r="D251" s="175" t="s">
        <v>609</v>
      </c>
      <c r="E251" s="25">
        <v>18779299502</v>
      </c>
      <c r="F251" s="175" t="s">
        <v>156</v>
      </c>
      <c r="G251" s="175" t="s">
        <v>13</v>
      </c>
      <c r="H251" s="25">
        <v>202102003</v>
      </c>
      <c r="I251" s="175" t="s">
        <v>157</v>
      </c>
      <c r="J251" s="175" t="s">
        <v>611</v>
      </c>
      <c r="K251" s="175" t="s">
        <v>179</v>
      </c>
      <c r="L251" s="175" t="s">
        <v>160</v>
      </c>
      <c r="M251" s="175" t="s">
        <v>261</v>
      </c>
      <c r="N251" s="175" t="s">
        <v>13</v>
      </c>
      <c r="O251" s="25">
        <v>0</v>
      </c>
      <c r="P251" s="26" t="str">
        <f>_xlfn.DISPIMG("ID_AED44616ADF34083BED4818BEE7F954D",1)</f>
        <v>=DISPIMG("ID_AED44616ADF34083BED4818BEE7F954D",1)</v>
      </c>
      <c r="Q251" s="25" t="s">
        <v>612</v>
      </c>
      <c r="R251" s="25">
        <v>54</v>
      </c>
      <c r="S251" s="40" t="s">
        <v>4551</v>
      </c>
      <c r="T251" s="18" t="s">
        <v>52</v>
      </c>
      <c r="U251" s="25">
        <v>9</v>
      </c>
      <c r="V251" s="84"/>
    </row>
    <row r="252" s="3" customFormat="1" customHeight="1" spans="1:22">
      <c r="A252" s="84">
        <v>17</v>
      </c>
      <c r="B252" s="175" t="s">
        <v>1176</v>
      </c>
      <c r="C252" s="175" t="s">
        <v>165</v>
      </c>
      <c r="D252" s="175" t="s">
        <v>1177</v>
      </c>
      <c r="E252" s="25">
        <v>13782906805</v>
      </c>
      <c r="F252" s="175" t="s">
        <v>156</v>
      </c>
      <c r="G252" s="175" t="s">
        <v>13</v>
      </c>
      <c r="H252" s="25">
        <v>202102003</v>
      </c>
      <c r="I252" s="175" t="s">
        <v>157</v>
      </c>
      <c r="J252" s="175" t="s">
        <v>1179</v>
      </c>
      <c r="K252" s="175" t="s">
        <v>298</v>
      </c>
      <c r="L252" s="175" t="s">
        <v>160</v>
      </c>
      <c r="M252" s="175" t="s">
        <v>171</v>
      </c>
      <c r="N252" s="175" t="s">
        <v>13</v>
      </c>
      <c r="O252" s="175" t="s">
        <v>1180</v>
      </c>
      <c r="P252" s="26" t="str">
        <f>_xlfn.DISPIMG("ID_DB5AD54F043740C8B3AEB4879C927DCC",1)</f>
        <v>=DISPIMG("ID_DB5AD54F043740C8B3AEB4879C927DCC",1)</v>
      </c>
      <c r="Q252" s="25" t="s">
        <v>1181</v>
      </c>
      <c r="R252" s="25">
        <v>124</v>
      </c>
      <c r="S252" s="40" t="s">
        <v>4556</v>
      </c>
      <c r="T252" s="18" t="s">
        <v>52</v>
      </c>
      <c r="U252" s="25">
        <v>10</v>
      </c>
      <c r="V252" s="84"/>
    </row>
    <row r="253" s="3" customFormat="1" customHeight="1" spans="1:22">
      <c r="A253" s="84">
        <v>22</v>
      </c>
      <c r="B253" s="175" t="s">
        <v>1311</v>
      </c>
      <c r="C253" s="175" t="s">
        <v>165</v>
      </c>
      <c r="D253" s="175" t="s">
        <v>1312</v>
      </c>
      <c r="E253" s="25">
        <v>13672224425</v>
      </c>
      <c r="F253" s="175" t="s">
        <v>156</v>
      </c>
      <c r="G253" s="175" t="s">
        <v>13</v>
      </c>
      <c r="H253" s="25">
        <v>202102003</v>
      </c>
      <c r="I253" s="175" t="s">
        <v>157</v>
      </c>
      <c r="J253" s="175" t="s">
        <v>697</v>
      </c>
      <c r="K253" s="175" t="s">
        <v>243</v>
      </c>
      <c r="L253" s="175" t="s">
        <v>160</v>
      </c>
      <c r="M253" s="175" t="s">
        <v>368</v>
      </c>
      <c r="N253" s="175" t="s">
        <v>13</v>
      </c>
      <c r="O253" s="175" t="s">
        <v>1314</v>
      </c>
      <c r="P253" s="26" t="str">
        <f>_xlfn.DISPIMG("ID_7D2290FD7009470AB45B6E90DB94AE0B",1)</f>
        <v>=DISPIMG("ID_7D2290FD7009470AB45B6E90DB94AE0B",1)</v>
      </c>
      <c r="Q253" s="25" t="s">
        <v>1315</v>
      </c>
      <c r="R253" s="25">
        <v>142</v>
      </c>
      <c r="S253" s="40" t="s">
        <v>4561</v>
      </c>
      <c r="T253" s="18" t="s">
        <v>52</v>
      </c>
      <c r="U253" s="25">
        <v>11</v>
      </c>
      <c r="V253" s="84"/>
    </row>
    <row r="254" s="3" customFormat="1" customHeight="1" spans="1:22">
      <c r="A254" s="84">
        <v>27</v>
      </c>
      <c r="B254" s="175" t="s">
        <v>1503</v>
      </c>
      <c r="C254" s="175" t="s">
        <v>165</v>
      </c>
      <c r="D254" s="175" t="s">
        <v>1504</v>
      </c>
      <c r="E254" s="25">
        <v>15070911038</v>
      </c>
      <c r="F254" s="175" t="s">
        <v>156</v>
      </c>
      <c r="G254" s="175" t="s">
        <v>13</v>
      </c>
      <c r="H254" s="25">
        <v>202102003</v>
      </c>
      <c r="I254" s="175" t="s">
        <v>157</v>
      </c>
      <c r="J254" s="175" t="s">
        <v>827</v>
      </c>
      <c r="K254" s="175" t="s">
        <v>223</v>
      </c>
      <c r="L254" s="175" t="s">
        <v>170</v>
      </c>
      <c r="M254" s="175" t="s">
        <v>180</v>
      </c>
      <c r="N254" s="175" t="s">
        <v>1506</v>
      </c>
      <c r="O254" s="175" t="s">
        <v>1507</v>
      </c>
      <c r="P254" s="26" t="str">
        <f>_xlfn.DISPIMG("ID_ADCECB4C3BFF4D9FA761F0B3617DDB20",1)</f>
        <v>=DISPIMG("ID_ADCECB4C3BFF4D9FA761F0B3617DDB20",1)</v>
      </c>
      <c r="Q254" s="25" t="s">
        <v>1508</v>
      </c>
      <c r="R254" s="25">
        <v>167</v>
      </c>
      <c r="S254" s="40" t="s">
        <v>4566</v>
      </c>
      <c r="T254" s="18" t="s">
        <v>52</v>
      </c>
      <c r="U254" s="25">
        <v>12</v>
      </c>
      <c r="V254" s="84"/>
    </row>
    <row r="255" s="3" customFormat="1" customHeight="1" spans="1:22">
      <c r="A255" s="84">
        <v>28</v>
      </c>
      <c r="B255" s="175" t="s">
        <v>1528</v>
      </c>
      <c r="C255" s="175" t="s">
        <v>165</v>
      </c>
      <c r="D255" s="175" t="s">
        <v>1529</v>
      </c>
      <c r="E255" s="25">
        <v>13247705960</v>
      </c>
      <c r="F255" s="175" t="s">
        <v>156</v>
      </c>
      <c r="G255" s="175" t="s">
        <v>13</v>
      </c>
      <c r="H255" s="25">
        <v>202102003</v>
      </c>
      <c r="I255" s="175" t="s">
        <v>157</v>
      </c>
      <c r="J255" s="175" t="s">
        <v>385</v>
      </c>
      <c r="K255" s="175" t="s">
        <v>179</v>
      </c>
      <c r="L255" s="175" t="s">
        <v>160</v>
      </c>
      <c r="M255" s="175" t="s">
        <v>548</v>
      </c>
      <c r="N255" s="175" t="s">
        <v>25</v>
      </c>
      <c r="O255" s="175" t="s">
        <v>1531</v>
      </c>
      <c r="P255" s="26" t="str">
        <f>_xlfn.DISPIMG("ID_8A933BECC5A94F3D8B394A9689736C52",1)</f>
        <v>=DISPIMG("ID_8A933BECC5A94F3D8B394A9689736C52",1)</v>
      </c>
      <c r="Q255" s="25" t="s">
        <v>1532</v>
      </c>
      <c r="R255" s="25">
        <v>170</v>
      </c>
      <c r="S255" s="40" t="s">
        <v>4567</v>
      </c>
      <c r="T255" s="18" t="s">
        <v>52</v>
      </c>
      <c r="U255" s="25">
        <v>13</v>
      </c>
      <c r="V255" s="84"/>
    </row>
    <row r="256" s="3" customFormat="1" customHeight="1" spans="1:22">
      <c r="A256" s="84">
        <v>23</v>
      </c>
      <c r="B256" s="175" t="s">
        <v>1357</v>
      </c>
      <c r="C256" s="175" t="s">
        <v>165</v>
      </c>
      <c r="D256" s="175" t="s">
        <v>1358</v>
      </c>
      <c r="E256" s="25">
        <v>19977181836</v>
      </c>
      <c r="F256" s="175" t="s">
        <v>156</v>
      </c>
      <c r="G256" s="175" t="s">
        <v>13</v>
      </c>
      <c r="H256" s="25">
        <v>202102003</v>
      </c>
      <c r="I256" s="175" t="s">
        <v>157</v>
      </c>
      <c r="J256" s="175" t="s">
        <v>1360</v>
      </c>
      <c r="K256" s="175" t="s">
        <v>223</v>
      </c>
      <c r="L256" s="175" t="s">
        <v>170</v>
      </c>
      <c r="M256" s="175" t="s">
        <v>587</v>
      </c>
      <c r="N256" s="175" t="s">
        <v>1361</v>
      </c>
      <c r="O256" s="175" t="s">
        <v>1362</v>
      </c>
      <c r="P256" s="26" t="str">
        <f>_xlfn.DISPIMG("ID_F234455BC8F04A26B7C1140CBE7FB1F1",1)</f>
        <v>=DISPIMG("ID_F234455BC8F04A26B7C1140CBE7FB1F1",1)</v>
      </c>
      <c r="Q256" s="25" t="s">
        <v>1363</v>
      </c>
      <c r="R256" s="25">
        <v>148</v>
      </c>
      <c r="S256" s="40" t="s">
        <v>4562</v>
      </c>
      <c r="T256" s="18" t="s">
        <v>52</v>
      </c>
      <c r="U256" s="25">
        <v>14</v>
      </c>
      <c r="V256" s="84"/>
    </row>
    <row r="257" s="3" customFormat="1" customHeight="1" spans="1:22">
      <c r="A257" s="84">
        <v>18</v>
      </c>
      <c r="B257" s="175" t="s">
        <v>1184</v>
      </c>
      <c r="C257" s="175" t="s">
        <v>165</v>
      </c>
      <c r="D257" s="175" t="s">
        <v>1185</v>
      </c>
      <c r="E257" s="25">
        <v>18379170197</v>
      </c>
      <c r="F257" s="175" t="s">
        <v>156</v>
      </c>
      <c r="G257" s="175" t="s">
        <v>13</v>
      </c>
      <c r="H257" s="25">
        <v>202102003</v>
      </c>
      <c r="I257" s="175" t="s">
        <v>157</v>
      </c>
      <c r="J257" s="175" t="s">
        <v>197</v>
      </c>
      <c r="K257" s="175" t="s">
        <v>179</v>
      </c>
      <c r="L257" s="175" t="s">
        <v>160</v>
      </c>
      <c r="M257" s="175" t="s">
        <v>577</v>
      </c>
      <c r="N257" s="175" t="s">
        <v>1187</v>
      </c>
      <c r="O257" s="175" t="s">
        <v>1188</v>
      </c>
      <c r="P257" s="26" t="str">
        <f>_xlfn.DISPIMG("ID_CF1AB7C1F93745BDBA48E23E3B3C5BFF",1)</f>
        <v>=DISPIMG("ID_CF1AB7C1F93745BDBA48E23E3B3C5BFF",1)</v>
      </c>
      <c r="Q257" s="25" t="s">
        <v>1189</v>
      </c>
      <c r="R257" s="25">
        <v>125</v>
      </c>
      <c r="S257" s="40" t="s">
        <v>4557</v>
      </c>
      <c r="T257" s="18" t="s">
        <v>52</v>
      </c>
      <c r="U257" s="25">
        <v>15</v>
      </c>
      <c r="V257" s="84"/>
    </row>
    <row r="258" s="3" customFormat="1" customHeight="1" spans="1:22">
      <c r="A258" s="84">
        <v>13</v>
      </c>
      <c r="B258" s="175" t="s">
        <v>833</v>
      </c>
      <c r="C258" s="175" t="s">
        <v>165</v>
      </c>
      <c r="D258" s="175" t="s">
        <v>834</v>
      </c>
      <c r="E258" s="25">
        <v>13517923087</v>
      </c>
      <c r="F258" s="175" t="s">
        <v>156</v>
      </c>
      <c r="G258" s="175" t="s">
        <v>13</v>
      </c>
      <c r="H258" s="25">
        <v>202102003</v>
      </c>
      <c r="I258" s="175" t="s">
        <v>279</v>
      </c>
      <c r="J258" s="175" t="s">
        <v>339</v>
      </c>
      <c r="K258" s="175" t="s">
        <v>223</v>
      </c>
      <c r="L258" s="175" t="s">
        <v>170</v>
      </c>
      <c r="M258" s="175" t="s">
        <v>224</v>
      </c>
      <c r="N258" s="175" t="s">
        <v>13</v>
      </c>
      <c r="O258" s="175" t="s">
        <v>836</v>
      </c>
      <c r="P258" s="26" t="str">
        <f>_xlfn.DISPIMG("ID_89C7FFEC948F45D4B7C91F290C37CCB6",1)</f>
        <v>=DISPIMG("ID_89C7FFEC948F45D4B7C91F290C37CCB6",1)</v>
      </c>
      <c r="Q258" s="25" t="s">
        <v>837</v>
      </c>
      <c r="R258" s="25">
        <v>82</v>
      </c>
      <c r="S258" s="40" t="s">
        <v>4552</v>
      </c>
      <c r="T258" s="18" t="s">
        <v>52</v>
      </c>
      <c r="U258" s="25">
        <v>16</v>
      </c>
      <c r="V258" s="84"/>
    </row>
    <row r="259" s="3" customFormat="1" customHeight="1" spans="1:22">
      <c r="A259" s="84">
        <v>8</v>
      </c>
      <c r="B259" s="175" t="s">
        <v>484</v>
      </c>
      <c r="C259" s="175" t="s">
        <v>165</v>
      </c>
      <c r="D259" s="175" t="s">
        <v>485</v>
      </c>
      <c r="E259" s="25">
        <v>15079175289</v>
      </c>
      <c r="F259" s="175" t="s">
        <v>156</v>
      </c>
      <c r="G259" s="175" t="s">
        <v>13</v>
      </c>
      <c r="H259" s="25">
        <v>202102003</v>
      </c>
      <c r="I259" s="175" t="s">
        <v>279</v>
      </c>
      <c r="J259" s="175" t="s">
        <v>178</v>
      </c>
      <c r="K259" s="175" t="s">
        <v>223</v>
      </c>
      <c r="L259" s="175" t="s">
        <v>170</v>
      </c>
      <c r="M259" s="175" t="s">
        <v>180</v>
      </c>
      <c r="N259" s="175" t="s">
        <v>487</v>
      </c>
      <c r="O259" s="175" t="s">
        <v>488</v>
      </c>
      <c r="P259" s="26" t="str">
        <f>_xlfn.DISPIMG("ID_090E35C53BC1424DB22E97EDD7B66993",1)</f>
        <v>=DISPIMG("ID_090E35C53BC1424DB22E97EDD7B66993",1)</v>
      </c>
      <c r="Q259" s="25" t="s">
        <v>489</v>
      </c>
      <c r="R259" s="25">
        <v>39</v>
      </c>
      <c r="S259" s="40" t="s">
        <v>4547</v>
      </c>
      <c r="T259" s="18" t="s">
        <v>52</v>
      </c>
      <c r="U259" s="25">
        <v>17</v>
      </c>
      <c r="V259" s="84"/>
    </row>
    <row r="260" s="3" customFormat="1" customHeight="1" spans="1:22">
      <c r="A260" s="84">
        <v>3</v>
      </c>
      <c r="B260" s="175" t="s">
        <v>230</v>
      </c>
      <c r="C260" s="175" t="s">
        <v>165</v>
      </c>
      <c r="D260" s="175" t="s">
        <v>231</v>
      </c>
      <c r="E260" s="25">
        <v>18317923585</v>
      </c>
      <c r="F260" s="175" t="s">
        <v>156</v>
      </c>
      <c r="G260" s="175" t="s">
        <v>13</v>
      </c>
      <c r="H260" s="25">
        <v>202102003</v>
      </c>
      <c r="I260" s="175" t="s">
        <v>157</v>
      </c>
      <c r="J260" s="175" t="s">
        <v>233</v>
      </c>
      <c r="K260" s="175" t="s">
        <v>234</v>
      </c>
      <c r="L260" s="175" t="s">
        <v>170</v>
      </c>
      <c r="M260" s="175" t="s">
        <v>235</v>
      </c>
      <c r="N260" s="175" t="s">
        <v>13</v>
      </c>
      <c r="O260" s="175" t="s">
        <v>236</v>
      </c>
      <c r="P260" s="26" t="str">
        <f>_xlfn.DISPIMG("ID_5F2C40BDD5324AC2917B018DDF4B26D9",1)</f>
        <v>=DISPIMG("ID_5F2C40BDD5324AC2917B018DDF4B26D9",1)</v>
      </c>
      <c r="Q260" s="25" t="s">
        <v>237</v>
      </c>
      <c r="R260" s="25">
        <v>10</v>
      </c>
      <c r="S260" s="40" t="s">
        <v>4545</v>
      </c>
      <c r="T260" s="18" t="s">
        <v>52</v>
      </c>
      <c r="U260" s="25">
        <v>18</v>
      </c>
      <c r="V260" s="84"/>
    </row>
    <row r="261" s="3" customFormat="1" customHeight="1" spans="1:22">
      <c r="A261" s="84">
        <v>4</v>
      </c>
      <c r="B261" s="175" t="s">
        <v>258</v>
      </c>
      <c r="C261" s="175" t="s">
        <v>165</v>
      </c>
      <c r="D261" s="175" t="s">
        <v>259</v>
      </c>
      <c r="E261" s="25">
        <v>15079252433</v>
      </c>
      <c r="F261" s="175" t="s">
        <v>156</v>
      </c>
      <c r="G261" s="175" t="s">
        <v>13</v>
      </c>
      <c r="H261" s="25">
        <v>202102003</v>
      </c>
      <c r="I261" s="175" t="s">
        <v>157</v>
      </c>
      <c r="J261" s="175" t="s">
        <v>158</v>
      </c>
      <c r="K261" s="175" t="s">
        <v>179</v>
      </c>
      <c r="L261" s="175" t="s">
        <v>170</v>
      </c>
      <c r="M261" s="175" t="s">
        <v>261</v>
      </c>
      <c r="N261" s="175" t="s">
        <v>13</v>
      </c>
      <c r="O261" s="25">
        <v>0</v>
      </c>
      <c r="P261" s="26" t="str">
        <f>_xlfn.DISPIMG("ID_6612D67BD9E1456A9FAE3B7BC6ABC79B",1)</f>
        <v>=DISPIMG("ID_6612D67BD9E1456A9FAE3B7BC6ABC79B",1)</v>
      </c>
      <c r="Q261" s="25" t="s">
        <v>262</v>
      </c>
      <c r="R261" s="25">
        <v>13</v>
      </c>
      <c r="S261" s="40" t="s">
        <v>4546</v>
      </c>
      <c r="T261" s="18" t="s">
        <v>52</v>
      </c>
      <c r="U261" s="25">
        <v>19</v>
      </c>
      <c r="V261" s="84"/>
    </row>
    <row r="262" s="3" customFormat="1" customHeight="1" spans="1:22">
      <c r="A262" s="84">
        <v>9</v>
      </c>
      <c r="B262" s="175" t="s">
        <v>503</v>
      </c>
      <c r="C262" s="175" t="s">
        <v>165</v>
      </c>
      <c r="D262" s="175" t="s">
        <v>504</v>
      </c>
      <c r="E262" s="25">
        <v>18279271412</v>
      </c>
      <c r="F262" s="175" t="s">
        <v>506</v>
      </c>
      <c r="G262" s="175" t="s">
        <v>13</v>
      </c>
      <c r="H262" s="25">
        <v>202102016</v>
      </c>
      <c r="I262" s="175" t="s">
        <v>157</v>
      </c>
      <c r="J262" s="175" t="s">
        <v>507</v>
      </c>
      <c r="K262" s="175" t="s">
        <v>298</v>
      </c>
      <c r="L262" s="175" t="s">
        <v>160</v>
      </c>
      <c r="M262" s="175" t="s">
        <v>252</v>
      </c>
      <c r="N262" s="175" t="s">
        <v>13</v>
      </c>
      <c r="O262" s="175" t="s">
        <v>508</v>
      </c>
      <c r="P262" s="26" t="str">
        <f>_xlfn.DISPIMG("ID_40FEE490C2E64411A9F9A70FED108C60",1)</f>
        <v>=DISPIMG("ID_40FEE490C2E64411A9F9A70FED108C60",1)</v>
      </c>
      <c r="Q262" s="25" t="s">
        <v>509</v>
      </c>
      <c r="R262" s="25">
        <v>42</v>
      </c>
      <c r="S262" s="40" t="s">
        <v>4548</v>
      </c>
      <c r="T262" s="18" t="s">
        <v>52</v>
      </c>
      <c r="U262" s="25">
        <v>20</v>
      </c>
      <c r="V262" s="84"/>
    </row>
    <row r="263" s="3" customFormat="1" customHeight="1" spans="1:22">
      <c r="A263" s="84">
        <v>14</v>
      </c>
      <c r="B263" s="175" t="s">
        <v>994</v>
      </c>
      <c r="C263" s="175" t="s">
        <v>165</v>
      </c>
      <c r="D263" s="175" t="s">
        <v>995</v>
      </c>
      <c r="E263" s="25">
        <v>15079132554</v>
      </c>
      <c r="F263" s="175" t="s">
        <v>156</v>
      </c>
      <c r="G263" s="175" t="s">
        <v>13</v>
      </c>
      <c r="H263" s="25">
        <v>202102003</v>
      </c>
      <c r="I263" s="175" t="s">
        <v>157</v>
      </c>
      <c r="J263" s="175" t="s">
        <v>197</v>
      </c>
      <c r="K263" s="175" t="s">
        <v>179</v>
      </c>
      <c r="L263" s="175" t="s">
        <v>160</v>
      </c>
      <c r="M263" s="175" t="s">
        <v>180</v>
      </c>
      <c r="N263" s="175" t="s">
        <v>997</v>
      </c>
      <c r="O263" s="175" t="s">
        <v>998</v>
      </c>
      <c r="P263" s="26" t="str">
        <f>_xlfn.DISPIMG("ID_10318FA0EB2E4E7ABCD18627E825B2DF",1)</f>
        <v>=DISPIMG("ID_10318FA0EB2E4E7ABCD18627E825B2DF",1)</v>
      </c>
      <c r="Q263" s="25" t="s">
        <v>999</v>
      </c>
      <c r="R263" s="25">
        <v>101</v>
      </c>
      <c r="S263" s="40" t="s">
        <v>4553</v>
      </c>
      <c r="T263" s="18" t="s">
        <v>52</v>
      </c>
      <c r="U263" s="25">
        <v>21</v>
      </c>
      <c r="V263" s="84"/>
    </row>
    <row r="264" s="3" customFormat="1" customHeight="1" spans="1:22">
      <c r="A264" s="84">
        <v>19</v>
      </c>
      <c r="B264" s="175" t="s">
        <v>1192</v>
      </c>
      <c r="C264" s="175" t="s">
        <v>165</v>
      </c>
      <c r="D264" s="175" t="s">
        <v>1193</v>
      </c>
      <c r="E264" s="25">
        <v>18079223375</v>
      </c>
      <c r="F264" s="175" t="s">
        <v>156</v>
      </c>
      <c r="G264" s="175" t="s">
        <v>13</v>
      </c>
      <c r="H264" s="25">
        <v>202102003</v>
      </c>
      <c r="I264" s="175" t="s">
        <v>157</v>
      </c>
      <c r="J264" s="175" t="s">
        <v>233</v>
      </c>
      <c r="K264" s="175" t="s">
        <v>1195</v>
      </c>
      <c r="L264" s="175" t="s">
        <v>170</v>
      </c>
      <c r="M264" s="175" t="s">
        <v>587</v>
      </c>
      <c r="N264" s="175" t="s">
        <v>13</v>
      </c>
      <c r="O264" s="175" t="s">
        <v>1196</v>
      </c>
      <c r="P264" s="26" t="str">
        <f>_xlfn.DISPIMG("ID_1776A5AD18184E18978F80ADFFF4A0AF",1)</f>
        <v>=DISPIMG("ID_1776A5AD18184E18978F80ADFFF4A0AF",1)</v>
      </c>
      <c r="Q264" s="25" t="s">
        <v>1197</v>
      </c>
      <c r="R264" s="25">
        <v>126</v>
      </c>
      <c r="S264" s="40" t="s">
        <v>4558</v>
      </c>
      <c r="T264" s="18" t="s">
        <v>52</v>
      </c>
      <c r="U264" s="25">
        <v>22</v>
      </c>
      <c r="V264" s="84"/>
    </row>
    <row r="265" s="3" customFormat="1" customHeight="1" spans="1:22">
      <c r="A265" s="84">
        <v>24</v>
      </c>
      <c r="B265" s="175" t="s">
        <v>1463</v>
      </c>
      <c r="C265" s="175" t="s">
        <v>165</v>
      </c>
      <c r="D265" s="175" t="s">
        <v>1464</v>
      </c>
      <c r="E265" s="25">
        <v>18279171935</v>
      </c>
      <c r="F265" s="175" t="s">
        <v>156</v>
      </c>
      <c r="G265" s="175" t="s">
        <v>13</v>
      </c>
      <c r="H265" s="25">
        <v>202102003</v>
      </c>
      <c r="I265" s="175" t="s">
        <v>157</v>
      </c>
      <c r="J265" s="175" t="s">
        <v>1466</v>
      </c>
      <c r="K265" s="175" t="s">
        <v>179</v>
      </c>
      <c r="L265" s="175" t="s">
        <v>160</v>
      </c>
      <c r="M265" s="175" t="s">
        <v>281</v>
      </c>
      <c r="N265" s="175" t="s">
        <v>1467</v>
      </c>
      <c r="O265" s="175" t="s">
        <v>1468</v>
      </c>
      <c r="P265" s="26" t="str">
        <f>_xlfn.DISPIMG("ID_050656778A6D494197B2CC367B7C8BBA",1)</f>
        <v>=DISPIMG("ID_050656778A6D494197B2CC367B7C8BBA",1)</v>
      </c>
      <c r="Q265" s="25" t="s">
        <v>1469</v>
      </c>
      <c r="R265" s="25">
        <v>162</v>
      </c>
      <c r="S265" s="40" t="s">
        <v>4563</v>
      </c>
      <c r="T265" s="18" t="s">
        <v>52</v>
      </c>
      <c r="U265" s="25">
        <v>23</v>
      </c>
      <c r="V265" s="84"/>
    </row>
    <row r="266" s="3" customFormat="1" customHeight="1" spans="1:22">
      <c r="A266" s="84">
        <v>29</v>
      </c>
      <c r="B266" s="175" t="s">
        <v>1643</v>
      </c>
      <c r="C266" s="175" t="s">
        <v>153</v>
      </c>
      <c r="D266" s="175" t="s">
        <v>1644</v>
      </c>
      <c r="E266" s="25">
        <v>18351336229</v>
      </c>
      <c r="F266" s="175" t="s">
        <v>156</v>
      </c>
      <c r="G266" s="175" t="s">
        <v>13</v>
      </c>
      <c r="H266" s="25">
        <v>202102003</v>
      </c>
      <c r="I266" s="175" t="s">
        <v>157</v>
      </c>
      <c r="J266" s="175" t="s">
        <v>1646</v>
      </c>
      <c r="K266" s="175" t="s">
        <v>1647</v>
      </c>
      <c r="L266" s="175" t="s">
        <v>160</v>
      </c>
      <c r="M266" s="175" t="s">
        <v>261</v>
      </c>
      <c r="N266" s="175" t="s">
        <v>1506</v>
      </c>
      <c r="O266" s="25">
        <v>0</v>
      </c>
      <c r="P266" s="26" t="str">
        <f>_xlfn.DISPIMG("ID_B4AD11310DDA4138B05F8034BA3D88DD",1)</f>
        <v>=DISPIMG("ID_B4AD11310DDA4138B05F8034BA3D88DD",1)</v>
      </c>
      <c r="Q266" s="25" t="s">
        <v>1648</v>
      </c>
      <c r="R266" s="25">
        <v>185</v>
      </c>
      <c r="S266" s="40" t="s">
        <v>4568</v>
      </c>
      <c r="T266" s="18" t="s">
        <v>52</v>
      </c>
      <c r="U266" s="25">
        <v>24</v>
      </c>
      <c r="V266" s="84"/>
    </row>
    <row r="267" s="3" customFormat="1" customHeight="1" spans="1:22">
      <c r="A267" s="84">
        <v>30</v>
      </c>
      <c r="B267" s="175" t="s">
        <v>1651</v>
      </c>
      <c r="C267" s="175" t="s">
        <v>165</v>
      </c>
      <c r="D267" s="175" t="s">
        <v>1652</v>
      </c>
      <c r="E267" s="25">
        <v>15870862742</v>
      </c>
      <c r="F267" s="175" t="s">
        <v>156</v>
      </c>
      <c r="G267" s="175" t="s">
        <v>13</v>
      </c>
      <c r="H267" s="25">
        <v>202102003</v>
      </c>
      <c r="I267" s="175" t="s">
        <v>157</v>
      </c>
      <c r="J267" s="175" t="s">
        <v>1654</v>
      </c>
      <c r="K267" s="175" t="s">
        <v>179</v>
      </c>
      <c r="L267" s="175" t="s">
        <v>160</v>
      </c>
      <c r="M267" s="175" t="s">
        <v>235</v>
      </c>
      <c r="N267" s="175" t="s">
        <v>13</v>
      </c>
      <c r="O267" s="25">
        <v>0</v>
      </c>
      <c r="P267" s="26" t="str">
        <f>_xlfn.DISPIMG("ID_3972EE6FED8B40BFAB5CECB7F30981FD",1)</f>
        <v>=DISPIMG("ID_3972EE6FED8B40BFAB5CECB7F30981FD",1)</v>
      </c>
      <c r="Q267" s="25" t="s">
        <v>1655</v>
      </c>
      <c r="R267" s="25">
        <v>186</v>
      </c>
      <c r="S267" s="40" t="s">
        <v>4569</v>
      </c>
      <c r="T267" s="18" t="s">
        <v>52</v>
      </c>
      <c r="U267" s="25">
        <v>25</v>
      </c>
      <c r="V267" s="84"/>
    </row>
    <row r="268" s="3" customFormat="1" customHeight="1" spans="1:22">
      <c r="A268" s="84">
        <v>25</v>
      </c>
      <c r="B268" s="175" t="s">
        <v>1477</v>
      </c>
      <c r="C268" s="175" t="s">
        <v>153</v>
      </c>
      <c r="D268" s="175" t="s">
        <v>1478</v>
      </c>
      <c r="E268" s="25">
        <v>15779705216</v>
      </c>
      <c r="F268" s="175" t="s">
        <v>156</v>
      </c>
      <c r="G268" s="175" t="s">
        <v>13</v>
      </c>
      <c r="H268" s="25">
        <v>202102003</v>
      </c>
      <c r="I268" s="175" t="s">
        <v>157</v>
      </c>
      <c r="J268" s="175" t="s">
        <v>1480</v>
      </c>
      <c r="K268" s="175" t="s">
        <v>1481</v>
      </c>
      <c r="L268" s="175" t="s">
        <v>160</v>
      </c>
      <c r="M268" s="175" t="s">
        <v>235</v>
      </c>
      <c r="N268" s="175" t="s">
        <v>13</v>
      </c>
      <c r="O268" s="175" t="s">
        <v>1482</v>
      </c>
      <c r="P268" s="26" t="str">
        <f>_xlfn.DISPIMG("ID_7EA9DB823A764F28A536B4FEC9EB2A2B",1)</f>
        <v>=DISPIMG("ID_7EA9DB823A764F28A536B4FEC9EB2A2B",1)</v>
      </c>
      <c r="Q268" s="25" t="s">
        <v>1483</v>
      </c>
      <c r="R268" s="25">
        <v>164</v>
      </c>
      <c r="S268" s="40" t="s">
        <v>4564</v>
      </c>
      <c r="T268" s="18" t="s">
        <v>52</v>
      </c>
      <c r="U268" s="25">
        <v>26</v>
      </c>
      <c r="V268" s="84"/>
    </row>
    <row r="269" s="3" customFormat="1" customHeight="1" spans="1:22">
      <c r="A269" s="84">
        <v>20</v>
      </c>
      <c r="B269" s="175" t="s">
        <v>1210</v>
      </c>
      <c r="C269" s="175" t="s">
        <v>165</v>
      </c>
      <c r="D269" s="175" t="s">
        <v>1211</v>
      </c>
      <c r="E269" s="25">
        <v>18279901604</v>
      </c>
      <c r="F269" s="175" t="s">
        <v>156</v>
      </c>
      <c r="G269" s="175" t="s">
        <v>13</v>
      </c>
      <c r="H269" s="25">
        <v>202102003</v>
      </c>
      <c r="I269" s="175" t="s">
        <v>157</v>
      </c>
      <c r="J269" s="175" t="s">
        <v>1213</v>
      </c>
      <c r="K269" s="175" t="s">
        <v>1214</v>
      </c>
      <c r="L269" s="175" t="s">
        <v>160</v>
      </c>
      <c r="M269" s="175" t="s">
        <v>252</v>
      </c>
      <c r="N269" s="175" t="s">
        <v>13</v>
      </c>
      <c r="O269" s="25">
        <v>0</v>
      </c>
      <c r="P269" s="26" t="str">
        <f>_xlfn.DISPIMG("ID_FBB70D9010F74144B210C02BDB9CE6A1",1)</f>
        <v>=DISPIMG("ID_FBB70D9010F74144B210C02BDB9CE6A1",1)</v>
      </c>
      <c r="Q269" s="25" t="s">
        <v>1215</v>
      </c>
      <c r="R269" s="25">
        <v>128</v>
      </c>
      <c r="S269" s="40" t="s">
        <v>4559</v>
      </c>
      <c r="T269" s="18" t="s">
        <v>52</v>
      </c>
      <c r="U269" s="25">
        <v>27</v>
      </c>
      <c r="V269" s="84"/>
    </row>
    <row r="270" s="3" customFormat="1" customHeight="1" spans="1:22">
      <c r="A270" s="84">
        <v>15</v>
      </c>
      <c r="B270" s="175" t="s">
        <v>1018</v>
      </c>
      <c r="C270" s="175" t="s">
        <v>165</v>
      </c>
      <c r="D270" s="175" t="s">
        <v>1019</v>
      </c>
      <c r="E270" s="25">
        <v>18270832760</v>
      </c>
      <c r="F270" s="175" t="s">
        <v>156</v>
      </c>
      <c r="G270" s="175" t="s">
        <v>13</v>
      </c>
      <c r="H270" s="25">
        <v>202102003</v>
      </c>
      <c r="I270" s="175" t="s">
        <v>157</v>
      </c>
      <c r="J270" s="175" t="s">
        <v>827</v>
      </c>
      <c r="K270" s="175" t="s">
        <v>1021</v>
      </c>
      <c r="L270" s="175" t="s">
        <v>160</v>
      </c>
      <c r="M270" s="175" t="s">
        <v>281</v>
      </c>
      <c r="N270" s="175" t="s">
        <v>1022</v>
      </c>
      <c r="O270" s="175" t="s">
        <v>1023</v>
      </c>
      <c r="P270" s="26" t="str">
        <f>_xlfn.DISPIMG("ID_8ABFE7CB3D4544BB889DAF8FFFAF27BC",1)</f>
        <v>=DISPIMG("ID_8ABFE7CB3D4544BB889DAF8FFFAF27BC",1)</v>
      </c>
      <c r="Q270" s="25" t="s">
        <v>1024</v>
      </c>
      <c r="R270" s="25">
        <v>104</v>
      </c>
      <c r="S270" s="40" t="s">
        <v>4554</v>
      </c>
      <c r="T270" s="18" t="s">
        <v>52</v>
      </c>
      <c r="U270" s="25">
        <v>28</v>
      </c>
      <c r="V270" s="84"/>
    </row>
    <row r="271" s="3" customFormat="1" customHeight="1" spans="1:22">
      <c r="A271" s="84">
        <v>10</v>
      </c>
      <c r="B271" s="175" t="s">
        <v>537</v>
      </c>
      <c r="C271" s="175" t="s">
        <v>165</v>
      </c>
      <c r="D271" s="175" t="s">
        <v>538</v>
      </c>
      <c r="E271" s="25">
        <v>18720218990</v>
      </c>
      <c r="F271" s="175" t="s">
        <v>156</v>
      </c>
      <c r="G271" s="175" t="s">
        <v>13</v>
      </c>
      <c r="H271" s="25">
        <v>202102003</v>
      </c>
      <c r="I271" s="175" t="s">
        <v>157</v>
      </c>
      <c r="J271" s="175" t="s">
        <v>540</v>
      </c>
      <c r="K271" s="175" t="s">
        <v>179</v>
      </c>
      <c r="L271" s="175" t="s">
        <v>160</v>
      </c>
      <c r="M271" s="175" t="s">
        <v>541</v>
      </c>
      <c r="N271" s="175" t="s">
        <v>25</v>
      </c>
      <c r="O271" s="25">
        <v>0</v>
      </c>
      <c r="P271" s="26" t="str">
        <f>_xlfn.DISPIMG("ID_9605826B48E04C21832E1CDFB6E0AF15",1)</f>
        <v>=DISPIMG("ID_9605826B48E04C21832E1CDFB6E0AF15",1)</v>
      </c>
      <c r="Q271" s="25" t="s">
        <v>542</v>
      </c>
      <c r="R271" s="25">
        <v>46</v>
      </c>
      <c r="S271" s="40" t="s">
        <v>4549</v>
      </c>
      <c r="T271" s="18" t="s">
        <v>52</v>
      </c>
      <c r="U271" s="25">
        <v>29</v>
      </c>
      <c r="V271" s="84"/>
    </row>
    <row r="272" s="3" customFormat="1" customHeight="1" spans="1:22">
      <c r="A272" s="84">
        <v>5</v>
      </c>
      <c r="B272" s="175" t="s">
        <v>302</v>
      </c>
      <c r="C272" s="175" t="s">
        <v>165</v>
      </c>
      <c r="D272" s="175" t="s">
        <v>303</v>
      </c>
      <c r="E272" s="25">
        <v>18270729426</v>
      </c>
      <c r="F272" s="175" t="s">
        <v>156</v>
      </c>
      <c r="G272" s="175" t="s">
        <v>13</v>
      </c>
      <c r="H272" s="25">
        <v>202102003</v>
      </c>
      <c r="I272" s="175" t="s">
        <v>157</v>
      </c>
      <c r="J272" s="175" t="s">
        <v>305</v>
      </c>
      <c r="K272" s="175" t="s">
        <v>179</v>
      </c>
      <c r="L272" s="175" t="s">
        <v>170</v>
      </c>
      <c r="M272" s="175" t="s">
        <v>306</v>
      </c>
      <c r="N272" s="175" t="s">
        <v>307</v>
      </c>
      <c r="O272" s="175" t="s">
        <v>308</v>
      </c>
      <c r="P272" s="26" t="str">
        <f>_xlfn.DISPIMG("ID_BFA65A737AA14FBDAE88EFBDD5E2990B",1)</f>
        <v>=DISPIMG("ID_BFA65A737AA14FBDAE88EFBDD5E2990B",1)</v>
      </c>
      <c r="Q272" s="25" t="s">
        <v>309</v>
      </c>
      <c r="R272" s="25">
        <v>18</v>
      </c>
      <c r="S272" s="40" t="s">
        <v>4539</v>
      </c>
      <c r="T272" s="18" t="s">
        <v>52</v>
      </c>
      <c r="U272" s="25">
        <v>30</v>
      </c>
      <c r="V272" s="84"/>
    </row>
    <row r="273" s="3" customFormat="1" customHeight="1" spans="1:22">
      <c r="A273" s="84">
        <v>26</v>
      </c>
      <c r="B273" s="175" t="s">
        <v>2585</v>
      </c>
      <c r="C273" s="175" t="s">
        <v>153</v>
      </c>
      <c r="D273" s="175" t="s">
        <v>2586</v>
      </c>
      <c r="E273" s="25">
        <v>18870098307</v>
      </c>
      <c r="F273" s="175" t="s">
        <v>156</v>
      </c>
      <c r="G273" s="175" t="s">
        <v>13</v>
      </c>
      <c r="H273" s="25">
        <v>202102003</v>
      </c>
      <c r="I273" s="175" t="s">
        <v>157</v>
      </c>
      <c r="J273" s="175" t="s">
        <v>233</v>
      </c>
      <c r="K273" s="175" t="s">
        <v>179</v>
      </c>
      <c r="L273" s="175" t="s">
        <v>160</v>
      </c>
      <c r="M273" s="175" t="s">
        <v>2298</v>
      </c>
      <c r="N273" s="175" t="s">
        <v>1692</v>
      </c>
      <c r="O273" s="175" t="s">
        <v>2588</v>
      </c>
      <c r="P273" s="26" t="str">
        <f>_xlfn.DISPIMG("ID_C226BACFF043492F9C2831E3F2035CBF",1)</f>
        <v>=DISPIMG("ID_C226BACFF043492F9C2831E3F2035CBF",1)</v>
      </c>
      <c r="Q273" s="25" t="s">
        <v>2589</v>
      </c>
      <c r="R273" s="25">
        <v>310</v>
      </c>
      <c r="S273" s="40" t="s">
        <v>4595</v>
      </c>
      <c r="T273" s="18" t="s">
        <v>54</v>
      </c>
      <c r="U273" s="25">
        <v>1</v>
      </c>
      <c r="V273" s="84"/>
    </row>
    <row r="274" s="3" customFormat="1" customHeight="1" spans="1:22">
      <c r="A274" s="84">
        <v>21</v>
      </c>
      <c r="B274" s="175" t="s">
        <v>2303</v>
      </c>
      <c r="C274" s="175" t="s">
        <v>165</v>
      </c>
      <c r="D274" s="175" t="s">
        <v>2304</v>
      </c>
      <c r="E274" s="25">
        <v>18397921329</v>
      </c>
      <c r="F274" s="175" t="s">
        <v>156</v>
      </c>
      <c r="G274" s="175" t="s">
        <v>13</v>
      </c>
      <c r="H274" s="25">
        <v>202102003</v>
      </c>
      <c r="I274" s="175" t="s">
        <v>157</v>
      </c>
      <c r="J274" s="175" t="s">
        <v>233</v>
      </c>
      <c r="K274" s="175" t="s">
        <v>1832</v>
      </c>
      <c r="L274" s="175" t="s">
        <v>160</v>
      </c>
      <c r="M274" s="175" t="s">
        <v>161</v>
      </c>
      <c r="N274" s="175" t="s">
        <v>2284</v>
      </c>
      <c r="O274" s="25">
        <v>0</v>
      </c>
      <c r="P274" s="26" t="str">
        <f>_xlfn.DISPIMG("ID_D3E1E42587914F6EA2229B8441CD1EF2",1)</f>
        <v>=DISPIMG("ID_D3E1E42587914F6EA2229B8441CD1EF2",1)</v>
      </c>
      <c r="Q274" s="25" t="s">
        <v>2306</v>
      </c>
      <c r="R274" s="25">
        <v>272</v>
      </c>
      <c r="S274" s="40" t="s">
        <v>4590</v>
      </c>
      <c r="T274" s="18" t="s">
        <v>54</v>
      </c>
      <c r="U274" s="25">
        <v>2</v>
      </c>
      <c r="V274" s="84"/>
    </row>
    <row r="275" s="3" customFormat="1" customHeight="1" spans="1:22">
      <c r="A275" s="84">
        <v>16</v>
      </c>
      <c r="B275" s="175" t="s">
        <v>2188</v>
      </c>
      <c r="C275" s="175" t="s">
        <v>165</v>
      </c>
      <c r="D275" s="175" t="s">
        <v>2189</v>
      </c>
      <c r="E275" s="25">
        <v>15297925516</v>
      </c>
      <c r="F275" s="175" t="s">
        <v>156</v>
      </c>
      <c r="G275" s="175" t="s">
        <v>13</v>
      </c>
      <c r="H275" s="25">
        <v>202102003</v>
      </c>
      <c r="I275" s="175" t="s">
        <v>157</v>
      </c>
      <c r="J275" s="175" t="s">
        <v>178</v>
      </c>
      <c r="K275" s="175" t="s">
        <v>179</v>
      </c>
      <c r="L275" s="175" t="s">
        <v>170</v>
      </c>
      <c r="M275" s="175" t="s">
        <v>161</v>
      </c>
      <c r="N275" s="175" t="s">
        <v>25</v>
      </c>
      <c r="O275" s="25">
        <v>0</v>
      </c>
      <c r="P275" s="26" t="str">
        <f>_xlfn.DISPIMG("ID_D5F43AB9EBAD44A4B07E87AF936A6299",1)</f>
        <v>=DISPIMG("ID_D5F43AB9EBAD44A4B07E87AF936A6299",1)</v>
      </c>
      <c r="Q275" s="25" t="s">
        <v>2191</v>
      </c>
      <c r="R275" s="25">
        <v>257</v>
      </c>
      <c r="S275" s="40" t="s">
        <v>4585</v>
      </c>
      <c r="T275" s="18" t="s">
        <v>54</v>
      </c>
      <c r="U275" s="25">
        <v>3</v>
      </c>
      <c r="V275" s="84"/>
    </row>
    <row r="276" s="3" customFormat="1" customHeight="1" spans="1:22">
      <c r="A276" s="84">
        <v>11</v>
      </c>
      <c r="B276" s="175" t="s">
        <v>2113</v>
      </c>
      <c r="C276" s="175" t="s">
        <v>165</v>
      </c>
      <c r="D276" s="175" t="s">
        <v>2114</v>
      </c>
      <c r="E276" s="25">
        <v>18779262393</v>
      </c>
      <c r="F276" s="175" t="s">
        <v>156</v>
      </c>
      <c r="G276" s="175" t="s">
        <v>13</v>
      </c>
      <c r="H276" s="25">
        <v>202102003</v>
      </c>
      <c r="I276" s="175" t="s">
        <v>157</v>
      </c>
      <c r="J276" s="175" t="s">
        <v>168</v>
      </c>
      <c r="K276" s="175" t="s">
        <v>179</v>
      </c>
      <c r="L276" s="175" t="s">
        <v>170</v>
      </c>
      <c r="M276" s="175" t="s">
        <v>261</v>
      </c>
      <c r="N276" s="175" t="s">
        <v>13</v>
      </c>
      <c r="O276" s="175" t="s">
        <v>2116</v>
      </c>
      <c r="P276" s="26" t="str">
        <f>_xlfn.DISPIMG("ID_FD96452CC72B491AA69A0DC966FE8814",1)</f>
        <v>=DISPIMG("ID_FD96452CC72B491AA69A0DC966FE8814",1)</v>
      </c>
      <c r="Q276" s="25" t="s">
        <v>2117</v>
      </c>
      <c r="R276" s="25">
        <v>247</v>
      </c>
      <c r="S276" s="40" t="s">
        <v>4580</v>
      </c>
      <c r="T276" s="18" t="s">
        <v>54</v>
      </c>
      <c r="U276" s="25">
        <v>4</v>
      </c>
      <c r="V276" s="84"/>
    </row>
    <row r="277" s="3" customFormat="1" customHeight="1" spans="1:22">
      <c r="A277" s="84">
        <v>6</v>
      </c>
      <c r="B277" s="175" t="s">
        <v>1925</v>
      </c>
      <c r="C277" s="175" t="s">
        <v>165</v>
      </c>
      <c r="D277" s="175" t="s">
        <v>1926</v>
      </c>
      <c r="E277" s="25">
        <v>18000203663</v>
      </c>
      <c r="F277" s="175" t="s">
        <v>156</v>
      </c>
      <c r="G277" s="175" t="s">
        <v>13</v>
      </c>
      <c r="H277" s="25">
        <v>202102003</v>
      </c>
      <c r="I277" s="175" t="s">
        <v>157</v>
      </c>
      <c r="J277" s="175" t="s">
        <v>611</v>
      </c>
      <c r="K277" s="175" t="s">
        <v>179</v>
      </c>
      <c r="L277" s="175" t="s">
        <v>160</v>
      </c>
      <c r="M277" s="175" t="s">
        <v>281</v>
      </c>
      <c r="N277" s="175" t="s">
        <v>13</v>
      </c>
      <c r="O277" s="175" t="s">
        <v>1928</v>
      </c>
      <c r="P277" s="26" t="str">
        <f>_xlfn.DISPIMG("ID_F763BF131F364181A17D865B8B797D97",1)</f>
        <v>=DISPIMG("ID_F763BF131F364181A17D865B8B797D97",1)</v>
      </c>
      <c r="Q277" s="25" t="s">
        <v>1929</v>
      </c>
      <c r="R277" s="25">
        <v>222</v>
      </c>
      <c r="S277" s="40" t="s">
        <v>4575</v>
      </c>
      <c r="T277" s="18" t="s">
        <v>54</v>
      </c>
      <c r="U277" s="25">
        <v>5</v>
      </c>
      <c r="V277" s="84"/>
    </row>
    <row r="278" s="3" customFormat="1" customHeight="1" spans="1:22">
      <c r="A278" s="84">
        <v>1</v>
      </c>
      <c r="B278" s="175" t="s">
        <v>1715</v>
      </c>
      <c r="C278" s="175" t="s">
        <v>165</v>
      </c>
      <c r="D278" s="175" t="s">
        <v>1716</v>
      </c>
      <c r="E278" s="25">
        <v>15070075457</v>
      </c>
      <c r="F278" s="175" t="s">
        <v>156</v>
      </c>
      <c r="G278" s="175" t="s">
        <v>13</v>
      </c>
      <c r="H278" s="25">
        <v>202102003</v>
      </c>
      <c r="I278" s="175" t="s">
        <v>157</v>
      </c>
      <c r="J278" s="175" t="s">
        <v>1718</v>
      </c>
      <c r="K278" s="175" t="s">
        <v>1195</v>
      </c>
      <c r="L278" s="175" t="s">
        <v>170</v>
      </c>
      <c r="M278" s="175" t="s">
        <v>281</v>
      </c>
      <c r="N278" s="175" t="s">
        <v>13</v>
      </c>
      <c r="O278" s="175" t="s">
        <v>1719</v>
      </c>
      <c r="P278" s="26" t="str">
        <f>_xlfn.DISPIMG("ID_33BA8978EFEE4AA59909527B43B2E1C1",1)</f>
        <v>=DISPIMG("ID_33BA8978EFEE4AA59909527B43B2E1C1",1)</v>
      </c>
      <c r="Q278" s="25" t="s">
        <v>1720</v>
      </c>
      <c r="R278" s="25">
        <v>194</v>
      </c>
      <c r="S278" s="40" t="s">
        <v>4570</v>
      </c>
      <c r="T278" s="18" t="s">
        <v>54</v>
      </c>
      <c r="U278" s="25">
        <v>6</v>
      </c>
      <c r="V278" s="84"/>
    </row>
    <row r="279" s="3" customFormat="1" customHeight="1" spans="1:22">
      <c r="A279" s="84">
        <v>2</v>
      </c>
      <c r="B279" s="175" t="s">
        <v>1759</v>
      </c>
      <c r="C279" s="175" t="s">
        <v>165</v>
      </c>
      <c r="D279" s="175" t="s">
        <v>1760</v>
      </c>
      <c r="E279" s="25">
        <v>13450834436</v>
      </c>
      <c r="F279" s="175" t="s">
        <v>156</v>
      </c>
      <c r="G279" s="175" t="s">
        <v>13</v>
      </c>
      <c r="H279" s="25">
        <v>202102003</v>
      </c>
      <c r="I279" s="175" t="s">
        <v>279</v>
      </c>
      <c r="J279" s="175" t="s">
        <v>158</v>
      </c>
      <c r="K279" s="175" t="s">
        <v>298</v>
      </c>
      <c r="L279" s="175" t="s">
        <v>160</v>
      </c>
      <c r="M279" s="175" t="s">
        <v>910</v>
      </c>
      <c r="N279" s="175" t="s">
        <v>13</v>
      </c>
      <c r="O279" s="175" t="s">
        <v>1762</v>
      </c>
      <c r="P279" s="26" t="str">
        <f>_xlfn.DISPIMG("ID_6061453C50E94D60AD50D7D119779DE5",1)</f>
        <v>=DISPIMG("ID_6061453C50E94D60AD50D7D119779DE5",1)</v>
      </c>
      <c r="Q279" s="25" t="s">
        <v>1763</v>
      </c>
      <c r="R279" s="25">
        <v>200</v>
      </c>
      <c r="S279" s="40" t="s">
        <v>4571</v>
      </c>
      <c r="T279" s="18" t="s">
        <v>54</v>
      </c>
      <c r="U279" s="25">
        <v>7</v>
      </c>
      <c r="V279" s="84"/>
    </row>
    <row r="280" s="3" customFormat="1" customHeight="1" spans="1:22">
      <c r="A280" s="84">
        <v>7</v>
      </c>
      <c r="B280" s="175" t="s">
        <v>1997</v>
      </c>
      <c r="C280" s="175" t="s">
        <v>165</v>
      </c>
      <c r="D280" s="175" t="s">
        <v>1998</v>
      </c>
      <c r="E280" s="25">
        <v>15270177023</v>
      </c>
      <c r="F280" s="175" t="s">
        <v>156</v>
      </c>
      <c r="G280" s="175" t="s">
        <v>13</v>
      </c>
      <c r="H280" s="25">
        <v>202102003</v>
      </c>
      <c r="I280" s="175" t="s">
        <v>157</v>
      </c>
      <c r="J280" s="175" t="s">
        <v>158</v>
      </c>
      <c r="K280" s="175" t="s">
        <v>2000</v>
      </c>
      <c r="L280" s="175" t="s">
        <v>160</v>
      </c>
      <c r="M280" s="175" t="s">
        <v>161</v>
      </c>
      <c r="N280" s="175" t="s">
        <v>13</v>
      </c>
      <c r="O280" s="25">
        <v>0</v>
      </c>
      <c r="P280" s="26" t="str">
        <f>_xlfn.DISPIMG("ID_08A4D05852A0412E805E12227EDF1C33",1)</f>
        <v>=DISPIMG("ID_08A4D05852A0412E805E12227EDF1C33",1)</v>
      </c>
      <c r="Q280" s="25" t="s">
        <v>2001</v>
      </c>
      <c r="R280" s="25">
        <v>232</v>
      </c>
      <c r="S280" s="40" t="s">
        <v>4576</v>
      </c>
      <c r="T280" s="18" t="s">
        <v>54</v>
      </c>
      <c r="U280" s="25">
        <v>8</v>
      </c>
      <c r="V280" s="84"/>
    </row>
    <row r="281" s="3" customFormat="1" customHeight="1" spans="1:22">
      <c r="A281" s="84">
        <v>12</v>
      </c>
      <c r="B281" s="175" t="s">
        <v>2120</v>
      </c>
      <c r="C281" s="175" t="s">
        <v>165</v>
      </c>
      <c r="D281" s="175" t="s">
        <v>2121</v>
      </c>
      <c r="E281" s="25">
        <v>15070693643</v>
      </c>
      <c r="F281" s="175" t="s">
        <v>156</v>
      </c>
      <c r="G281" s="175" t="s">
        <v>13</v>
      </c>
      <c r="H281" s="25">
        <v>202102003</v>
      </c>
      <c r="I281" s="175" t="s">
        <v>157</v>
      </c>
      <c r="J281" s="175" t="s">
        <v>197</v>
      </c>
      <c r="K281" s="175" t="s">
        <v>179</v>
      </c>
      <c r="L281" s="175" t="s">
        <v>160</v>
      </c>
      <c r="M281" s="175" t="s">
        <v>455</v>
      </c>
      <c r="N281" s="175" t="s">
        <v>225</v>
      </c>
      <c r="O281" s="25">
        <v>0</v>
      </c>
      <c r="P281" s="26" t="str">
        <f>_xlfn.DISPIMG("ID_BB45129897024B4183D09C0AA547B197",1)</f>
        <v>=DISPIMG("ID_BB45129897024B4183D09C0AA547B197",1)</v>
      </c>
      <c r="Q281" s="25" t="s">
        <v>2123</v>
      </c>
      <c r="R281" s="25">
        <v>248</v>
      </c>
      <c r="S281" s="40" t="s">
        <v>4581</v>
      </c>
      <c r="T281" s="18" t="s">
        <v>54</v>
      </c>
      <c r="U281" s="25">
        <v>9</v>
      </c>
      <c r="V281" s="84"/>
    </row>
    <row r="282" s="3" customFormat="1" customHeight="1" spans="1:22">
      <c r="A282" s="84">
        <v>17</v>
      </c>
      <c r="B282" s="175" t="s">
        <v>2203</v>
      </c>
      <c r="C282" s="175" t="s">
        <v>165</v>
      </c>
      <c r="D282" s="175" t="s">
        <v>2204</v>
      </c>
      <c r="E282" s="25">
        <v>18702523558</v>
      </c>
      <c r="F282" s="175" t="s">
        <v>156</v>
      </c>
      <c r="G282" s="175" t="s">
        <v>13</v>
      </c>
      <c r="H282" s="25">
        <v>202102003</v>
      </c>
      <c r="I282" s="175" t="s">
        <v>157</v>
      </c>
      <c r="J282" s="175" t="s">
        <v>646</v>
      </c>
      <c r="K282" s="175" t="s">
        <v>179</v>
      </c>
      <c r="L282" s="175" t="s">
        <v>170</v>
      </c>
      <c r="M282" s="175" t="s">
        <v>368</v>
      </c>
      <c r="N282" s="175" t="s">
        <v>25</v>
      </c>
      <c r="O282" s="175" t="s">
        <v>2206</v>
      </c>
      <c r="P282" s="26" t="str">
        <f>_xlfn.DISPIMG("ID_06812EDB7CE84D14BCAEC56B86A3FB64",1)</f>
        <v>=DISPIMG("ID_06812EDB7CE84D14BCAEC56B86A3FB64",1)</v>
      </c>
      <c r="Q282" s="25" t="s">
        <v>2207</v>
      </c>
      <c r="R282" s="25">
        <v>259</v>
      </c>
      <c r="S282" s="40" t="s">
        <v>4586</v>
      </c>
      <c r="T282" s="18" t="s">
        <v>54</v>
      </c>
      <c r="U282" s="25">
        <v>10</v>
      </c>
      <c r="V282" s="84"/>
    </row>
    <row r="283" s="3" customFormat="1" customHeight="1" spans="1:22">
      <c r="A283" s="84">
        <v>22</v>
      </c>
      <c r="B283" s="175" t="s">
        <v>2422</v>
      </c>
      <c r="C283" s="175" t="s">
        <v>165</v>
      </c>
      <c r="D283" s="175" t="s">
        <v>2423</v>
      </c>
      <c r="E283" s="25">
        <v>18720291058</v>
      </c>
      <c r="F283" s="175" t="s">
        <v>156</v>
      </c>
      <c r="G283" s="175" t="s">
        <v>13</v>
      </c>
      <c r="H283" s="25">
        <v>202102003</v>
      </c>
      <c r="I283" s="175" t="s">
        <v>157</v>
      </c>
      <c r="J283" s="175" t="s">
        <v>2425</v>
      </c>
      <c r="K283" s="175" t="s">
        <v>395</v>
      </c>
      <c r="L283" s="175" t="s">
        <v>160</v>
      </c>
      <c r="M283" s="175" t="s">
        <v>577</v>
      </c>
      <c r="N283" s="175" t="s">
        <v>324</v>
      </c>
      <c r="O283" s="175" t="s">
        <v>2426</v>
      </c>
      <c r="P283" s="26" t="str">
        <f>_xlfn.DISPIMG("ID_93FC4398D0D24B119D9D1B8E0038C2BD",1)</f>
        <v>=DISPIMG("ID_93FC4398D0D24B119D9D1B8E0038C2BD",1)</v>
      </c>
      <c r="Q283" s="25" t="s">
        <v>2427</v>
      </c>
      <c r="R283" s="25">
        <v>288</v>
      </c>
      <c r="S283" s="40" t="s">
        <v>4591</v>
      </c>
      <c r="T283" s="18" t="s">
        <v>54</v>
      </c>
      <c r="U283" s="25">
        <v>11</v>
      </c>
      <c r="V283" s="84"/>
    </row>
    <row r="284" s="3" customFormat="1" customHeight="1" spans="1:22">
      <c r="A284" s="84">
        <v>27</v>
      </c>
      <c r="B284" s="175" t="s">
        <v>2592</v>
      </c>
      <c r="C284" s="175" t="s">
        <v>165</v>
      </c>
      <c r="D284" s="175" t="s">
        <v>2593</v>
      </c>
      <c r="E284" s="25">
        <v>15179254283</v>
      </c>
      <c r="F284" s="175" t="s">
        <v>156</v>
      </c>
      <c r="G284" s="175" t="s">
        <v>13</v>
      </c>
      <c r="H284" s="25">
        <v>202102003</v>
      </c>
      <c r="I284" s="175" t="s">
        <v>157</v>
      </c>
      <c r="J284" s="175" t="s">
        <v>269</v>
      </c>
      <c r="K284" s="175" t="s">
        <v>298</v>
      </c>
      <c r="L284" s="175" t="s">
        <v>160</v>
      </c>
      <c r="M284" s="175" t="s">
        <v>161</v>
      </c>
      <c r="N284" s="175" t="s">
        <v>13</v>
      </c>
      <c r="O284" s="175" t="s">
        <v>2595</v>
      </c>
      <c r="P284" s="26" t="str">
        <f>_xlfn.DISPIMG("ID_4B5E37E946EA4E60BDCBA196E50050B9",1)</f>
        <v>=DISPIMG("ID_4B5E37E946EA4E60BDCBA196E50050B9",1)</v>
      </c>
      <c r="Q284" s="25" t="s">
        <v>2596</v>
      </c>
      <c r="R284" s="25">
        <v>311</v>
      </c>
      <c r="S284" s="40" t="s">
        <v>4596</v>
      </c>
      <c r="T284" s="18" t="s">
        <v>54</v>
      </c>
      <c r="U284" s="25">
        <v>12</v>
      </c>
      <c r="V284" s="84"/>
    </row>
    <row r="285" s="3" customFormat="1" customHeight="1" spans="1:22">
      <c r="A285" s="84">
        <v>28</v>
      </c>
      <c r="B285" s="175" t="s">
        <v>2620</v>
      </c>
      <c r="C285" s="175" t="s">
        <v>165</v>
      </c>
      <c r="D285" s="175" t="s">
        <v>2621</v>
      </c>
      <c r="E285" s="25">
        <v>15374326855</v>
      </c>
      <c r="F285" s="175" t="s">
        <v>156</v>
      </c>
      <c r="G285" s="175" t="s">
        <v>13</v>
      </c>
      <c r="H285" s="25">
        <v>202102003</v>
      </c>
      <c r="I285" s="175" t="s">
        <v>279</v>
      </c>
      <c r="J285" s="175" t="s">
        <v>2623</v>
      </c>
      <c r="K285" s="175" t="s">
        <v>223</v>
      </c>
      <c r="L285" s="175" t="s">
        <v>170</v>
      </c>
      <c r="M285" s="175" t="s">
        <v>587</v>
      </c>
      <c r="N285" s="175" t="s">
        <v>487</v>
      </c>
      <c r="O285" s="175" t="s">
        <v>2624</v>
      </c>
      <c r="P285" s="26" t="str">
        <f>_xlfn.DISPIMG("ID_2F48B8B967A44C168C6D69CE2A1FBAF0",1)</f>
        <v>=DISPIMG("ID_2F48B8B967A44C168C6D69CE2A1FBAF0",1)</v>
      </c>
      <c r="Q285" s="25" t="s">
        <v>2625</v>
      </c>
      <c r="R285" s="25">
        <v>315</v>
      </c>
      <c r="S285" s="40" t="s">
        <v>4597</v>
      </c>
      <c r="T285" s="18" t="s">
        <v>54</v>
      </c>
      <c r="U285" s="25">
        <v>13</v>
      </c>
      <c r="V285" s="84"/>
    </row>
    <row r="286" s="3" customFormat="1" customHeight="1" spans="1:22">
      <c r="A286" s="84">
        <v>23</v>
      </c>
      <c r="B286" s="175" t="s">
        <v>2532</v>
      </c>
      <c r="C286" s="175" t="s">
        <v>165</v>
      </c>
      <c r="D286" s="175" t="s">
        <v>2533</v>
      </c>
      <c r="E286" s="25">
        <v>13687926524</v>
      </c>
      <c r="F286" s="175" t="s">
        <v>156</v>
      </c>
      <c r="G286" s="175" t="s">
        <v>13</v>
      </c>
      <c r="H286" s="25">
        <v>202102003</v>
      </c>
      <c r="I286" s="175" t="s">
        <v>157</v>
      </c>
      <c r="J286" s="175" t="s">
        <v>2535</v>
      </c>
      <c r="K286" s="175" t="s">
        <v>179</v>
      </c>
      <c r="L286" s="175" t="s">
        <v>160</v>
      </c>
      <c r="M286" s="175" t="s">
        <v>161</v>
      </c>
      <c r="N286" s="175" t="s">
        <v>13</v>
      </c>
      <c r="O286" s="25">
        <v>0</v>
      </c>
      <c r="P286" s="26" t="str">
        <f>_xlfn.DISPIMG("ID_B2A378810E7443059EBD825CE991BFE9",1)</f>
        <v>=DISPIMG("ID_B2A378810E7443059EBD825CE991BFE9",1)</v>
      </c>
      <c r="Q286" s="25" t="s">
        <v>2536</v>
      </c>
      <c r="R286" s="25">
        <v>303</v>
      </c>
      <c r="S286" s="40" t="s">
        <v>4592</v>
      </c>
      <c r="T286" s="18" t="s">
        <v>54</v>
      </c>
      <c r="U286" s="25">
        <v>14</v>
      </c>
      <c r="V286" s="84"/>
    </row>
    <row r="287" s="3" customFormat="1" customHeight="1" spans="1:22">
      <c r="A287" s="84">
        <v>18</v>
      </c>
      <c r="B287" s="175" t="s">
        <v>2256</v>
      </c>
      <c r="C287" s="175" t="s">
        <v>165</v>
      </c>
      <c r="D287" s="175" t="s">
        <v>2257</v>
      </c>
      <c r="E287" s="25">
        <v>18379620695</v>
      </c>
      <c r="F287" s="175" t="s">
        <v>156</v>
      </c>
      <c r="G287" s="175" t="s">
        <v>13</v>
      </c>
      <c r="H287" s="25">
        <v>202102003</v>
      </c>
      <c r="I287" s="175" t="s">
        <v>157</v>
      </c>
      <c r="J287" s="175" t="s">
        <v>2259</v>
      </c>
      <c r="K287" s="175" t="s">
        <v>2260</v>
      </c>
      <c r="L287" s="175" t="s">
        <v>170</v>
      </c>
      <c r="M287" s="175" t="s">
        <v>252</v>
      </c>
      <c r="N287" s="175" t="s">
        <v>13</v>
      </c>
      <c r="O287" s="175" t="s">
        <v>2261</v>
      </c>
      <c r="P287" s="26" t="str">
        <f>_xlfn.DISPIMG("ID_796E86B7DB7B4E23A74B2B041E7E25B9",1)</f>
        <v>=DISPIMG("ID_796E86B7DB7B4E23A74B2B041E7E25B9",1)</v>
      </c>
      <c r="Q287" s="25" t="s">
        <v>2262</v>
      </c>
      <c r="R287" s="25">
        <v>266</v>
      </c>
      <c r="S287" s="40" t="s">
        <v>4587</v>
      </c>
      <c r="T287" s="18" t="s">
        <v>54</v>
      </c>
      <c r="U287" s="25">
        <v>15</v>
      </c>
      <c r="V287" s="84"/>
    </row>
    <row r="288" s="3" customFormat="1" customHeight="1" spans="1:22">
      <c r="A288" s="84">
        <v>13</v>
      </c>
      <c r="B288" s="175" t="s">
        <v>2140</v>
      </c>
      <c r="C288" s="175" t="s">
        <v>165</v>
      </c>
      <c r="D288" s="175" t="s">
        <v>2141</v>
      </c>
      <c r="E288" s="25">
        <v>13576909746</v>
      </c>
      <c r="F288" s="175" t="s">
        <v>156</v>
      </c>
      <c r="G288" s="175" t="s">
        <v>13</v>
      </c>
      <c r="H288" s="25">
        <v>202102003</v>
      </c>
      <c r="I288" s="175" t="s">
        <v>157</v>
      </c>
      <c r="J288" s="175" t="s">
        <v>540</v>
      </c>
      <c r="K288" s="175" t="s">
        <v>298</v>
      </c>
      <c r="L288" s="175" t="s">
        <v>160</v>
      </c>
      <c r="M288" s="175" t="s">
        <v>180</v>
      </c>
      <c r="N288" s="175" t="s">
        <v>13</v>
      </c>
      <c r="O288" s="175" t="s">
        <v>2143</v>
      </c>
      <c r="P288" s="26" t="str">
        <f>_xlfn.DISPIMG("ID_5B22FFE3C77C4E8C9BD243D72EC649E2",1)</f>
        <v>=DISPIMG("ID_5B22FFE3C77C4E8C9BD243D72EC649E2",1)</v>
      </c>
      <c r="Q288" s="25" t="s">
        <v>2144</v>
      </c>
      <c r="R288" s="25">
        <v>251</v>
      </c>
      <c r="S288" s="40" t="s">
        <v>4582</v>
      </c>
      <c r="T288" s="18" t="s">
        <v>54</v>
      </c>
      <c r="U288" s="25">
        <v>16</v>
      </c>
      <c r="V288" s="84"/>
    </row>
    <row r="289" s="3" customFormat="1" customHeight="1" spans="1:22">
      <c r="A289" s="84">
        <v>8</v>
      </c>
      <c r="B289" s="175" t="s">
        <v>2012</v>
      </c>
      <c r="C289" s="175" t="s">
        <v>165</v>
      </c>
      <c r="D289" s="175" t="s">
        <v>2013</v>
      </c>
      <c r="E289" s="25">
        <v>18970612776</v>
      </c>
      <c r="F289" s="175" t="s">
        <v>156</v>
      </c>
      <c r="G289" s="175" t="s">
        <v>13</v>
      </c>
      <c r="H289" s="25">
        <v>202102003</v>
      </c>
      <c r="I289" s="175" t="s">
        <v>279</v>
      </c>
      <c r="J289" s="175" t="s">
        <v>2015</v>
      </c>
      <c r="K289" s="175" t="s">
        <v>223</v>
      </c>
      <c r="L289" s="175" t="s">
        <v>170</v>
      </c>
      <c r="M289" s="175" t="s">
        <v>216</v>
      </c>
      <c r="N289" s="175" t="s">
        <v>2016</v>
      </c>
      <c r="O289" s="175" t="s">
        <v>2017</v>
      </c>
      <c r="P289" s="26" t="str">
        <f>_xlfn.DISPIMG("ID_DBB8A81F2D854EDC847C805211582887",1)</f>
        <v>=DISPIMG("ID_DBB8A81F2D854EDC847C805211582887",1)</v>
      </c>
      <c r="Q289" s="25" t="s">
        <v>2018</v>
      </c>
      <c r="R289" s="25">
        <v>234</v>
      </c>
      <c r="S289" s="40" t="s">
        <v>4577</v>
      </c>
      <c r="T289" s="18" t="s">
        <v>54</v>
      </c>
      <c r="U289" s="25">
        <v>17</v>
      </c>
      <c r="V289" s="84"/>
    </row>
    <row r="290" s="3" customFormat="1" customHeight="1" spans="1:22">
      <c r="A290" s="84">
        <v>3</v>
      </c>
      <c r="B290" s="175" t="s">
        <v>1781</v>
      </c>
      <c r="C290" s="175" t="s">
        <v>165</v>
      </c>
      <c r="D290" s="175" t="s">
        <v>1782</v>
      </c>
      <c r="E290" s="25">
        <v>18379139309</v>
      </c>
      <c r="F290" s="175" t="s">
        <v>156</v>
      </c>
      <c r="G290" s="175" t="s">
        <v>13</v>
      </c>
      <c r="H290" s="25">
        <v>202102003</v>
      </c>
      <c r="I290" s="175" t="s">
        <v>157</v>
      </c>
      <c r="J290" s="175" t="s">
        <v>1784</v>
      </c>
      <c r="K290" s="175" t="s">
        <v>243</v>
      </c>
      <c r="L290" s="175" t="s">
        <v>160</v>
      </c>
      <c r="M290" s="175" t="s">
        <v>516</v>
      </c>
      <c r="N290" s="175" t="s">
        <v>25</v>
      </c>
      <c r="O290" s="175" t="s">
        <v>1785</v>
      </c>
      <c r="P290" s="26" t="str">
        <f>_xlfn.DISPIMG("ID_FAA9DF7D97144F66A8EC0127C6ABD49F",1)</f>
        <v>=DISPIMG("ID_FAA9DF7D97144F66A8EC0127C6ABD49F",1)</v>
      </c>
      <c r="Q290" s="25" t="s">
        <v>1786</v>
      </c>
      <c r="R290" s="25">
        <v>203</v>
      </c>
      <c r="S290" s="40" t="s">
        <v>4572</v>
      </c>
      <c r="T290" s="18" t="s">
        <v>54</v>
      </c>
      <c r="U290" s="25">
        <v>18</v>
      </c>
      <c r="V290" s="84"/>
    </row>
    <row r="291" s="3" customFormat="1" customHeight="1" spans="1:22">
      <c r="A291" s="84">
        <v>4</v>
      </c>
      <c r="B291" s="175" t="s">
        <v>1868</v>
      </c>
      <c r="C291" s="175" t="s">
        <v>165</v>
      </c>
      <c r="D291" s="175" t="s">
        <v>1869</v>
      </c>
      <c r="E291" s="25">
        <v>18270285866</v>
      </c>
      <c r="F291" s="175" t="s">
        <v>156</v>
      </c>
      <c r="G291" s="175" t="s">
        <v>13</v>
      </c>
      <c r="H291" s="25">
        <v>202102003</v>
      </c>
      <c r="I291" s="175" t="s">
        <v>157</v>
      </c>
      <c r="J291" s="175" t="s">
        <v>697</v>
      </c>
      <c r="K291" s="175" t="s">
        <v>179</v>
      </c>
      <c r="L291" s="175" t="s">
        <v>160</v>
      </c>
      <c r="M291" s="175" t="s">
        <v>161</v>
      </c>
      <c r="N291" s="175" t="s">
        <v>13</v>
      </c>
      <c r="O291" s="175" t="s">
        <v>1871</v>
      </c>
      <c r="P291" s="26" t="str">
        <f>_xlfn.DISPIMG("ID_8FA08A92AF314DECB56C8C1E101E9B2E",1)</f>
        <v>=DISPIMG("ID_8FA08A92AF314DECB56C8C1E101E9B2E",1)</v>
      </c>
      <c r="Q291" s="25" t="s">
        <v>1872</v>
      </c>
      <c r="R291" s="25">
        <v>214</v>
      </c>
      <c r="S291" s="40" t="s">
        <v>4573</v>
      </c>
      <c r="T291" s="18" t="s">
        <v>54</v>
      </c>
      <c r="U291" s="25">
        <v>19</v>
      </c>
      <c r="V291" s="84"/>
    </row>
    <row r="292" s="3" customFormat="1" customHeight="1" spans="1:22">
      <c r="A292" s="84">
        <v>9</v>
      </c>
      <c r="B292" s="175" t="s">
        <v>2020</v>
      </c>
      <c r="C292" s="175" t="s">
        <v>165</v>
      </c>
      <c r="D292" s="175" t="s">
        <v>2021</v>
      </c>
      <c r="E292" s="25">
        <v>13607094902</v>
      </c>
      <c r="F292" s="175" t="s">
        <v>506</v>
      </c>
      <c r="G292" s="175" t="s">
        <v>13</v>
      </c>
      <c r="H292" s="25">
        <v>202102016</v>
      </c>
      <c r="I292" s="175" t="s">
        <v>157</v>
      </c>
      <c r="J292" s="175" t="s">
        <v>2015</v>
      </c>
      <c r="K292" s="175" t="s">
        <v>179</v>
      </c>
      <c r="L292" s="175" t="s">
        <v>170</v>
      </c>
      <c r="M292" s="175" t="s">
        <v>2023</v>
      </c>
      <c r="N292" s="175" t="s">
        <v>13</v>
      </c>
      <c r="O292" s="175" t="s">
        <v>2024</v>
      </c>
      <c r="P292" s="26" t="str">
        <f>_xlfn.DISPIMG("ID_391065F92F2843D5ABEC64E49971BF9B",1)</f>
        <v>=DISPIMG("ID_391065F92F2843D5ABEC64E49971BF9B",1)</v>
      </c>
      <c r="Q292" s="25" t="s">
        <v>2025</v>
      </c>
      <c r="R292" s="25">
        <v>235</v>
      </c>
      <c r="S292" s="40" t="s">
        <v>4578</v>
      </c>
      <c r="T292" s="18" t="s">
        <v>54</v>
      </c>
      <c r="U292" s="25">
        <v>20</v>
      </c>
      <c r="V292" s="84"/>
    </row>
    <row r="293" s="3" customFormat="1" customHeight="1" spans="1:22">
      <c r="A293" s="84">
        <v>14</v>
      </c>
      <c r="B293" s="175" t="s">
        <v>2147</v>
      </c>
      <c r="C293" s="175" t="s">
        <v>165</v>
      </c>
      <c r="D293" s="175" t="s">
        <v>2148</v>
      </c>
      <c r="E293" s="25">
        <v>18870849075</v>
      </c>
      <c r="F293" s="175" t="s">
        <v>156</v>
      </c>
      <c r="G293" s="175" t="s">
        <v>13</v>
      </c>
      <c r="H293" s="25">
        <v>202102003</v>
      </c>
      <c r="I293" s="175" t="s">
        <v>157</v>
      </c>
      <c r="J293" s="175" t="s">
        <v>2150</v>
      </c>
      <c r="K293" s="175" t="s">
        <v>1832</v>
      </c>
      <c r="L293" s="175" t="s">
        <v>160</v>
      </c>
      <c r="M293" s="175" t="s">
        <v>2151</v>
      </c>
      <c r="N293" s="175" t="s">
        <v>13</v>
      </c>
      <c r="O293" s="175" t="s">
        <v>2152</v>
      </c>
      <c r="P293" s="26" t="str">
        <f>_xlfn.DISPIMG("ID_AE861B6E26D2460C9E654A52BE43B6F4",1)</f>
        <v>=DISPIMG("ID_AE861B6E26D2460C9E654A52BE43B6F4",1)</v>
      </c>
      <c r="Q293" s="25" t="s">
        <v>2153</v>
      </c>
      <c r="R293" s="25">
        <v>252</v>
      </c>
      <c r="S293" s="40" t="s">
        <v>4583</v>
      </c>
      <c r="T293" s="18" t="s">
        <v>54</v>
      </c>
      <c r="U293" s="25">
        <v>21</v>
      </c>
      <c r="V293" s="84"/>
    </row>
    <row r="294" s="3" customFormat="1" customHeight="1" spans="1:22">
      <c r="A294" s="84">
        <v>19</v>
      </c>
      <c r="B294" s="175" t="s">
        <v>2280</v>
      </c>
      <c r="C294" s="175" t="s">
        <v>153</v>
      </c>
      <c r="D294" s="175" t="s">
        <v>2281</v>
      </c>
      <c r="E294" s="25">
        <v>18679290186</v>
      </c>
      <c r="F294" s="175" t="s">
        <v>156</v>
      </c>
      <c r="G294" s="175" t="s">
        <v>13</v>
      </c>
      <c r="H294" s="25">
        <v>202102003</v>
      </c>
      <c r="I294" s="175" t="s">
        <v>279</v>
      </c>
      <c r="J294" s="175" t="s">
        <v>233</v>
      </c>
      <c r="K294" s="175" t="s">
        <v>223</v>
      </c>
      <c r="L294" s="175" t="s">
        <v>170</v>
      </c>
      <c r="M294" s="175" t="s">
        <v>2283</v>
      </c>
      <c r="N294" s="175" t="s">
        <v>2284</v>
      </c>
      <c r="O294" s="175" t="s">
        <v>2285</v>
      </c>
      <c r="P294" s="26" t="str">
        <f>_xlfn.DISPIMG("ID_89FA20207CD0456DA5278484203F3141",1)</f>
        <v>=DISPIMG("ID_89FA20207CD0456DA5278484203F3141",1)</v>
      </c>
      <c r="Q294" s="25" t="s">
        <v>2286</v>
      </c>
      <c r="R294" s="25">
        <v>269</v>
      </c>
      <c r="S294" s="40" t="s">
        <v>4588</v>
      </c>
      <c r="T294" s="18" t="s">
        <v>54</v>
      </c>
      <c r="U294" s="25">
        <v>22</v>
      </c>
      <c r="V294" s="84"/>
    </row>
    <row r="295" s="3" customFormat="1" customHeight="1" spans="1:22">
      <c r="A295" s="84">
        <v>24</v>
      </c>
      <c r="B295" s="175" t="s">
        <v>2547</v>
      </c>
      <c r="C295" s="175" t="s">
        <v>165</v>
      </c>
      <c r="D295" s="175" t="s">
        <v>2548</v>
      </c>
      <c r="E295" s="25">
        <v>18779213164</v>
      </c>
      <c r="F295" s="175" t="s">
        <v>156</v>
      </c>
      <c r="G295" s="175" t="s">
        <v>13</v>
      </c>
      <c r="H295" s="25">
        <v>202102003</v>
      </c>
      <c r="I295" s="175" t="s">
        <v>157</v>
      </c>
      <c r="J295" s="175" t="s">
        <v>158</v>
      </c>
      <c r="K295" s="175" t="s">
        <v>179</v>
      </c>
      <c r="L295" s="175" t="s">
        <v>170</v>
      </c>
      <c r="M295" s="175" t="s">
        <v>2550</v>
      </c>
      <c r="N295" s="175" t="s">
        <v>2551</v>
      </c>
      <c r="O295" s="175" t="s">
        <v>2552</v>
      </c>
      <c r="P295" s="26" t="str">
        <f>_xlfn.DISPIMG("ID_4531DA1F574D4F7CA2AF28BAD514AF1A",1)</f>
        <v>=DISPIMG("ID_4531DA1F574D4F7CA2AF28BAD514AF1A",1)</v>
      </c>
      <c r="Q295" s="25" t="s">
        <v>2553</v>
      </c>
      <c r="R295" s="25">
        <v>305</v>
      </c>
      <c r="S295" s="40" t="s">
        <v>4593</v>
      </c>
      <c r="T295" s="18" t="s">
        <v>54</v>
      </c>
      <c r="U295" s="25">
        <v>23</v>
      </c>
      <c r="V295" s="84"/>
    </row>
    <row r="296" s="3" customFormat="1" customHeight="1" spans="1:22">
      <c r="A296" s="84">
        <v>29</v>
      </c>
      <c r="B296" s="175" t="s">
        <v>2698</v>
      </c>
      <c r="C296" s="175" t="s">
        <v>165</v>
      </c>
      <c r="D296" s="175" t="s">
        <v>2699</v>
      </c>
      <c r="E296" s="25">
        <v>17879865970</v>
      </c>
      <c r="F296" s="175" t="s">
        <v>156</v>
      </c>
      <c r="G296" s="175" t="s">
        <v>13</v>
      </c>
      <c r="H296" s="25">
        <v>202102003</v>
      </c>
      <c r="I296" s="175" t="s">
        <v>157</v>
      </c>
      <c r="J296" s="175" t="s">
        <v>603</v>
      </c>
      <c r="K296" s="175" t="s">
        <v>179</v>
      </c>
      <c r="L296" s="175" t="s">
        <v>160</v>
      </c>
      <c r="M296" s="175" t="s">
        <v>161</v>
      </c>
      <c r="N296" s="175" t="s">
        <v>13</v>
      </c>
      <c r="O296" s="175" t="s">
        <v>2701</v>
      </c>
      <c r="P296" s="26" t="str">
        <f>_xlfn.DISPIMG("ID_F144CD0E4B7B43F08EC41420B132D7BF",1)</f>
        <v>=DISPIMG("ID_F144CD0E4B7B43F08EC41420B132D7BF",1)</v>
      </c>
      <c r="Q296" s="25" t="s">
        <v>2702</v>
      </c>
      <c r="R296" s="25">
        <v>325</v>
      </c>
      <c r="S296" s="40" t="s">
        <v>4598</v>
      </c>
      <c r="T296" s="18" t="s">
        <v>54</v>
      </c>
      <c r="U296" s="25">
        <v>24</v>
      </c>
      <c r="V296" s="84"/>
    </row>
    <row r="297" s="3" customFormat="1" customHeight="1" spans="1:22">
      <c r="A297" s="84">
        <v>30</v>
      </c>
      <c r="B297" s="175" t="s">
        <v>2711</v>
      </c>
      <c r="C297" s="175" t="s">
        <v>165</v>
      </c>
      <c r="D297" s="175" t="s">
        <v>2712</v>
      </c>
      <c r="E297" s="25">
        <v>17722507024</v>
      </c>
      <c r="F297" s="175" t="s">
        <v>156</v>
      </c>
      <c r="G297" s="175" t="s">
        <v>13</v>
      </c>
      <c r="H297" s="25">
        <v>202102003</v>
      </c>
      <c r="I297" s="175" t="s">
        <v>157</v>
      </c>
      <c r="J297" s="175" t="s">
        <v>2714</v>
      </c>
      <c r="K297" s="175" t="s">
        <v>179</v>
      </c>
      <c r="L297" s="175" t="s">
        <v>160</v>
      </c>
      <c r="M297" s="175" t="s">
        <v>216</v>
      </c>
      <c r="N297" s="175" t="s">
        <v>13</v>
      </c>
      <c r="O297" s="25">
        <v>0</v>
      </c>
      <c r="P297" s="26" t="str">
        <f>_xlfn.DISPIMG("ID_8518D0C3018F4000B213F1115E41EEAA",1)</f>
        <v>=DISPIMG("ID_8518D0C3018F4000B213F1115E41EEAA",1)</v>
      </c>
      <c r="Q297" s="25" t="s">
        <v>2715</v>
      </c>
      <c r="R297" s="25">
        <v>327</v>
      </c>
      <c r="S297" s="40" t="s">
        <v>4599</v>
      </c>
      <c r="T297" s="18" t="s">
        <v>54</v>
      </c>
      <c r="U297" s="25">
        <v>25</v>
      </c>
      <c r="V297" s="84"/>
    </row>
    <row r="298" s="3" customFormat="1" customHeight="1" spans="1:22">
      <c r="A298" s="84">
        <v>25</v>
      </c>
      <c r="B298" s="175" t="s">
        <v>2578</v>
      </c>
      <c r="C298" s="175" t="s">
        <v>165</v>
      </c>
      <c r="D298" s="175" t="s">
        <v>2579</v>
      </c>
      <c r="E298" s="25">
        <v>13907924069</v>
      </c>
      <c r="F298" s="175" t="s">
        <v>506</v>
      </c>
      <c r="G298" s="175" t="s">
        <v>13</v>
      </c>
      <c r="H298" s="25">
        <v>202102016</v>
      </c>
      <c r="I298" s="175" t="s">
        <v>279</v>
      </c>
      <c r="J298" s="175" t="s">
        <v>1237</v>
      </c>
      <c r="K298" s="175" t="s">
        <v>169</v>
      </c>
      <c r="L298" s="175" t="s">
        <v>170</v>
      </c>
      <c r="M298" s="175" t="s">
        <v>161</v>
      </c>
      <c r="N298" s="175" t="s">
        <v>2284</v>
      </c>
      <c r="O298" s="175" t="s">
        <v>2581</v>
      </c>
      <c r="P298" s="26" t="str">
        <f>_xlfn.DISPIMG("ID_1B69D0009E5944278A43199D519E50CB",1)</f>
        <v>=DISPIMG("ID_1B69D0009E5944278A43199D519E50CB",1)</v>
      </c>
      <c r="Q298" s="25" t="s">
        <v>2582</v>
      </c>
      <c r="R298" s="25">
        <v>309</v>
      </c>
      <c r="S298" s="40" t="s">
        <v>4594</v>
      </c>
      <c r="T298" s="18" t="s">
        <v>54</v>
      </c>
      <c r="U298" s="25">
        <v>26</v>
      </c>
      <c r="V298" s="84"/>
    </row>
    <row r="299" s="3" customFormat="1" customHeight="1" spans="1:22">
      <c r="A299" s="84">
        <v>20</v>
      </c>
      <c r="B299" s="175" t="s">
        <v>2289</v>
      </c>
      <c r="C299" s="175" t="s">
        <v>165</v>
      </c>
      <c r="D299" s="175" t="s">
        <v>2290</v>
      </c>
      <c r="E299" s="25">
        <v>18170815855</v>
      </c>
      <c r="F299" s="175" t="s">
        <v>156</v>
      </c>
      <c r="G299" s="175" t="s">
        <v>13</v>
      </c>
      <c r="H299" s="25">
        <v>202102003</v>
      </c>
      <c r="I299" s="175" t="s">
        <v>157</v>
      </c>
      <c r="J299" s="175" t="s">
        <v>158</v>
      </c>
      <c r="K299" s="175" t="s">
        <v>223</v>
      </c>
      <c r="L299" s="175" t="s">
        <v>170</v>
      </c>
      <c r="M299" s="175" t="s">
        <v>349</v>
      </c>
      <c r="N299" s="175" t="s">
        <v>1692</v>
      </c>
      <c r="O299" s="175" t="s">
        <v>2290</v>
      </c>
      <c r="P299" s="26" t="str">
        <f>_xlfn.DISPIMG("ID_BC3CD3F4A07B4F5DB131E901992815BA",1)</f>
        <v>=DISPIMG("ID_BC3CD3F4A07B4F5DB131E901992815BA",1)</v>
      </c>
      <c r="Q299" s="25" t="s">
        <v>2291</v>
      </c>
      <c r="R299" s="25">
        <v>270</v>
      </c>
      <c r="S299" s="40" t="s">
        <v>4589</v>
      </c>
      <c r="T299" s="18" t="s">
        <v>54</v>
      </c>
      <c r="U299" s="25">
        <v>27</v>
      </c>
      <c r="V299" s="84"/>
    </row>
    <row r="300" s="3" customFormat="1" customHeight="1" spans="1:22">
      <c r="A300" s="84">
        <v>15</v>
      </c>
      <c r="B300" s="175" t="s">
        <v>2156</v>
      </c>
      <c r="C300" s="175" t="s">
        <v>165</v>
      </c>
      <c r="D300" s="175" t="s">
        <v>2157</v>
      </c>
      <c r="E300" s="25">
        <v>17707083376</v>
      </c>
      <c r="F300" s="175" t="s">
        <v>156</v>
      </c>
      <c r="G300" s="175" t="s">
        <v>13</v>
      </c>
      <c r="H300" s="25">
        <v>202102003</v>
      </c>
      <c r="I300" s="175" t="s">
        <v>157</v>
      </c>
      <c r="J300" s="175" t="s">
        <v>2159</v>
      </c>
      <c r="K300" s="175" t="s">
        <v>179</v>
      </c>
      <c r="L300" s="175" t="s">
        <v>170</v>
      </c>
      <c r="M300" s="175" t="s">
        <v>2160</v>
      </c>
      <c r="N300" s="175" t="s">
        <v>13</v>
      </c>
      <c r="O300" s="175" t="s">
        <v>2161</v>
      </c>
      <c r="P300" s="26" t="str">
        <f>_xlfn.DISPIMG("ID_40A8AEA41DF44D5AB3229E18DF729A74",1)</f>
        <v>=DISPIMG("ID_40A8AEA41DF44D5AB3229E18DF729A74",1)</v>
      </c>
      <c r="Q300" s="25" t="s">
        <v>2162</v>
      </c>
      <c r="R300" s="25">
        <v>253</v>
      </c>
      <c r="S300" s="40" t="s">
        <v>4584</v>
      </c>
      <c r="T300" s="18" t="s">
        <v>54</v>
      </c>
      <c r="U300" s="25">
        <v>28</v>
      </c>
      <c r="V300" s="84"/>
    </row>
    <row r="301" s="3" customFormat="1" customHeight="1" spans="1:22">
      <c r="A301" s="84">
        <v>10</v>
      </c>
      <c r="B301" s="175" t="s">
        <v>2090</v>
      </c>
      <c r="C301" s="175" t="s">
        <v>153</v>
      </c>
      <c r="D301" s="175" t="s">
        <v>2091</v>
      </c>
      <c r="E301" s="25">
        <v>18079635877</v>
      </c>
      <c r="F301" s="175" t="s">
        <v>156</v>
      </c>
      <c r="G301" s="175" t="s">
        <v>13</v>
      </c>
      <c r="H301" s="25">
        <v>202102003</v>
      </c>
      <c r="I301" s="175" t="s">
        <v>157</v>
      </c>
      <c r="J301" s="175" t="s">
        <v>507</v>
      </c>
      <c r="K301" s="175" t="s">
        <v>2093</v>
      </c>
      <c r="L301" s="175" t="s">
        <v>160</v>
      </c>
      <c r="M301" s="175" t="s">
        <v>281</v>
      </c>
      <c r="N301" s="175" t="s">
        <v>25</v>
      </c>
      <c r="O301" s="175" t="s">
        <v>2094</v>
      </c>
      <c r="P301" s="26" t="str">
        <f>_xlfn.DISPIMG("ID_C4F6E9DAFE344DCCAABCAAE0A2F04564",1)</f>
        <v>=DISPIMG("ID_C4F6E9DAFE344DCCAABCAAE0A2F04564",1)</v>
      </c>
      <c r="Q301" s="25" t="s">
        <v>2095</v>
      </c>
      <c r="R301" s="25">
        <v>244</v>
      </c>
      <c r="S301" s="40" t="s">
        <v>4579</v>
      </c>
      <c r="T301" s="18" t="s">
        <v>54</v>
      </c>
      <c r="U301" s="25">
        <v>29</v>
      </c>
      <c r="V301" s="84"/>
    </row>
    <row r="302" s="3" customFormat="1" customHeight="1" spans="1:22">
      <c r="A302" s="84">
        <v>5</v>
      </c>
      <c r="B302" s="175" t="s">
        <v>1890</v>
      </c>
      <c r="C302" s="175" t="s">
        <v>165</v>
      </c>
      <c r="D302" s="175" t="s">
        <v>1891</v>
      </c>
      <c r="E302" s="25">
        <v>18770267494</v>
      </c>
      <c r="F302" s="175" t="s">
        <v>156</v>
      </c>
      <c r="G302" s="175" t="s">
        <v>13</v>
      </c>
      <c r="H302" s="25">
        <v>202102003</v>
      </c>
      <c r="I302" s="175" t="s">
        <v>157</v>
      </c>
      <c r="J302" s="175" t="s">
        <v>646</v>
      </c>
      <c r="K302" s="175" t="s">
        <v>179</v>
      </c>
      <c r="L302" s="175" t="s">
        <v>160</v>
      </c>
      <c r="M302" s="175" t="s">
        <v>161</v>
      </c>
      <c r="N302" s="175" t="s">
        <v>25</v>
      </c>
      <c r="O302" s="175" t="s">
        <v>1893</v>
      </c>
      <c r="P302" s="26" t="str">
        <f>_xlfn.DISPIMG("ID_E3FEEF4304AD40319195B6CB72FAB7DA",1)</f>
        <v>=DISPIMG("ID_E3FEEF4304AD40319195B6CB72FAB7DA",1)</v>
      </c>
      <c r="Q302" s="25" t="s">
        <v>1894</v>
      </c>
      <c r="R302" s="25">
        <v>217</v>
      </c>
      <c r="S302" s="40" t="s">
        <v>4574</v>
      </c>
      <c r="T302" s="18" t="s">
        <v>54</v>
      </c>
      <c r="U302" s="25">
        <v>30</v>
      </c>
      <c r="V302" s="84"/>
    </row>
    <row r="303" s="3" customFormat="1" customHeight="1" spans="1:22">
      <c r="A303" s="84">
        <v>26</v>
      </c>
      <c r="B303" s="175" t="s">
        <v>4021</v>
      </c>
      <c r="C303" s="175" t="s">
        <v>165</v>
      </c>
      <c r="D303" s="175" t="s">
        <v>4022</v>
      </c>
      <c r="E303" s="25">
        <v>15870639139</v>
      </c>
      <c r="F303" s="175" t="s">
        <v>156</v>
      </c>
      <c r="G303" s="175" t="s">
        <v>13</v>
      </c>
      <c r="H303" s="25">
        <v>202102003</v>
      </c>
      <c r="I303" s="175" t="s">
        <v>157</v>
      </c>
      <c r="J303" s="175" t="s">
        <v>1413</v>
      </c>
      <c r="K303" s="175" t="s">
        <v>1122</v>
      </c>
      <c r="L303" s="175" t="s">
        <v>160</v>
      </c>
      <c r="M303" s="175" t="s">
        <v>235</v>
      </c>
      <c r="N303" s="175" t="s">
        <v>487</v>
      </c>
      <c r="O303" s="175" t="s">
        <v>4024</v>
      </c>
      <c r="P303" s="26" t="str">
        <f>_xlfn.DISPIMG("ID_678965A481D64CEABA15E59CA2B84698",1)</f>
        <v>=DISPIMG("ID_678965A481D64CEABA15E59CA2B84698",1)</v>
      </c>
      <c r="Q303" s="25" t="s">
        <v>4025</v>
      </c>
      <c r="R303" s="25">
        <v>514</v>
      </c>
      <c r="S303" s="40" t="s">
        <v>4625</v>
      </c>
      <c r="T303" s="18" t="s">
        <v>55</v>
      </c>
      <c r="U303" s="25">
        <v>1</v>
      </c>
      <c r="V303" s="84"/>
    </row>
    <row r="304" s="3" customFormat="1" customHeight="1" spans="1:22">
      <c r="A304" s="84">
        <v>21</v>
      </c>
      <c r="B304" s="175" t="s">
        <v>3804</v>
      </c>
      <c r="C304" s="175" t="s">
        <v>165</v>
      </c>
      <c r="D304" s="175" t="s">
        <v>3805</v>
      </c>
      <c r="E304" s="25">
        <v>18859568610</v>
      </c>
      <c r="F304" s="175" t="s">
        <v>156</v>
      </c>
      <c r="G304" s="175" t="s">
        <v>13</v>
      </c>
      <c r="H304" s="25">
        <v>202102003</v>
      </c>
      <c r="I304" s="175" t="s">
        <v>157</v>
      </c>
      <c r="J304" s="175" t="s">
        <v>2943</v>
      </c>
      <c r="K304" s="175" t="s">
        <v>179</v>
      </c>
      <c r="L304" s="175" t="s">
        <v>160</v>
      </c>
      <c r="M304" s="175" t="s">
        <v>235</v>
      </c>
      <c r="N304" s="175" t="s">
        <v>1187</v>
      </c>
      <c r="O304" s="175" t="s">
        <v>3807</v>
      </c>
      <c r="P304" s="26" t="str">
        <f>_xlfn.DISPIMG("ID_958C237DE20E4119882FD97115456597",1)</f>
        <v>=DISPIMG("ID_958C237DE20E4119882FD97115456597",1)</v>
      </c>
      <c r="Q304" s="25" t="s">
        <v>3808</v>
      </c>
      <c r="R304" s="25">
        <v>485</v>
      </c>
      <c r="S304" s="40" t="s">
        <v>4620</v>
      </c>
      <c r="T304" s="18" t="s">
        <v>55</v>
      </c>
      <c r="U304" s="25">
        <v>2</v>
      </c>
      <c r="V304" s="84"/>
    </row>
    <row r="305" s="3" customFormat="1" customHeight="1" spans="1:22">
      <c r="A305" s="84">
        <v>16</v>
      </c>
      <c r="B305" s="175" t="s">
        <v>3351</v>
      </c>
      <c r="C305" s="175" t="s">
        <v>165</v>
      </c>
      <c r="D305" s="175" t="s">
        <v>3352</v>
      </c>
      <c r="E305" s="25">
        <v>18720295129</v>
      </c>
      <c r="F305" s="175" t="s">
        <v>156</v>
      </c>
      <c r="G305" s="175" t="s">
        <v>13</v>
      </c>
      <c r="H305" s="25">
        <v>202102003</v>
      </c>
      <c r="I305" s="175" t="s">
        <v>279</v>
      </c>
      <c r="J305" s="175" t="s">
        <v>158</v>
      </c>
      <c r="K305" s="175" t="s">
        <v>223</v>
      </c>
      <c r="L305" s="175" t="s">
        <v>170</v>
      </c>
      <c r="M305" s="175" t="s">
        <v>180</v>
      </c>
      <c r="N305" s="175" t="s">
        <v>3354</v>
      </c>
      <c r="O305" s="175" t="s">
        <v>3355</v>
      </c>
      <c r="P305" s="26" t="str">
        <f>_xlfn.DISPIMG("ID_74A8F2037BB844E7BAC2F04950084CD2",1)</f>
        <v>=DISPIMG("ID_74A8F2037BB844E7BAC2F04950084CD2",1)</v>
      </c>
      <c r="Q305" s="25" t="s">
        <v>3356</v>
      </c>
      <c r="R305" s="25">
        <v>422</v>
      </c>
      <c r="S305" s="40" t="s">
        <v>4615</v>
      </c>
      <c r="T305" s="18" t="s">
        <v>55</v>
      </c>
      <c r="U305" s="25">
        <v>3</v>
      </c>
      <c r="V305" s="84"/>
    </row>
    <row r="306" s="3" customFormat="1" customHeight="1" spans="1:22">
      <c r="A306" s="84">
        <v>11</v>
      </c>
      <c r="B306" s="175" t="s">
        <v>3151</v>
      </c>
      <c r="C306" s="175" t="s">
        <v>165</v>
      </c>
      <c r="D306" s="175" t="s">
        <v>3152</v>
      </c>
      <c r="E306" s="25">
        <v>15807046137</v>
      </c>
      <c r="F306" s="175" t="s">
        <v>156</v>
      </c>
      <c r="G306" s="175" t="s">
        <v>13</v>
      </c>
      <c r="H306" s="25">
        <v>202102003</v>
      </c>
      <c r="I306" s="175" t="s">
        <v>157</v>
      </c>
      <c r="J306" s="175" t="s">
        <v>611</v>
      </c>
      <c r="K306" s="175" t="s">
        <v>179</v>
      </c>
      <c r="L306" s="175" t="s">
        <v>160</v>
      </c>
      <c r="M306" s="175" t="s">
        <v>261</v>
      </c>
      <c r="N306" s="175" t="s">
        <v>13</v>
      </c>
      <c r="O306" s="175" t="s">
        <v>3154</v>
      </c>
      <c r="P306" s="26" t="str">
        <f>_xlfn.DISPIMG("ID_677BA8871B344518950747C60527229E",1)</f>
        <v>=DISPIMG("ID_677BA8871B344518950747C60527229E",1)</v>
      </c>
      <c r="Q306" s="25" t="s">
        <v>3155</v>
      </c>
      <c r="R306" s="25">
        <v>390</v>
      </c>
      <c r="S306" s="40" t="s">
        <v>4610</v>
      </c>
      <c r="T306" s="18" t="s">
        <v>55</v>
      </c>
      <c r="U306" s="25">
        <v>4</v>
      </c>
      <c r="V306" s="84"/>
    </row>
    <row r="307" s="3" customFormat="1" customHeight="1" spans="1:22">
      <c r="A307" s="84">
        <v>6</v>
      </c>
      <c r="B307" s="175" t="s">
        <v>2819</v>
      </c>
      <c r="C307" s="175" t="s">
        <v>165</v>
      </c>
      <c r="D307" s="175" t="s">
        <v>2820</v>
      </c>
      <c r="E307" s="25">
        <v>18720151872</v>
      </c>
      <c r="F307" s="175" t="s">
        <v>156</v>
      </c>
      <c r="G307" s="175" t="s">
        <v>13</v>
      </c>
      <c r="H307" s="25">
        <v>202102003</v>
      </c>
      <c r="I307" s="175" t="s">
        <v>157</v>
      </c>
      <c r="J307" s="175" t="s">
        <v>269</v>
      </c>
      <c r="K307" s="175" t="s">
        <v>2821</v>
      </c>
      <c r="L307" s="175" t="s">
        <v>170</v>
      </c>
      <c r="M307" s="175" t="s">
        <v>455</v>
      </c>
      <c r="N307" s="175" t="s">
        <v>13</v>
      </c>
      <c r="O307" s="25">
        <v>0</v>
      </c>
      <c r="P307" s="26" t="str">
        <f>_xlfn.DISPIMG("ID_3C9269A8B40D486AA589E83B191F62F8",1)</f>
        <v>=DISPIMG("ID_3C9269A8B40D486AA589E83B191F62F8",1)</v>
      </c>
      <c r="Q307" s="25" t="s">
        <v>2822</v>
      </c>
      <c r="R307" s="25">
        <v>342</v>
      </c>
      <c r="S307" s="40" t="s">
        <v>4605</v>
      </c>
      <c r="T307" s="18" t="s">
        <v>55</v>
      </c>
      <c r="U307" s="25">
        <v>5</v>
      </c>
      <c r="V307" s="84"/>
    </row>
    <row r="308" s="3" customFormat="1" customHeight="1" spans="1:22">
      <c r="A308" s="84">
        <v>1</v>
      </c>
      <c r="B308" s="175" t="s">
        <v>2753</v>
      </c>
      <c r="C308" s="175" t="s">
        <v>165</v>
      </c>
      <c r="D308" s="175" t="s">
        <v>2754</v>
      </c>
      <c r="E308" s="25">
        <v>18770057517</v>
      </c>
      <c r="F308" s="175" t="s">
        <v>156</v>
      </c>
      <c r="G308" s="175" t="s">
        <v>13</v>
      </c>
      <c r="H308" s="25">
        <v>202102003</v>
      </c>
      <c r="I308" s="175" t="s">
        <v>157</v>
      </c>
      <c r="J308" s="175" t="s">
        <v>646</v>
      </c>
      <c r="K308" s="175" t="s">
        <v>179</v>
      </c>
      <c r="L308" s="175" t="s">
        <v>160</v>
      </c>
      <c r="M308" s="175" t="s">
        <v>548</v>
      </c>
      <c r="N308" s="175" t="s">
        <v>2284</v>
      </c>
      <c r="O308" s="175" t="s">
        <v>2756</v>
      </c>
      <c r="P308" s="26" t="str">
        <f>_xlfn.DISPIMG("ID_2E6C674524F0427FBB4E2C3FFA53D3DF",1)</f>
        <v>=DISPIMG("ID_2E6C674524F0427FBB4E2C3FFA53D3DF",1)</v>
      </c>
      <c r="Q308" s="25" t="s">
        <v>2757</v>
      </c>
      <c r="R308" s="25">
        <v>333</v>
      </c>
      <c r="S308" s="40" t="s">
        <v>4600</v>
      </c>
      <c r="T308" s="18" t="s">
        <v>55</v>
      </c>
      <c r="U308" s="25">
        <v>6</v>
      </c>
      <c r="V308" s="84"/>
    </row>
    <row r="309" s="3" customFormat="1" customHeight="1" spans="1:22">
      <c r="A309" s="84">
        <v>2</v>
      </c>
      <c r="B309" s="175" t="s">
        <v>2760</v>
      </c>
      <c r="C309" s="175" t="s">
        <v>165</v>
      </c>
      <c r="D309" s="175" t="s">
        <v>2761</v>
      </c>
      <c r="E309" s="25">
        <v>18296291050</v>
      </c>
      <c r="F309" s="175" t="s">
        <v>156</v>
      </c>
      <c r="G309" s="175" t="s">
        <v>13</v>
      </c>
      <c r="H309" s="25">
        <v>202102003</v>
      </c>
      <c r="I309" s="175" t="s">
        <v>157</v>
      </c>
      <c r="J309" s="175" t="s">
        <v>2763</v>
      </c>
      <c r="K309" s="175" t="s">
        <v>179</v>
      </c>
      <c r="L309" s="175" t="s">
        <v>160</v>
      </c>
      <c r="M309" s="175" t="s">
        <v>261</v>
      </c>
      <c r="N309" s="175" t="s">
        <v>487</v>
      </c>
      <c r="O309" s="25">
        <v>0</v>
      </c>
      <c r="P309" s="26" t="str">
        <f>_xlfn.DISPIMG("ID_345E5ECE839B455186CF8C80E701C44C",1)</f>
        <v>=DISPIMG("ID_345E5ECE839B455186CF8C80E701C44C",1)</v>
      </c>
      <c r="Q309" s="25" t="s">
        <v>2764</v>
      </c>
      <c r="R309" s="25">
        <v>334</v>
      </c>
      <c r="S309" s="40" t="s">
        <v>4601</v>
      </c>
      <c r="T309" s="18" t="s">
        <v>55</v>
      </c>
      <c r="U309" s="25">
        <v>7</v>
      </c>
      <c r="V309" s="84"/>
    </row>
    <row r="310" s="3" customFormat="1" customHeight="1" spans="1:22">
      <c r="A310" s="84">
        <v>7</v>
      </c>
      <c r="B310" s="175" t="s">
        <v>2895</v>
      </c>
      <c r="C310" s="175" t="s">
        <v>165</v>
      </c>
      <c r="D310" s="175" t="s">
        <v>2896</v>
      </c>
      <c r="E310" s="25">
        <v>13667020095</v>
      </c>
      <c r="F310" s="175" t="s">
        <v>156</v>
      </c>
      <c r="G310" s="175" t="s">
        <v>13</v>
      </c>
      <c r="H310" s="25">
        <v>202102003</v>
      </c>
      <c r="I310" s="175" t="s">
        <v>157</v>
      </c>
      <c r="J310" s="175" t="s">
        <v>1413</v>
      </c>
      <c r="K310" s="175" t="s">
        <v>298</v>
      </c>
      <c r="L310" s="175" t="s">
        <v>160</v>
      </c>
      <c r="M310" s="175" t="s">
        <v>455</v>
      </c>
      <c r="N310" s="175" t="s">
        <v>13</v>
      </c>
      <c r="O310" s="25">
        <v>0</v>
      </c>
      <c r="P310" s="26" t="str">
        <f>_xlfn.DISPIMG("ID_C271EED4B7664E51B0603E12A2C5BA93",1)</f>
        <v>=DISPIMG("ID_C271EED4B7664E51B0603E12A2C5BA93",1)</v>
      </c>
      <c r="Q310" s="25" t="s">
        <v>2898</v>
      </c>
      <c r="R310" s="25">
        <v>352</v>
      </c>
      <c r="S310" s="40" t="s">
        <v>4606</v>
      </c>
      <c r="T310" s="18" t="s">
        <v>55</v>
      </c>
      <c r="U310" s="25">
        <v>8</v>
      </c>
      <c r="V310" s="84"/>
    </row>
    <row r="311" s="6" customFormat="1" customHeight="1" spans="1:22">
      <c r="A311" s="84">
        <v>12</v>
      </c>
      <c r="B311" s="175" t="s">
        <v>3204</v>
      </c>
      <c r="C311" s="175" t="s">
        <v>165</v>
      </c>
      <c r="D311" s="175" t="s">
        <v>3205</v>
      </c>
      <c r="E311" s="25">
        <v>18270304769</v>
      </c>
      <c r="F311" s="175" t="s">
        <v>156</v>
      </c>
      <c r="G311" s="175" t="s">
        <v>13</v>
      </c>
      <c r="H311" s="25">
        <v>202102003</v>
      </c>
      <c r="I311" s="175" t="s">
        <v>279</v>
      </c>
      <c r="J311" s="175" t="s">
        <v>168</v>
      </c>
      <c r="K311" s="175" t="s">
        <v>223</v>
      </c>
      <c r="L311" s="175" t="s">
        <v>170</v>
      </c>
      <c r="M311" s="175" t="s">
        <v>171</v>
      </c>
      <c r="N311" s="175" t="s">
        <v>13</v>
      </c>
      <c r="O311" s="175" t="s">
        <v>3207</v>
      </c>
      <c r="P311" s="26" t="str">
        <f>_xlfn.DISPIMG("ID_51BC672EACDF4F87BCFEE4B4000126C2",1)</f>
        <v>=DISPIMG("ID_51BC672EACDF4F87BCFEE4B4000126C2",1)</v>
      </c>
      <c r="Q311" s="25" t="s">
        <v>3208</v>
      </c>
      <c r="R311" s="25">
        <v>399</v>
      </c>
      <c r="S311" s="40" t="s">
        <v>4611</v>
      </c>
      <c r="T311" s="18" t="s">
        <v>55</v>
      </c>
      <c r="U311" s="25">
        <v>9</v>
      </c>
      <c r="V311" s="84"/>
    </row>
    <row r="312" s="3" customFormat="1" customHeight="1" spans="1:22">
      <c r="A312" s="84">
        <v>17</v>
      </c>
      <c r="B312" s="175" t="s">
        <v>3409</v>
      </c>
      <c r="C312" s="175" t="s">
        <v>165</v>
      </c>
      <c r="D312" s="175" t="s">
        <v>3410</v>
      </c>
      <c r="E312" s="25">
        <v>15079270221</v>
      </c>
      <c r="F312" s="175" t="s">
        <v>156</v>
      </c>
      <c r="G312" s="175" t="s">
        <v>13</v>
      </c>
      <c r="H312" s="25">
        <v>202102003</v>
      </c>
      <c r="I312" s="175" t="s">
        <v>157</v>
      </c>
      <c r="J312" s="175" t="s">
        <v>158</v>
      </c>
      <c r="K312" s="175" t="s">
        <v>298</v>
      </c>
      <c r="L312" s="175" t="s">
        <v>160</v>
      </c>
      <c r="M312" s="175" t="s">
        <v>306</v>
      </c>
      <c r="N312" s="175" t="s">
        <v>13</v>
      </c>
      <c r="O312" s="175" t="s">
        <v>3412</v>
      </c>
      <c r="P312" s="26" t="str">
        <f>_xlfn.DISPIMG("ID_36F8A707A81B40EC83CC116E77C5C07D",1)</f>
        <v>=DISPIMG("ID_36F8A707A81B40EC83CC116E77C5C07D",1)</v>
      </c>
      <c r="Q312" s="25" t="s">
        <v>3413</v>
      </c>
      <c r="R312" s="25">
        <v>430</v>
      </c>
      <c r="S312" s="40" t="s">
        <v>4616</v>
      </c>
      <c r="T312" s="18" t="s">
        <v>55</v>
      </c>
      <c r="U312" s="25">
        <v>10</v>
      </c>
      <c r="V312" s="84"/>
    </row>
    <row r="313" s="3" customFormat="1" customHeight="1" spans="1:22">
      <c r="A313" s="84">
        <v>22</v>
      </c>
      <c r="B313" s="175" t="s">
        <v>3826</v>
      </c>
      <c r="C313" s="175" t="s">
        <v>165</v>
      </c>
      <c r="D313" s="175" t="s">
        <v>3827</v>
      </c>
      <c r="E313" s="25">
        <v>18379207307</v>
      </c>
      <c r="F313" s="175" t="s">
        <v>156</v>
      </c>
      <c r="G313" s="175" t="s">
        <v>13</v>
      </c>
      <c r="H313" s="25">
        <v>202102003</v>
      </c>
      <c r="I313" s="175" t="s">
        <v>279</v>
      </c>
      <c r="J313" s="175" t="s">
        <v>158</v>
      </c>
      <c r="K313" s="175" t="s">
        <v>223</v>
      </c>
      <c r="L313" s="175" t="s">
        <v>170</v>
      </c>
      <c r="M313" s="175" t="s">
        <v>180</v>
      </c>
      <c r="N313" s="175" t="s">
        <v>487</v>
      </c>
      <c r="O313" s="175" t="s">
        <v>3829</v>
      </c>
      <c r="P313" s="26" t="str">
        <f>_xlfn.DISPIMG("ID_0F27C17184DB40E4ADCCEAF2E242F8D5",1)</f>
        <v>=DISPIMG("ID_0F27C17184DB40E4ADCCEAF2E242F8D5",1)</v>
      </c>
      <c r="Q313" s="25" t="s">
        <v>3830</v>
      </c>
      <c r="R313" s="25">
        <v>488</v>
      </c>
      <c r="S313" s="40" t="s">
        <v>4621</v>
      </c>
      <c r="T313" s="18" t="s">
        <v>55</v>
      </c>
      <c r="U313" s="25">
        <v>11</v>
      </c>
      <c r="V313" s="84"/>
    </row>
    <row r="314" s="3" customFormat="1" customHeight="1" spans="1:22">
      <c r="A314" s="84">
        <v>27</v>
      </c>
      <c r="B314" s="175" t="s">
        <v>4065</v>
      </c>
      <c r="C314" s="175" t="s">
        <v>165</v>
      </c>
      <c r="D314" s="175" t="s">
        <v>4066</v>
      </c>
      <c r="E314" s="25">
        <v>15797987795</v>
      </c>
      <c r="F314" s="175" t="s">
        <v>506</v>
      </c>
      <c r="G314" s="175" t="s">
        <v>13</v>
      </c>
      <c r="H314" s="25">
        <v>202102016</v>
      </c>
      <c r="I314" s="175" t="s">
        <v>279</v>
      </c>
      <c r="J314" s="175" t="s">
        <v>158</v>
      </c>
      <c r="K314" s="175" t="s">
        <v>223</v>
      </c>
      <c r="L314" s="175" t="s">
        <v>170</v>
      </c>
      <c r="M314" s="175" t="s">
        <v>368</v>
      </c>
      <c r="N314" s="175" t="s">
        <v>4068</v>
      </c>
      <c r="O314" s="175" t="s">
        <v>4069</v>
      </c>
      <c r="P314" s="26" t="str">
        <f>_xlfn.DISPIMG("ID_699B420D06BD4D209FB40A52E07C758F",1)</f>
        <v>=DISPIMG("ID_699B420D06BD4D209FB40A52E07C758F",1)</v>
      </c>
      <c r="Q314" s="25" t="s">
        <v>4070</v>
      </c>
      <c r="R314" s="25">
        <v>520</v>
      </c>
      <c r="S314" s="40" t="s">
        <v>4626</v>
      </c>
      <c r="T314" s="18" t="s">
        <v>55</v>
      </c>
      <c r="U314" s="25">
        <v>12</v>
      </c>
      <c r="V314" s="84"/>
    </row>
    <row r="315" s="3" customFormat="1" customHeight="1" spans="1:22">
      <c r="A315" s="84">
        <v>28</v>
      </c>
      <c r="B315" s="175" t="s">
        <v>4096</v>
      </c>
      <c r="C315" s="175" t="s">
        <v>165</v>
      </c>
      <c r="D315" s="175" t="s">
        <v>4097</v>
      </c>
      <c r="E315" s="25">
        <v>18279205166</v>
      </c>
      <c r="F315" s="175" t="s">
        <v>506</v>
      </c>
      <c r="G315" s="175" t="s">
        <v>13</v>
      </c>
      <c r="H315" s="25">
        <v>202102016</v>
      </c>
      <c r="I315" s="175" t="s">
        <v>157</v>
      </c>
      <c r="J315" s="175" t="s">
        <v>1121</v>
      </c>
      <c r="K315" s="175" t="s">
        <v>179</v>
      </c>
      <c r="L315" s="175" t="s">
        <v>160</v>
      </c>
      <c r="M315" s="175" t="s">
        <v>199</v>
      </c>
      <c r="N315" s="175" t="s">
        <v>13</v>
      </c>
      <c r="O315" s="175" t="s">
        <v>4099</v>
      </c>
      <c r="P315" s="26" t="str">
        <f>_xlfn.DISPIMG("ID_AF2EA5B71B5B4904B17F83B386FDD8B5",1)</f>
        <v>=DISPIMG("ID_AF2EA5B71B5B4904B17F83B386FDD8B5",1)</v>
      </c>
      <c r="Q315" s="25" t="s">
        <v>4100</v>
      </c>
      <c r="R315" s="25">
        <v>524</v>
      </c>
      <c r="S315" s="40" t="s">
        <v>4627</v>
      </c>
      <c r="T315" s="18" t="s">
        <v>55</v>
      </c>
      <c r="U315" s="25">
        <v>13</v>
      </c>
      <c r="V315" s="84"/>
    </row>
    <row r="316" s="4" customFormat="1" customHeight="1" spans="1:22">
      <c r="A316" s="84">
        <v>23</v>
      </c>
      <c r="B316" s="175" t="s">
        <v>3970</v>
      </c>
      <c r="C316" s="175" t="s">
        <v>165</v>
      </c>
      <c r="D316" s="175" t="s">
        <v>3971</v>
      </c>
      <c r="E316" s="25">
        <v>18279298177</v>
      </c>
      <c r="F316" s="175" t="s">
        <v>156</v>
      </c>
      <c r="G316" s="175" t="s">
        <v>13</v>
      </c>
      <c r="H316" s="25">
        <v>202102003</v>
      </c>
      <c r="I316" s="175" t="s">
        <v>157</v>
      </c>
      <c r="J316" s="175" t="s">
        <v>233</v>
      </c>
      <c r="K316" s="175" t="s">
        <v>3973</v>
      </c>
      <c r="L316" s="175" t="s">
        <v>160</v>
      </c>
      <c r="M316" s="175" t="s">
        <v>161</v>
      </c>
      <c r="N316" s="175" t="s">
        <v>25</v>
      </c>
      <c r="O316" s="175" t="s">
        <v>3974</v>
      </c>
      <c r="P316" s="26" t="str">
        <f>_xlfn.DISPIMG("ID_B1F0BA2C377444B08B7692E1B53E42C5",1)</f>
        <v>=DISPIMG("ID_B1F0BA2C377444B08B7692E1B53E42C5",1)</v>
      </c>
      <c r="Q316" s="25" t="s">
        <v>3975</v>
      </c>
      <c r="R316" s="25">
        <v>507</v>
      </c>
      <c r="S316" s="40" t="s">
        <v>4622</v>
      </c>
      <c r="T316" s="18" t="s">
        <v>55</v>
      </c>
      <c r="U316" s="25">
        <v>14</v>
      </c>
      <c r="V316" s="84"/>
    </row>
    <row r="317" s="3" customFormat="1" customHeight="1" spans="1:22">
      <c r="A317" s="84">
        <v>18</v>
      </c>
      <c r="B317" s="175" t="s">
        <v>3458</v>
      </c>
      <c r="C317" s="175" t="s">
        <v>165</v>
      </c>
      <c r="D317" s="175" t="s">
        <v>3459</v>
      </c>
      <c r="E317" s="25">
        <v>18207577354</v>
      </c>
      <c r="F317" s="175" t="s">
        <v>156</v>
      </c>
      <c r="G317" s="175" t="s">
        <v>13</v>
      </c>
      <c r="H317" s="25">
        <v>202102003</v>
      </c>
      <c r="I317" s="175" t="s">
        <v>157</v>
      </c>
      <c r="J317" s="175" t="s">
        <v>385</v>
      </c>
      <c r="K317" s="175" t="s">
        <v>3461</v>
      </c>
      <c r="L317" s="175" t="s">
        <v>160</v>
      </c>
      <c r="M317" s="175" t="s">
        <v>368</v>
      </c>
      <c r="N317" s="175" t="s">
        <v>3011</v>
      </c>
      <c r="O317" s="175" t="s">
        <v>3462</v>
      </c>
      <c r="P317" s="26" t="str">
        <f>_xlfn.DISPIMG("ID_D2C4D691F93F4717949BB5BBCD3994DD",1)</f>
        <v>=DISPIMG("ID_D2C4D691F93F4717949BB5BBCD3994DD",1)</v>
      </c>
      <c r="Q317" s="25" t="s">
        <v>3463</v>
      </c>
      <c r="R317" s="25">
        <v>437</v>
      </c>
      <c r="S317" s="40" t="s">
        <v>4617</v>
      </c>
      <c r="T317" s="18" t="s">
        <v>55</v>
      </c>
      <c r="U317" s="25">
        <v>15</v>
      </c>
      <c r="V317" s="84"/>
    </row>
    <row r="318" s="3" customFormat="1" customHeight="1" spans="1:22">
      <c r="A318" s="84">
        <v>13</v>
      </c>
      <c r="B318" s="175" t="s">
        <v>3241</v>
      </c>
      <c r="C318" s="175" t="s">
        <v>165</v>
      </c>
      <c r="D318" s="175" t="s">
        <v>3242</v>
      </c>
      <c r="E318" s="25">
        <v>15390868523</v>
      </c>
      <c r="F318" s="175" t="s">
        <v>156</v>
      </c>
      <c r="G318" s="175" t="s">
        <v>13</v>
      </c>
      <c r="H318" s="25">
        <v>202102003</v>
      </c>
      <c r="I318" s="175" t="s">
        <v>157</v>
      </c>
      <c r="J318" s="175" t="s">
        <v>3244</v>
      </c>
      <c r="K318" s="175" t="s">
        <v>179</v>
      </c>
      <c r="L318" s="175" t="s">
        <v>160</v>
      </c>
      <c r="M318" s="175" t="s">
        <v>161</v>
      </c>
      <c r="N318" s="175" t="s">
        <v>190</v>
      </c>
      <c r="O318" s="25">
        <v>0</v>
      </c>
      <c r="P318" s="26" t="str">
        <f>_xlfn.DISPIMG("ID_AED07D8F3E8D4336A7B785D8FBC52BF4",1)</f>
        <v>=DISPIMG("ID_AED07D8F3E8D4336A7B785D8FBC52BF4",1)</v>
      </c>
      <c r="Q318" s="25" t="s">
        <v>3245</v>
      </c>
      <c r="R318" s="25">
        <v>404</v>
      </c>
      <c r="S318" s="40" t="s">
        <v>4612</v>
      </c>
      <c r="T318" s="18" t="s">
        <v>55</v>
      </c>
      <c r="U318" s="25">
        <v>16</v>
      </c>
      <c r="V318" s="84"/>
    </row>
    <row r="319" s="3" customFormat="1" customHeight="1" spans="1:22">
      <c r="A319" s="84">
        <v>8</v>
      </c>
      <c r="B319" s="175" t="s">
        <v>2901</v>
      </c>
      <c r="C319" s="175" t="s">
        <v>165</v>
      </c>
      <c r="D319" s="175" t="s">
        <v>2902</v>
      </c>
      <c r="E319" s="25">
        <v>18070124707</v>
      </c>
      <c r="F319" s="175" t="s">
        <v>156</v>
      </c>
      <c r="G319" s="175" t="s">
        <v>13</v>
      </c>
      <c r="H319" s="25">
        <v>202102003</v>
      </c>
      <c r="I319" s="175" t="s">
        <v>157</v>
      </c>
      <c r="J319" s="175" t="s">
        <v>2904</v>
      </c>
      <c r="K319" s="175" t="s">
        <v>2379</v>
      </c>
      <c r="L319" s="175" t="s">
        <v>160</v>
      </c>
      <c r="M319" s="175" t="s">
        <v>396</v>
      </c>
      <c r="N319" s="175" t="s">
        <v>13</v>
      </c>
      <c r="O319" s="25">
        <v>0</v>
      </c>
      <c r="P319" s="26" t="str">
        <f>_xlfn.DISPIMG("ID_C611D78CF3534BF4A6063B88C3B55BD9",1)</f>
        <v>=DISPIMG("ID_C611D78CF3534BF4A6063B88C3B55BD9",1)</v>
      </c>
      <c r="Q319" s="25" t="s">
        <v>2905</v>
      </c>
      <c r="R319" s="25">
        <v>353</v>
      </c>
      <c r="S319" s="40" t="s">
        <v>4607</v>
      </c>
      <c r="T319" s="18" t="s">
        <v>55</v>
      </c>
      <c r="U319" s="25">
        <v>17</v>
      </c>
      <c r="V319" s="84"/>
    </row>
    <row r="320" s="3" customFormat="1" customHeight="1" spans="1:22">
      <c r="A320" s="84">
        <v>3</v>
      </c>
      <c r="B320" s="175" t="s">
        <v>2781</v>
      </c>
      <c r="C320" s="175" t="s">
        <v>165</v>
      </c>
      <c r="D320" s="175" t="s">
        <v>2782</v>
      </c>
      <c r="E320" s="25">
        <v>15720953943</v>
      </c>
      <c r="F320" s="175" t="s">
        <v>156</v>
      </c>
      <c r="G320" s="175" t="s">
        <v>13</v>
      </c>
      <c r="H320" s="25">
        <v>202102003</v>
      </c>
      <c r="I320" s="175" t="s">
        <v>279</v>
      </c>
      <c r="J320" s="175" t="s">
        <v>178</v>
      </c>
      <c r="K320" s="175" t="s">
        <v>223</v>
      </c>
      <c r="L320" s="175" t="s">
        <v>170</v>
      </c>
      <c r="M320" s="175" t="s">
        <v>281</v>
      </c>
      <c r="N320" s="175" t="s">
        <v>13</v>
      </c>
      <c r="O320" s="175" t="s">
        <v>2784</v>
      </c>
      <c r="P320" s="26" t="str">
        <f>_xlfn.DISPIMG("ID_88B18CBF153241AE8E07B8EDC59079D6",1)</f>
        <v>=DISPIMG("ID_88B18CBF153241AE8E07B8EDC59079D6",1)</v>
      </c>
      <c r="Q320" s="25" t="s">
        <v>2785</v>
      </c>
      <c r="R320" s="25">
        <v>337</v>
      </c>
      <c r="S320" s="40" t="s">
        <v>4602</v>
      </c>
      <c r="T320" s="18" t="s">
        <v>55</v>
      </c>
      <c r="U320" s="25">
        <v>18</v>
      </c>
      <c r="V320" s="84"/>
    </row>
    <row r="321" s="3" customFormat="1" customHeight="1" spans="1:22">
      <c r="A321" s="84">
        <v>4</v>
      </c>
      <c r="B321" s="175" t="s">
        <v>2788</v>
      </c>
      <c r="C321" s="175" t="s">
        <v>165</v>
      </c>
      <c r="D321" s="175" t="s">
        <v>2789</v>
      </c>
      <c r="E321" s="25">
        <v>15727651558</v>
      </c>
      <c r="F321" s="175" t="s">
        <v>156</v>
      </c>
      <c r="G321" s="175" t="s">
        <v>13</v>
      </c>
      <c r="H321" s="25">
        <v>202102003</v>
      </c>
      <c r="I321" s="175" t="s">
        <v>157</v>
      </c>
      <c r="J321" s="175" t="s">
        <v>827</v>
      </c>
      <c r="K321" s="175" t="s">
        <v>223</v>
      </c>
      <c r="L321" s="175" t="s">
        <v>170</v>
      </c>
      <c r="M321" s="175" t="s">
        <v>306</v>
      </c>
      <c r="N321" s="175" t="s">
        <v>2791</v>
      </c>
      <c r="O321" s="175" t="s">
        <v>2792</v>
      </c>
      <c r="P321" s="26" t="str">
        <f>_xlfn.DISPIMG("ID_5273CD0F4AF44426A565D4F4C926815B",1)</f>
        <v>=DISPIMG("ID_5273CD0F4AF44426A565D4F4C926815B",1)</v>
      </c>
      <c r="Q321" s="25" t="s">
        <v>2793</v>
      </c>
      <c r="R321" s="25">
        <v>338</v>
      </c>
      <c r="S321" s="40" t="s">
        <v>4603</v>
      </c>
      <c r="T321" s="18" t="s">
        <v>55</v>
      </c>
      <c r="U321" s="25">
        <v>19</v>
      </c>
      <c r="V321" s="84"/>
    </row>
    <row r="322" s="3" customFormat="1" customHeight="1" spans="1:22">
      <c r="A322" s="84">
        <v>9</v>
      </c>
      <c r="B322" s="175" t="s">
        <v>2932</v>
      </c>
      <c r="C322" s="175" t="s">
        <v>165</v>
      </c>
      <c r="D322" s="175" t="s">
        <v>2933</v>
      </c>
      <c r="E322" s="25">
        <v>13870255583</v>
      </c>
      <c r="F322" s="175" t="s">
        <v>156</v>
      </c>
      <c r="G322" s="175" t="s">
        <v>13</v>
      </c>
      <c r="H322" s="25">
        <v>202102003</v>
      </c>
      <c r="I322" s="175" t="s">
        <v>157</v>
      </c>
      <c r="J322" s="175" t="s">
        <v>385</v>
      </c>
      <c r="K322" s="175" t="s">
        <v>1832</v>
      </c>
      <c r="L322" s="175" t="s">
        <v>160</v>
      </c>
      <c r="M322" s="175" t="s">
        <v>2935</v>
      </c>
      <c r="N322" s="175" t="s">
        <v>487</v>
      </c>
      <c r="O322" s="175" t="s">
        <v>2936</v>
      </c>
      <c r="P322" s="26" t="str">
        <f>_xlfn.DISPIMG("ID_63C75D62D3BC4F35AC4FD3D224F21D03",1)</f>
        <v>=DISPIMG("ID_63C75D62D3BC4F35AC4FD3D224F21D03",1)</v>
      </c>
      <c r="Q322" s="25" t="s">
        <v>2937</v>
      </c>
      <c r="R322" s="25">
        <v>360</v>
      </c>
      <c r="S322" s="40" t="s">
        <v>4608</v>
      </c>
      <c r="T322" s="18" t="s">
        <v>55</v>
      </c>
      <c r="U322" s="25">
        <v>20</v>
      </c>
      <c r="V322" s="84"/>
    </row>
    <row r="323" s="3" customFormat="1" customHeight="1" spans="1:22">
      <c r="A323" s="84">
        <v>14</v>
      </c>
      <c r="B323" s="175" t="s">
        <v>3255</v>
      </c>
      <c r="C323" s="175" t="s">
        <v>165</v>
      </c>
      <c r="D323" s="175" t="s">
        <v>3256</v>
      </c>
      <c r="E323" s="25">
        <v>18770283607</v>
      </c>
      <c r="F323" s="175" t="s">
        <v>156</v>
      </c>
      <c r="G323" s="175" t="s">
        <v>13</v>
      </c>
      <c r="H323" s="25">
        <v>202102003</v>
      </c>
      <c r="I323" s="175" t="s">
        <v>157</v>
      </c>
      <c r="J323" s="175" t="s">
        <v>611</v>
      </c>
      <c r="K323" s="175" t="s">
        <v>179</v>
      </c>
      <c r="L323" s="175" t="s">
        <v>160</v>
      </c>
      <c r="M323" s="175" t="s">
        <v>577</v>
      </c>
      <c r="N323" s="175" t="s">
        <v>3258</v>
      </c>
      <c r="O323" s="175" t="s">
        <v>3259</v>
      </c>
      <c r="P323" s="26" t="str">
        <f>_xlfn.DISPIMG("ID_9640DE1808F9498F8612547EA44506E8",1)</f>
        <v>=DISPIMG("ID_9640DE1808F9498F8612547EA44506E8",1)</v>
      </c>
      <c r="Q323" s="25" t="s">
        <v>3260</v>
      </c>
      <c r="R323" s="25">
        <v>406</v>
      </c>
      <c r="S323" s="40" t="s">
        <v>4613</v>
      </c>
      <c r="T323" s="18" t="s">
        <v>55</v>
      </c>
      <c r="U323" s="25">
        <v>21</v>
      </c>
      <c r="V323" s="70"/>
    </row>
    <row r="324" s="3" customFormat="1" customHeight="1" spans="1:22">
      <c r="A324" s="84">
        <v>19</v>
      </c>
      <c r="B324" s="175" t="s">
        <v>3481</v>
      </c>
      <c r="C324" s="175" t="s">
        <v>153</v>
      </c>
      <c r="D324" s="175" t="s">
        <v>3482</v>
      </c>
      <c r="E324" s="25">
        <v>13119548929</v>
      </c>
      <c r="F324" s="175" t="s">
        <v>506</v>
      </c>
      <c r="G324" s="175" t="s">
        <v>13</v>
      </c>
      <c r="H324" s="25">
        <v>202102016</v>
      </c>
      <c r="I324" s="175" t="s">
        <v>157</v>
      </c>
      <c r="J324" s="175" t="s">
        <v>1112</v>
      </c>
      <c r="K324" s="175" t="s">
        <v>3484</v>
      </c>
      <c r="L324" s="175" t="s">
        <v>160</v>
      </c>
      <c r="M324" s="175" t="s">
        <v>216</v>
      </c>
      <c r="N324" s="175" t="s">
        <v>2284</v>
      </c>
      <c r="O324" s="175" t="s">
        <v>3485</v>
      </c>
      <c r="P324" s="26" t="str">
        <f>_xlfn.DISPIMG("ID_9C9702A9D71D49F4A0D4283BE0B57A8D",1)</f>
        <v>=DISPIMG("ID_9C9702A9D71D49F4A0D4283BE0B57A8D",1)</v>
      </c>
      <c r="Q324" s="25" t="s">
        <v>3486</v>
      </c>
      <c r="R324" s="25">
        <v>440</v>
      </c>
      <c r="S324" s="40" t="s">
        <v>4618</v>
      </c>
      <c r="T324" s="18" t="s">
        <v>55</v>
      </c>
      <c r="U324" s="25">
        <v>22</v>
      </c>
      <c r="V324" s="84"/>
    </row>
    <row r="325" s="3" customFormat="1" customHeight="1" spans="1:22">
      <c r="A325" s="84">
        <v>24</v>
      </c>
      <c r="B325" s="175" t="s">
        <v>3991</v>
      </c>
      <c r="C325" s="175" t="s">
        <v>165</v>
      </c>
      <c r="D325" s="175" t="s">
        <v>3992</v>
      </c>
      <c r="E325" s="25">
        <v>15779276924</v>
      </c>
      <c r="F325" s="175" t="s">
        <v>156</v>
      </c>
      <c r="G325" s="175" t="s">
        <v>13</v>
      </c>
      <c r="H325" s="25">
        <v>202102003</v>
      </c>
      <c r="I325" s="175" t="s">
        <v>157</v>
      </c>
      <c r="J325" s="175" t="s">
        <v>158</v>
      </c>
      <c r="K325" s="175" t="s">
        <v>298</v>
      </c>
      <c r="L325" s="175" t="s">
        <v>160</v>
      </c>
      <c r="M325" s="175" t="s">
        <v>171</v>
      </c>
      <c r="N325" s="175" t="s">
        <v>1692</v>
      </c>
      <c r="O325" s="175" t="s">
        <v>3994</v>
      </c>
      <c r="P325" s="26" t="str">
        <f>_xlfn.DISPIMG("ID_78A88502741143D5850B496E71BE5DA0",1)</f>
        <v>=DISPIMG("ID_78A88502741143D5850B496E71BE5DA0",1)</v>
      </c>
      <c r="Q325" s="25" t="s">
        <v>3995</v>
      </c>
      <c r="R325" s="25">
        <v>510</v>
      </c>
      <c r="S325" s="40" t="s">
        <v>4623</v>
      </c>
      <c r="T325" s="18" t="s">
        <v>55</v>
      </c>
      <c r="U325" s="25">
        <v>23</v>
      </c>
      <c r="V325" s="84"/>
    </row>
    <row r="326" s="3" customFormat="1" customHeight="1" spans="1:22">
      <c r="A326" s="84">
        <v>29</v>
      </c>
      <c r="B326" s="175" t="s">
        <v>4120</v>
      </c>
      <c r="C326" s="175" t="s">
        <v>153</v>
      </c>
      <c r="D326" s="175" t="s">
        <v>4121</v>
      </c>
      <c r="E326" s="25">
        <v>15070281790</v>
      </c>
      <c r="F326" s="175" t="s">
        <v>506</v>
      </c>
      <c r="G326" s="175" t="s">
        <v>13</v>
      </c>
      <c r="H326" s="25">
        <v>202102016</v>
      </c>
      <c r="I326" s="175" t="s">
        <v>157</v>
      </c>
      <c r="J326" s="175" t="s">
        <v>269</v>
      </c>
      <c r="K326" s="175" t="s">
        <v>179</v>
      </c>
      <c r="L326" s="175" t="s">
        <v>170</v>
      </c>
      <c r="M326" s="175" t="s">
        <v>3039</v>
      </c>
      <c r="N326" s="175" t="s">
        <v>307</v>
      </c>
      <c r="O326" s="175" t="s">
        <v>4123</v>
      </c>
      <c r="P326" s="26" t="str">
        <f>_xlfn.DISPIMG("ID_E27C6548F4194D02B9DC397724E0FA4F",1)</f>
        <v>=DISPIMG("ID_E27C6548F4194D02B9DC397724E0FA4F",1)</v>
      </c>
      <c r="Q326" s="25" t="s">
        <v>4124</v>
      </c>
      <c r="R326" s="25">
        <v>527</v>
      </c>
      <c r="S326" s="40" t="s">
        <v>4628</v>
      </c>
      <c r="T326" s="18" t="s">
        <v>55</v>
      </c>
      <c r="U326" s="25">
        <v>24</v>
      </c>
      <c r="V326" s="84"/>
    </row>
    <row r="327" s="3" customFormat="1" customHeight="1" spans="1:22">
      <c r="A327" s="84">
        <v>30</v>
      </c>
      <c r="B327" s="175" t="s">
        <v>4169</v>
      </c>
      <c r="C327" s="175" t="s">
        <v>165</v>
      </c>
      <c r="D327" s="175" t="s">
        <v>4170</v>
      </c>
      <c r="E327" s="25">
        <v>13970241382</v>
      </c>
      <c r="F327" s="175" t="s">
        <v>156</v>
      </c>
      <c r="G327" s="175" t="s">
        <v>13</v>
      </c>
      <c r="H327" s="25">
        <v>202102003</v>
      </c>
      <c r="I327" s="175" t="s">
        <v>157</v>
      </c>
      <c r="J327" s="175" t="s">
        <v>233</v>
      </c>
      <c r="K327" s="175" t="s">
        <v>4172</v>
      </c>
      <c r="L327" s="175" t="s">
        <v>170</v>
      </c>
      <c r="M327" s="175" t="s">
        <v>161</v>
      </c>
      <c r="N327" s="175" t="s">
        <v>4173</v>
      </c>
      <c r="O327" s="25">
        <v>0</v>
      </c>
      <c r="P327" s="26" t="str">
        <f>_xlfn.DISPIMG("ID_5B6CA2E5A2044344BC4069C94E27DF22",1)</f>
        <v>=DISPIMG("ID_5B6CA2E5A2044344BC4069C94E27DF22",1)</v>
      </c>
      <c r="Q327" s="25" t="s">
        <v>4174</v>
      </c>
      <c r="R327" s="25">
        <v>533</v>
      </c>
      <c r="S327" s="40" t="s">
        <v>4629</v>
      </c>
      <c r="T327" s="18" t="s">
        <v>55</v>
      </c>
      <c r="U327" s="25">
        <v>25</v>
      </c>
      <c r="V327" s="84"/>
    </row>
    <row r="328" s="3" customFormat="1" customHeight="1" spans="1:22">
      <c r="A328" s="84">
        <v>25</v>
      </c>
      <c r="B328" s="175" t="s">
        <v>4013</v>
      </c>
      <c r="C328" s="175" t="s">
        <v>165</v>
      </c>
      <c r="D328" s="175" t="s">
        <v>4014</v>
      </c>
      <c r="E328" s="25">
        <v>18870236365</v>
      </c>
      <c r="F328" s="175" t="s">
        <v>156</v>
      </c>
      <c r="G328" s="175" t="s">
        <v>13</v>
      </c>
      <c r="H328" s="25">
        <v>202102003</v>
      </c>
      <c r="I328" s="175" t="s">
        <v>279</v>
      </c>
      <c r="J328" s="175" t="s">
        <v>158</v>
      </c>
      <c r="K328" s="175" t="s">
        <v>223</v>
      </c>
      <c r="L328" s="175" t="s">
        <v>170</v>
      </c>
      <c r="M328" s="175" t="s">
        <v>306</v>
      </c>
      <c r="N328" s="175" t="s">
        <v>4016</v>
      </c>
      <c r="O328" s="175" t="s">
        <v>4017</v>
      </c>
      <c r="P328" s="26" t="str">
        <f>_xlfn.DISPIMG("ID_4B6C2F7765194334A42FC9F1088827FE",1)</f>
        <v>=DISPIMG("ID_4B6C2F7765194334A42FC9F1088827FE",1)</v>
      </c>
      <c r="Q328" s="25" t="s">
        <v>4018</v>
      </c>
      <c r="R328" s="25">
        <v>513</v>
      </c>
      <c r="S328" s="40" t="s">
        <v>4624</v>
      </c>
      <c r="T328" s="18" t="s">
        <v>55</v>
      </c>
      <c r="U328" s="25">
        <v>26</v>
      </c>
      <c r="V328" s="84"/>
    </row>
    <row r="329" s="3" customFormat="1" customHeight="1" spans="1:22">
      <c r="A329" s="84">
        <v>20</v>
      </c>
      <c r="B329" s="175" t="s">
        <v>3647</v>
      </c>
      <c r="C329" s="175" t="s">
        <v>165</v>
      </c>
      <c r="D329" s="175" t="s">
        <v>3648</v>
      </c>
      <c r="E329" s="25">
        <v>19914728112</v>
      </c>
      <c r="F329" s="175" t="s">
        <v>156</v>
      </c>
      <c r="G329" s="175" t="s">
        <v>13</v>
      </c>
      <c r="H329" s="25">
        <v>202102003</v>
      </c>
      <c r="I329" s="175" t="s">
        <v>705</v>
      </c>
      <c r="J329" s="175" t="s">
        <v>1413</v>
      </c>
      <c r="K329" s="175" t="s">
        <v>3650</v>
      </c>
      <c r="L329" s="175" t="s">
        <v>170</v>
      </c>
      <c r="M329" s="175" t="s">
        <v>455</v>
      </c>
      <c r="N329" s="175" t="s">
        <v>3651</v>
      </c>
      <c r="O329" s="25">
        <v>0</v>
      </c>
      <c r="P329" s="26" t="str">
        <f>_xlfn.DISPIMG("ID_5D17E050202348DFAA14EEF8D985F66D",1)</f>
        <v>=DISPIMG("ID_5D17E050202348DFAA14EEF8D985F66D",1)</v>
      </c>
      <c r="Q329" s="25" t="s">
        <v>3652</v>
      </c>
      <c r="R329" s="25">
        <v>464</v>
      </c>
      <c r="S329" s="40" t="s">
        <v>4619</v>
      </c>
      <c r="T329" s="18" t="s">
        <v>55</v>
      </c>
      <c r="U329" s="25">
        <v>27</v>
      </c>
      <c r="V329" s="84"/>
    </row>
    <row r="330" s="3" customFormat="1" customHeight="1" spans="1:22">
      <c r="A330" s="84">
        <v>15</v>
      </c>
      <c r="B330" s="175" t="s">
        <v>3314</v>
      </c>
      <c r="C330" s="175" t="s">
        <v>165</v>
      </c>
      <c r="D330" s="175" t="s">
        <v>3315</v>
      </c>
      <c r="E330" s="25">
        <v>18070403284</v>
      </c>
      <c r="F330" s="175" t="s">
        <v>156</v>
      </c>
      <c r="G330" s="175" t="s">
        <v>13</v>
      </c>
      <c r="H330" s="25">
        <v>202102003</v>
      </c>
      <c r="I330" s="175" t="s">
        <v>157</v>
      </c>
      <c r="J330" s="175" t="s">
        <v>385</v>
      </c>
      <c r="K330" s="175" t="s">
        <v>2821</v>
      </c>
      <c r="L330" s="175" t="s">
        <v>170</v>
      </c>
      <c r="M330" s="175" t="s">
        <v>281</v>
      </c>
      <c r="N330" s="175" t="s">
        <v>25</v>
      </c>
      <c r="O330" s="175" t="s">
        <v>3317</v>
      </c>
      <c r="P330" s="26" t="str">
        <f>_xlfn.DISPIMG("ID_395A3D0BD71445EA85EA2ACA292A2801",1)</f>
        <v>=DISPIMG("ID_395A3D0BD71445EA85EA2ACA292A2801",1)</v>
      </c>
      <c r="Q330" s="25" t="s">
        <v>3318</v>
      </c>
      <c r="R330" s="25">
        <v>416</v>
      </c>
      <c r="S330" s="40" t="s">
        <v>4614</v>
      </c>
      <c r="T330" s="18" t="s">
        <v>55</v>
      </c>
      <c r="U330" s="25">
        <v>28</v>
      </c>
      <c r="V330" s="84"/>
    </row>
    <row r="331" s="3" customFormat="1" customHeight="1" spans="1:22">
      <c r="A331" s="84">
        <v>10</v>
      </c>
      <c r="B331" s="175" t="s">
        <v>3008</v>
      </c>
      <c r="C331" s="175" t="s">
        <v>165</v>
      </c>
      <c r="D331" s="175" t="s">
        <v>3009</v>
      </c>
      <c r="E331" s="25">
        <v>15180626109</v>
      </c>
      <c r="F331" s="175" t="s">
        <v>156</v>
      </c>
      <c r="G331" s="175" t="s">
        <v>13</v>
      </c>
      <c r="H331" s="25">
        <v>202102003</v>
      </c>
      <c r="I331" s="175" t="s">
        <v>157</v>
      </c>
      <c r="J331" s="175" t="s">
        <v>197</v>
      </c>
      <c r="K331" s="175" t="s">
        <v>179</v>
      </c>
      <c r="L331" s="175" t="s">
        <v>160</v>
      </c>
      <c r="M331" s="175" t="s">
        <v>261</v>
      </c>
      <c r="N331" s="175" t="s">
        <v>3011</v>
      </c>
      <c r="O331" s="25">
        <v>0</v>
      </c>
      <c r="P331" s="26" t="str">
        <f>_xlfn.DISPIMG("ID_81E01CE746794A43971E9E864E9A0098",1)</f>
        <v>=DISPIMG("ID_81E01CE746794A43971E9E864E9A0098",1)</v>
      </c>
      <c r="Q331" s="25" t="s">
        <v>3012</v>
      </c>
      <c r="R331" s="25">
        <v>371</v>
      </c>
      <c r="S331" s="40" t="s">
        <v>4609</v>
      </c>
      <c r="T331" s="18" t="s">
        <v>55</v>
      </c>
      <c r="U331" s="25">
        <v>29</v>
      </c>
      <c r="V331" s="84"/>
    </row>
    <row r="332" s="3" customFormat="1" customHeight="1" spans="1:22">
      <c r="A332" s="84">
        <v>5</v>
      </c>
      <c r="B332" s="175" t="s">
        <v>2812</v>
      </c>
      <c r="C332" s="175" t="s">
        <v>165</v>
      </c>
      <c r="D332" s="175" t="s">
        <v>2813</v>
      </c>
      <c r="E332" s="25">
        <v>17770890987</v>
      </c>
      <c r="F332" s="175" t="s">
        <v>156</v>
      </c>
      <c r="G332" s="175" t="s">
        <v>13</v>
      </c>
      <c r="H332" s="25">
        <v>202102003</v>
      </c>
      <c r="I332" s="175" t="s">
        <v>157</v>
      </c>
      <c r="J332" s="175" t="s">
        <v>385</v>
      </c>
      <c r="K332" s="175" t="s">
        <v>179</v>
      </c>
      <c r="L332" s="175" t="s">
        <v>170</v>
      </c>
      <c r="M332" s="175" t="s">
        <v>2047</v>
      </c>
      <c r="N332" s="175" t="s">
        <v>1692</v>
      </c>
      <c r="O332" s="175" t="s">
        <v>2815</v>
      </c>
      <c r="P332" s="26" t="str">
        <f>_xlfn.DISPIMG("ID_5757AB93890A4F58A4EA7B46206D2416",1)</f>
        <v>=DISPIMG("ID_5757AB93890A4F58A4EA7B46206D2416",1)</v>
      </c>
      <c r="Q332" s="25" t="s">
        <v>2816</v>
      </c>
      <c r="R332" s="25">
        <v>341</v>
      </c>
      <c r="S332" s="40" t="s">
        <v>4604</v>
      </c>
      <c r="T332" s="18" t="s">
        <v>55</v>
      </c>
      <c r="U332" s="25">
        <v>30</v>
      </c>
      <c r="V332" s="84"/>
    </row>
    <row r="333" s="3" customFormat="1" customHeight="1" spans="1:22">
      <c r="A333" s="84">
        <v>6</v>
      </c>
      <c r="B333" s="175" t="s">
        <v>4302</v>
      </c>
      <c r="C333" s="175" t="s">
        <v>165</v>
      </c>
      <c r="D333" s="175" t="s">
        <v>4303</v>
      </c>
      <c r="E333" s="25">
        <v>15279209806</v>
      </c>
      <c r="F333" s="175" t="s">
        <v>506</v>
      </c>
      <c r="G333" s="175" t="s">
        <v>13</v>
      </c>
      <c r="H333" s="25">
        <v>202102016</v>
      </c>
      <c r="I333" s="175" t="s">
        <v>279</v>
      </c>
      <c r="J333" s="175" t="s">
        <v>168</v>
      </c>
      <c r="K333" s="175" t="s">
        <v>223</v>
      </c>
      <c r="L333" s="175" t="s">
        <v>170</v>
      </c>
      <c r="M333" s="175" t="s">
        <v>577</v>
      </c>
      <c r="N333" s="175" t="s">
        <v>487</v>
      </c>
      <c r="O333" s="175" t="s">
        <v>4304</v>
      </c>
      <c r="P333" s="26" t="str">
        <f>_xlfn.DISPIMG("ID_2F1FB7C94C004C5BAD8EEBBBB9C7D0C9",1)</f>
        <v>=DISPIMG("ID_2F1FB7C94C004C5BAD8EEBBBB9C7D0C9",1)</v>
      </c>
      <c r="Q333" s="25" t="s">
        <v>4305</v>
      </c>
      <c r="R333" s="25">
        <v>551</v>
      </c>
      <c r="S333" s="40" t="s">
        <v>4635</v>
      </c>
      <c r="T333" s="18" t="s">
        <v>56</v>
      </c>
      <c r="U333" s="25">
        <v>1</v>
      </c>
      <c r="V333" s="84"/>
    </row>
    <row r="334" s="3" customFormat="1" customHeight="1" spans="1:22">
      <c r="A334" s="84">
        <v>5</v>
      </c>
      <c r="B334" s="175" t="s">
        <v>4295</v>
      </c>
      <c r="C334" s="175" t="s">
        <v>165</v>
      </c>
      <c r="D334" s="175" t="s">
        <v>4296</v>
      </c>
      <c r="E334" s="25">
        <v>18174018729</v>
      </c>
      <c r="F334" s="175" t="s">
        <v>156</v>
      </c>
      <c r="G334" s="175" t="s">
        <v>13</v>
      </c>
      <c r="H334" s="25">
        <v>202102003</v>
      </c>
      <c r="I334" s="175" t="s">
        <v>157</v>
      </c>
      <c r="J334" s="175" t="s">
        <v>3054</v>
      </c>
      <c r="K334" s="175" t="s">
        <v>4298</v>
      </c>
      <c r="L334" s="175" t="s">
        <v>160</v>
      </c>
      <c r="M334" s="175" t="s">
        <v>261</v>
      </c>
      <c r="N334" s="175" t="s">
        <v>13</v>
      </c>
      <c r="O334" s="25">
        <v>0</v>
      </c>
      <c r="P334" s="26" t="str">
        <f>_xlfn.DISPIMG("ID_AB63EA744ECF442183CACE9AA5A6EA85",1)</f>
        <v>=DISPIMG("ID_AB63EA744ECF442183CACE9AA5A6EA85",1)</v>
      </c>
      <c r="Q334" s="25" t="s">
        <v>4299</v>
      </c>
      <c r="R334" s="25">
        <v>550</v>
      </c>
      <c r="S334" s="40" t="s">
        <v>4634</v>
      </c>
      <c r="T334" s="18" t="s">
        <v>56</v>
      </c>
      <c r="U334" s="25">
        <v>2</v>
      </c>
      <c r="V334" s="84"/>
    </row>
    <row r="335" s="3" customFormat="1" customHeight="1" spans="1:22">
      <c r="A335" s="84">
        <v>4</v>
      </c>
      <c r="B335" s="175" t="s">
        <v>4287</v>
      </c>
      <c r="C335" s="175" t="s">
        <v>165</v>
      </c>
      <c r="D335" s="175" t="s">
        <v>4288</v>
      </c>
      <c r="E335" s="25">
        <v>15067121965</v>
      </c>
      <c r="F335" s="175" t="s">
        <v>156</v>
      </c>
      <c r="G335" s="175" t="s">
        <v>13</v>
      </c>
      <c r="H335" s="25">
        <v>202102003</v>
      </c>
      <c r="I335" s="175" t="s">
        <v>279</v>
      </c>
      <c r="J335" s="175" t="s">
        <v>4290</v>
      </c>
      <c r="K335" s="175" t="s">
        <v>4291</v>
      </c>
      <c r="L335" s="175" t="s">
        <v>170</v>
      </c>
      <c r="M335" s="175" t="s">
        <v>224</v>
      </c>
      <c r="N335" s="175" t="s">
        <v>1398</v>
      </c>
      <c r="O335" s="25">
        <v>0</v>
      </c>
      <c r="P335" s="26" t="str">
        <f>_xlfn.DISPIMG("ID_722A9A1419ED4209B5078EB200B4615A",1)</f>
        <v>=DISPIMG("ID_722A9A1419ED4209B5078EB200B4615A",1)</v>
      </c>
      <c r="Q335" s="25" t="s">
        <v>4292</v>
      </c>
      <c r="R335" s="25">
        <v>549</v>
      </c>
      <c r="S335" s="40" t="s">
        <v>4633</v>
      </c>
      <c r="T335" s="18" t="s">
        <v>56</v>
      </c>
      <c r="U335" s="25">
        <v>3</v>
      </c>
      <c r="V335" s="84"/>
    </row>
    <row r="336" s="3" customFormat="1" customHeight="1" spans="1:22">
      <c r="A336" s="84">
        <v>3</v>
      </c>
      <c r="B336" s="175" t="s">
        <v>4280</v>
      </c>
      <c r="C336" s="175" t="s">
        <v>165</v>
      </c>
      <c r="D336" s="175" t="s">
        <v>4281</v>
      </c>
      <c r="E336" s="25">
        <v>15949551660</v>
      </c>
      <c r="F336" s="175" t="s">
        <v>156</v>
      </c>
      <c r="G336" s="175" t="s">
        <v>13</v>
      </c>
      <c r="H336" s="25">
        <v>202102003</v>
      </c>
      <c r="I336" s="175" t="s">
        <v>157</v>
      </c>
      <c r="J336" s="175" t="s">
        <v>158</v>
      </c>
      <c r="K336" s="175" t="s">
        <v>298</v>
      </c>
      <c r="L336" s="175" t="s">
        <v>160</v>
      </c>
      <c r="M336" s="175" t="s">
        <v>252</v>
      </c>
      <c r="N336" s="175" t="s">
        <v>13</v>
      </c>
      <c r="O336" s="175" t="s">
        <v>4283</v>
      </c>
      <c r="P336" s="26" t="str">
        <f>_xlfn.DISPIMG("ID_0A7C024448EB4671A840FBA92AB35983",1)</f>
        <v>=DISPIMG("ID_0A7C024448EB4671A840FBA92AB35983",1)</v>
      </c>
      <c r="Q336" s="25" t="s">
        <v>4284</v>
      </c>
      <c r="R336" s="25">
        <v>548</v>
      </c>
      <c r="S336" s="40" t="s">
        <v>4632</v>
      </c>
      <c r="T336" s="18" t="s">
        <v>56</v>
      </c>
      <c r="U336" s="25">
        <v>4</v>
      </c>
      <c r="V336" s="84"/>
    </row>
    <row r="337" s="3" customFormat="1" customHeight="1" spans="1:22">
      <c r="A337" s="84">
        <v>2</v>
      </c>
      <c r="B337" s="175" t="s">
        <v>4273</v>
      </c>
      <c r="C337" s="175" t="s">
        <v>165</v>
      </c>
      <c r="D337" s="175" t="s">
        <v>4274</v>
      </c>
      <c r="E337" s="25">
        <v>18317912297</v>
      </c>
      <c r="F337" s="175" t="s">
        <v>156</v>
      </c>
      <c r="G337" s="175" t="s">
        <v>13</v>
      </c>
      <c r="H337" s="25">
        <v>202102003</v>
      </c>
      <c r="I337" s="175" t="s">
        <v>157</v>
      </c>
      <c r="J337" s="175" t="s">
        <v>1513</v>
      </c>
      <c r="K337" s="175" t="s">
        <v>1331</v>
      </c>
      <c r="L337" s="175" t="s">
        <v>160</v>
      </c>
      <c r="M337" s="175" t="s">
        <v>368</v>
      </c>
      <c r="N337" s="175" t="s">
        <v>13</v>
      </c>
      <c r="O337" s="175" t="s">
        <v>4276</v>
      </c>
      <c r="P337" s="26" t="str">
        <f>_xlfn.DISPIMG("ID_BFA48D3AEAE641428A104A2BB93F50F8",1)</f>
        <v>=DISPIMG("ID_BFA48D3AEAE641428A104A2BB93F50F8",1)</v>
      </c>
      <c r="Q337" s="25" t="s">
        <v>4277</v>
      </c>
      <c r="R337" s="25">
        <v>547</v>
      </c>
      <c r="S337" s="40" t="s">
        <v>4631</v>
      </c>
      <c r="T337" s="18" t="s">
        <v>56</v>
      </c>
      <c r="U337" s="25">
        <v>5</v>
      </c>
      <c r="V337" s="84"/>
    </row>
    <row r="338" s="3" customFormat="1" customHeight="1" spans="1:22">
      <c r="A338" s="84">
        <v>1</v>
      </c>
      <c r="B338" s="175" t="s">
        <v>4244</v>
      </c>
      <c r="C338" s="175" t="s">
        <v>165</v>
      </c>
      <c r="D338" s="175" t="s">
        <v>4245</v>
      </c>
      <c r="E338" s="25">
        <v>18296230426</v>
      </c>
      <c r="F338" s="175" t="s">
        <v>156</v>
      </c>
      <c r="G338" s="175" t="s">
        <v>13</v>
      </c>
      <c r="H338" s="25">
        <v>202102003</v>
      </c>
      <c r="I338" s="175" t="s">
        <v>157</v>
      </c>
      <c r="J338" s="175" t="s">
        <v>646</v>
      </c>
      <c r="K338" s="175" t="s">
        <v>179</v>
      </c>
      <c r="L338" s="175" t="s">
        <v>160</v>
      </c>
      <c r="M338" s="175" t="s">
        <v>180</v>
      </c>
      <c r="N338" s="175" t="s">
        <v>25</v>
      </c>
      <c r="O338" s="175" t="s">
        <v>4247</v>
      </c>
      <c r="P338" s="26" t="str">
        <f>_xlfn.DISPIMG("ID_36DA19808F4346CB8F6359485B7E0248",1)</f>
        <v>=DISPIMG("ID_36DA19808F4346CB8F6359485B7E0248",1)</v>
      </c>
      <c r="Q338" s="25" t="s">
        <v>4248</v>
      </c>
      <c r="R338" s="25">
        <v>543</v>
      </c>
      <c r="S338" s="40" t="s">
        <v>4630</v>
      </c>
      <c r="T338" s="18" t="s">
        <v>56</v>
      </c>
      <c r="U338" s="25">
        <v>6</v>
      </c>
      <c r="V338" s="84"/>
    </row>
    <row r="339" s="3" customFormat="1" customHeight="1" spans="1:22">
      <c r="A339" s="84">
        <v>7</v>
      </c>
      <c r="B339" s="175" t="s">
        <v>441</v>
      </c>
      <c r="C339" s="175" t="s">
        <v>165</v>
      </c>
      <c r="D339" s="175" t="s">
        <v>442</v>
      </c>
      <c r="E339" s="25">
        <v>15172397471</v>
      </c>
      <c r="F339" s="175" t="s">
        <v>156</v>
      </c>
      <c r="G339" s="175" t="s">
        <v>12</v>
      </c>
      <c r="H339" s="25">
        <v>202102010</v>
      </c>
      <c r="I339" s="175" t="s">
        <v>157</v>
      </c>
      <c r="J339" s="175" t="s">
        <v>444</v>
      </c>
      <c r="K339" s="175" t="s">
        <v>445</v>
      </c>
      <c r="L339" s="175" t="s">
        <v>160</v>
      </c>
      <c r="M339" s="175" t="s">
        <v>252</v>
      </c>
      <c r="N339" s="175" t="s">
        <v>446</v>
      </c>
      <c r="O339" s="175" t="s">
        <v>447</v>
      </c>
      <c r="P339" s="26" t="str">
        <f>_xlfn.DISPIMG("ID_8FDFD8CDACA94911BFEF3051E2235221",1)</f>
        <v>=DISPIMG("ID_8FDFD8CDACA94911BFEF3051E2235221",1)</v>
      </c>
      <c r="Q339" s="25" t="s">
        <v>448</v>
      </c>
      <c r="R339" s="25">
        <v>34</v>
      </c>
      <c r="S339" s="40" t="s">
        <v>4636</v>
      </c>
      <c r="T339" s="18" t="s">
        <v>56</v>
      </c>
      <c r="U339" s="25">
        <v>7</v>
      </c>
      <c r="V339" s="84"/>
    </row>
    <row r="340" s="3" customFormat="1" customHeight="1" spans="1:22">
      <c r="A340" s="84">
        <v>8</v>
      </c>
      <c r="B340" s="175" t="s">
        <v>906</v>
      </c>
      <c r="C340" s="175" t="s">
        <v>165</v>
      </c>
      <c r="D340" s="175" t="s">
        <v>907</v>
      </c>
      <c r="E340" s="25">
        <v>18872969481</v>
      </c>
      <c r="F340" s="175" t="s">
        <v>156</v>
      </c>
      <c r="G340" s="175" t="s">
        <v>12</v>
      </c>
      <c r="H340" s="25">
        <v>202102010</v>
      </c>
      <c r="I340" s="175" t="s">
        <v>157</v>
      </c>
      <c r="J340" s="175" t="s">
        <v>909</v>
      </c>
      <c r="K340" s="175" t="s">
        <v>445</v>
      </c>
      <c r="L340" s="175" t="s">
        <v>170</v>
      </c>
      <c r="M340" s="175" t="s">
        <v>910</v>
      </c>
      <c r="N340" s="175" t="s">
        <v>911</v>
      </c>
      <c r="O340" s="175" t="s">
        <v>912</v>
      </c>
      <c r="P340" s="26" t="str">
        <f>_xlfn.DISPIMG("ID_5478E78BEF25454AA0569457DA503AEE",1)</f>
        <v>=DISPIMG("ID_5478E78BEF25454AA0569457DA503AEE",1)</v>
      </c>
      <c r="Q340" s="25" t="s">
        <v>913</v>
      </c>
      <c r="R340" s="25">
        <v>91</v>
      </c>
      <c r="S340" s="40" t="s">
        <v>4637</v>
      </c>
      <c r="T340" s="18" t="s">
        <v>56</v>
      </c>
      <c r="U340" s="25">
        <v>8</v>
      </c>
      <c r="V340" s="84"/>
    </row>
    <row r="341" s="3" customFormat="1" customHeight="1" spans="1:22">
      <c r="A341" s="84">
        <v>9</v>
      </c>
      <c r="B341" s="175" t="s">
        <v>1034</v>
      </c>
      <c r="C341" s="175" t="s">
        <v>165</v>
      </c>
      <c r="D341" s="175" t="s">
        <v>1035</v>
      </c>
      <c r="E341" s="25">
        <v>18270651805</v>
      </c>
      <c r="F341" s="175" t="s">
        <v>156</v>
      </c>
      <c r="G341" s="175" t="s">
        <v>12</v>
      </c>
      <c r="H341" s="25">
        <v>202102010</v>
      </c>
      <c r="I341" s="175" t="s">
        <v>157</v>
      </c>
      <c r="J341" s="175" t="s">
        <v>178</v>
      </c>
      <c r="K341" s="175" t="s">
        <v>1037</v>
      </c>
      <c r="L341" s="175" t="s">
        <v>170</v>
      </c>
      <c r="M341" s="175" t="s">
        <v>161</v>
      </c>
      <c r="N341" s="175" t="s">
        <v>1038</v>
      </c>
      <c r="O341" s="175" t="s">
        <v>1039</v>
      </c>
      <c r="P341" s="26" t="str">
        <f>_xlfn.DISPIMG("ID_0FA5FFDB4D0442D5AB7C6CB6A0A51E2D",1)</f>
        <v>=DISPIMG("ID_0FA5FFDB4D0442D5AB7C6CB6A0A51E2D",1)</v>
      </c>
      <c r="Q341" s="25" t="s">
        <v>1040</v>
      </c>
      <c r="R341" s="25">
        <v>106</v>
      </c>
      <c r="S341" s="40" t="s">
        <v>4638</v>
      </c>
      <c r="T341" s="18" t="s">
        <v>56</v>
      </c>
      <c r="U341" s="25">
        <v>9</v>
      </c>
      <c r="V341" s="84"/>
    </row>
    <row r="342" s="3" customFormat="1" customHeight="1" spans="1:22">
      <c r="A342" s="84">
        <v>10</v>
      </c>
      <c r="B342" s="175" t="s">
        <v>1153</v>
      </c>
      <c r="C342" s="175" t="s">
        <v>165</v>
      </c>
      <c r="D342" s="175" t="s">
        <v>1154</v>
      </c>
      <c r="E342" s="25">
        <v>13803552587</v>
      </c>
      <c r="F342" s="175" t="s">
        <v>156</v>
      </c>
      <c r="G342" s="175" t="s">
        <v>12</v>
      </c>
      <c r="H342" s="25">
        <v>202102010</v>
      </c>
      <c r="I342" s="175" t="s">
        <v>157</v>
      </c>
      <c r="J342" s="175" t="s">
        <v>385</v>
      </c>
      <c r="K342" s="175" t="s">
        <v>445</v>
      </c>
      <c r="L342" s="175" t="s">
        <v>160</v>
      </c>
      <c r="M342" s="175" t="s">
        <v>261</v>
      </c>
      <c r="N342" s="175" t="s">
        <v>1156</v>
      </c>
      <c r="O342" s="175" t="s">
        <v>1157</v>
      </c>
      <c r="P342" s="26" t="str">
        <f>_xlfn.DISPIMG("ID_2A6402E44B2C4CB5B00B003CEEB85AA0",1)</f>
        <v>=DISPIMG("ID_2A6402E44B2C4CB5B00B003CEEB85AA0",1)</v>
      </c>
      <c r="Q342" s="25" t="s">
        <v>1158</v>
      </c>
      <c r="R342" s="25">
        <v>121</v>
      </c>
      <c r="S342" s="40" t="s">
        <v>4642</v>
      </c>
      <c r="T342" s="18" t="s">
        <v>56</v>
      </c>
      <c r="U342" s="25">
        <v>10</v>
      </c>
      <c r="V342" s="84"/>
    </row>
    <row r="343" s="3" customFormat="1" customHeight="1" spans="1:22">
      <c r="A343" s="84">
        <v>12</v>
      </c>
      <c r="B343" s="175" t="s">
        <v>2240</v>
      </c>
      <c r="C343" s="175" t="s">
        <v>153</v>
      </c>
      <c r="D343" s="175" t="s">
        <v>2241</v>
      </c>
      <c r="E343" s="25">
        <v>18079253586</v>
      </c>
      <c r="F343" s="175" t="s">
        <v>156</v>
      </c>
      <c r="G343" s="175" t="s">
        <v>12</v>
      </c>
      <c r="H343" s="25">
        <v>202102010</v>
      </c>
      <c r="I343" s="175" t="s">
        <v>157</v>
      </c>
      <c r="J343" s="175" t="s">
        <v>2243</v>
      </c>
      <c r="K343" s="175" t="s">
        <v>445</v>
      </c>
      <c r="L343" s="175" t="s">
        <v>160</v>
      </c>
      <c r="M343" s="175" t="s">
        <v>368</v>
      </c>
      <c r="N343" s="175" t="s">
        <v>2244</v>
      </c>
      <c r="O343" s="175" t="s">
        <v>2245</v>
      </c>
      <c r="P343" s="26" t="str">
        <f>_xlfn.DISPIMG("ID_36DB22886E2542F0B08D8BC7EEC58760",1)</f>
        <v>=DISPIMG("ID_36DB22886E2542F0B08D8BC7EEC58760",1)</v>
      </c>
      <c r="Q343" s="25" t="s">
        <v>2246</v>
      </c>
      <c r="R343" s="25">
        <v>264</v>
      </c>
      <c r="S343" s="40" t="s">
        <v>4647</v>
      </c>
      <c r="T343" s="18" t="s">
        <v>56</v>
      </c>
      <c r="U343" s="25">
        <v>11</v>
      </c>
      <c r="V343" s="84"/>
    </row>
    <row r="344" s="3" customFormat="1" customHeight="1" spans="1:22">
      <c r="A344" s="84">
        <v>14</v>
      </c>
      <c r="B344" s="175" t="s">
        <v>4134</v>
      </c>
      <c r="C344" s="175" t="s">
        <v>165</v>
      </c>
      <c r="D344" s="175" t="s">
        <v>4135</v>
      </c>
      <c r="E344" s="25">
        <v>15207926555</v>
      </c>
      <c r="F344" s="175" t="s">
        <v>156</v>
      </c>
      <c r="G344" s="175" t="s">
        <v>12</v>
      </c>
      <c r="H344" s="25">
        <v>202102010</v>
      </c>
      <c r="I344" s="175" t="s">
        <v>157</v>
      </c>
      <c r="J344" s="175" t="s">
        <v>4137</v>
      </c>
      <c r="K344" s="175" t="s">
        <v>1442</v>
      </c>
      <c r="L344" s="175" t="s">
        <v>160</v>
      </c>
      <c r="M344" s="175" t="s">
        <v>368</v>
      </c>
      <c r="N344" s="175" t="s">
        <v>4138</v>
      </c>
      <c r="O344" s="25">
        <v>0</v>
      </c>
      <c r="P344" s="26" t="str">
        <f>_xlfn.DISPIMG("ID_911EFC838815489D872B9030D6735741",1)</f>
        <v>=DISPIMG("ID_911EFC838815489D872B9030D6735741",1)</v>
      </c>
      <c r="Q344" s="25" t="s">
        <v>4139</v>
      </c>
      <c r="R344" s="25">
        <v>529</v>
      </c>
      <c r="S344" s="40" t="s">
        <v>4652</v>
      </c>
      <c r="T344" s="18" t="s">
        <v>56</v>
      </c>
      <c r="U344" s="25">
        <v>12</v>
      </c>
      <c r="V344" s="84"/>
    </row>
    <row r="345" s="3" customFormat="1" customHeight="1" spans="1:22">
      <c r="A345" s="84">
        <v>15</v>
      </c>
      <c r="B345" s="175" t="s">
        <v>4198</v>
      </c>
      <c r="C345" s="175" t="s">
        <v>165</v>
      </c>
      <c r="D345" s="175" t="s">
        <v>4199</v>
      </c>
      <c r="E345" s="25">
        <v>18160796883</v>
      </c>
      <c r="F345" s="175" t="s">
        <v>156</v>
      </c>
      <c r="G345" s="175" t="s">
        <v>12</v>
      </c>
      <c r="H345" s="25">
        <v>202102010</v>
      </c>
      <c r="I345" s="175" t="s">
        <v>157</v>
      </c>
      <c r="J345" s="175" t="s">
        <v>4201</v>
      </c>
      <c r="K345" s="175" t="s">
        <v>445</v>
      </c>
      <c r="L345" s="175" t="s">
        <v>170</v>
      </c>
      <c r="M345" s="175" t="s">
        <v>199</v>
      </c>
      <c r="N345" s="175" t="s">
        <v>359</v>
      </c>
      <c r="O345" s="175" t="s">
        <v>4202</v>
      </c>
      <c r="P345" s="26" t="str">
        <f>_xlfn.DISPIMG("ID_85E134BF0AB1468FAAB0CB1A9F9C4F34",1)</f>
        <v>=DISPIMG("ID_85E134BF0AB1468FAAB0CB1A9F9C4F34",1)</v>
      </c>
      <c r="Q345" s="25" t="s">
        <v>4203</v>
      </c>
      <c r="R345" s="25">
        <v>537</v>
      </c>
      <c r="S345" s="40" t="s">
        <v>4653</v>
      </c>
      <c r="T345" s="18" t="s">
        <v>56</v>
      </c>
      <c r="U345" s="25">
        <v>13</v>
      </c>
      <c r="V345" s="84"/>
    </row>
    <row r="346" s="3" customFormat="1" customHeight="1" spans="1:22">
      <c r="A346" s="84">
        <v>13</v>
      </c>
      <c r="B346" s="175" t="s">
        <v>3274</v>
      </c>
      <c r="C346" s="175" t="s">
        <v>165</v>
      </c>
      <c r="D346" s="175" t="s">
        <v>3275</v>
      </c>
      <c r="E346" s="25">
        <v>15870802185</v>
      </c>
      <c r="F346" s="175" t="s">
        <v>156</v>
      </c>
      <c r="G346" s="175" t="s">
        <v>12</v>
      </c>
      <c r="H346" s="25">
        <v>202102010</v>
      </c>
      <c r="I346" s="175" t="s">
        <v>157</v>
      </c>
      <c r="J346" s="175" t="s">
        <v>3276</v>
      </c>
      <c r="K346" s="175" t="s">
        <v>3277</v>
      </c>
      <c r="L346" s="175" t="s">
        <v>170</v>
      </c>
      <c r="M346" s="175" t="s">
        <v>516</v>
      </c>
      <c r="N346" s="175" t="s">
        <v>3278</v>
      </c>
      <c r="O346" s="175" t="s">
        <v>3279</v>
      </c>
      <c r="P346" s="26" t="str">
        <f>_xlfn.DISPIMG("ID_CA7F81D47ACB4FA38E0278F330AEC9F9",1)</f>
        <v>=DISPIMG("ID_CA7F81D47ACB4FA38E0278F330AEC9F9",1)</v>
      </c>
      <c r="Q346" s="25" t="s">
        <v>3280</v>
      </c>
      <c r="R346" s="25">
        <v>409</v>
      </c>
      <c r="S346" s="40" t="s">
        <v>4648</v>
      </c>
      <c r="T346" s="18" t="s">
        <v>56</v>
      </c>
      <c r="U346" s="25">
        <v>14</v>
      </c>
      <c r="V346" s="84"/>
    </row>
    <row r="347" s="3" customFormat="1" customHeight="1" spans="1:22">
      <c r="A347" s="84">
        <v>11</v>
      </c>
      <c r="B347" s="175" t="s">
        <v>1439</v>
      </c>
      <c r="C347" s="175" t="s">
        <v>165</v>
      </c>
      <c r="D347" s="175" t="s">
        <v>1440</v>
      </c>
      <c r="E347" s="25">
        <v>13687083396</v>
      </c>
      <c r="F347" s="175" t="s">
        <v>156</v>
      </c>
      <c r="G347" s="175" t="s">
        <v>12</v>
      </c>
      <c r="H347" s="25">
        <v>202102010</v>
      </c>
      <c r="I347" s="175" t="s">
        <v>157</v>
      </c>
      <c r="J347" s="175" t="s">
        <v>444</v>
      </c>
      <c r="K347" s="175" t="s">
        <v>1442</v>
      </c>
      <c r="L347" s="175" t="s">
        <v>160</v>
      </c>
      <c r="M347" s="175" t="s">
        <v>396</v>
      </c>
      <c r="N347" s="175" t="s">
        <v>24</v>
      </c>
      <c r="O347" s="25">
        <v>0</v>
      </c>
      <c r="P347" s="26" t="str">
        <f>_xlfn.DISPIMG("ID_4F7FAD79CF244D82AC4A116B39238E93",1)</f>
        <v>=DISPIMG("ID_4F7FAD79CF244D82AC4A116B39238E93",1)</v>
      </c>
      <c r="Q347" s="25" t="s">
        <v>1443</v>
      </c>
      <c r="R347" s="25">
        <v>159</v>
      </c>
      <c r="S347" s="40" t="s">
        <v>4643</v>
      </c>
      <c r="T347" s="18" t="s">
        <v>56</v>
      </c>
      <c r="U347" s="25">
        <v>15</v>
      </c>
      <c r="V347" s="84"/>
    </row>
    <row r="348" s="3" customFormat="1" customHeight="1" spans="1:22">
      <c r="A348" s="84">
        <v>20</v>
      </c>
      <c r="B348" s="175" t="s">
        <v>1846</v>
      </c>
      <c r="C348" s="175" t="s">
        <v>165</v>
      </c>
      <c r="D348" s="175" t="s">
        <v>1847</v>
      </c>
      <c r="E348" s="25">
        <v>18879254089</v>
      </c>
      <c r="F348" s="175" t="s">
        <v>156</v>
      </c>
      <c r="G348" s="175" t="s">
        <v>5</v>
      </c>
      <c r="H348" s="25">
        <v>202102008</v>
      </c>
      <c r="I348" s="175" t="s">
        <v>279</v>
      </c>
      <c r="J348" s="175" t="s">
        <v>158</v>
      </c>
      <c r="K348" s="175" t="s">
        <v>1849</v>
      </c>
      <c r="L348" s="175" t="s">
        <v>170</v>
      </c>
      <c r="M348" s="175" t="s">
        <v>396</v>
      </c>
      <c r="N348" s="175" t="s">
        <v>1850</v>
      </c>
      <c r="O348" s="175" t="s">
        <v>1851</v>
      </c>
      <c r="P348" s="26" t="str">
        <f>_xlfn.DISPIMG("ID_19DBAF911A5F41D795A3B7585DA543D3",1)</f>
        <v>=DISPIMG("ID_19DBAF911A5F41D795A3B7585DA543D3",1)</v>
      </c>
      <c r="Q348" s="25" t="s">
        <v>1852</v>
      </c>
      <c r="R348" s="25">
        <v>211</v>
      </c>
      <c r="S348" s="40" t="s">
        <v>4664</v>
      </c>
      <c r="T348" s="18" t="s">
        <v>56</v>
      </c>
      <c r="U348" s="25">
        <v>16</v>
      </c>
      <c r="V348" s="84"/>
    </row>
    <row r="349" s="3" customFormat="1" customHeight="1" spans="1:22">
      <c r="A349" s="84">
        <v>18</v>
      </c>
      <c r="B349" s="175" t="s">
        <v>1630</v>
      </c>
      <c r="C349" s="175" t="s">
        <v>153</v>
      </c>
      <c r="D349" s="175" t="s">
        <v>1631</v>
      </c>
      <c r="E349" s="25">
        <v>18437922593</v>
      </c>
      <c r="F349" s="175" t="s">
        <v>156</v>
      </c>
      <c r="G349" s="175" t="s">
        <v>5</v>
      </c>
      <c r="H349" s="25">
        <v>202102008</v>
      </c>
      <c r="I349" s="175" t="s">
        <v>157</v>
      </c>
      <c r="J349" s="175" t="s">
        <v>1633</v>
      </c>
      <c r="K349" s="175" t="s">
        <v>280</v>
      </c>
      <c r="L349" s="175" t="s">
        <v>170</v>
      </c>
      <c r="M349" s="175" t="s">
        <v>199</v>
      </c>
      <c r="N349" s="175" t="s">
        <v>5</v>
      </c>
      <c r="O349" s="25">
        <v>0</v>
      </c>
      <c r="P349" s="26" t="str">
        <f>_xlfn.DISPIMG("ID_30389EE5D2254B4693F3D201E2C25479",1)</f>
        <v>=DISPIMG("ID_30389EE5D2254B4693F3D201E2C25479",1)</v>
      </c>
      <c r="Q349" s="25" t="s">
        <v>1634</v>
      </c>
      <c r="R349" s="25">
        <v>183</v>
      </c>
      <c r="S349" s="40" t="s">
        <v>4662</v>
      </c>
      <c r="T349" s="18" t="s">
        <v>56</v>
      </c>
      <c r="U349" s="25">
        <v>17</v>
      </c>
      <c r="V349" s="84"/>
    </row>
    <row r="350" s="3" customFormat="1" customHeight="1" spans="1:22">
      <c r="A350" s="84">
        <v>16</v>
      </c>
      <c r="B350" s="175" t="s">
        <v>239</v>
      </c>
      <c r="C350" s="175" t="s">
        <v>165</v>
      </c>
      <c r="D350" s="175" t="s">
        <v>240</v>
      </c>
      <c r="E350" s="25">
        <v>13697988167</v>
      </c>
      <c r="F350" s="175" t="s">
        <v>156</v>
      </c>
      <c r="G350" s="175" t="s">
        <v>5</v>
      </c>
      <c r="H350" s="25">
        <v>202102008</v>
      </c>
      <c r="I350" s="175" t="s">
        <v>157</v>
      </c>
      <c r="J350" s="175" t="s">
        <v>242</v>
      </c>
      <c r="K350" s="175" t="s">
        <v>243</v>
      </c>
      <c r="L350" s="175" t="s">
        <v>160</v>
      </c>
      <c r="M350" s="175" t="s">
        <v>161</v>
      </c>
      <c r="N350" s="175" t="s">
        <v>5</v>
      </c>
      <c r="O350" s="25">
        <v>0</v>
      </c>
      <c r="P350" s="26" t="str">
        <f>_xlfn.DISPIMG("ID_9CBFB21D3F5B4658948522EF0C2AECE4",1)</f>
        <v>=DISPIMG("ID_9CBFB21D3F5B4658948522EF0C2AECE4",1)</v>
      </c>
      <c r="Q350" s="25" t="s">
        <v>244</v>
      </c>
      <c r="R350" s="25">
        <v>11</v>
      </c>
      <c r="S350" s="40" t="s">
        <v>4657</v>
      </c>
      <c r="T350" s="18" t="s">
        <v>56</v>
      </c>
      <c r="U350" s="25">
        <v>18</v>
      </c>
      <c r="V350" s="84"/>
    </row>
    <row r="351" s="3" customFormat="1" customHeight="1" spans="1:22">
      <c r="A351" s="84">
        <v>17</v>
      </c>
      <c r="B351" s="175" t="s">
        <v>286</v>
      </c>
      <c r="C351" s="175" t="s">
        <v>153</v>
      </c>
      <c r="D351" s="175" t="s">
        <v>287</v>
      </c>
      <c r="E351" s="25">
        <v>18755672832</v>
      </c>
      <c r="F351" s="175" t="s">
        <v>156</v>
      </c>
      <c r="G351" s="175" t="s">
        <v>5</v>
      </c>
      <c r="H351" s="25">
        <v>202102008</v>
      </c>
      <c r="I351" s="175" t="s">
        <v>157</v>
      </c>
      <c r="J351" s="175" t="s">
        <v>289</v>
      </c>
      <c r="K351" s="175" t="s">
        <v>290</v>
      </c>
      <c r="L351" s="175" t="s">
        <v>170</v>
      </c>
      <c r="M351" s="175" t="s">
        <v>261</v>
      </c>
      <c r="N351" s="175" t="s">
        <v>5</v>
      </c>
      <c r="O351" s="25">
        <v>0</v>
      </c>
      <c r="P351" s="26" t="str">
        <f>_xlfn.DISPIMG("ID_5BB4AA0F377240A584934BCE0D4B941B",1)</f>
        <v>=DISPIMG("ID_5BB4AA0F377240A584934BCE0D4B941B",1)</v>
      </c>
      <c r="Q351" s="25" t="s">
        <v>291</v>
      </c>
      <c r="R351" s="25">
        <v>16</v>
      </c>
      <c r="S351" s="40" t="s">
        <v>4658</v>
      </c>
      <c r="T351" s="18" t="s">
        <v>56</v>
      </c>
      <c r="U351" s="25">
        <v>19</v>
      </c>
      <c r="V351" s="84"/>
    </row>
    <row r="352" s="3" customFormat="1" customHeight="1" spans="1:22">
      <c r="A352" s="84">
        <v>19</v>
      </c>
      <c r="B352" s="175" t="s">
        <v>1706</v>
      </c>
      <c r="C352" s="175" t="s">
        <v>153</v>
      </c>
      <c r="D352" s="175" t="s">
        <v>1707</v>
      </c>
      <c r="E352" s="25">
        <v>15070040825</v>
      </c>
      <c r="F352" s="175" t="s">
        <v>506</v>
      </c>
      <c r="G352" s="175" t="s">
        <v>5</v>
      </c>
      <c r="H352" s="25">
        <v>202102020</v>
      </c>
      <c r="I352" s="175" t="s">
        <v>157</v>
      </c>
      <c r="J352" s="175" t="s">
        <v>789</v>
      </c>
      <c r="K352" s="175" t="s">
        <v>1709</v>
      </c>
      <c r="L352" s="175" t="s">
        <v>160</v>
      </c>
      <c r="M352" s="175" t="s">
        <v>1346</v>
      </c>
      <c r="N352" s="175" t="s">
        <v>1710</v>
      </c>
      <c r="O352" s="175" t="s">
        <v>1711</v>
      </c>
      <c r="P352" s="26" t="str">
        <f>_xlfn.DISPIMG("ID_B3E8781AF7454377842FD7EC53A6E781",1)</f>
        <v>=DISPIMG("ID_B3E8781AF7454377842FD7EC53A6E781",1)</v>
      </c>
      <c r="Q352" s="25" t="s">
        <v>1712</v>
      </c>
      <c r="R352" s="25">
        <v>193</v>
      </c>
      <c r="S352" s="40" t="s">
        <v>4663</v>
      </c>
      <c r="T352" s="18" t="s">
        <v>56</v>
      </c>
      <c r="U352" s="25">
        <v>20</v>
      </c>
      <c r="V352" s="84"/>
    </row>
    <row r="353" s="3" customFormat="1" customHeight="1" spans="1:22">
      <c r="A353" s="84">
        <v>21</v>
      </c>
      <c r="B353" s="175" t="s">
        <v>2294</v>
      </c>
      <c r="C353" s="175" t="s">
        <v>153</v>
      </c>
      <c r="D353" s="175" t="s">
        <v>2295</v>
      </c>
      <c r="E353" s="25">
        <v>18179457855</v>
      </c>
      <c r="F353" s="175" t="s">
        <v>156</v>
      </c>
      <c r="G353" s="175" t="s">
        <v>5</v>
      </c>
      <c r="H353" s="25">
        <v>202102008</v>
      </c>
      <c r="I353" s="175" t="s">
        <v>157</v>
      </c>
      <c r="J353" s="175" t="s">
        <v>1654</v>
      </c>
      <c r="K353" s="175" t="s">
        <v>2297</v>
      </c>
      <c r="L353" s="175" t="s">
        <v>160</v>
      </c>
      <c r="M353" s="175" t="s">
        <v>2298</v>
      </c>
      <c r="N353" s="175" t="s">
        <v>2299</v>
      </c>
      <c r="O353" s="25">
        <v>0</v>
      </c>
      <c r="P353" s="26" t="str">
        <f>_xlfn.DISPIMG("ID_2348B3C3CCB6443B92AD1A08F0A487FA",1)</f>
        <v>=DISPIMG("ID_2348B3C3CCB6443B92AD1A08F0A487FA",1)</v>
      </c>
      <c r="Q353" s="25" t="s">
        <v>2300</v>
      </c>
      <c r="R353" s="25">
        <v>271</v>
      </c>
      <c r="S353" s="40" t="s">
        <v>4639</v>
      </c>
      <c r="T353" s="18" t="s">
        <v>56</v>
      </c>
      <c r="U353" s="25">
        <v>21</v>
      </c>
      <c r="V353" s="84"/>
    </row>
    <row r="354" s="3" customFormat="1" customHeight="1" spans="1:22">
      <c r="A354" s="84">
        <v>22</v>
      </c>
      <c r="B354" s="175" t="s">
        <v>2459</v>
      </c>
      <c r="C354" s="175" t="s">
        <v>165</v>
      </c>
      <c r="D354" s="175" t="s">
        <v>2460</v>
      </c>
      <c r="E354" s="25">
        <v>18702519372</v>
      </c>
      <c r="F354" s="175" t="s">
        <v>156</v>
      </c>
      <c r="G354" s="175" t="s">
        <v>5</v>
      </c>
      <c r="H354" s="25">
        <v>202102008</v>
      </c>
      <c r="I354" s="175" t="s">
        <v>279</v>
      </c>
      <c r="J354" s="175" t="s">
        <v>662</v>
      </c>
      <c r="K354" s="175" t="s">
        <v>348</v>
      </c>
      <c r="L354" s="175" t="s">
        <v>170</v>
      </c>
      <c r="M354" s="175" t="s">
        <v>199</v>
      </c>
      <c r="N354" s="175" t="s">
        <v>2462</v>
      </c>
      <c r="O354" s="25">
        <v>0</v>
      </c>
      <c r="P354" s="26" t="str">
        <f>_xlfn.DISPIMG("ID_C162899F9DDD4F8CA771F69FFB2795AD",1)</f>
        <v>=DISPIMG("ID_C162899F9DDD4F8CA771F69FFB2795AD",1)</v>
      </c>
      <c r="Q354" s="25" t="s">
        <v>2463</v>
      </c>
      <c r="R354" s="25">
        <v>293</v>
      </c>
      <c r="S354" s="40" t="s">
        <v>4640</v>
      </c>
      <c r="T354" s="18" t="s">
        <v>56</v>
      </c>
      <c r="U354" s="25">
        <v>22</v>
      </c>
      <c r="V354" s="84"/>
    </row>
    <row r="355" s="3" customFormat="1" customHeight="1" spans="1:22">
      <c r="A355" s="84">
        <v>23</v>
      </c>
      <c r="B355" s="175" t="s">
        <v>3873</v>
      </c>
      <c r="C355" s="175" t="s">
        <v>153</v>
      </c>
      <c r="D355" s="175" t="s">
        <v>3874</v>
      </c>
      <c r="E355" s="25">
        <v>13317434772</v>
      </c>
      <c r="F355" s="175" t="s">
        <v>156</v>
      </c>
      <c r="G355" s="175" t="s">
        <v>5</v>
      </c>
      <c r="H355" s="25">
        <v>202102008</v>
      </c>
      <c r="I355" s="175" t="s">
        <v>157</v>
      </c>
      <c r="J355" s="175" t="s">
        <v>3876</v>
      </c>
      <c r="K355" s="175" t="s">
        <v>290</v>
      </c>
      <c r="L355" s="175" t="s">
        <v>170</v>
      </c>
      <c r="M355" s="175" t="s">
        <v>171</v>
      </c>
      <c r="N355" s="175" t="s">
        <v>1064</v>
      </c>
      <c r="O355" s="175" t="s">
        <v>3877</v>
      </c>
      <c r="P355" s="26" t="str">
        <f>_xlfn.DISPIMG("ID_707B86616C5E4D0A96852FA2ECC7652E",1)</f>
        <v>=DISPIMG("ID_707B86616C5E4D0A96852FA2ECC7652E",1)</v>
      </c>
      <c r="Q355" s="25" t="s">
        <v>3878</v>
      </c>
      <c r="R355" s="25">
        <v>494</v>
      </c>
      <c r="S355" s="40" t="s">
        <v>4644</v>
      </c>
      <c r="T355" s="18" t="s">
        <v>56</v>
      </c>
      <c r="U355" s="25">
        <v>23</v>
      </c>
      <c r="V355" s="84"/>
    </row>
    <row r="356" s="3" customFormat="1" customHeight="1" spans="1:22">
      <c r="A356" s="84"/>
      <c r="B356" s="25"/>
      <c r="C356" s="25"/>
      <c r="D356" s="25"/>
      <c r="E356" s="25"/>
      <c r="F356" s="25"/>
      <c r="G356" s="25"/>
      <c r="H356" s="25"/>
      <c r="I356" s="25"/>
      <c r="J356" s="25"/>
      <c r="K356" s="25"/>
      <c r="L356" s="25"/>
      <c r="M356" s="25"/>
      <c r="N356" s="25"/>
      <c r="O356" s="25"/>
      <c r="P356" s="26"/>
      <c r="Q356" s="25"/>
      <c r="R356" s="25"/>
      <c r="S356" s="40"/>
      <c r="T356" s="18"/>
      <c r="U356" s="25"/>
      <c r="V356" s="84"/>
    </row>
    <row r="357" s="3" customFormat="1" customHeight="1" spans="1:22">
      <c r="A357" s="84"/>
      <c r="B357" s="25"/>
      <c r="C357" s="25"/>
      <c r="D357" s="25"/>
      <c r="E357" s="25"/>
      <c r="F357" s="25"/>
      <c r="G357" s="25"/>
      <c r="H357" s="25"/>
      <c r="I357" s="25"/>
      <c r="J357" s="25"/>
      <c r="K357" s="25"/>
      <c r="L357" s="25"/>
      <c r="M357" s="25"/>
      <c r="N357" s="25"/>
      <c r="O357" s="25"/>
      <c r="P357" s="26"/>
      <c r="Q357" s="25"/>
      <c r="R357" s="25"/>
      <c r="S357" s="40"/>
      <c r="T357" s="18"/>
      <c r="U357" s="25"/>
      <c r="V357" s="84"/>
    </row>
    <row r="358" s="3" customFormat="1" customHeight="1" spans="1:22">
      <c r="A358" s="84"/>
      <c r="B358" s="25"/>
      <c r="C358" s="25"/>
      <c r="D358" s="25"/>
      <c r="E358" s="25"/>
      <c r="F358" s="25"/>
      <c r="G358" s="25"/>
      <c r="H358" s="25"/>
      <c r="I358" s="25"/>
      <c r="J358" s="25"/>
      <c r="K358" s="25"/>
      <c r="L358" s="25"/>
      <c r="M358" s="25"/>
      <c r="N358" s="25"/>
      <c r="O358" s="25"/>
      <c r="P358" s="26"/>
      <c r="Q358" s="25"/>
      <c r="R358" s="25"/>
      <c r="S358" s="40"/>
      <c r="T358" s="18"/>
      <c r="U358" s="25"/>
      <c r="V358" s="84"/>
    </row>
    <row r="359" s="3" customFormat="1" customHeight="1" spans="1:22">
      <c r="A359" s="84"/>
      <c r="B359" s="25"/>
      <c r="C359" s="25"/>
      <c r="D359" s="25"/>
      <c r="E359" s="25"/>
      <c r="F359" s="25"/>
      <c r="G359" s="25"/>
      <c r="H359" s="25"/>
      <c r="I359" s="25"/>
      <c r="J359" s="25"/>
      <c r="K359" s="25"/>
      <c r="L359" s="25"/>
      <c r="M359" s="25"/>
      <c r="N359" s="25"/>
      <c r="O359" s="25"/>
      <c r="P359" s="26"/>
      <c r="Q359" s="25"/>
      <c r="R359" s="25"/>
      <c r="S359" s="40"/>
      <c r="T359" s="18"/>
      <c r="U359" s="25"/>
      <c r="V359" s="84"/>
    </row>
    <row r="360" s="3" customFormat="1" customHeight="1" spans="1:22">
      <c r="A360" s="84"/>
      <c r="B360" s="25"/>
      <c r="C360" s="25"/>
      <c r="D360" s="25"/>
      <c r="E360" s="25"/>
      <c r="F360" s="25"/>
      <c r="G360" s="25"/>
      <c r="H360" s="25"/>
      <c r="I360" s="25"/>
      <c r="J360" s="25"/>
      <c r="K360" s="25"/>
      <c r="L360" s="25"/>
      <c r="M360" s="25"/>
      <c r="N360" s="25"/>
      <c r="O360" s="25"/>
      <c r="P360" s="26"/>
      <c r="Q360" s="25"/>
      <c r="R360" s="25"/>
      <c r="S360" s="40"/>
      <c r="T360" s="18"/>
      <c r="U360" s="25"/>
      <c r="V360" s="84"/>
    </row>
    <row r="361" s="3" customFormat="1" customHeight="1" spans="1:22">
      <c r="A361" s="84"/>
      <c r="B361" s="25"/>
      <c r="C361" s="25"/>
      <c r="D361" s="25"/>
      <c r="E361" s="25"/>
      <c r="F361" s="25"/>
      <c r="G361" s="25"/>
      <c r="H361" s="25"/>
      <c r="I361" s="25"/>
      <c r="J361" s="25"/>
      <c r="K361" s="25"/>
      <c r="L361" s="25"/>
      <c r="M361" s="25"/>
      <c r="N361" s="25"/>
      <c r="O361" s="25"/>
      <c r="P361" s="26"/>
      <c r="Q361" s="25"/>
      <c r="R361" s="25"/>
      <c r="S361" s="40"/>
      <c r="T361" s="18"/>
      <c r="U361" s="25"/>
      <c r="V361" s="84"/>
    </row>
    <row r="362" s="3" customFormat="1" customHeight="1" spans="1:22">
      <c r="A362" s="84"/>
      <c r="B362" s="25"/>
      <c r="C362" s="25"/>
      <c r="D362" s="25"/>
      <c r="E362" s="25"/>
      <c r="F362" s="25"/>
      <c r="G362" s="25"/>
      <c r="H362" s="25"/>
      <c r="I362" s="25"/>
      <c r="J362" s="25"/>
      <c r="K362" s="25"/>
      <c r="L362" s="25"/>
      <c r="M362" s="25"/>
      <c r="N362" s="25"/>
      <c r="O362" s="25"/>
      <c r="P362" s="26"/>
      <c r="Q362" s="25"/>
      <c r="R362" s="25"/>
      <c r="S362" s="40"/>
      <c r="T362" s="18"/>
      <c r="U362" s="25"/>
      <c r="V362" s="84"/>
    </row>
    <row r="363" s="3" customFormat="1" customHeight="1" spans="1:22">
      <c r="A363" s="84">
        <v>26</v>
      </c>
      <c r="B363" s="175" t="s">
        <v>3366</v>
      </c>
      <c r="C363" s="175" t="s">
        <v>153</v>
      </c>
      <c r="D363" s="175" t="s">
        <v>3367</v>
      </c>
      <c r="E363" s="25">
        <v>13755682208</v>
      </c>
      <c r="F363" s="175" t="s">
        <v>506</v>
      </c>
      <c r="G363" s="175" t="s">
        <v>6</v>
      </c>
      <c r="H363" s="25">
        <v>202102021</v>
      </c>
      <c r="I363" s="175" t="s">
        <v>279</v>
      </c>
      <c r="J363" s="175" t="s">
        <v>178</v>
      </c>
      <c r="K363" s="175" t="s">
        <v>1138</v>
      </c>
      <c r="L363" s="175" t="s">
        <v>170</v>
      </c>
      <c r="M363" s="175" t="s">
        <v>216</v>
      </c>
      <c r="N363" s="175" t="s">
        <v>3369</v>
      </c>
      <c r="O363" s="175" t="s">
        <v>3370</v>
      </c>
      <c r="P363" s="26" t="str">
        <f>_xlfn.DISPIMG("ID_5C988A3540504C69ADD9A8ABF15446E0",1)</f>
        <v>=DISPIMG("ID_5C988A3540504C69ADD9A8ABF15446E0",1)</v>
      </c>
      <c r="Q363" s="25" t="s">
        <v>3371</v>
      </c>
      <c r="R363" s="25">
        <v>424</v>
      </c>
      <c r="S363" s="40" t="s">
        <v>4678</v>
      </c>
      <c r="T363" s="18" t="s">
        <v>60</v>
      </c>
      <c r="U363" s="25">
        <v>1</v>
      </c>
      <c r="V363" s="84"/>
    </row>
    <row r="364" s="3" customFormat="1" customHeight="1" spans="1:22">
      <c r="A364" s="84">
        <v>21</v>
      </c>
      <c r="B364" s="175" t="s">
        <v>2705</v>
      </c>
      <c r="C364" s="175" t="s">
        <v>165</v>
      </c>
      <c r="D364" s="175" t="s">
        <v>2706</v>
      </c>
      <c r="E364" s="25">
        <v>18879206969</v>
      </c>
      <c r="F364" s="175" t="s">
        <v>156</v>
      </c>
      <c r="G364" s="175" t="s">
        <v>6</v>
      </c>
      <c r="H364" s="25">
        <v>202102012</v>
      </c>
      <c r="I364" s="175" t="s">
        <v>157</v>
      </c>
      <c r="J364" s="175" t="s">
        <v>2708</v>
      </c>
      <c r="K364" s="175" t="s">
        <v>750</v>
      </c>
      <c r="L364" s="175" t="s">
        <v>160</v>
      </c>
      <c r="M364" s="175" t="s">
        <v>216</v>
      </c>
      <c r="N364" s="175" t="s">
        <v>18</v>
      </c>
      <c r="O364" s="25">
        <v>0</v>
      </c>
      <c r="P364" s="26" t="str">
        <f>_xlfn.DISPIMG("ID_4ECDECBC23404DF3A6E316268C69D43E",1)</f>
        <v>=DISPIMG("ID_4ECDECBC23404DF3A6E316268C69D43E",1)</v>
      </c>
      <c r="Q364" s="25" t="s">
        <v>2709</v>
      </c>
      <c r="R364" s="25">
        <v>326</v>
      </c>
      <c r="S364" s="40" t="s">
        <v>4673</v>
      </c>
      <c r="T364" s="18" t="s">
        <v>60</v>
      </c>
      <c r="U364" s="25">
        <v>2</v>
      </c>
      <c r="V364" s="84"/>
    </row>
    <row r="365" s="3" customFormat="1" customHeight="1" spans="1:22">
      <c r="A365" s="84">
        <v>16</v>
      </c>
      <c r="B365" s="175" t="s">
        <v>1798</v>
      </c>
      <c r="C365" s="175" t="s">
        <v>165</v>
      </c>
      <c r="D365" s="175" t="s">
        <v>1799</v>
      </c>
      <c r="E365" s="25">
        <v>18070223507</v>
      </c>
      <c r="F365" s="175" t="s">
        <v>506</v>
      </c>
      <c r="G365" s="175" t="s">
        <v>6</v>
      </c>
      <c r="H365" s="25">
        <v>202102021</v>
      </c>
      <c r="I365" s="175" t="s">
        <v>157</v>
      </c>
      <c r="J365" s="175" t="s">
        <v>1801</v>
      </c>
      <c r="K365" s="175" t="s">
        <v>1802</v>
      </c>
      <c r="L365" s="175" t="s">
        <v>160</v>
      </c>
      <c r="M365" s="175" t="s">
        <v>161</v>
      </c>
      <c r="N365" s="175" t="s">
        <v>6</v>
      </c>
      <c r="O365" s="175" t="s">
        <v>1803</v>
      </c>
      <c r="P365" s="26" t="str">
        <f>_xlfn.DISPIMG("ID_054E9F37DEBB4C16973D352603A54499",1)</f>
        <v>=DISPIMG("ID_054E9F37DEBB4C16973D352603A54499",1)</v>
      </c>
      <c r="Q365" s="25" t="s">
        <v>1804</v>
      </c>
      <c r="R365" s="25">
        <v>205</v>
      </c>
      <c r="S365" s="40" t="s">
        <v>4668</v>
      </c>
      <c r="T365" s="18" t="s">
        <v>60</v>
      </c>
      <c r="U365" s="25">
        <v>3</v>
      </c>
      <c r="V365" s="84"/>
    </row>
    <row r="366" s="3" customFormat="1" customHeight="1" spans="1:22">
      <c r="A366" s="84">
        <v>11</v>
      </c>
      <c r="B366" s="175" t="s">
        <v>1135</v>
      </c>
      <c r="C366" s="175" t="s">
        <v>165</v>
      </c>
      <c r="D366" s="175" t="s">
        <v>1136</v>
      </c>
      <c r="E366" s="25">
        <v>13767277916</v>
      </c>
      <c r="F366" s="175" t="s">
        <v>506</v>
      </c>
      <c r="G366" s="175" t="s">
        <v>6</v>
      </c>
      <c r="H366" s="25">
        <v>202102021</v>
      </c>
      <c r="I366" s="175" t="s">
        <v>279</v>
      </c>
      <c r="J366" s="175" t="s">
        <v>158</v>
      </c>
      <c r="K366" s="175" t="s">
        <v>1138</v>
      </c>
      <c r="L366" s="175" t="s">
        <v>170</v>
      </c>
      <c r="M366" s="175" t="s">
        <v>673</v>
      </c>
      <c r="N366" s="175" t="s">
        <v>6</v>
      </c>
      <c r="O366" s="175" t="s">
        <v>1139</v>
      </c>
      <c r="P366" s="26" t="str">
        <f>_xlfn.DISPIMG("ID_18B5B97762B948069F50AE4DD03BA465",1)</f>
        <v>=DISPIMG("ID_18B5B97762B948069F50AE4DD03BA465",1)</v>
      </c>
      <c r="Q366" s="25" t="s">
        <v>1140</v>
      </c>
      <c r="R366" s="25">
        <v>119</v>
      </c>
      <c r="S366" s="40" t="s">
        <v>4660</v>
      </c>
      <c r="T366" s="18" t="s">
        <v>60</v>
      </c>
      <c r="U366" s="25">
        <v>4</v>
      </c>
      <c r="V366" s="84"/>
    </row>
    <row r="367" s="3" customFormat="1" customHeight="1" spans="1:22">
      <c r="A367" s="84">
        <v>6</v>
      </c>
      <c r="B367" s="175" t="s">
        <v>409</v>
      </c>
      <c r="C367" s="175" t="s">
        <v>153</v>
      </c>
      <c r="D367" s="175" t="s">
        <v>410</v>
      </c>
      <c r="E367" s="25">
        <v>13177702893</v>
      </c>
      <c r="F367" s="175" t="s">
        <v>156</v>
      </c>
      <c r="G367" s="175" t="s">
        <v>6</v>
      </c>
      <c r="H367" s="25">
        <v>202102012</v>
      </c>
      <c r="I367" s="175" t="s">
        <v>157</v>
      </c>
      <c r="J367" s="175" t="s">
        <v>412</v>
      </c>
      <c r="K367" s="175" t="s">
        <v>323</v>
      </c>
      <c r="L367" s="175" t="s">
        <v>170</v>
      </c>
      <c r="M367" s="175" t="s">
        <v>252</v>
      </c>
      <c r="N367" s="175" t="s">
        <v>413</v>
      </c>
      <c r="O367" s="175" t="s">
        <v>414</v>
      </c>
      <c r="P367" s="26" t="str">
        <f>_xlfn.DISPIMG("ID_C929C0A6F3B54FF18F2B98BE28643203",1)</f>
        <v>=DISPIMG("ID_C929C0A6F3B54FF18F2B98BE28643203",1)</v>
      </c>
      <c r="Q367" s="25" t="s">
        <v>415</v>
      </c>
      <c r="R367" s="25">
        <v>30</v>
      </c>
      <c r="S367" s="40" t="s">
        <v>4659</v>
      </c>
      <c r="T367" s="18" t="s">
        <v>60</v>
      </c>
      <c r="U367" s="25">
        <v>5</v>
      </c>
      <c r="V367" s="84"/>
    </row>
    <row r="368" s="3" customFormat="1" customHeight="1" spans="1:22">
      <c r="A368" s="84">
        <v>1</v>
      </c>
      <c r="B368" s="175" t="s">
        <v>184</v>
      </c>
      <c r="C368" s="175" t="s">
        <v>153</v>
      </c>
      <c r="D368" s="175" t="s">
        <v>185</v>
      </c>
      <c r="E368" s="25">
        <v>18038082134</v>
      </c>
      <c r="F368" s="175" t="s">
        <v>156</v>
      </c>
      <c r="G368" s="175" t="s">
        <v>6</v>
      </c>
      <c r="H368" s="25">
        <v>202102012</v>
      </c>
      <c r="I368" s="175" t="s">
        <v>157</v>
      </c>
      <c r="J368" s="175" t="s">
        <v>187</v>
      </c>
      <c r="K368" s="175" t="s">
        <v>188</v>
      </c>
      <c r="L368" s="175" t="s">
        <v>160</v>
      </c>
      <c r="M368" s="175" t="s">
        <v>189</v>
      </c>
      <c r="N368" s="175" t="s">
        <v>190</v>
      </c>
      <c r="O368" s="25">
        <v>0</v>
      </c>
      <c r="P368" s="26" t="str">
        <f>_xlfn.DISPIMG("ID_F9EC90828AC344EC8EE9AB75C1318672",1)</f>
        <v>=DISPIMG("ID_F9EC90828AC344EC8EE9AB75C1318672",1)</v>
      </c>
      <c r="Q368" s="25" t="s">
        <v>191</v>
      </c>
      <c r="R368" s="25">
        <v>5</v>
      </c>
      <c r="S368" s="40" t="s">
        <v>4645</v>
      </c>
      <c r="T368" s="18" t="s">
        <v>60</v>
      </c>
      <c r="U368" s="25">
        <v>6</v>
      </c>
      <c r="V368" s="84"/>
    </row>
    <row r="369" s="3" customFormat="1" customHeight="1" spans="1:22">
      <c r="A369" s="84">
        <v>2</v>
      </c>
      <c r="B369" s="175" t="s">
        <v>203</v>
      </c>
      <c r="C369" s="175" t="s">
        <v>165</v>
      </c>
      <c r="D369" s="175" t="s">
        <v>204</v>
      </c>
      <c r="E369" s="25">
        <v>18451114131</v>
      </c>
      <c r="F369" s="175" t="s">
        <v>156</v>
      </c>
      <c r="G369" s="175" t="s">
        <v>6</v>
      </c>
      <c r="H369" s="25">
        <v>202102012</v>
      </c>
      <c r="I369" s="175" t="s">
        <v>157</v>
      </c>
      <c r="J369" s="175" t="s">
        <v>206</v>
      </c>
      <c r="K369" s="175" t="s">
        <v>207</v>
      </c>
      <c r="L369" s="175" t="s">
        <v>160</v>
      </c>
      <c r="M369" s="175" t="s">
        <v>199</v>
      </c>
      <c r="N369" s="175" t="s">
        <v>6</v>
      </c>
      <c r="O369" s="175" t="s">
        <v>208</v>
      </c>
      <c r="P369" s="26" t="str">
        <f>_xlfn.DISPIMG("ID_F7457C8055E845839E12BBC94DC0151A",1)</f>
        <v>=DISPIMG("ID_F7457C8055E845839E12BBC94DC0151A",1)</v>
      </c>
      <c r="Q369" s="25" t="s">
        <v>209</v>
      </c>
      <c r="R369" s="25">
        <v>7</v>
      </c>
      <c r="S369" s="40" t="s">
        <v>4649</v>
      </c>
      <c r="T369" s="18" t="s">
        <v>60</v>
      </c>
      <c r="U369" s="25">
        <v>7</v>
      </c>
      <c r="V369" s="84"/>
    </row>
    <row r="370" s="3" customFormat="1" customHeight="1" spans="1:22">
      <c r="A370" s="84">
        <v>7</v>
      </c>
      <c r="B370" s="175" t="s">
        <v>627</v>
      </c>
      <c r="C370" s="175" t="s">
        <v>165</v>
      </c>
      <c r="D370" s="175" t="s">
        <v>628</v>
      </c>
      <c r="E370" s="25">
        <v>18162269962</v>
      </c>
      <c r="F370" s="175" t="s">
        <v>156</v>
      </c>
      <c r="G370" s="175" t="s">
        <v>6</v>
      </c>
      <c r="H370" s="25">
        <v>202102012</v>
      </c>
      <c r="I370" s="175" t="s">
        <v>157</v>
      </c>
      <c r="J370" s="175" t="s">
        <v>630</v>
      </c>
      <c r="K370" s="175" t="s">
        <v>207</v>
      </c>
      <c r="L370" s="175" t="s">
        <v>160</v>
      </c>
      <c r="M370" s="175" t="s">
        <v>541</v>
      </c>
      <c r="N370" s="175" t="s">
        <v>18</v>
      </c>
      <c r="O370" s="175" t="s">
        <v>631</v>
      </c>
      <c r="P370" s="26" t="str">
        <f>_xlfn.DISPIMG("ID_50ADA4D0B38B42B786E2DD18C78CCC60",1)</f>
        <v>=DISPIMG("ID_50ADA4D0B38B42B786E2DD18C78CCC60",1)</v>
      </c>
      <c r="Q370" s="25" t="s">
        <v>632</v>
      </c>
      <c r="R370" s="25">
        <v>57</v>
      </c>
      <c r="S370" s="40" t="s">
        <v>4641</v>
      </c>
      <c r="T370" s="18" t="s">
        <v>60</v>
      </c>
      <c r="U370" s="25">
        <v>8</v>
      </c>
      <c r="V370" s="84"/>
    </row>
    <row r="371" s="3" customFormat="1" customHeight="1" spans="1:22">
      <c r="A371" s="84">
        <v>12</v>
      </c>
      <c r="B371" s="175" t="s">
        <v>1227</v>
      </c>
      <c r="C371" s="175" t="s">
        <v>165</v>
      </c>
      <c r="D371" s="175" t="s">
        <v>1228</v>
      </c>
      <c r="E371" s="25">
        <v>18279868722</v>
      </c>
      <c r="F371" s="175" t="s">
        <v>156</v>
      </c>
      <c r="G371" s="175" t="s">
        <v>6</v>
      </c>
      <c r="H371" s="25">
        <v>202102012</v>
      </c>
      <c r="I371" s="175" t="s">
        <v>279</v>
      </c>
      <c r="J371" s="175" t="s">
        <v>168</v>
      </c>
      <c r="K371" s="175" t="s">
        <v>1138</v>
      </c>
      <c r="L371" s="175" t="s">
        <v>170</v>
      </c>
      <c r="M371" s="175" t="s">
        <v>368</v>
      </c>
      <c r="N371" s="175" t="s">
        <v>498</v>
      </c>
      <c r="O371" s="175" t="s">
        <v>1230</v>
      </c>
      <c r="P371" s="26" t="str">
        <f>_xlfn.DISPIMG("ID_F7BC6213D6E44840BB6BEB26E73F83E9",1)</f>
        <v>=DISPIMG("ID_F7BC6213D6E44840BB6BEB26E73F83E9",1)</v>
      </c>
      <c r="Q371" s="25" t="s">
        <v>1231</v>
      </c>
      <c r="R371" s="25">
        <v>130</v>
      </c>
      <c r="S371" s="40" t="s">
        <v>4661</v>
      </c>
      <c r="T371" s="18" t="s">
        <v>60</v>
      </c>
      <c r="U371" s="25">
        <v>9</v>
      </c>
      <c r="V371" s="84"/>
    </row>
    <row r="372" s="3" customFormat="1" customHeight="1" spans="1:22">
      <c r="A372" s="84">
        <v>17</v>
      </c>
      <c r="B372" s="175" t="s">
        <v>2233</v>
      </c>
      <c r="C372" s="175" t="s">
        <v>165</v>
      </c>
      <c r="D372" s="175" t="s">
        <v>2234</v>
      </c>
      <c r="E372" s="25">
        <v>18279238026</v>
      </c>
      <c r="F372" s="175" t="s">
        <v>156</v>
      </c>
      <c r="G372" s="175" t="s">
        <v>6</v>
      </c>
      <c r="H372" s="25">
        <v>202102012</v>
      </c>
      <c r="I372" s="175" t="s">
        <v>157</v>
      </c>
      <c r="J372" s="175" t="s">
        <v>2236</v>
      </c>
      <c r="K372" s="175" t="s">
        <v>188</v>
      </c>
      <c r="L372" s="175" t="s">
        <v>160</v>
      </c>
      <c r="M372" s="175" t="s">
        <v>516</v>
      </c>
      <c r="N372" s="175" t="s">
        <v>18</v>
      </c>
      <c r="O372" s="25">
        <v>0</v>
      </c>
      <c r="P372" s="26" t="str">
        <f>_xlfn.DISPIMG("ID_B83409D3E833484EAA2409A5675BAA5D",1)</f>
        <v>=DISPIMG("ID_B83409D3E833484EAA2409A5675BAA5D",1)</v>
      </c>
      <c r="Q372" s="25" t="s">
        <v>2237</v>
      </c>
      <c r="R372" s="25">
        <v>263</v>
      </c>
      <c r="S372" s="40" t="s">
        <v>4669</v>
      </c>
      <c r="T372" s="18" t="s">
        <v>60</v>
      </c>
      <c r="U372" s="25">
        <v>10</v>
      </c>
      <c r="V372" s="84"/>
    </row>
    <row r="373" s="3" customFormat="1" customHeight="1" spans="1:22">
      <c r="A373" s="84">
        <v>22</v>
      </c>
      <c r="B373" s="175" t="s">
        <v>2718</v>
      </c>
      <c r="C373" s="175" t="s">
        <v>153</v>
      </c>
      <c r="D373" s="175" t="s">
        <v>2719</v>
      </c>
      <c r="E373" s="25">
        <v>15779215230</v>
      </c>
      <c r="F373" s="175" t="s">
        <v>156</v>
      </c>
      <c r="G373" s="175" t="s">
        <v>6</v>
      </c>
      <c r="H373" s="25">
        <v>202102012</v>
      </c>
      <c r="I373" s="175" t="s">
        <v>157</v>
      </c>
      <c r="J373" s="175" t="s">
        <v>168</v>
      </c>
      <c r="K373" s="175" t="s">
        <v>2721</v>
      </c>
      <c r="L373" s="175" t="s">
        <v>160</v>
      </c>
      <c r="M373" s="175" t="s">
        <v>455</v>
      </c>
      <c r="N373" s="175" t="s">
        <v>18</v>
      </c>
      <c r="O373" s="175" t="s">
        <v>2722</v>
      </c>
      <c r="P373" s="26" t="str">
        <f>_xlfn.DISPIMG("ID_2B62698B077F4147874AB6F7E19938E7",1)</f>
        <v>=DISPIMG("ID_2B62698B077F4147874AB6F7E19938E7",1)</v>
      </c>
      <c r="Q373" s="25" t="s">
        <v>2723</v>
      </c>
      <c r="R373" s="25">
        <v>328</v>
      </c>
      <c r="S373" s="40" t="s">
        <v>4674</v>
      </c>
      <c r="T373" s="18" t="s">
        <v>60</v>
      </c>
      <c r="U373" s="25">
        <v>11</v>
      </c>
      <c r="V373" s="84"/>
    </row>
    <row r="374" s="3" customFormat="1" customHeight="1" spans="1:22">
      <c r="A374" s="84">
        <v>27</v>
      </c>
      <c r="B374" s="175" t="s">
        <v>3423</v>
      </c>
      <c r="C374" s="175" t="s">
        <v>165</v>
      </c>
      <c r="D374" s="175" t="s">
        <v>3424</v>
      </c>
      <c r="E374" s="25">
        <v>18720214779</v>
      </c>
      <c r="F374" s="175" t="s">
        <v>156</v>
      </c>
      <c r="G374" s="175" t="s">
        <v>6</v>
      </c>
      <c r="H374" s="25">
        <v>202102012</v>
      </c>
      <c r="I374" s="175" t="s">
        <v>157</v>
      </c>
      <c r="J374" s="175" t="s">
        <v>1424</v>
      </c>
      <c r="K374" s="175" t="s">
        <v>404</v>
      </c>
      <c r="L374" s="175" t="s">
        <v>160</v>
      </c>
      <c r="M374" s="175" t="s">
        <v>171</v>
      </c>
      <c r="N374" s="175" t="s">
        <v>18</v>
      </c>
      <c r="O374" s="175" t="s">
        <v>3425</v>
      </c>
      <c r="P374" s="26" t="str">
        <f>_xlfn.DISPIMG("ID_F35EB404C32C41B8B6B9DFFF6A73D9A8",1)</f>
        <v>=DISPIMG("ID_F35EB404C32C41B8B6B9DFFF6A73D9A8",1)</v>
      </c>
      <c r="Q374" s="25" t="s">
        <v>3426</v>
      </c>
      <c r="R374" s="25">
        <v>432</v>
      </c>
      <c r="S374" s="40" t="s">
        <v>4679</v>
      </c>
      <c r="T374" s="18" t="s">
        <v>60</v>
      </c>
      <c r="U374" s="25">
        <v>12</v>
      </c>
      <c r="V374" s="84"/>
    </row>
    <row r="375" s="3" customFormat="1" customHeight="1" spans="1:22">
      <c r="A375" s="84">
        <v>28</v>
      </c>
      <c r="B375" s="175" t="s">
        <v>3450</v>
      </c>
      <c r="C375" s="175" t="s">
        <v>165</v>
      </c>
      <c r="D375" s="175" t="s">
        <v>3451</v>
      </c>
      <c r="E375" s="25">
        <v>13122970585</v>
      </c>
      <c r="F375" s="175" t="s">
        <v>156</v>
      </c>
      <c r="G375" s="175" t="s">
        <v>6</v>
      </c>
      <c r="H375" s="25">
        <v>202102012</v>
      </c>
      <c r="I375" s="175" t="s">
        <v>157</v>
      </c>
      <c r="J375" s="175" t="s">
        <v>3453</v>
      </c>
      <c r="K375" s="175" t="s">
        <v>323</v>
      </c>
      <c r="L375" s="175" t="s">
        <v>170</v>
      </c>
      <c r="M375" s="175" t="s">
        <v>396</v>
      </c>
      <c r="N375" s="175" t="s">
        <v>2244</v>
      </c>
      <c r="O375" s="175" t="s">
        <v>3454</v>
      </c>
      <c r="P375" s="26" t="str">
        <f>_xlfn.DISPIMG("ID_75AF34168E0448D4A462EFA2E90CB632",1)</f>
        <v>=DISPIMG("ID_75AF34168E0448D4A462EFA2E90CB632",1)</v>
      </c>
      <c r="Q375" s="25" t="s">
        <v>3455</v>
      </c>
      <c r="R375" s="25">
        <v>436</v>
      </c>
      <c r="S375" s="40" t="s">
        <v>4680</v>
      </c>
      <c r="T375" s="18" t="s">
        <v>60</v>
      </c>
      <c r="U375" s="25">
        <v>13</v>
      </c>
      <c r="V375" s="84"/>
    </row>
    <row r="376" s="3" customFormat="1" customHeight="1" spans="1:22">
      <c r="A376" s="84">
        <v>23</v>
      </c>
      <c r="B376" s="175" t="s">
        <v>2922</v>
      </c>
      <c r="C376" s="175" t="s">
        <v>165</v>
      </c>
      <c r="D376" s="175" t="s">
        <v>2923</v>
      </c>
      <c r="E376" s="25">
        <v>18079240698</v>
      </c>
      <c r="F376" s="175" t="s">
        <v>156</v>
      </c>
      <c r="G376" s="175" t="s">
        <v>6</v>
      </c>
      <c r="H376" s="25">
        <v>202102012</v>
      </c>
      <c r="I376" s="175" t="s">
        <v>157</v>
      </c>
      <c r="J376" s="175" t="s">
        <v>322</v>
      </c>
      <c r="K376" s="175" t="s">
        <v>2268</v>
      </c>
      <c r="L376" s="175" t="s">
        <v>160</v>
      </c>
      <c r="M376" s="175" t="s">
        <v>455</v>
      </c>
      <c r="N376" s="175" t="s">
        <v>2925</v>
      </c>
      <c r="O376" s="25">
        <v>0</v>
      </c>
      <c r="P376" s="26" t="str">
        <f>_xlfn.DISPIMG("ID_40B4A1C67261465298C744E0F0D93767",1)</f>
        <v>=DISPIMG("ID_40B4A1C67261465298C744E0F0D93767",1)</v>
      </c>
      <c r="Q376" s="25" t="s">
        <v>2926</v>
      </c>
      <c r="R376" s="25">
        <v>356</v>
      </c>
      <c r="S376" s="40" t="s">
        <v>4675</v>
      </c>
      <c r="T376" s="18" t="s">
        <v>60</v>
      </c>
      <c r="U376" s="25">
        <v>14</v>
      </c>
      <c r="V376" s="84"/>
    </row>
    <row r="377" s="3" customFormat="1" customHeight="1" spans="1:22">
      <c r="A377" s="84">
        <v>18</v>
      </c>
      <c r="B377" s="175" t="s">
        <v>2264</v>
      </c>
      <c r="C377" s="175" t="s">
        <v>153</v>
      </c>
      <c r="D377" s="175" t="s">
        <v>2265</v>
      </c>
      <c r="E377" s="25">
        <v>13755257750</v>
      </c>
      <c r="F377" s="175" t="s">
        <v>506</v>
      </c>
      <c r="G377" s="175" t="s">
        <v>6</v>
      </c>
      <c r="H377" s="25">
        <v>202102021</v>
      </c>
      <c r="I377" s="175" t="s">
        <v>157</v>
      </c>
      <c r="J377" s="175" t="s">
        <v>2267</v>
      </c>
      <c r="K377" s="175" t="s">
        <v>2268</v>
      </c>
      <c r="L377" s="175" t="s">
        <v>160</v>
      </c>
      <c r="M377" s="175" t="s">
        <v>161</v>
      </c>
      <c r="N377" s="175" t="s">
        <v>2269</v>
      </c>
      <c r="O377" s="25">
        <v>0</v>
      </c>
      <c r="P377" s="26" t="str">
        <f>_xlfn.DISPIMG("ID_73D56986F7DE44CDB5B00B7AF01CF017",1)</f>
        <v>=DISPIMG("ID_73D56986F7DE44CDB5B00B7AF01CF017",1)</v>
      </c>
      <c r="Q377" s="25" t="s">
        <v>2270</v>
      </c>
      <c r="R377" s="25">
        <v>267</v>
      </c>
      <c r="S377" s="40" t="s">
        <v>4670</v>
      </c>
      <c r="T377" s="18" t="s">
        <v>60</v>
      </c>
      <c r="U377" s="25">
        <v>15</v>
      </c>
      <c r="V377" s="84"/>
    </row>
    <row r="378" s="3" customFormat="1" customHeight="1" spans="1:22">
      <c r="A378" s="84">
        <v>13</v>
      </c>
      <c r="B378" s="175" t="s">
        <v>1068</v>
      </c>
      <c r="C378" s="175" t="s">
        <v>165</v>
      </c>
      <c r="D378" s="175" t="s">
        <v>1069</v>
      </c>
      <c r="E378" s="25">
        <v>18279237136</v>
      </c>
      <c r="F378" s="175" t="s">
        <v>506</v>
      </c>
      <c r="G378" s="175" t="s">
        <v>6</v>
      </c>
      <c r="H378" s="25">
        <v>202102021</v>
      </c>
      <c r="I378" s="175" t="s">
        <v>157</v>
      </c>
      <c r="J378" s="175" t="s">
        <v>1071</v>
      </c>
      <c r="K378" s="175" t="s">
        <v>454</v>
      </c>
      <c r="L378" s="175" t="s">
        <v>160</v>
      </c>
      <c r="M378" s="175" t="s">
        <v>161</v>
      </c>
      <c r="N378" s="175" t="s">
        <v>413</v>
      </c>
      <c r="O378" s="175" t="s">
        <v>1072</v>
      </c>
      <c r="P378" s="26" t="str">
        <f>_xlfn.DISPIMG("ID_4A5DEA3E498746E9A9AC483CF4ABDF91",1)</f>
        <v>=DISPIMG("ID_4A5DEA3E498746E9A9AC483CF4ABDF91",1)</v>
      </c>
      <c r="Q378" s="25" t="s">
        <v>1073</v>
      </c>
      <c r="R378" s="25">
        <v>137</v>
      </c>
      <c r="S378" s="40" t="s">
        <v>4665</v>
      </c>
      <c r="T378" s="18" t="s">
        <v>60</v>
      </c>
      <c r="U378" s="25">
        <v>16</v>
      </c>
      <c r="V378" s="84"/>
    </row>
    <row r="379" s="3" customFormat="1" customHeight="1" spans="1:22">
      <c r="A379" s="84">
        <v>8</v>
      </c>
      <c r="B379" s="175" t="s">
        <v>746</v>
      </c>
      <c r="C379" s="175" t="s">
        <v>165</v>
      </c>
      <c r="D379" s="175" t="s">
        <v>747</v>
      </c>
      <c r="E379" s="25">
        <v>15641592275</v>
      </c>
      <c r="F379" s="175" t="s">
        <v>156</v>
      </c>
      <c r="G379" s="175" t="s">
        <v>6</v>
      </c>
      <c r="H379" s="25">
        <v>202102012</v>
      </c>
      <c r="I379" s="175" t="s">
        <v>157</v>
      </c>
      <c r="J379" s="175" t="s">
        <v>749</v>
      </c>
      <c r="K379" s="175" t="s">
        <v>750</v>
      </c>
      <c r="L379" s="175" t="s">
        <v>160</v>
      </c>
      <c r="M379" s="175" t="s">
        <v>252</v>
      </c>
      <c r="N379" s="175" t="s">
        <v>6</v>
      </c>
      <c r="O379" s="25">
        <v>0</v>
      </c>
      <c r="P379" s="26" t="str">
        <f>_xlfn.DISPIMG("ID_7B1FBC3D2E8F42D28CA9AC35B8C2D010",1)</f>
        <v>=DISPIMG("ID_7B1FBC3D2E8F42D28CA9AC35B8C2D010",1)</v>
      </c>
      <c r="Q379" s="25" t="s">
        <v>751</v>
      </c>
      <c r="R379" s="25">
        <v>71</v>
      </c>
      <c r="S379" s="40" t="s">
        <v>4646</v>
      </c>
      <c r="T379" s="18" t="s">
        <v>60</v>
      </c>
      <c r="U379" s="25">
        <v>17</v>
      </c>
      <c r="V379" s="84"/>
    </row>
    <row r="380" s="3" customFormat="1" customHeight="1" spans="1:22">
      <c r="A380" s="84">
        <v>3</v>
      </c>
      <c r="B380" s="175" t="s">
        <v>247</v>
      </c>
      <c r="C380" s="175" t="s">
        <v>165</v>
      </c>
      <c r="D380" s="175" t="s">
        <v>248</v>
      </c>
      <c r="E380" s="25">
        <v>18194294670</v>
      </c>
      <c r="F380" s="175" t="s">
        <v>156</v>
      </c>
      <c r="G380" s="175" t="s">
        <v>6</v>
      </c>
      <c r="H380" s="25">
        <v>202102012</v>
      </c>
      <c r="I380" s="175" t="s">
        <v>157</v>
      </c>
      <c r="J380" s="175" t="s">
        <v>250</v>
      </c>
      <c r="K380" s="175" t="s">
        <v>251</v>
      </c>
      <c r="L380" s="175" t="s">
        <v>160</v>
      </c>
      <c r="M380" s="175" t="s">
        <v>252</v>
      </c>
      <c r="N380" s="175" t="s">
        <v>253</v>
      </c>
      <c r="O380" s="175" t="s">
        <v>254</v>
      </c>
      <c r="P380" s="26" t="str">
        <f>_xlfn.DISPIMG("ID_75E1D16F2E6F48168F32947A4DF07EC3",1)</f>
        <v>=DISPIMG("ID_75E1D16F2E6F48168F32947A4DF07EC3",1)</v>
      </c>
      <c r="Q380" s="25" t="s">
        <v>255</v>
      </c>
      <c r="R380" s="25">
        <v>12</v>
      </c>
      <c r="S380" s="40" t="s">
        <v>4650</v>
      </c>
      <c r="T380" s="18" t="s">
        <v>60</v>
      </c>
      <c r="U380" s="25">
        <v>18</v>
      </c>
      <c r="V380" s="84"/>
    </row>
    <row r="381" s="3" customFormat="1" customHeight="1" spans="1:22">
      <c r="A381" s="84">
        <v>4</v>
      </c>
      <c r="B381" s="175" t="s">
        <v>319</v>
      </c>
      <c r="C381" s="175" t="s">
        <v>165</v>
      </c>
      <c r="D381" s="175" t="s">
        <v>320</v>
      </c>
      <c r="E381" s="25">
        <v>18679938518</v>
      </c>
      <c r="F381" s="175" t="s">
        <v>156</v>
      </c>
      <c r="G381" s="175" t="s">
        <v>6</v>
      </c>
      <c r="H381" s="25">
        <v>202102012</v>
      </c>
      <c r="I381" s="175" t="s">
        <v>157</v>
      </c>
      <c r="J381" s="175" t="s">
        <v>322</v>
      </c>
      <c r="K381" s="175" t="s">
        <v>323</v>
      </c>
      <c r="L381" s="175" t="s">
        <v>170</v>
      </c>
      <c r="M381" s="175" t="s">
        <v>180</v>
      </c>
      <c r="N381" s="175" t="s">
        <v>324</v>
      </c>
      <c r="O381" s="175" t="s">
        <v>325</v>
      </c>
      <c r="P381" s="26" t="str">
        <f>_xlfn.DISPIMG("ID_7D94F98EB3D041FA910044FDF5DF1027",1)</f>
        <v>=DISPIMG("ID_7D94F98EB3D041FA910044FDF5DF1027",1)</v>
      </c>
      <c r="Q381" s="25" t="s">
        <v>326</v>
      </c>
      <c r="R381" s="25">
        <v>20</v>
      </c>
      <c r="S381" s="40" t="s">
        <v>4654</v>
      </c>
      <c r="T381" s="18" t="s">
        <v>60</v>
      </c>
      <c r="U381" s="25">
        <v>19</v>
      </c>
      <c r="V381" s="84"/>
    </row>
    <row r="382" s="3" customFormat="1" customHeight="1" spans="1:22">
      <c r="A382" s="84">
        <v>9</v>
      </c>
      <c r="B382" s="175" t="s">
        <v>770</v>
      </c>
      <c r="C382" s="175" t="s">
        <v>165</v>
      </c>
      <c r="D382" s="175" t="s">
        <v>771</v>
      </c>
      <c r="E382" s="25">
        <v>13360075847</v>
      </c>
      <c r="F382" s="175" t="s">
        <v>156</v>
      </c>
      <c r="G382" s="175" t="s">
        <v>6</v>
      </c>
      <c r="H382" s="25">
        <v>202102012</v>
      </c>
      <c r="I382" s="175" t="s">
        <v>157</v>
      </c>
      <c r="J382" s="175" t="s">
        <v>773</v>
      </c>
      <c r="K382" s="175" t="s">
        <v>188</v>
      </c>
      <c r="L382" s="175" t="s">
        <v>160</v>
      </c>
      <c r="M382" s="175" t="s">
        <v>516</v>
      </c>
      <c r="N382" s="175" t="s">
        <v>774</v>
      </c>
      <c r="O382" s="175" t="s">
        <v>775</v>
      </c>
      <c r="P382" s="26" t="str">
        <f>_xlfn.DISPIMG("ID_F0D9772787374E2C95921274F505EDAD",1)</f>
        <v>=DISPIMG("ID_F0D9772787374E2C95921274F505EDAD",1)</v>
      </c>
      <c r="Q382" s="25" t="s">
        <v>776</v>
      </c>
      <c r="R382" s="25">
        <v>74</v>
      </c>
      <c r="S382" s="40" t="s">
        <v>4651</v>
      </c>
      <c r="T382" s="18" t="s">
        <v>60</v>
      </c>
      <c r="U382" s="25">
        <v>20</v>
      </c>
      <c r="V382" s="84"/>
    </row>
    <row r="383" s="3" customFormat="1" customHeight="1" spans="1:22">
      <c r="A383" s="84">
        <v>14</v>
      </c>
      <c r="B383" s="175" t="s">
        <v>1336</v>
      </c>
      <c r="C383" s="175" t="s">
        <v>165</v>
      </c>
      <c r="D383" s="175" t="s">
        <v>1337</v>
      </c>
      <c r="E383" s="25">
        <v>15827758062</v>
      </c>
      <c r="F383" s="175" t="s">
        <v>506</v>
      </c>
      <c r="G383" s="175" t="s">
        <v>6</v>
      </c>
      <c r="H383" s="25">
        <v>202102021</v>
      </c>
      <c r="I383" s="175" t="s">
        <v>157</v>
      </c>
      <c r="J383" s="175" t="s">
        <v>909</v>
      </c>
      <c r="K383" s="175" t="s">
        <v>323</v>
      </c>
      <c r="L383" s="175" t="s">
        <v>170</v>
      </c>
      <c r="M383" s="175" t="s">
        <v>235</v>
      </c>
      <c r="N383" s="175" t="s">
        <v>1339</v>
      </c>
      <c r="O383" s="175" t="s">
        <v>1340</v>
      </c>
      <c r="P383" s="26" t="str">
        <f>_xlfn.DISPIMG("ID_59602C342648425A87CF8C12540A5579",1)</f>
        <v>=DISPIMG("ID_59602C342648425A87CF8C12540A5579",1)</v>
      </c>
      <c r="Q383" s="25" t="s">
        <v>1341</v>
      </c>
      <c r="R383" s="25">
        <v>145</v>
      </c>
      <c r="S383" s="40" t="s">
        <v>4666</v>
      </c>
      <c r="T383" s="18" t="s">
        <v>60</v>
      </c>
      <c r="U383" s="25">
        <v>21</v>
      </c>
      <c r="V383" s="84"/>
    </row>
    <row r="384" s="3" customFormat="1" customHeight="1" spans="1:22">
      <c r="A384" s="84">
        <v>19</v>
      </c>
      <c r="B384" s="175" t="s">
        <v>2316</v>
      </c>
      <c r="C384" s="175" t="s">
        <v>165</v>
      </c>
      <c r="D384" s="175" t="s">
        <v>2317</v>
      </c>
      <c r="E384" s="25">
        <v>18790256284</v>
      </c>
      <c r="F384" s="175" t="s">
        <v>156</v>
      </c>
      <c r="G384" s="175" t="s">
        <v>6</v>
      </c>
      <c r="H384" s="25">
        <v>202102012</v>
      </c>
      <c r="I384" s="175" t="s">
        <v>157</v>
      </c>
      <c r="J384" s="175" t="s">
        <v>403</v>
      </c>
      <c r="K384" s="175" t="s">
        <v>207</v>
      </c>
      <c r="L384" s="175" t="s">
        <v>160</v>
      </c>
      <c r="M384" s="175" t="s">
        <v>161</v>
      </c>
      <c r="N384" s="175" t="s">
        <v>1156</v>
      </c>
      <c r="O384" s="175" t="s">
        <v>2319</v>
      </c>
      <c r="P384" s="26" t="str">
        <f>_xlfn.DISPIMG("ID_CE4D4038789D4DF1AB53AB5B07B379E6",1)</f>
        <v>=DISPIMG("ID_CE4D4038789D4DF1AB53AB5B07B379E6",1)</v>
      </c>
      <c r="Q384" s="25" t="s">
        <v>2320</v>
      </c>
      <c r="R384" s="25">
        <v>274</v>
      </c>
      <c r="S384" s="40" t="s">
        <v>4671</v>
      </c>
      <c r="T384" s="18" t="s">
        <v>60</v>
      </c>
      <c r="U384" s="25">
        <v>22</v>
      </c>
      <c r="V384" s="84"/>
    </row>
    <row r="385" s="3" customFormat="1" customHeight="1" spans="1:22">
      <c r="A385" s="84">
        <v>24</v>
      </c>
      <c r="B385" s="175" t="s">
        <v>3091</v>
      </c>
      <c r="C385" s="175" t="s">
        <v>165</v>
      </c>
      <c r="D385" s="175" t="s">
        <v>3092</v>
      </c>
      <c r="E385" s="25">
        <v>18679162461</v>
      </c>
      <c r="F385" s="175" t="s">
        <v>156</v>
      </c>
      <c r="G385" s="175" t="s">
        <v>6</v>
      </c>
      <c r="H385" s="25">
        <v>202102012</v>
      </c>
      <c r="I385" s="175" t="s">
        <v>157</v>
      </c>
      <c r="J385" s="175" t="s">
        <v>3094</v>
      </c>
      <c r="K385" s="175" t="s">
        <v>3095</v>
      </c>
      <c r="L385" s="175" t="s">
        <v>160</v>
      </c>
      <c r="M385" s="175" t="s">
        <v>171</v>
      </c>
      <c r="N385" s="175" t="s">
        <v>18</v>
      </c>
      <c r="O385" s="175" t="s">
        <v>3096</v>
      </c>
      <c r="P385" s="26" t="str">
        <f>_xlfn.DISPIMG("ID_26230D3A7A254FB387523A67FAC705F7",1)</f>
        <v>=DISPIMG("ID_26230D3A7A254FB387523A67FAC705F7",1)</v>
      </c>
      <c r="Q385" s="25" t="s">
        <v>3097</v>
      </c>
      <c r="R385" s="25">
        <v>382</v>
      </c>
      <c r="S385" s="40" t="s">
        <v>4676</v>
      </c>
      <c r="T385" s="18" t="s">
        <v>60</v>
      </c>
      <c r="U385" s="25">
        <v>23</v>
      </c>
      <c r="V385" s="84"/>
    </row>
    <row r="386" s="3" customFormat="1" customHeight="1" spans="1:22">
      <c r="A386" s="84">
        <v>29</v>
      </c>
      <c r="B386" s="175" t="s">
        <v>3466</v>
      </c>
      <c r="C386" s="175" t="s">
        <v>165</v>
      </c>
      <c r="D386" s="175" t="s">
        <v>3467</v>
      </c>
      <c r="E386" s="25">
        <v>15879126790</v>
      </c>
      <c r="F386" s="175" t="s">
        <v>156</v>
      </c>
      <c r="G386" s="175" t="s">
        <v>6</v>
      </c>
      <c r="H386" s="25">
        <v>202102012</v>
      </c>
      <c r="I386" s="175" t="s">
        <v>157</v>
      </c>
      <c r="J386" s="175" t="s">
        <v>901</v>
      </c>
      <c r="K386" s="175" t="s">
        <v>188</v>
      </c>
      <c r="L386" s="175" t="s">
        <v>160</v>
      </c>
      <c r="M386" s="175" t="s">
        <v>281</v>
      </c>
      <c r="N386" s="175" t="s">
        <v>1579</v>
      </c>
      <c r="O386" s="175" t="s">
        <v>3469</v>
      </c>
      <c r="P386" s="26" t="str">
        <f>_xlfn.DISPIMG("ID_F4E1B2AC46944606B0ACE14F8CC9918C",1)</f>
        <v>=DISPIMG("ID_F4E1B2AC46944606B0ACE14F8CC9918C",1)</v>
      </c>
      <c r="Q386" s="25" t="s">
        <v>3470</v>
      </c>
      <c r="R386" s="25">
        <v>438</v>
      </c>
      <c r="S386" s="40" t="s">
        <v>4681</v>
      </c>
      <c r="T386" s="18" t="s">
        <v>60</v>
      </c>
      <c r="U386" s="25">
        <v>24</v>
      </c>
      <c r="V386" s="84"/>
    </row>
    <row r="387" s="3" customFormat="1" customHeight="1" spans="1:22">
      <c r="A387" s="84">
        <v>30</v>
      </c>
      <c r="B387" s="175" t="s">
        <v>3630</v>
      </c>
      <c r="C387" s="175" t="s">
        <v>153</v>
      </c>
      <c r="D387" s="175" t="s">
        <v>3631</v>
      </c>
      <c r="E387" s="25">
        <v>19979468695</v>
      </c>
      <c r="F387" s="175" t="s">
        <v>506</v>
      </c>
      <c r="G387" s="175" t="s">
        <v>6</v>
      </c>
      <c r="H387" s="25">
        <v>202102021</v>
      </c>
      <c r="I387" s="175" t="s">
        <v>157</v>
      </c>
      <c r="J387" s="175" t="s">
        <v>3633</v>
      </c>
      <c r="K387" s="175" t="s">
        <v>323</v>
      </c>
      <c r="L387" s="175" t="s">
        <v>170</v>
      </c>
      <c r="M387" s="175" t="s">
        <v>171</v>
      </c>
      <c r="N387" s="175" t="s">
        <v>3634</v>
      </c>
      <c r="O387" s="175" t="s">
        <v>3635</v>
      </c>
      <c r="P387" s="26" t="str">
        <f>_xlfn.DISPIMG("ID_7CE83E02BD574BEF88ED6441327C41EF",1)</f>
        <v>=DISPIMG("ID_7CE83E02BD574BEF88ED6441327C41EF",1)</v>
      </c>
      <c r="Q387" s="25" t="s">
        <v>3636</v>
      </c>
      <c r="R387" s="25">
        <v>462</v>
      </c>
      <c r="S387" s="40" t="s">
        <v>4682</v>
      </c>
      <c r="T387" s="18" t="s">
        <v>60</v>
      </c>
      <c r="U387" s="25">
        <v>25</v>
      </c>
      <c r="V387" s="84"/>
    </row>
    <row r="388" s="3" customFormat="1" customHeight="1" spans="1:22">
      <c r="A388" s="84">
        <v>25</v>
      </c>
      <c r="B388" s="175" t="s">
        <v>3123</v>
      </c>
      <c r="C388" s="175" t="s">
        <v>165</v>
      </c>
      <c r="D388" s="175" t="s">
        <v>3124</v>
      </c>
      <c r="E388" s="25">
        <v>19979611731</v>
      </c>
      <c r="F388" s="175" t="s">
        <v>156</v>
      </c>
      <c r="G388" s="175" t="s">
        <v>6</v>
      </c>
      <c r="H388" s="25">
        <v>202102012</v>
      </c>
      <c r="I388" s="175" t="s">
        <v>157</v>
      </c>
      <c r="J388" s="175" t="s">
        <v>3126</v>
      </c>
      <c r="K388" s="175" t="s">
        <v>404</v>
      </c>
      <c r="L388" s="175" t="s">
        <v>160</v>
      </c>
      <c r="M388" s="175" t="s">
        <v>199</v>
      </c>
      <c r="N388" s="175" t="s">
        <v>18</v>
      </c>
      <c r="O388" s="25">
        <v>0</v>
      </c>
      <c r="P388" s="26" t="str">
        <f>_xlfn.DISPIMG("ID_A2488CA19AE844B4BBFD68619FFEAA1D",1)</f>
        <v>=DISPIMG("ID_A2488CA19AE844B4BBFD68619FFEAA1D",1)</v>
      </c>
      <c r="Q388" s="25" t="s">
        <v>3127</v>
      </c>
      <c r="R388" s="25">
        <v>386</v>
      </c>
      <c r="S388" s="40" t="s">
        <v>4677</v>
      </c>
      <c r="T388" s="18" t="s">
        <v>60</v>
      </c>
      <c r="U388" s="25">
        <v>26</v>
      </c>
      <c r="V388" s="84"/>
    </row>
    <row r="389" s="3" customFormat="1" customHeight="1" spans="1:22">
      <c r="A389" s="84">
        <v>20</v>
      </c>
      <c r="B389" s="175" t="s">
        <v>2643</v>
      </c>
      <c r="C389" s="175" t="s">
        <v>165</v>
      </c>
      <c r="D389" s="175" t="s">
        <v>2644</v>
      </c>
      <c r="E389" s="25">
        <v>15779267017</v>
      </c>
      <c r="F389" s="175" t="s">
        <v>156</v>
      </c>
      <c r="G389" s="175" t="s">
        <v>6</v>
      </c>
      <c r="H389" s="25">
        <v>202102012</v>
      </c>
      <c r="I389" s="175" t="s">
        <v>157</v>
      </c>
      <c r="J389" s="175" t="s">
        <v>2646</v>
      </c>
      <c r="K389" s="175" t="s">
        <v>2647</v>
      </c>
      <c r="L389" s="175" t="s">
        <v>160</v>
      </c>
      <c r="M389" s="175" t="s">
        <v>306</v>
      </c>
      <c r="N389" s="175" t="s">
        <v>18</v>
      </c>
      <c r="O389" s="175" t="s">
        <v>2648</v>
      </c>
      <c r="P389" s="26" t="str">
        <f>_xlfn.DISPIMG("ID_5444703683DB4591A53B76ECB3D8FAE4",1)</f>
        <v>=DISPIMG("ID_5444703683DB4591A53B76ECB3D8FAE4",1)</v>
      </c>
      <c r="Q389" s="25" t="s">
        <v>2649</v>
      </c>
      <c r="R389" s="25">
        <v>318</v>
      </c>
      <c r="S389" s="40" t="s">
        <v>4672</v>
      </c>
      <c r="T389" s="18" t="s">
        <v>60</v>
      </c>
      <c r="U389" s="25">
        <v>27</v>
      </c>
      <c r="V389" s="84"/>
    </row>
    <row r="390" s="3" customFormat="1" customHeight="1" spans="1:22">
      <c r="A390" s="84">
        <v>15</v>
      </c>
      <c r="B390" s="175" t="s">
        <v>1622</v>
      </c>
      <c r="C390" s="175" t="s">
        <v>165</v>
      </c>
      <c r="D390" s="175" t="s">
        <v>1623</v>
      </c>
      <c r="E390" s="25">
        <v>15170969760</v>
      </c>
      <c r="F390" s="175" t="s">
        <v>506</v>
      </c>
      <c r="G390" s="175" t="s">
        <v>6</v>
      </c>
      <c r="H390" s="25">
        <v>202102021</v>
      </c>
      <c r="I390" s="175" t="s">
        <v>157</v>
      </c>
      <c r="J390" s="175" t="s">
        <v>1625</v>
      </c>
      <c r="K390" s="175" t="s">
        <v>750</v>
      </c>
      <c r="L390" s="175" t="s">
        <v>160</v>
      </c>
      <c r="M390" s="175" t="s">
        <v>1089</v>
      </c>
      <c r="N390" s="175" t="s">
        <v>6</v>
      </c>
      <c r="O390" s="175" t="s">
        <v>1626</v>
      </c>
      <c r="P390" s="26" t="str">
        <f>_xlfn.DISPIMG("ID_F5B5B7553FD14A38A3CEAB4A3171FC0C",1)</f>
        <v>=DISPIMG("ID_F5B5B7553FD14A38A3CEAB4A3171FC0C",1)</v>
      </c>
      <c r="Q390" s="25" t="s">
        <v>1627</v>
      </c>
      <c r="R390" s="25">
        <v>182</v>
      </c>
      <c r="S390" s="40" t="s">
        <v>4667</v>
      </c>
      <c r="T390" s="18" t="s">
        <v>60</v>
      </c>
      <c r="U390" s="25">
        <v>28</v>
      </c>
      <c r="V390" s="84"/>
    </row>
    <row r="391" s="3" customFormat="1" customHeight="1" spans="1:22">
      <c r="A391" s="84">
        <v>10</v>
      </c>
      <c r="B391" s="175" t="s">
        <v>1076</v>
      </c>
      <c r="C391" s="175" t="s">
        <v>165</v>
      </c>
      <c r="D391" s="175" t="s">
        <v>1077</v>
      </c>
      <c r="E391" s="25">
        <v>18870203440</v>
      </c>
      <c r="F391" s="175" t="s">
        <v>156</v>
      </c>
      <c r="G391" s="175" t="s">
        <v>6</v>
      </c>
      <c r="H391" s="25">
        <v>202102012</v>
      </c>
      <c r="I391" s="175" t="s">
        <v>157</v>
      </c>
      <c r="J391" s="175" t="s">
        <v>1079</v>
      </c>
      <c r="K391" s="175" t="s">
        <v>1080</v>
      </c>
      <c r="L391" s="175" t="s">
        <v>160</v>
      </c>
      <c r="M391" s="175" t="s">
        <v>235</v>
      </c>
      <c r="N391" s="175" t="s">
        <v>413</v>
      </c>
      <c r="O391" s="175" t="s">
        <v>1081</v>
      </c>
      <c r="P391" s="26" t="str">
        <f>_xlfn.DISPIMG("ID_78C412614C7B42A0AA2A4D942DD9F1A2",1)</f>
        <v>=DISPIMG("ID_78C412614C7B42A0AA2A4D942DD9F1A2",1)</v>
      </c>
      <c r="Q391" s="25" t="s">
        <v>1082</v>
      </c>
      <c r="R391" s="25">
        <v>112</v>
      </c>
      <c r="S391" s="40" t="s">
        <v>4656</v>
      </c>
      <c r="T391" s="18" t="s">
        <v>60</v>
      </c>
      <c r="U391" s="25">
        <v>29</v>
      </c>
      <c r="V391" s="84"/>
    </row>
    <row r="392" s="3" customFormat="1" customHeight="1" spans="1:22">
      <c r="A392" s="84">
        <v>5</v>
      </c>
      <c r="B392" s="175" t="s">
        <v>400</v>
      </c>
      <c r="C392" s="175" t="s">
        <v>165</v>
      </c>
      <c r="D392" s="175" t="s">
        <v>401</v>
      </c>
      <c r="E392" s="25">
        <v>18279242907</v>
      </c>
      <c r="F392" s="175" t="s">
        <v>156</v>
      </c>
      <c r="G392" s="175" t="s">
        <v>6</v>
      </c>
      <c r="H392" s="25">
        <v>202102012</v>
      </c>
      <c r="I392" s="175" t="s">
        <v>157</v>
      </c>
      <c r="J392" s="175" t="s">
        <v>403</v>
      </c>
      <c r="K392" s="175" t="s">
        <v>404</v>
      </c>
      <c r="L392" s="175" t="s">
        <v>160</v>
      </c>
      <c r="M392" s="175" t="s">
        <v>252</v>
      </c>
      <c r="N392" s="175" t="s">
        <v>6</v>
      </c>
      <c r="O392" s="175" t="s">
        <v>405</v>
      </c>
      <c r="P392" s="26" t="str">
        <f>_xlfn.DISPIMG("ID_CF4959AF4AC44C8391DB8D257F1D8B87",1)</f>
        <v>=DISPIMG("ID_CF4959AF4AC44C8391DB8D257F1D8B87",1)</v>
      </c>
      <c r="Q392" s="25" t="s">
        <v>406</v>
      </c>
      <c r="R392" s="25">
        <v>29</v>
      </c>
      <c r="S392" s="40" t="s">
        <v>4655</v>
      </c>
      <c r="T392" s="18" t="s">
        <v>60</v>
      </c>
      <c r="U392" s="25">
        <v>30</v>
      </c>
      <c r="V392" s="84"/>
    </row>
    <row r="393" s="3" customFormat="1" customHeight="1" spans="1:22">
      <c r="A393" s="84">
        <v>6</v>
      </c>
      <c r="B393" s="175" t="s">
        <v>4058</v>
      </c>
      <c r="C393" s="175" t="s">
        <v>165</v>
      </c>
      <c r="D393" s="175" t="s">
        <v>4059</v>
      </c>
      <c r="E393" s="25">
        <v>15679268911</v>
      </c>
      <c r="F393" s="175" t="s">
        <v>156</v>
      </c>
      <c r="G393" s="175" t="s">
        <v>6</v>
      </c>
      <c r="H393" s="25">
        <v>202102022</v>
      </c>
      <c r="I393" s="175" t="s">
        <v>157</v>
      </c>
      <c r="J393" s="175" t="s">
        <v>3054</v>
      </c>
      <c r="K393" s="175" t="s">
        <v>404</v>
      </c>
      <c r="L393" s="175" t="s">
        <v>160</v>
      </c>
      <c r="M393" s="175" t="s">
        <v>261</v>
      </c>
      <c r="N393" s="175" t="s">
        <v>4061</v>
      </c>
      <c r="O393" s="25">
        <v>0</v>
      </c>
      <c r="P393" s="26" t="str">
        <f>_xlfn.DISPIMG("ID_9ECCE1798899427AA809C16B6659E359",1)</f>
        <v>=DISPIMG("ID_9ECCE1798899427AA809C16B6659E359",1)</v>
      </c>
      <c r="Q393" s="25" t="s">
        <v>4062</v>
      </c>
      <c r="R393" s="25">
        <v>519</v>
      </c>
      <c r="S393" s="40" t="s">
        <v>4688</v>
      </c>
      <c r="T393" s="18" t="s">
        <v>62</v>
      </c>
      <c r="U393" s="25">
        <v>1</v>
      </c>
      <c r="V393" s="84"/>
    </row>
    <row r="394" s="3" customFormat="1" customHeight="1" spans="1:22">
      <c r="A394" s="84">
        <v>5</v>
      </c>
      <c r="B394" s="175" t="s">
        <v>3895</v>
      </c>
      <c r="C394" s="175" t="s">
        <v>165</v>
      </c>
      <c r="D394" s="175" t="s">
        <v>3896</v>
      </c>
      <c r="E394" s="25">
        <v>17859733350</v>
      </c>
      <c r="F394" s="175" t="s">
        <v>156</v>
      </c>
      <c r="G394" s="175" t="s">
        <v>6</v>
      </c>
      <c r="H394" s="25">
        <v>202102012</v>
      </c>
      <c r="I394" s="175" t="s">
        <v>157</v>
      </c>
      <c r="J394" s="175" t="s">
        <v>3898</v>
      </c>
      <c r="K394" s="175" t="s">
        <v>3784</v>
      </c>
      <c r="L394" s="175" t="s">
        <v>160</v>
      </c>
      <c r="M394" s="175" t="s">
        <v>235</v>
      </c>
      <c r="N394" s="175" t="s">
        <v>3899</v>
      </c>
      <c r="O394" s="175" t="s">
        <v>3900</v>
      </c>
      <c r="P394" s="26" t="str">
        <f>_xlfn.DISPIMG("ID_BC241117C250469C89F85CEC4B64E8AA",1)</f>
        <v>=DISPIMG("ID_BC241117C250469C89F85CEC4B64E8AA",1)</v>
      </c>
      <c r="Q394" s="25" t="s">
        <v>3901</v>
      </c>
      <c r="R394" s="25">
        <v>497</v>
      </c>
      <c r="S394" s="40" t="s">
        <v>4687</v>
      </c>
      <c r="T394" s="18" t="s">
        <v>62</v>
      </c>
      <c r="U394" s="25">
        <v>2</v>
      </c>
      <c r="V394" s="84"/>
    </row>
    <row r="395" s="3" customFormat="1" customHeight="1" spans="1:22">
      <c r="A395" s="84">
        <v>4</v>
      </c>
      <c r="B395" s="175" t="s">
        <v>3797</v>
      </c>
      <c r="C395" s="175" t="s">
        <v>165</v>
      </c>
      <c r="D395" s="175" t="s">
        <v>3798</v>
      </c>
      <c r="E395" s="25">
        <v>15879245873</v>
      </c>
      <c r="F395" s="175" t="s">
        <v>506</v>
      </c>
      <c r="G395" s="175" t="s">
        <v>6</v>
      </c>
      <c r="H395" s="25">
        <v>202102021</v>
      </c>
      <c r="I395" s="175" t="s">
        <v>157</v>
      </c>
      <c r="J395" s="175" t="s">
        <v>158</v>
      </c>
      <c r="K395" s="175" t="s">
        <v>188</v>
      </c>
      <c r="L395" s="175" t="s">
        <v>160</v>
      </c>
      <c r="M395" s="175" t="s">
        <v>306</v>
      </c>
      <c r="N395" s="175" t="s">
        <v>3800</v>
      </c>
      <c r="O395" s="25">
        <v>0</v>
      </c>
      <c r="P395" s="26" t="str">
        <f>_xlfn.DISPIMG("ID_B80DCC3A028B4FB2A6977287EC2BFAD8",1)</f>
        <v>=DISPIMG("ID_B80DCC3A028B4FB2A6977287EC2BFAD8",1)</v>
      </c>
      <c r="Q395" s="25" t="s">
        <v>3801</v>
      </c>
      <c r="R395" s="25">
        <v>484</v>
      </c>
      <c r="S395" s="40" t="s">
        <v>4686</v>
      </c>
      <c r="T395" s="18" t="s">
        <v>62</v>
      </c>
      <c r="U395" s="25">
        <v>3</v>
      </c>
      <c r="V395" s="84"/>
    </row>
    <row r="396" s="3" customFormat="1" customHeight="1" spans="1:22">
      <c r="A396" s="84">
        <v>3</v>
      </c>
      <c r="B396" s="175" t="s">
        <v>3780</v>
      </c>
      <c r="C396" s="175" t="s">
        <v>165</v>
      </c>
      <c r="D396" s="175" t="s">
        <v>3781</v>
      </c>
      <c r="E396" s="25">
        <v>18372112404</v>
      </c>
      <c r="F396" s="175" t="s">
        <v>156</v>
      </c>
      <c r="G396" s="175" t="s">
        <v>6</v>
      </c>
      <c r="H396" s="25">
        <v>202102012</v>
      </c>
      <c r="I396" s="175" t="s">
        <v>157</v>
      </c>
      <c r="J396" s="175" t="s">
        <v>3783</v>
      </c>
      <c r="K396" s="175" t="s">
        <v>3784</v>
      </c>
      <c r="L396" s="175" t="s">
        <v>160</v>
      </c>
      <c r="M396" s="175" t="s">
        <v>252</v>
      </c>
      <c r="N396" s="175" t="s">
        <v>6</v>
      </c>
      <c r="O396" s="175" t="s">
        <v>3785</v>
      </c>
      <c r="P396" s="26" t="str">
        <f>_xlfn.DISPIMG("ID_D2BC3DB6B6B24D07A1729D0ECE731594",1)</f>
        <v>=DISPIMG("ID_D2BC3DB6B6B24D07A1729D0ECE731594",1)</v>
      </c>
      <c r="Q396" s="25" t="s">
        <v>3786</v>
      </c>
      <c r="R396" s="25">
        <v>482</v>
      </c>
      <c r="S396" s="40" t="s">
        <v>4685</v>
      </c>
      <c r="T396" s="18" t="s">
        <v>62</v>
      </c>
      <c r="U396" s="25">
        <v>4</v>
      </c>
      <c r="V396" s="84"/>
    </row>
    <row r="397" s="3" customFormat="1" customHeight="1" spans="1:22">
      <c r="A397" s="84">
        <v>2</v>
      </c>
      <c r="B397" s="175" t="s">
        <v>3758</v>
      </c>
      <c r="C397" s="175" t="s">
        <v>165</v>
      </c>
      <c r="D397" s="175" t="s">
        <v>3759</v>
      </c>
      <c r="E397" s="25">
        <v>15946993908</v>
      </c>
      <c r="F397" s="175" t="s">
        <v>156</v>
      </c>
      <c r="G397" s="175" t="s">
        <v>6</v>
      </c>
      <c r="H397" s="25">
        <v>202102012</v>
      </c>
      <c r="I397" s="175" t="s">
        <v>157</v>
      </c>
      <c r="J397" s="175" t="s">
        <v>3761</v>
      </c>
      <c r="K397" s="175" t="s">
        <v>404</v>
      </c>
      <c r="L397" s="175" t="s">
        <v>160</v>
      </c>
      <c r="M397" s="175" t="s">
        <v>252</v>
      </c>
      <c r="N397" s="175" t="s">
        <v>6</v>
      </c>
      <c r="O397" s="175" t="s">
        <v>3762</v>
      </c>
      <c r="P397" s="26" t="str">
        <f>_xlfn.DISPIMG("ID_C2F02D4F7B2D4545A16075F83680F752",1)</f>
        <v>=DISPIMG("ID_C2F02D4F7B2D4545A16075F83680F752",1)</v>
      </c>
      <c r="Q397" s="25" t="s">
        <v>3763</v>
      </c>
      <c r="R397" s="25">
        <v>479</v>
      </c>
      <c r="S397" s="40" t="s">
        <v>4684</v>
      </c>
      <c r="T397" s="18" t="s">
        <v>62</v>
      </c>
      <c r="U397" s="25">
        <v>5</v>
      </c>
      <c r="V397" s="84"/>
    </row>
    <row r="398" s="4" customFormat="1" customHeight="1" spans="1:22">
      <c r="A398" s="84">
        <v>1</v>
      </c>
      <c r="B398" s="175" t="s">
        <v>3743</v>
      </c>
      <c r="C398" s="175" t="s">
        <v>165</v>
      </c>
      <c r="D398" s="175" t="s">
        <v>3744</v>
      </c>
      <c r="E398" s="25">
        <v>15679201300</v>
      </c>
      <c r="F398" s="175" t="s">
        <v>156</v>
      </c>
      <c r="G398" s="175" t="s">
        <v>6</v>
      </c>
      <c r="H398" s="25">
        <v>202102012</v>
      </c>
      <c r="I398" s="175" t="s">
        <v>157</v>
      </c>
      <c r="J398" s="175" t="s">
        <v>437</v>
      </c>
      <c r="K398" s="175" t="s">
        <v>3746</v>
      </c>
      <c r="L398" s="175" t="s">
        <v>160</v>
      </c>
      <c r="M398" s="175" t="s">
        <v>216</v>
      </c>
      <c r="N398" s="175" t="s">
        <v>18</v>
      </c>
      <c r="O398" s="175" t="s">
        <v>3747</v>
      </c>
      <c r="P398" s="26" t="str">
        <f>_xlfn.DISPIMG("ID_B41ADE81115D4115B428E62357BC8F70",1)</f>
        <v>=DISPIMG("ID_B41ADE81115D4115B428E62357BC8F70",1)</v>
      </c>
      <c r="Q398" s="25" t="s">
        <v>3748</v>
      </c>
      <c r="R398" s="25">
        <v>477</v>
      </c>
      <c r="S398" s="40" t="s">
        <v>4683</v>
      </c>
      <c r="T398" s="18" t="s">
        <v>62</v>
      </c>
      <c r="U398" s="25">
        <v>6</v>
      </c>
      <c r="V398" s="84"/>
    </row>
    <row r="399" s="3" customFormat="1" customHeight="1" spans="1:22">
      <c r="A399" s="84">
        <v>7</v>
      </c>
      <c r="B399" s="175" t="s">
        <v>164</v>
      </c>
      <c r="C399" s="175" t="s">
        <v>165</v>
      </c>
      <c r="D399" s="175" t="s">
        <v>166</v>
      </c>
      <c r="E399" s="25">
        <v>15879299279</v>
      </c>
      <c r="F399" s="175" t="s">
        <v>156</v>
      </c>
      <c r="G399" s="175" t="s">
        <v>4</v>
      </c>
      <c r="H399" s="25">
        <v>202102005</v>
      </c>
      <c r="I399" s="175" t="s">
        <v>157</v>
      </c>
      <c r="J399" s="175" t="s">
        <v>168</v>
      </c>
      <c r="K399" s="175" t="s">
        <v>169</v>
      </c>
      <c r="L399" s="175" t="s">
        <v>170</v>
      </c>
      <c r="M399" s="175" t="s">
        <v>171</v>
      </c>
      <c r="N399" s="175" t="s">
        <v>4</v>
      </c>
      <c r="O399" s="25">
        <v>0</v>
      </c>
      <c r="P399" s="26" t="str">
        <f>_xlfn.DISPIMG("ID_7D4B330FD7544FC19CF8CAA4A42A6F11",1)</f>
        <v>=DISPIMG("ID_7D4B330FD7544FC19CF8CAA4A42A6F11",1)</v>
      </c>
      <c r="Q399" s="25" t="s">
        <v>172</v>
      </c>
      <c r="R399" s="25">
        <v>3</v>
      </c>
      <c r="S399" s="40" t="s">
        <v>4689</v>
      </c>
      <c r="T399" s="18" t="s">
        <v>62</v>
      </c>
      <c r="U399" s="25">
        <v>7</v>
      </c>
      <c r="V399" s="84"/>
    </row>
    <row r="400" s="3" customFormat="1" customHeight="1" spans="1:22">
      <c r="A400" s="84">
        <v>9</v>
      </c>
      <c r="B400" s="175" t="s">
        <v>1393</v>
      </c>
      <c r="C400" s="175" t="s">
        <v>165</v>
      </c>
      <c r="D400" s="175" t="s">
        <v>1394</v>
      </c>
      <c r="E400" s="25">
        <v>18807004721</v>
      </c>
      <c r="F400" s="175" t="s">
        <v>156</v>
      </c>
      <c r="G400" s="175" t="s">
        <v>4</v>
      </c>
      <c r="H400" s="25">
        <v>202102005</v>
      </c>
      <c r="I400" s="175" t="s">
        <v>157</v>
      </c>
      <c r="J400" s="175" t="s">
        <v>1396</v>
      </c>
      <c r="K400" s="175" t="s">
        <v>1397</v>
      </c>
      <c r="L400" s="175" t="s">
        <v>160</v>
      </c>
      <c r="M400" s="175" t="s">
        <v>548</v>
      </c>
      <c r="N400" s="175" t="s">
        <v>1398</v>
      </c>
      <c r="O400" s="175" t="s">
        <v>1399</v>
      </c>
      <c r="P400" s="26" t="str">
        <f>_xlfn.DISPIMG("ID_55E386EEE22A4F28AA3DFCB82607D0EC",1)</f>
        <v>=DISPIMG("ID_55E386EEE22A4F28AA3DFCB82607D0EC",1)</v>
      </c>
      <c r="Q400" s="25" t="s">
        <v>1400</v>
      </c>
      <c r="R400" s="25">
        <v>153</v>
      </c>
      <c r="S400" s="40" t="s">
        <v>4691</v>
      </c>
      <c r="T400" s="18" t="s">
        <v>62</v>
      </c>
      <c r="U400" s="25">
        <v>8</v>
      </c>
      <c r="V400" s="70"/>
    </row>
    <row r="401" s="3" customFormat="1" customHeight="1" spans="1:22">
      <c r="A401" s="84">
        <v>11</v>
      </c>
      <c r="B401" s="175" t="s">
        <v>1882</v>
      </c>
      <c r="C401" s="175" t="s">
        <v>165</v>
      </c>
      <c r="D401" s="175" t="s">
        <v>1883</v>
      </c>
      <c r="E401" s="25">
        <v>19807985498</v>
      </c>
      <c r="F401" s="175" t="s">
        <v>156</v>
      </c>
      <c r="G401" s="175" t="s">
        <v>4</v>
      </c>
      <c r="H401" s="25">
        <v>202102005</v>
      </c>
      <c r="I401" s="175" t="s">
        <v>279</v>
      </c>
      <c r="J401" s="175" t="s">
        <v>269</v>
      </c>
      <c r="K401" s="175" t="s">
        <v>1088</v>
      </c>
      <c r="L401" s="175" t="s">
        <v>170</v>
      </c>
      <c r="M401" s="175" t="s">
        <v>171</v>
      </c>
      <c r="N401" s="175" t="s">
        <v>1885</v>
      </c>
      <c r="O401" s="175" t="s">
        <v>1886</v>
      </c>
      <c r="P401" s="26" t="str">
        <f>_xlfn.DISPIMG("ID_D29EC84107E94871B7B70E677BC40AB8",1)</f>
        <v>=DISPIMG("ID_D29EC84107E94871B7B70E677BC40AB8",1)</v>
      </c>
      <c r="Q401" s="25" t="s">
        <v>1887</v>
      </c>
      <c r="R401" s="25">
        <v>216</v>
      </c>
      <c r="S401" s="40" t="s">
        <v>4693</v>
      </c>
      <c r="T401" s="18" t="s">
        <v>62</v>
      </c>
      <c r="U401" s="25">
        <v>9</v>
      </c>
      <c r="V401" s="84"/>
    </row>
    <row r="402" s="3" customFormat="1" customHeight="1" spans="1:22">
      <c r="A402" s="84">
        <v>13</v>
      </c>
      <c r="B402" s="175" t="s">
        <v>3586</v>
      </c>
      <c r="C402" s="175" t="s">
        <v>165</v>
      </c>
      <c r="D402" s="175" t="s">
        <v>3587</v>
      </c>
      <c r="E402" s="25">
        <v>13970222797</v>
      </c>
      <c r="F402" s="175" t="s">
        <v>156</v>
      </c>
      <c r="G402" s="175" t="s">
        <v>4</v>
      </c>
      <c r="H402" s="25">
        <v>202102006</v>
      </c>
      <c r="I402" s="175" t="s">
        <v>157</v>
      </c>
      <c r="J402" s="175" t="s">
        <v>158</v>
      </c>
      <c r="K402" s="175" t="s">
        <v>3589</v>
      </c>
      <c r="L402" s="175" t="s">
        <v>160</v>
      </c>
      <c r="M402" s="175" t="s">
        <v>235</v>
      </c>
      <c r="N402" s="175" t="s">
        <v>4</v>
      </c>
      <c r="O402" s="175" t="s">
        <v>3590</v>
      </c>
      <c r="P402" s="26" t="str">
        <f>_xlfn.DISPIMG("ID_1E4E55AF2274433A8809E53B95627C78",1)</f>
        <v>=DISPIMG("ID_1E4E55AF2274433A8809E53B95627C78",1)</v>
      </c>
      <c r="Q402" s="25" t="s">
        <v>3591</v>
      </c>
      <c r="R402" s="25">
        <v>456</v>
      </c>
      <c r="S402" s="40" t="s">
        <v>4695</v>
      </c>
      <c r="T402" s="18" t="s">
        <v>62</v>
      </c>
      <c r="U402" s="25">
        <v>10</v>
      </c>
      <c r="V402" s="84"/>
    </row>
    <row r="403" s="3" customFormat="1" customHeight="1" spans="1:22">
      <c r="A403" s="84">
        <v>15</v>
      </c>
      <c r="B403" s="175" t="s">
        <v>3817</v>
      </c>
      <c r="C403" s="175" t="s">
        <v>165</v>
      </c>
      <c r="D403" s="175" t="s">
        <v>3818</v>
      </c>
      <c r="E403" s="25">
        <v>13002997695</v>
      </c>
      <c r="F403" s="175" t="s">
        <v>156</v>
      </c>
      <c r="G403" s="175" t="s">
        <v>4</v>
      </c>
      <c r="H403" s="25">
        <v>202102005</v>
      </c>
      <c r="I403" s="175" t="s">
        <v>157</v>
      </c>
      <c r="J403" s="175" t="s">
        <v>3820</v>
      </c>
      <c r="K403" s="175" t="s">
        <v>3821</v>
      </c>
      <c r="L403" s="175" t="s">
        <v>160</v>
      </c>
      <c r="M403" s="175" t="s">
        <v>199</v>
      </c>
      <c r="N403" s="175" t="s">
        <v>4</v>
      </c>
      <c r="O403" s="175" t="s">
        <v>3822</v>
      </c>
      <c r="P403" s="26" t="str">
        <f>_xlfn.DISPIMG("ID_F12BD6FEE7C74060A499738E5A967A51",1)</f>
        <v>=DISPIMG("ID_F12BD6FEE7C74060A499738E5A967A51",1)</v>
      </c>
      <c r="Q403" s="25" t="s">
        <v>3823</v>
      </c>
      <c r="R403" s="25">
        <v>487</v>
      </c>
      <c r="S403" s="40" t="s">
        <v>4697</v>
      </c>
      <c r="T403" s="18" t="s">
        <v>62</v>
      </c>
      <c r="U403" s="25">
        <v>11</v>
      </c>
      <c r="V403" s="84"/>
    </row>
    <row r="404" s="3" customFormat="1" customHeight="1" spans="1:22">
      <c r="A404" s="84">
        <v>17</v>
      </c>
      <c r="B404" s="175" t="s">
        <v>3962</v>
      </c>
      <c r="C404" s="175" t="s">
        <v>165</v>
      </c>
      <c r="D404" s="175" t="s">
        <v>3963</v>
      </c>
      <c r="E404" s="25">
        <v>18870866549</v>
      </c>
      <c r="F404" s="175" t="s">
        <v>156</v>
      </c>
      <c r="G404" s="175" t="s">
        <v>4</v>
      </c>
      <c r="H404" s="25">
        <v>202102005</v>
      </c>
      <c r="I404" s="175" t="s">
        <v>157</v>
      </c>
      <c r="J404" s="175" t="s">
        <v>3965</v>
      </c>
      <c r="K404" s="175" t="s">
        <v>3966</v>
      </c>
      <c r="L404" s="175" t="s">
        <v>160</v>
      </c>
      <c r="M404" s="175" t="s">
        <v>216</v>
      </c>
      <c r="N404" s="175" t="s">
        <v>4</v>
      </c>
      <c r="O404" s="25">
        <v>0</v>
      </c>
      <c r="P404" s="26" t="str">
        <f>_xlfn.DISPIMG("ID_B16A7073492C47F799EB61B1BAB98F3E",1)</f>
        <v>=DISPIMG("ID_B16A7073492C47F799EB61B1BAB98F3E",1)</v>
      </c>
      <c r="Q404" s="25" t="s">
        <v>3967</v>
      </c>
      <c r="R404" s="25">
        <v>506</v>
      </c>
      <c r="S404" s="40" t="s">
        <v>4706</v>
      </c>
      <c r="T404" s="18" t="s">
        <v>62</v>
      </c>
      <c r="U404" s="25">
        <v>12</v>
      </c>
      <c r="V404" s="84"/>
    </row>
    <row r="405" s="3" customFormat="1" customHeight="1" spans="1:22">
      <c r="A405" s="84">
        <v>18</v>
      </c>
      <c r="B405" s="175" t="s">
        <v>4267</v>
      </c>
      <c r="C405" s="175" t="s">
        <v>165</v>
      </c>
      <c r="D405" s="175" t="s">
        <v>4268</v>
      </c>
      <c r="E405" s="25">
        <v>15979953990</v>
      </c>
      <c r="F405" s="175" t="s">
        <v>156</v>
      </c>
      <c r="G405" s="175" t="s">
        <v>4</v>
      </c>
      <c r="H405" s="25">
        <v>202102005</v>
      </c>
      <c r="I405" s="175" t="s">
        <v>279</v>
      </c>
      <c r="J405" s="175" t="s">
        <v>269</v>
      </c>
      <c r="K405" s="175" t="s">
        <v>1088</v>
      </c>
      <c r="L405" s="175" t="s">
        <v>170</v>
      </c>
      <c r="M405" s="175" t="s">
        <v>235</v>
      </c>
      <c r="N405" s="175" t="s">
        <v>4</v>
      </c>
      <c r="O405" s="25">
        <v>0</v>
      </c>
      <c r="P405" s="26" t="str">
        <f>_xlfn.DISPIMG("ID_6B663AA29D5341758E4C0EAB0E013B9E",1)</f>
        <v>=DISPIMG("ID_6B663AA29D5341758E4C0EAB0E013B9E",1)</v>
      </c>
      <c r="Q405" s="25" t="s">
        <v>4270</v>
      </c>
      <c r="R405" s="25">
        <v>546</v>
      </c>
      <c r="S405" s="40" t="s">
        <v>4711</v>
      </c>
      <c r="T405" s="18" t="s">
        <v>62</v>
      </c>
      <c r="U405" s="25">
        <v>13</v>
      </c>
      <c r="V405" s="84"/>
    </row>
    <row r="406" s="4" customFormat="1" customHeight="1" spans="1:22">
      <c r="A406" s="84">
        <v>16</v>
      </c>
      <c r="B406" s="175" t="s">
        <v>3940</v>
      </c>
      <c r="C406" s="175" t="s">
        <v>165</v>
      </c>
      <c r="D406" s="175" t="s">
        <v>3941</v>
      </c>
      <c r="E406" s="25">
        <v>13699503652</v>
      </c>
      <c r="F406" s="175" t="s">
        <v>156</v>
      </c>
      <c r="G406" s="175" t="s">
        <v>4</v>
      </c>
      <c r="H406" s="25">
        <v>202102005</v>
      </c>
      <c r="I406" s="175" t="s">
        <v>157</v>
      </c>
      <c r="J406" s="175" t="s">
        <v>385</v>
      </c>
      <c r="K406" s="175" t="s">
        <v>3943</v>
      </c>
      <c r="L406" s="175" t="s">
        <v>170</v>
      </c>
      <c r="M406" s="175" t="s">
        <v>180</v>
      </c>
      <c r="N406" s="175" t="s">
        <v>4</v>
      </c>
      <c r="O406" s="175" t="s">
        <v>3944</v>
      </c>
      <c r="P406" s="26" t="str">
        <f>_xlfn.DISPIMG("ID_5F49521312D540BAA0750C7E0D3B723B",1)</f>
        <v>=DISPIMG("ID_5F49521312D540BAA0750C7E0D3B723B",1)</v>
      </c>
      <c r="Q406" s="25" t="s">
        <v>3945</v>
      </c>
      <c r="R406" s="25">
        <v>503</v>
      </c>
      <c r="S406" s="40" t="s">
        <v>4701</v>
      </c>
      <c r="T406" s="18" t="s">
        <v>62</v>
      </c>
      <c r="U406" s="25">
        <v>14</v>
      </c>
      <c r="V406" s="84"/>
    </row>
    <row r="407" s="3" customFormat="1" customHeight="1" spans="1:22">
      <c r="A407" s="84">
        <v>14</v>
      </c>
      <c r="B407" s="175" t="s">
        <v>3655</v>
      </c>
      <c r="C407" s="175" t="s">
        <v>153</v>
      </c>
      <c r="D407" s="175" t="s">
        <v>3656</v>
      </c>
      <c r="E407" s="25">
        <v>13177872440</v>
      </c>
      <c r="F407" s="175" t="s">
        <v>156</v>
      </c>
      <c r="G407" s="175" t="s">
        <v>4</v>
      </c>
      <c r="H407" s="25">
        <v>202102005</v>
      </c>
      <c r="I407" s="175" t="s">
        <v>157</v>
      </c>
      <c r="J407" s="175" t="s">
        <v>385</v>
      </c>
      <c r="K407" s="175" t="s">
        <v>179</v>
      </c>
      <c r="L407" s="175" t="s">
        <v>170</v>
      </c>
      <c r="M407" s="175" t="s">
        <v>368</v>
      </c>
      <c r="N407" s="175" t="s">
        <v>4</v>
      </c>
      <c r="O407" s="25">
        <v>0</v>
      </c>
      <c r="P407" s="26" t="str">
        <f>_xlfn.DISPIMG("ID_252B07FFDA0E4134A421E2449004C504",1)</f>
        <v>=DISPIMG("ID_252B07FFDA0E4134A421E2449004C504",1)</v>
      </c>
      <c r="Q407" s="25" t="s">
        <v>3658</v>
      </c>
      <c r="R407" s="25">
        <v>465</v>
      </c>
      <c r="S407" s="40" t="s">
        <v>4696</v>
      </c>
      <c r="T407" s="18" t="s">
        <v>62</v>
      </c>
      <c r="U407" s="25">
        <v>15</v>
      </c>
      <c r="V407" s="84"/>
    </row>
    <row r="408" s="3" customFormat="1" customHeight="1" spans="1:22">
      <c r="A408" s="84">
        <v>12</v>
      </c>
      <c r="B408" s="175" t="s">
        <v>2878</v>
      </c>
      <c r="C408" s="175" t="s">
        <v>165</v>
      </c>
      <c r="D408" s="175" t="s">
        <v>2879</v>
      </c>
      <c r="E408" s="25">
        <v>17310085449</v>
      </c>
      <c r="F408" s="175" t="s">
        <v>156</v>
      </c>
      <c r="G408" s="175" t="s">
        <v>4</v>
      </c>
      <c r="H408" s="25">
        <v>202102005</v>
      </c>
      <c r="I408" s="175" t="s">
        <v>157</v>
      </c>
      <c r="J408" s="175" t="s">
        <v>385</v>
      </c>
      <c r="K408" s="175" t="s">
        <v>2881</v>
      </c>
      <c r="L408" s="175" t="s">
        <v>170</v>
      </c>
      <c r="M408" s="175" t="s">
        <v>306</v>
      </c>
      <c r="N408" s="175" t="s">
        <v>2882</v>
      </c>
      <c r="O408" s="175" t="s">
        <v>2883</v>
      </c>
      <c r="P408" s="26" t="str">
        <f>_xlfn.DISPIMG("ID_EC7DE1A270244013822D2AF30798D0D0",1)</f>
        <v>=DISPIMG("ID_EC7DE1A270244013822D2AF30798D0D0",1)</v>
      </c>
      <c r="Q408" s="25" t="s">
        <v>2884</v>
      </c>
      <c r="R408" s="25">
        <v>350</v>
      </c>
      <c r="S408" s="40" t="s">
        <v>4694</v>
      </c>
      <c r="T408" s="18" t="s">
        <v>62</v>
      </c>
      <c r="U408" s="25">
        <v>16</v>
      </c>
      <c r="V408" s="84"/>
    </row>
    <row r="409" s="3" customFormat="1" customHeight="1" spans="1:22">
      <c r="A409" s="84">
        <v>10</v>
      </c>
      <c r="B409" s="175" t="s">
        <v>1511</v>
      </c>
      <c r="C409" s="175" t="s">
        <v>165</v>
      </c>
      <c r="D409" s="175" t="s">
        <v>1512</v>
      </c>
      <c r="E409" s="25">
        <v>15179159428</v>
      </c>
      <c r="F409" s="175" t="s">
        <v>156</v>
      </c>
      <c r="G409" s="175" t="s">
        <v>4</v>
      </c>
      <c r="H409" s="25">
        <v>202102005</v>
      </c>
      <c r="I409" s="175" t="s">
        <v>157</v>
      </c>
      <c r="J409" s="175" t="s">
        <v>1513</v>
      </c>
      <c r="K409" s="175" t="s">
        <v>1514</v>
      </c>
      <c r="L409" s="175" t="s">
        <v>160</v>
      </c>
      <c r="M409" s="175" t="s">
        <v>396</v>
      </c>
      <c r="N409" s="175" t="s">
        <v>1515</v>
      </c>
      <c r="O409" s="175" t="s">
        <v>1516</v>
      </c>
      <c r="P409" s="26" t="str">
        <f>_xlfn.DISPIMG("ID_0409F7F95EEA403395B315D31E8491E7",1)</f>
        <v>=DISPIMG("ID_0409F7F95EEA403395B315D31E8491E7",1)</v>
      </c>
      <c r="Q409" s="25" t="s">
        <v>1517</v>
      </c>
      <c r="R409" s="25">
        <v>168</v>
      </c>
      <c r="S409" s="40" t="s">
        <v>4692</v>
      </c>
      <c r="T409" s="18" t="s">
        <v>62</v>
      </c>
      <c r="U409" s="25">
        <v>17</v>
      </c>
      <c r="V409" s="84"/>
    </row>
    <row r="410" s="3" customFormat="1" customHeight="1" spans="1:22">
      <c r="A410" s="84">
        <v>8</v>
      </c>
      <c r="B410" s="175" t="s">
        <v>1085</v>
      </c>
      <c r="C410" s="175" t="s">
        <v>165</v>
      </c>
      <c r="D410" s="175" t="s">
        <v>1086</v>
      </c>
      <c r="E410" s="25">
        <v>15179282018</v>
      </c>
      <c r="F410" s="175" t="s">
        <v>156</v>
      </c>
      <c r="G410" s="175" t="s">
        <v>4</v>
      </c>
      <c r="H410" s="25">
        <v>202102005</v>
      </c>
      <c r="I410" s="175" t="s">
        <v>279</v>
      </c>
      <c r="J410" s="175" t="s">
        <v>158</v>
      </c>
      <c r="K410" s="175" t="s">
        <v>1088</v>
      </c>
      <c r="L410" s="175" t="s">
        <v>170</v>
      </c>
      <c r="M410" s="175" t="s">
        <v>1089</v>
      </c>
      <c r="N410" s="175" t="s">
        <v>4</v>
      </c>
      <c r="O410" s="175" t="s">
        <v>1090</v>
      </c>
      <c r="P410" s="26" t="str">
        <f>_xlfn.DISPIMG("ID_2B72C85721DF4DA8A46A71B57C490F39",1)</f>
        <v>=DISPIMG("ID_2B72C85721DF4DA8A46A71B57C490F39",1)</v>
      </c>
      <c r="Q410" s="25" t="s">
        <v>1091</v>
      </c>
      <c r="R410" s="25">
        <v>113</v>
      </c>
      <c r="S410" s="40" t="s">
        <v>4690</v>
      </c>
      <c r="T410" s="18" t="s">
        <v>62</v>
      </c>
      <c r="U410" s="25">
        <v>18</v>
      </c>
      <c r="V410" s="84"/>
    </row>
    <row r="411" s="3" customFormat="1" customHeight="1" spans="1:22">
      <c r="A411" s="84">
        <v>19</v>
      </c>
      <c r="B411" s="175" t="s">
        <v>212</v>
      </c>
      <c r="C411" s="175" t="s">
        <v>165</v>
      </c>
      <c r="D411" s="175" t="s">
        <v>213</v>
      </c>
      <c r="E411" s="25">
        <v>13197911998</v>
      </c>
      <c r="F411" s="175" t="s">
        <v>156</v>
      </c>
      <c r="G411" s="175" t="s">
        <v>15</v>
      </c>
      <c r="H411" s="25">
        <v>202102007</v>
      </c>
      <c r="I411" s="175" t="s">
        <v>157</v>
      </c>
      <c r="J411" s="175" t="s">
        <v>178</v>
      </c>
      <c r="K411" s="175" t="s">
        <v>215</v>
      </c>
      <c r="L411" s="175" t="s">
        <v>170</v>
      </c>
      <c r="M411" s="175" t="s">
        <v>216</v>
      </c>
      <c r="N411" s="175" t="s">
        <v>15</v>
      </c>
      <c r="O411" s="25">
        <v>0</v>
      </c>
      <c r="P411" s="26" t="str">
        <f>_xlfn.DISPIMG("ID_A8B2B34FEB1F4C29AD364FF328B946F1",1)</f>
        <v>=DISPIMG("ID_A8B2B34FEB1F4C29AD364FF328B946F1",1)</v>
      </c>
      <c r="Q411" s="25" t="s">
        <v>217</v>
      </c>
      <c r="R411" s="25">
        <v>8</v>
      </c>
      <c r="S411" s="40" t="s">
        <v>4716</v>
      </c>
      <c r="T411" s="18" t="s">
        <v>62</v>
      </c>
      <c r="U411" s="25">
        <v>19</v>
      </c>
      <c r="V411" s="84"/>
    </row>
    <row r="412" s="3" customFormat="1" customHeight="1" spans="1:22">
      <c r="A412" s="84">
        <v>20</v>
      </c>
      <c r="B412" s="175" t="s">
        <v>391</v>
      </c>
      <c r="C412" s="175" t="s">
        <v>165</v>
      </c>
      <c r="D412" s="175" t="s">
        <v>392</v>
      </c>
      <c r="E412" s="25">
        <v>17620119411</v>
      </c>
      <c r="F412" s="175" t="s">
        <v>156</v>
      </c>
      <c r="G412" s="175" t="s">
        <v>15</v>
      </c>
      <c r="H412" s="25">
        <v>202102007</v>
      </c>
      <c r="I412" s="175" t="s">
        <v>157</v>
      </c>
      <c r="J412" s="175" t="s">
        <v>394</v>
      </c>
      <c r="K412" s="175" t="s">
        <v>395</v>
      </c>
      <c r="L412" s="175" t="s">
        <v>160</v>
      </c>
      <c r="M412" s="175" t="s">
        <v>396</v>
      </c>
      <c r="N412" s="175" t="s">
        <v>15</v>
      </c>
      <c r="O412" s="25">
        <v>0</v>
      </c>
      <c r="P412" s="26" t="str">
        <f>_xlfn.DISPIMG("ID_EBB3EDBB16514C57957D178C829CE459",1)</f>
        <v>=DISPIMG("ID_EBB3EDBB16514C57957D178C829CE459",1)</v>
      </c>
      <c r="Q412" s="25" t="s">
        <v>397</v>
      </c>
      <c r="R412" s="25">
        <v>28</v>
      </c>
      <c r="S412" s="40" t="s">
        <v>4721</v>
      </c>
      <c r="T412" s="18" t="s">
        <v>62</v>
      </c>
      <c r="U412" s="25">
        <v>20</v>
      </c>
      <c r="V412" s="84"/>
    </row>
    <row r="413" s="3" customFormat="1" customHeight="1" spans="1:22">
      <c r="A413" s="84">
        <v>21</v>
      </c>
      <c r="B413" s="175" t="s">
        <v>856</v>
      </c>
      <c r="C413" s="175" t="s">
        <v>165</v>
      </c>
      <c r="D413" s="175" t="s">
        <v>857</v>
      </c>
      <c r="E413" s="25">
        <v>18296159294</v>
      </c>
      <c r="F413" s="175" t="s">
        <v>156</v>
      </c>
      <c r="G413" s="175" t="s">
        <v>15</v>
      </c>
      <c r="H413" s="25">
        <v>202102007</v>
      </c>
      <c r="I413" s="175" t="s">
        <v>279</v>
      </c>
      <c r="J413" s="175" t="s">
        <v>178</v>
      </c>
      <c r="K413" s="175" t="s">
        <v>215</v>
      </c>
      <c r="L413" s="175" t="s">
        <v>170</v>
      </c>
      <c r="M413" s="175" t="s">
        <v>216</v>
      </c>
      <c r="N413" s="175" t="s">
        <v>859</v>
      </c>
      <c r="O413" s="175" t="s">
        <v>860</v>
      </c>
      <c r="P413" s="26" t="str">
        <f>_xlfn.DISPIMG("ID_D74EFBEA1A81482A857D7A1473663067",1)</f>
        <v>=DISPIMG("ID_D74EFBEA1A81482A857D7A1473663067",1)</v>
      </c>
      <c r="Q413" s="25" t="s">
        <v>861</v>
      </c>
      <c r="R413" s="25">
        <v>85</v>
      </c>
      <c r="S413" s="40" t="s">
        <v>4698</v>
      </c>
      <c r="T413" s="18" t="s">
        <v>62</v>
      </c>
      <c r="U413" s="25">
        <v>21</v>
      </c>
      <c r="V413" s="84"/>
    </row>
    <row r="414" s="3" customFormat="1" customHeight="1" spans="1:22">
      <c r="A414" s="84">
        <v>23</v>
      </c>
      <c r="B414" s="175" t="s">
        <v>1897</v>
      </c>
      <c r="C414" s="175" t="s">
        <v>165</v>
      </c>
      <c r="D414" s="175" t="s">
        <v>1898</v>
      </c>
      <c r="E414" s="25">
        <v>13588255405</v>
      </c>
      <c r="F414" s="175" t="s">
        <v>156</v>
      </c>
      <c r="G414" s="175" t="s">
        <v>15</v>
      </c>
      <c r="H414" s="25">
        <v>202102007</v>
      </c>
      <c r="I414" s="175" t="s">
        <v>157</v>
      </c>
      <c r="J414" s="175" t="s">
        <v>1900</v>
      </c>
      <c r="K414" s="175" t="s">
        <v>179</v>
      </c>
      <c r="L414" s="175" t="s">
        <v>160</v>
      </c>
      <c r="M414" s="175" t="s">
        <v>235</v>
      </c>
      <c r="N414" s="175" t="s">
        <v>15</v>
      </c>
      <c r="O414" s="25">
        <v>0</v>
      </c>
      <c r="P414" s="26" t="str">
        <f>_xlfn.DISPIMG("ID_427E6301FF984C74BA8E87820A04494C",1)</f>
        <v>=DISPIMG("ID_427E6301FF984C74BA8E87820A04494C",1)</v>
      </c>
      <c r="Q414" s="25" t="s">
        <v>1901</v>
      </c>
      <c r="R414" s="25">
        <v>218</v>
      </c>
      <c r="S414" s="40" t="s">
        <v>4702</v>
      </c>
      <c r="T414" s="18" t="s">
        <v>62</v>
      </c>
      <c r="U414" s="25">
        <v>22</v>
      </c>
      <c r="V414" s="70"/>
    </row>
    <row r="415" s="3" customFormat="1" customHeight="1" spans="1:22">
      <c r="A415" s="84">
        <v>25</v>
      </c>
      <c r="B415" s="175" t="s">
        <v>2915</v>
      </c>
      <c r="C415" s="175" t="s">
        <v>165</v>
      </c>
      <c r="D415" s="175" t="s">
        <v>2916</v>
      </c>
      <c r="E415" s="25">
        <v>18779224246</v>
      </c>
      <c r="F415" s="175" t="s">
        <v>506</v>
      </c>
      <c r="G415" s="175" t="s">
        <v>15</v>
      </c>
      <c r="H415" s="25">
        <v>202102019</v>
      </c>
      <c r="I415" s="175" t="s">
        <v>279</v>
      </c>
      <c r="J415" s="175" t="s">
        <v>367</v>
      </c>
      <c r="K415" s="175" t="s">
        <v>348</v>
      </c>
      <c r="L415" s="175" t="s">
        <v>170</v>
      </c>
      <c r="M415" s="175" t="s">
        <v>180</v>
      </c>
      <c r="N415" s="175" t="s">
        <v>2918</v>
      </c>
      <c r="O415" s="25">
        <v>0</v>
      </c>
      <c r="P415" s="26" t="str">
        <f>_xlfn.DISPIMG("ID_0C4A3B774E384F888DCC2803C749C7F6",1)</f>
        <v>=DISPIMG("ID_0C4A3B774E384F888DCC2803C749C7F6",1)</v>
      </c>
      <c r="Q415" s="25" t="s">
        <v>2919</v>
      </c>
      <c r="R415" s="25">
        <v>355</v>
      </c>
      <c r="S415" s="40" t="s">
        <v>4707</v>
      </c>
      <c r="T415" s="18" t="s">
        <v>62</v>
      </c>
      <c r="U415" s="25">
        <v>23</v>
      </c>
      <c r="V415" s="84"/>
    </row>
    <row r="416" s="3" customFormat="1" customHeight="1" spans="1:22">
      <c r="A416" s="84">
        <v>27</v>
      </c>
      <c r="B416" s="175" t="s">
        <v>3579</v>
      </c>
      <c r="C416" s="175" t="s">
        <v>153</v>
      </c>
      <c r="D416" s="175" t="s">
        <v>3580</v>
      </c>
      <c r="E416" s="25">
        <v>15179270292</v>
      </c>
      <c r="F416" s="175" t="s">
        <v>156</v>
      </c>
      <c r="G416" s="175" t="s">
        <v>15</v>
      </c>
      <c r="H416" s="25">
        <v>202102007</v>
      </c>
      <c r="I416" s="175" t="s">
        <v>157</v>
      </c>
      <c r="J416" s="175" t="s">
        <v>158</v>
      </c>
      <c r="K416" s="175" t="s">
        <v>1832</v>
      </c>
      <c r="L416" s="175" t="s">
        <v>160</v>
      </c>
      <c r="M416" s="175" t="s">
        <v>368</v>
      </c>
      <c r="N416" s="175" t="s">
        <v>3582</v>
      </c>
      <c r="O416" s="25">
        <v>0</v>
      </c>
      <c r="P416" s="26" t="str">
        <f>_xlfn.DISPIMG("ID_10B7637016814F53B0B0689821F0D756",1)</f>
        <v>=DISPIMG("ID_10B7637016814F53B0B0689821F0D756",1)</v>
      </c>
      <c r="Q416" s="25" t="s">
        <v>3583</v>
      </c>
      <c r="R416" s="25">
        <v>455</v>
      </c>
      <c r="S416" s="40" t="s">
        <v>4712</v>
      </c>
      <c r="T416" s="18" t="s">
        <v>62</v>
      </c>
      <c r="U416" s="25">
        <v>24</v>
      </c>
      <c r="V416" s="84"/>
    </row>
    <row r="417" s="3" customFormat="1" customHeight="1" spans="1:22">
      <c r="A417" s="84">
        <v>28</v>
      </c>
      <c r="B417" s="175" t="s">
        <v>3841</v>
      </c>
      <c r="C417" s="175" t="s">
        <v>165</v>
      </c>
      <c r="D417" s="175" t="s">
        <v>3842</v>
      </c>
      <c r="E417" s="25">
        <v>13177873876</v>
      </c>
      <c r="F417" s="175" t="s">
        <v>156</v>
      </c>
      <c r="G417" s="175" t="s">
        <v>15</v>
      </c>
      <c r="H417" s="25">
        <v>202102007</v>
      </c>
      <c r="I417" s="175" t="s">
        <v>157</v>
      </c>
      <c r="J417" s="175" t="s">
        <v>233</v>
      </c>
      <c r="K417" s="175" t="s">
        <v>169</v>
      </c>
      <c r="L417" s="175" t="s">
        <v>170</v>
      </c>
      <c r="M417" s="175" t="s">
        <v>3844</v>
      </c>
      <c r="N417" s="175" t="s">
        <v>3845</v>
      </c>
      <c r="O417" s="175" t="s">
        <v>3846</v>
      </c>
      <c r="P417" s="26" t="str">
        <f>_xlfn.DISPIMG("ID_0D39E07DE3FA4F1EAFE382357648332E",1)</f>
        <v>=DISPIMG("ID_0D39E07DE3FA4F1EAFE382357648332E",1)</v>
      </c>
      <c r="Q417" s="25" t="s">
        <v>3847</v>
      </c>
      <c r="R417" s="25">
        <v>490</v>
      </c>
      <c r="S417" s="40" t="s">
        <v>4713</v>
      </c>
      <c r="T417" s="18" t="s">
        <v>62</v>
      </c>
      <c r="U417" s="25">
        <v>25</v>
      </c>
      <c r="V417" s="84"/>
    </row>
    <row r="418" s="3" customFormat="1" customHeight="1" spans="1:22">
      <c r="A418" s="84">
        <v>26</v>
      </c>
      <c r="B418" s="175" t="s">
        <v>3570</v>
      </c>
      <c r="C418" s="175" t="s">
        <v>165</v>
      </c>
      <c r="D418" s="175" t="s">
        <v>3571</v>
      </c>
      <c r="E418" s="25">
        <v>13879176428</v>
      </c>
      <c r="F418" s="175" t="s">
        <v>156</v>
      </c>
      <c r="G418" s="175" t="s">
        <v>15</v>
      </c>
      <c r="H418" s="25">
        <v>202102007</v>
      </c>
      <c r="I418" s="175" t="s">
        <v>157</v>
      </c>
      <c r="J418" s="175" t="s">
        <v>233</v>
      </c>
      <c r="K418" s="175" t="s">
        <v>454</v>
      </c>
      <c r="L418" s="175" t="s">
        <v>170</v>
      </c>
      <c r="M418" s="175" t="s">
        <v>3573</v>
      </c>
      <c r="N418" s="175" t="s">
        <v>3574</v>
      </c>
      <c r="O418" s="175" t="s">
        <v>3575</v>
      </c>
      <c r="P418" s="26" t="str">
        <f>_xlfn.DISPIMG("ID_4E9B8A157E55446AAA9BAC9D6541DF67",1)</f>
        <v>=DISPIMG("ID_4E9B8A157E55446AAA9BAC9D6541DF67",1)</v>
      </c>
      <c r="Q418" s="25" t="s">
        <v>3576</v>
      </c>
      <c r="R418" s="25">
        <v>454</v>
      </c>
      <c r="S418" s="40" t="s">
        <v>4708</v>
      </c>
      <c r="T418" s="18" t="s">
        <v>62</v>
      </c>
      <c r="U418" s="25">
        <v>26</v>
      </c>
      <c r="V418" s="84"/>
    </row>
    <row r="419" s="3" customFormat="1" customHeight="1" spans="1:22">
      <c r="A419" s="84">
        <v>24</v>
      </c>
      <c r="B419" s="175" t="s">
        <v>2407</v>
      </c>
      <c r="C419" s="175" t="s">
        <v>165</v>
      </c>
      <c r="D419" s="175" t="s">
        <v>2408</v>
      </c>
      <c r="E419" s="25">
        <v>15070401093</v>
      </c>
      <c r="F419" s="175" t="s">
        <v>156</v>
      </c>
      <c r="G419" s="175" t="s">
        <v>15</v>
      </c>
      <c r="H419" s="25">
        <v>202102007</v>
      </c>
      <c r="I419" s="175" t="s">
        <v>157</v>
      </c>
      <c r="J419" s="175" t="s">
        <v>827</v>
      </c>
      <c r="K419" s="175" t="s">
        <v>2394</v>
      </c>
      <c r="L419" s="175" t="s">
        <v>160</v>
      </c>
      <c r="M419" s="175" t="s">
        <v>171</v>
      </c>
      <c r="N419" s="175" t="s">
        <v>2410</v>
      </c>
      <c r="O419" s="175" t="s">
        <v>2411</v>
      </c>
      <c r="P419" s="26" t="str">
        <f>_xlfn.DISPIMG("ID_AC752CE0DFA24D83A60721AFA892E1C6",1)</f>
        <v>=DISPIMG("ID_AC752CE0DFA24D83A60721AFA892E1C6",1)</v>
      </c>
      <c r="Q419" s="25" t="s">
        <v>2412</v>
      </c>
      <c r="R419" s="25">
        <v>286</v>
      </c>
      <c r="S419" s="40" t="s">
        <v>4703</v>
      </c>
      <c r="T419" s="18" t="s">
        <v>62</v>
      </c>
      <c r="U419" s="25">
        <v>27</v>
      </c>
      <c r="V419" s="84"/>
    </row>
    <row r="420" s="3" customFormat="1" customHeight="1" spans="1:22">
      <c r="A420" s="84">
        <v>22</v>
      </c>
      <c r="B420" s="175" t="s">
        <v>1658</v>
      </c>
      <c r="C420" s="175" t="s">
        <v>153</v>
      </c>
      <c r="D420" s="175" t="s">
        <v>1659</v>
      </c>
      <c r="E420" s="25">
        <v>15170625945</v>
      </c>
      <c r="F420" s="175" t="s">
        <v>506</v>
      </c>
      <c r="G420" s="175" t="s">
        <v>15</v>
      </c>
      <c r="H420" s="25">
        <v>202102019</v>
      </c>
      <c r="I420" s="175" t="s">
        <v>157</v>
      </c>
      <c r="J420" s="175" t="s">
        <v>611</v>
      </c>
      <c r="K420" s="175" t="s">
        <v>454</v>
      </c>
      <c r="L420" s="175" t="s">
        <v>160</v>
      </c>
      <c r="M420" s="175" t="s">
        <v>261</v>
      </c>
      <c r="N420" s="175" t="s">
        <v>1661</v>
      </c>
      <c r="O420" s="25">
        <v>0</v>
      </c>
      <c r="P420" s="26" t="str">
        <f>_xlfn.DISPIMG("ID_40EE23CAD6BE466D8A6330DBB5734F8E",1)</f>
        <v>=DISPIMG("ID_40EE23CAD6BE466D8A6330DBB5734F8E",1)</v>
      </c>
      <c r="Q420" s="25" t="s">
        <v>1662</v>
      </c>
      <c r="R420" s="25">
        <v>187</v>
      </c>
      <c r="S420" s="40" t="s">
        <v>4699</v>
      </c>
      <c r="T420" s="18" t="s">
        <v>62</v>
      </c>
      <c r="U420" s="25">
        <v>28</v>
      </c>
      <c r="V420" s="84"/>
    </row>
    <row r="421" s="3" customFormat="1" customHeight="1" spans="1:22">
      <c r="A421" s="84"/>
      <c r="B421" s="25"/>
      <c r="C421" s="25"/>
      <c r="D421" s="25"/>
      <c r="E421" s="25"/>
      <c r="F421" s="25"/>
      <c r="G421" s="25"/>
      <c r="H421" s="25"/>
      <c r="I421" s="25"/>
      <c r="J421" s="25"/>
      <c r="K421" s="25"/>
      <c r="L421" s="25"/>
      <c r="M421" s="25"/>
      <c r="N421" s="25"/>
      <c r="O421" s="25"/>
      <c r="P421" s="26"/>
      <c r="Q421" s="25"/>
      <c r="R421" s="25"/>
      <c r="S421" s="40"/>
      <c r="T421" s="18"/>
      <c r="U421" s="25"/>
      <c r="V421" s="84"/>
    </row>
    <row r="422" s="3" customFormat="1" customHeight="1" spans="1:22">
      <c r="A422" s="84"/>
      <c r="B422" s="25"/>
      <c r="C422" s="25"/>
      <c r="D422" s="25"/>
      <c r="E422" s="25"/>
      <c r="F422" s="25"/>
      <c r="G422" s="25"/>
      <c r="H422" s="25"/>
      <c r="I422" s="25"/>
      <c r="J422" s="25"/>
      <c r="K422" s="25"/>
      <c r="L422" s="25"/>
      <c r="M422" s="25"/>
      <c r="N422" s="25"/>
      <c r="O422" s="25"/>
      <c r="P422" s="26"/>
      <c r="Q422" s="25"/>
      <c r="R422" s="25"/>
      <c r="S422" s="40"/>
      <c r="T422" s="18"/>
      <c r="U422" s="25"/>
      <c r="V422" s="84"/>
    </row>
    <row r="423" s="3" customFormat="1" customHeight="1" spans="1:22">
      <c r="A423" s="84">
        <v>6</v>
      </c>
      <c r="B423" s="175" t="s">
        <v>3685</v>
      </c>
      <c r="C423" s="175" t="s">
        <v>165</v>
      </c>
      <c r="D423" s="175" t="s">
        <v>3686</v>
      </c>
      <c r="E423" s="25">
        <v>18270929326</v>
      </c>
      <c r="F423" s="175" t="s">
        <v>156</v>
      </c>
      <c r="G423" s="175" t="s">
        <v>7</v>
      </c>
      <c r="H423" s="25">
        <v>202102006</v>
      </c>
      <c r="I423" s="175" t="s">
        <v>157</v>
      </c>
      <c r="J423" s="175" t="s">
        <v>884</v>
      </c>
      <c r="K423" s="175" t="s">
        <v>454</v>
      </c>
      <c r="L423" s="175" t="s">
        <v>170</v>
      </c>
      <c r="M423" s="175" t="s">
        <v>3687</v>
      </c>
      <c r="N423" s="175" t="s">
        <v>7</v>
      </c>
      <c r="O423" s="175" t="s">
        <v>3688</v>
      </c>
      <c r="P423" s="26" t="str">
        <f>_xlfn.DISPIMG("ID_E15A59AE3AB3482DA375DB6FC21D8F4C",1)</f>
        <v>=DISPIMG("ID_E15A59AE3AB3482DA375DB6FC21D8F4C",1)</v>
      </c>
      <c r="Q423" s="25" t="s">
        <v>3689</v>
      </c>
      <c r="R423" s="25">
        <v>469</v>
      </c>
      <c r="S423" s="40" t="s">
        <v>4704</v>
      </c>
      <c r="T423" s="18" t="s">
        <v>66</v>
      </c>
      <c r="U423" s="25">
        <v>1</v>
      </c>
      <c r="V423" s="84"/>
    </row>
    <row r="424" s="3" customFormat="1" customHeight="1" spans="1:22">
      <c r="A424" s="84">
        <v>5</v>
      </c>
      <c r="B424" s="175" t="s">
        <v>3263</v>
      </c>
      <c r="C424" s="175" t="s">
        <v>165</v>
      </c>
      <c r="D424" s="175" t="s">
        <v>3264</v>
      </c>
      <c r="E424" s="25">
        <v>15297923055</v>
      </c>
      <c r="F424" s="175" t="s">
        <v>156</v>
      </c>
      <c r="G424" s="175" t="s">
        <v>7</v>
      </c>
      <c r="H424" s="25">
        <v>202102006</v>
      </c>
      <c r="I424" s="175" t="s">
        <v>157</v>
      </c>
      <c r="J424" s="175" t="s">
        <v>507</v>
      </c>
      <c r="K424" s="175" t="s">
        <v>243</v>
      </c>
      <c r="L424" s="175" t="s">
        <v>160</v>
      </c>
      <c r="M424" s="175" t="s">
        <v>1089</v>
      </c>
      <c r="N424" s="175" t="s">
        <v>13</v>
      </c>
      <c r="O424" s="25">
        <v>0</v>
      </c>
      <c r="P424" s="26" t="str">
        <f>_xlfn.DISPIMG("ID_E2A16755D9294F19AC6C5724406D1776",1)</f>
        <v>=DISPIMG("ID_E2A16755D9294F19AC6C5724406D1776",1)</v>
      </c>
      <c r="Q424" s="25" t="s">
        <v>3265</v>
      </c>
      <c r="R424" s="25">
        <v>407</v>
      </c>
      <c r="S424" s="40" t="s">
        <v>4700</v>
      </c>
      <c r="T424" s="18" t="s">
        <v>66</v>
      </c>
      <c r="U424" s="25">
        <v>2</v>
      </c>
      <c r="V424" s="84"/>
    </row>
    <row r="425" s="3" customFormat="1" customHeight="1" spans="1:22">
      <c r="A425" s="84">
        <v>4</v>
      </c>
      <c r="B425" s="175" t="s">
        <v>2774</v>
      </c>
      <c r="C425" s="175" t="s">
        <v>165</v>
      </c>
      <c r="D425" s="175" t="s">
        <v>2775</v>
      </c>
      <c r="E425" s="25">
        <v>18720298910</v>
      </c>
      <c r="F425" s="175" t="s">
        <v>156</v>
      </c>
      <c r="G425" s="175" t="s">
        <v>7</v>
      </c>
      <c r="H425" s="25">
        <v>202102006</v>
      </c>
      <c r="I425" s="175" t="s">
        <v>157</v>
      </c>
      <c r="J425" s="175" t="s">
        <v>158</v>
      </c>
      <c r="K425" s="175" t="s">
        <v>1639</v>
      </c>
      <c r="L425" s="175" t="s">
        <v>170</v>
      </c>
      <c r="M425" s="175" t="s">
        <v>306</v>
      </c>
      <c r="N425" s="175" t="s">
        <v>19</v>
      </c>
      <c r="O425" s="175" t="s">
        <v>2777</v>
      </c>
      <c r="P425" s="26" t="str">
        <f>_xlfn.DISPIMG("ID_DC860A7FCB384FE48AFC2F135021FF6F",1)</f>
        <v>=DISPIMG("ID_DC860A7FCB384FE48AFC2F135021FF6F",1)</v>
      </c>
      <c r="Q425" s="25" t="s">
        <v>2778</v>
      </c>
      <c r="R425" s="25">
        <v>336</v>
      </c>
      <c r="S425" s="40" t="s">
        <v>4723</v>
      </c>
      <c r="T425" s="18" t="s">
        <v>66</v>
      </c>
      <c r="U425" s="25">
        <v>3</v>
      </c>
      <c r="V425" s="85"/>
    </row>
    <row r="426" s="3" customFormat="1" customHeight="1" spans="1:22">
      <c r="A426" s="84">
        <v>3</v>
      </c>
      <c r="B426" s="175" t="s">
        <v>2732</v>
      </c>
      <c r="C426" s="175" t="s">
        <v>165</v>
      </c>
      <c r="D426" s="175" t="s">
        <v>2733</v>
      </c>
      <c r="E426" s="25">
        <v>15079218024</v>
      </c>
      <c r="F426" s="175" t="s">
        <v>156</v>
      </c>
      <c r="G426" s="175" t="s">
        <v>7</v>
      </c>
      <c r="H426" s="25">
        <v>202102006</v>
      </c>
      <c r="I426" s="175" t="s">
        <v>157</v>
      </c>
      <c r="J426" s="175" t="s">
        <v>1112</v>
      </c>
      <c r="K426" s="175" t="s">
        <v>159</v>
      </c>
      <c r="L426" s="175" t="s">
        <v>160</v>
      </c>
      <c r="M426" s="175" t="s">
        <v>199</v>
      </c>
      <c r="N426" s="175" t="s">
        <v>19</v>
      </c>
      <c r="O426" s="175" t="s">
        <v>2735</v>
      </c>
      <c r="P426" s="26" t="str">
        <f>_xlfn.DISPIMG("ID_8B921756A8224507AE26B26EA7A47E29",1)</f>
        <v>=DISPIMG("ID_8B921756A8224507AE26B26EA7A47E29",1)</v>
      </c>
      <c r="Q426" s="25" t="s">
        <v>2736</v>
      </c>
      <c r="R426" s="25">
        <v>330</v>
      </c>
      <c r="S426" s="40" t="s">
        <v>4722</v>
      </c>
      <c r="T426" s="18" t="s">
        <v>66</v>
      </c>
      <c r="U426" s="25">
        <v>4</v>
      </c>
      <c r="V426" s="84"/>
    </row>
    <row r="427" s="3" customFormat="1" customHeight="1" spans="1:22">
      <c r="A427" s="84">
        <v>2</v>
      </c>
      <c r="B427" s="175" t="s">
        <v>2004</v>
      </c>
      <c r="C427" s="175" t="s">
        <v>153</v>
      </c>
      <c r="D427" s="175" t="s">
        <v>2005</v>
      </c>
      <c r="E427" s="25">
        <v>18296155146</v>
      </c>
      <c r="F427" s="175" t="s">
        <v>156</v>
      </c>
      <c r="G427" s="175" t="s">
        <v>7</v>
      </c>
      <c r="H427" s="25">
        <v>202102006</v>
      </c>
      <c r="I427" s="175" t="s">
        <v>157</v>
      </c>
      <c r="J427" s="175" t="s">
        <v>1112</v>
      </c>
      <c r="K427" s="175" t="s">
        <v>159</v>
      </c>
      <c r="L427" s="175" t="s">
        <v>160</v>
      </c>
      <c r="M427" s="175" t="s">
        <v>368</v>
      </c>
      <c r="N427" s="175" t="s">
        <v>2007</v>
      </c>
      <c r="O427" s="175" t="s">
        <v>2008</v>
      </c>
      <c r="P427" s="26" t="str">
        <f>_xlfn.DISPIMG("ID_56BCD58120C9403E8AA33B4C6EF6927A",1)</f>
        <v>=DISPIMG("ID_56BCD58120C9403E8AA33B4C6EF6927A",1)</v>
      </c>
      <c r="Q427" s="25" t="s">
        <v>2009</v>
      </c>
      <c r="R427" s="25">
        <v>233</v>
      </c>
      <c r="S427" s="40" t="s">
        <v>4718</v>
      </c>
      <c r="T427" s="18" t="s">
        <v>66</v>
      </c>
      <c r="U427" s="25">
        <v>5</v>
      </c>
      <c r="V427" s="84"/>
    </row>
    <row r="428" s="3" customFormat="1" customHeight="1" spans="1:22">
      <c r="A428" s="84">
        <v>1</v>
      </c>
      <c r="B428" s="175" t="s">
        <v>1671</v>
      </c>
      <c r="C428" s="175" t="s">
        <v>153</v>
      </c>
      <c r="D428" s="175" t="s">
        <v>1672</v>
      </c>
      <c r="E428" s="25">
        <v>13576944053</v>
      </c>
      <c r="F428" s="175" t="s">
        <v>156</v>
      </c>
      <c r="G428" s="175" t="s">
        <v>7</v>
      </c>
      <c r="H428" s="25">
        <v>202102006</v>
      </c>
      <c r="I428" s="175" t="s">
        <v>157</v>
      </c>
      <c r="J428" s="175" t="s">
        <v>1674</v>
      </c>
      <c r="K428" s="175" t="s">
        <v>1675</v>
      </c>
      <c r="L428" s="175" t="s">
        <v>170</v>
      </c>
      <c r="M428" s="175" t="s">
        <v>1676</v>
      </c>
      <c r="N428" s="175" t="s">
        <v>7</v>
      </c>
      <c r="O428" s="175" t="s">
        <v>1677</v>
      </c>
      <c r="P428" s="26" t="str">
        <f>_xlfn.DISPIMG("ID_834E256FE11F482DB22CD6E09A0E87FD",1)</f>
        <v>=DISPIMG("ID_834E256FE11F482DB22CD6E09A0E87FD",1)</v>
      </c>
      <c r="Q428" s="25" t="s">
        <v>1678</v>
      </c>
      <c r="R428" s="25">
        <v>189</v>
      </c>
      <c r="S428" s="40" t="s">
        <v>4717</v>
      </c>
      <c r="T428" s="18" t="s">
        <v>66</v>
      </c>
      <c r="U428" s="25">
        <v>6</v>
      </c>
      <c r="V428" s="84"/>
    </row>
    <row r="429" s="3" customFormat="1" customHeight="1" spans="1:22">
      <c r="A429" s="84">
        <v>7</v>
      </c>
      <c r="B429" s="175" t="s">
        <v>459</v>
      </c>
      <c r="C429" s="175" t="s">
        <v>153</v>
      </c>
      <c r="D429" s="175" t="s">
        <v>460</v>
      </c>
      <c r="E429" s="25">
        <v>13265072773</v>
      </c>
      <c r="F429" s="175" t="s">
        <v>156</v>
      </c>
      <c r="G429" s="175" t="s">
        <v>9</v>
      </c>
      <c r="H429" s="25">
        <v>202102011</v>
      </c>
      <c r="I429" s="175" t="s">
        <v>157</v>
      </c>
      <c r="J429" s="175" t="s">
        <v>462</v>
      </c>
      <c r="K429" s="175" t="s">
        <v>463</v>
      </c>
      <c r="L429" s="175" t="s">
        <v>160</v>
      </c>
      <c r="M429" s="175" t="s">
        <v>161</v>
      </c>
      <c r="N429" s="175" t="s">
        <v>464</v>
      </c>
      <c r="O429" s="25">
        <v>0</v>
      </c>
      <c r="P429" s="26" t="str">
        <f>_xlfn.DISPIMG("ID_DCCAD4E9E505474E946107D340C03662",1)</f>
        <v>=DISPIMG("ID_DCCAD4E9E505474E946107D340C03662",1)</v>
      </c>
      <c r="Q429" s="25" t="s">
        <v>465</v>
      </c>
      <c r="R429" s="25">
        <v>36</v>
      </c>
      <c r="S429" s="40" t="s">
        <v>4705</v>
      </c>
      <c r="T429" s="18" t="s">
        <v>66</v>
      </c>
      <c r="U429" s="25">
        <v>7</v>
      </c>
      <c r="V429" s="84"/>
    </row>
    <row r="430" s="3" customFormat="1" customHeight="1" spans="1:22">
      <c r="A430" s="84">
        <v>8</v>
      </c>
      <c r="B430" s="175" t="s">
        <v>1167</v>
      </c>
      <c r="C430" s="175" t="s">
        <v>153</v>
      </c>
      <c r="D430" s="175" t="s">
        <v>1168</v>
      </c>
      <c r="E430" s="25">
        <v>18370130888</v>
      </c>
      <c r="F430" s="175" t="s">
        <v>156</v>
      </c>
      <c r="G430" s="175" t="s">
        <v>9</v>
      </c>
      <c r="H430" s="25">
        <v>202102011</v>
      </c>
      <c r="I430" s="175" t="s">
        <v>279</v>
      </c>
      <c r="J430" s="175" t="s">
        <v>158</v>
      </c>
      <c r="K430" s="175" t="s">
        <v>682</v>
      </c>
      <c r="L430" s="175" t="s">
        <v>170</v>
      </c>
      <c r="M430" s="175" t="s">
        <v>1170</v>
      </c>
      <c r="N430" s="175" t="s">
        <v>1171</v>
      </c>
      <c r="O430" s="175" t="s">
        <v>1172</v>
      </c>
      <c r="P430" s="26" t="str">
        <f>_xlfn.DISPIMG("ID_A11E1242B6CE401EA988641535D09239",1)</f>
        <v>=DISPIMG("ID_A11E1242B6CE401EA988641535D09239",1)</v>
      </c>
      <c r="Q430" s="25" t="s">
        <v>1173</v>
      </c>
      <c r="R430" s="25">
        <v>123</v>
      </c>
      <c r="S430" s="40" t="s">
        <v>4709</v>
      </c>
      <c r="T430" s="18" t="s">
        <v>66</v>
      </c>
      <c r="U430" s="25">
        <v>8</v>
      </c>
      <c r="V430" s="84"/>
    </row>
    <row r="431" s="3" customFormat="1" customHeight="1" spans="1:22">
      <c r="A431" s="84">
        <v>10</v>
      </c>
      <c r="B431" s="175" t="s">
        <v>1821</v>
      </c>
      <c r="C431" s="175" t="s">
        <v>153</v>
      </c>
      <c r="D431" s="175" t="s">
        <v>1822</v>
      </c>
      <c r="E431" s="25">
        <v>15083520312</v>
      </c>
      <c r="F431" s="175" t="s">
        <v>156</v>
      </c>
      <c r="G431" s="175" t="s">
        <v>9</v>
      </c>
      <c r="H431" s="25">
        <v>202102011</v>
      </c>
      <c r="I431" s="175" t="s">
        <v>157</v>
      </c>
      <c r="J431" s="175" t="s">
        <v>437</v>
      </c>
      <c r="K431" s="175" t="s">
        <v>682</v>
      </c>
      <c r="L431" s="175" t="s">
        <v>170</v>
      </c>
      <c r="M431" s="175" t="s">
        <v>455</v>
      </c>
      <c r="N431" s="175" t="s">
        <v>1824</v>
      </c>
      <c r="O431" s="25">
        <v>0</v>
      </c>
      <c r="P431" s="26" t="str">
        <f>_xlfn.DISPIMG("ID_DDBA99C80B934FEAA0E6DE75BE0B792D",1)</f>
        <v>=DISPIMG("ID_DDBA99C80B934FEAA0E6DE75BE0B792D",1)</v>
      </c>
      <c r="Q431" s="25" t="s">
        <v>1825</v>
      </c>
      <c r="R431" s="25">
        <v>208</v>
      </c>
      <c r="S431" s="40" t="s">
        <v>4714</v>
      </c>
      <c r="T431" s="18" t="s">
        <v>66</v>
      </c>
      <c r="U431" s="25">
        <v>9</v>
      </c>
      <c r="V431" s="84"/>
    </row>
    <row r="432" s="4" customFormat="1" customHeight="1" spans="1:22">
      <c r="A432" s="84">
        <v>12</v>
      </c>
      <c r="B432" s="175" t="s">
        <v>2598</v>
      </c>
      <c r="C432" s="175" t="s">
        <v>153</v>
      </c>
      <c r="D432" s="175" t="s">
        <v>2599</v>
      </c>
      <c r="E432" s="25">
        <v>15979967100</v>
      </c>
      <c r="F432" s="175" t="s">
        <v>156</v>
      </c>
      <c r="G432" s="175" t="s">
        <v>9</v>
      </c>
      <c r="H432" s="25">
        <v>202102011</v>
      </c>
      <c r="I432" s="175" t="s">
        <v>157</v>
      </c>
      <c r="J432" s="175" t="s">
        <v>2601</v>
      </c>
      <c r="K432" s="175" t="s">
        <v>463</v>
      </c>
      <c r="L432" s="175" t="s">
        <v>160</v>
      </c>
      <c r="M432" s="175" t="s">
        <v>368</v>
      </c>
      <c r="N432" s="175" t="s">
        <v>1406</v>
      </c>
      <c r="O432" s="175" t="s">
        <v>2602</v>
      </c>
      <c r="P432" s="26" t="str">
        <f>_xlfn.DISPIMG("ID_6E5E26FD0608404987009AB35A215594",1)</f>
        <v>=DISPIMG("ID_6E5E26FD0608404987009AB35A215594",1)</v>
      </c>
      <c r="Q432" s="25" t="s">
        <v>2603</v>
      </c>
      <c r="R432" s="25">
        <v>312</v>
      </c>
      <c r="S432" s="40" t="s">
        <v>4719</v>
      </c>
      <c r="T432" s="18" t="s">
        <v>66</v>
      </c>
      <c r="U432" s="25">
        <v>10</v>
      </c>
      <c r="V432" s="84"/>
    </row>
    <row r="433" s="4" customFormat="1" customHeight="1" spans="1:22">
      <c r="A433" s="84">
        <v>14</v>
      </c>
      <c r="B433" s="175" t="s">
        <v>3543</v>
      </c>
      <c r="C433" s="175" t="s">
        <v>153</v>
      </c>
      <c r="D433" s="175" t="s">
        <v>3544</v>
      </c>
      <c r="E433" s="25">
        <v>17683950767</v>
      </c>
      <c r="F433" s="175" t="s">
        <v>156</v>
      </c>
      <c r="G433" s="175" t="s">
        <v>9</v>
      </c>
      <c r="H433" s="25">
        <v>202102011</v>
      </c>
      <c r="I433" s="175" t="s">
        <v>157</v>
      </c>
      <c r="J433" s="175" t="s">
        <v>3518</v>
      </c>
      <c r="K433" s="175" t="s">
        <v>472</v>
      </c>
      <c r="L433" s="175" t="s">
        <v>160</v>
      </c>
      <c r="M433" s="175" t="s">
        <v>455</v>
      </c>
      <c r="N433" s="175" t="s">
        <v>3519</v>
      </c>
      <c r="O433" s="25">
        <v>0</v>
      </c>
      <c r="P433" s="26" t="str">
        <f>_xlfn.DISPIMG("ID_2D99CEE979EF4ECAAD8A877BAF74FBA6",1)</f>
        <v>=DISPIMG("ID_2D99CEE979EF4ECAAD8A877BAF74FBA6",1)</v>
      </c>
      <c r="Q433" s="25" t="s">
        <v>3546</v>
      </c>
      <c r="R433" s="25">
        <v>450</v>
      </c>
      <c r="S433" s="40" t="s">
        <v>4724</v>
      </c>
      <c r="T433" s="18" t="s">
        <v>66</v>
      </c>
      <c r="U433" s="25">
        <v>11</v>
      </c>
      <c r="V433" s="84"/>
    </row>
    <row r="434" s="5" customFormat="1" customHeight="1" spans="1:22">
      <c r="A434" s="84">
        <v>16</v>
      </c>
      <c r="B434" s="175" t="s">
        <v>3556</v>
      </c>
      <c r="C434" s="175" t="s">
        <v>153</v>
      </c>
      <c r="D434" s="175" t="s">
        <v>3557</v>
      </c>
      <c r="E434" s="25">
        <v>17346719580</v>
      </c>
      <c r="F434" s="175" t="s">
        <v>156</v>
      </c>
      <c r="G434" s="175" t="s">
        <v>9</v>
      </c>
      <c r="H434" s="25">
        <v>202102011</v>
      </c>
      <c r="I434" s="175" t="s">
        <v>157</v>
      </c>
      <c r="J434" s="175" t="s">
        <v>3518</v>
      </c>
      <c r="K434" s="175" t="s">
        <v>3559</v>
      </c>
      <c r="L434" s="175" t="s">
        <v>160</v>
      </c>
      <c r="M434" s="175" t="s">
        <v>455</v>
      </c>
      <c r="N434" s="175" t="s">
        <v>3519</v>
      </c>
      <c r="O434" s="25">
        <v>0</v>
      </c>
      <c r="P434" s="26" t="str">
        <f>_xlfn.DISPIMG("ID_21EB11AFC3FB431C8DEC9B4C05162E66",1)</f>
        <v>=DISPIMG("ID_21EB11AFC3FB431C8DEC9B4C05162E66",1)</v>
      </c>
      <c r="Q434" s="25" t="s">
        <v>3560</v>
      </c>
      <c r="R434" s="25">
        <v>452</v>
      </c>
      <c r="S434" s="40" t="s">
        <v>4726</v>
      </c>
      <c r="T434" s="18" t="s">
        <v>66</v>
      </c>
      <c r="U434" s="25">
        <v>12</v>
      </c>
      <c r="V434" s="84"/>
    </row>
    <row r="435" s="3" customFormat="1" customHeight="1" spans="1:22">
      <c r="A435" s="84">
        <v>17</v>
      </c>
      <c r="B435" s="175" t="s">
        <v>3563</v>
      </c>
      <c r="C435" s="175" t="s">
        <v>153</v>
      </c>
      <c r="D435" s="175" t="s">
        <v>3564</v>
      </c>
      <c r="E435" s="25">
        <v>15907977787</v>
      </c>
      <c r="F435" s="175" t="s">
        <v>156</v>
      </c>
      <c r="G435" s="175" t="s">
        <v>9</v>
      </c>
      <c r="H435" s="25">
        <v>202102011</v>
      </c>
      <c r="I435" s="175" t="s">
        <v>157</v>
      </c>
      <c r="J435" s="175" t="s">
        <v>233</v>
      </c>
      <c r="K435" s="175" t="s">
        <v>3566</v>
      </c>
      <c r="L435" s="175" t="s">
        <v>170</v>
      </c>
      <c r="M435" s="175" t="s">
        <v>261</v>
      </c>
      <c r="N435" s="175" t="s">
        <v>1579</v>
      </c>
      <c r="O435" s="25">
        <v>0</v>
      </c>
      <c r="P435" s="26" t="str">
        <f>_xlfn.DISPIMG("ID_3C6447D057EF4BF7AE9ECFE35CBC5ECF",1)</f>
        <v>=DISPIMG("ID_3C6447D057EF4BF7AE9ECFE35CBC5ECF",1)</v>
      </c>
      <c r="Q435" s="25" t="s">
        <v>3567</v>
      </c>
      <c r="R435" s="25">
        <v>453</v>
      </c>
      <c r="S435" s="40" t="s">
        <v>4730</v>
      </c>
      <c r="T435" s="18" t="s">
        <v>66</v>
      </c>
      <c r="U435" s="25">
        <v>13</v>
      </c>
      <c r="V435" s="70"/>
    </row>
    <row r="436" s="3" customFormat="1" customHeight="1" spans="1:22">
      <c r="A436" s="84">
        <v>15</v>
      </c>
      <c r="B436" s="175" t="s">
        <v>3549</v>
      </c>
      <c r="C436" s="175" t="s">
        <v>153</v>
      </c>
      <c r="D436" s="175" t="s">
        <v>3550</v>
      </c>
      <c r="E436" s="25">
        <v>15879724111</v>
      </c>
      <c r="F436" s="175" t="s">
        <v>156</v>
      </c>
      <c r="G436" s="175" t="s">
        <v>9</v>
      </c>
      <c r="H436" s="25">
        <v>202102011</v>
      </c>
      <c r="I436" s="175" t="s">
        <v>157</v>
      </c>
      <c r="J436" s="175" t="s">
        <v>1413</v>
      </c>
      <c r="K436" s="175" t="s">
        <v>682</v>
      </c>
      <c r="L436" s="175" t="s">
        <v>170</v>
      </c>
      <c r="M436" s="175" t="s">
        <v>261</v>
      </c>
      <c r="N436" s="175" t="s">
        <v>3552</v>
      </c>
      <c r="O436" s="25">
        <v>0</v>
      </c>
      <c r="P436" s="26" t="str">
        <f>_xlfn.DISPIMG("ID_DB61A8C4A58C4CD3A7E5339498EDC8D8",1)</f>
        <v>=DISPIMG("ID_DB61A8C4A58C4CD3A7E5339498EDC8D8",1)</v>
      </c>
      <c r="Q436" s="25" t="s">
        <v>3553</v>
      </c>
      <c r="R436" s="25">
        <v>451</v>
      </c>
      <c r="S436" s="40" t="s">
        <v>4725</v>
      </c>
      <c r="T436" s="18" t="s">
        <v>66</v>
      </c>
      <c r="U436" s="25">
        <v>14</v>
      </c>
      <c r="V436" s="84"/>
    </row>
    <row r="437" s="3" customFormat="1" customHeight="1" spans="1:22">
      <c r="A437" s="84">
        <v>13</v>
      </c>
      <c r="B437" s="175" t="s">
        <v>3538</v>
      </c>
      <c r="C437" s="175" t="s">
        <v>153</v>
      </c>
      <c r="D437" s="175" t="s">
        <v>3539</v>
      </c>
      <c r="E437" s="25">
        <v>15770899535</v>
      </c>
      <c r="F437" s="175" t="s">
        <v>156</v>
      </c>
      <c r="G437" s="175" t="s">
        <v>9</v>
      </c>
      <c r="H437" s="25">
        <v>202102011</v>
      </c>
      <c r="I437" s="175" t="s">
        <v>157</v>
      </c>
      <c r="J437" s="175" t="s">
        <v>3518</v>
      </c>
      <c r="K437" s="175" t="s">
        <v>472</v>
      </c>
      <c r="L437" s="175" t="s">
        <v>160</v>
      </c>
      <c r="M437" s="175" t="s">
        <v>455</v>
      </c>
      <c r="N437" s="175" t="s">
        <v>3519</v>
      </c>
      <c r="O437" s="175" t="s">
        <v>3519</v>
      </c>
      <c r="P437" s="26" t="str">
        <f>_xlfn.DISPIMG("ID_0BCC1778ACA14DBF957E729E6605C713",1)</f>
        <v>=DISPIMG("ID_0BCC1778ACA14DBF957E729E6605C713",1)</v>
      </c>
      <c r="Q437" s="25" t="s">
        <v>3541</v>
      </c>
      <c r="R437" s="25">
        <v>449</v>
      </c>
      <c r="S437" s="40" t="s">
        <v>4720</v>
      </c>
      <c r="T437" s="18" t="s">
        <v>66</v>
      </c>
      <c r="U437" s="25">
        <v>15</v>
      </c>
      <c r="V437" s="70"/>
    </row>
    <row r="438" s="4" customFormat="1" customHeight="1" spans="1:22">
      <c r="A438" s="84">
        <v>11</v>
      </c>
      <c r="B438" s="175" t="s">
        <v>2330</v>
      </c>
      <c r="C438" s="175" t="s">
        <v>165</v>
      </c>
      <c r="D438" s="175" t="s">
        <v>2331</v>
      </c>
      <c r="E438" s="25">
        <v>13627002257</v>
      </c>
      <c r="F438" s="175" t="s">
        <v>156</v>
      </c>
      <c r="G438" s="175" t="s">
        <v>9</v>
      </c>
      <c r="H438" s="25">
        <v>202102011</v>
      </c>
      <c r="I438" s="175" t="s">
        <v>157</v>
      </c>
      <c r="J438" s="175" t="s">
        <v>233</v>
      </c>
      <c r="K438" s="175" t="s">
        <v>2333</v>
      </c>
      <c r="L438" s="175" t="s">
        <v>160</v>
      </c>
      <c r="M438" s="175" t="s">
        <v>455</v>
      </c>
      <c r="N438" s="175" t="s">
        <v>9</v>
      </c>
      <c r="O438" s="25">
        <v>0</v>
      </c>
      <c r="P438" s="26" t="str">
        <f>_xlfn.DISPIMG("ID_1491B19669C14541B371C6C8BBB97425",1)</f>
        <v>=DISPIMG("ID_1491B19669C14541B371C6C8BBB97425",1)</v>
      </c>
      <c r="Q438" s="25" t="s">
        <v>2334</v>
      </c>
      <c r="R438" s="25">
        <v>276</v>
      </c>
      <c r="S438" s="40" t="s">
        <v>4715</v>
      </c>
      <c r="T438" s="18" t="s">
        <v>66</v>
      </c>
      <c r="U438" s="25">
        <v>16</v>
      </c>
      <c r="V438" s="84"/>
    </row>
    <row r="439" s="3" customFormat="1" customHeight="1" spans="1:22">
      <c r="A439" s="84">
        <v>9</v>
      </c>
      <c r="B439" s="175" t="s">
        <v>1403</v>
      </c>
      <c r="C439" s="175" t="s">
        <v>153</v>
      </c>
      <c r="D439" s="175" t="s">
        <v>1404</v>
      </c>
      <c r="E439" s="25">
        <v>15779981835</v>
      </c>
      <c r="F439" s="175" t="s">
        <v>156</v>
      </c>
      <c r="G439" s="175" t="s">
        <v>9</v>
      </c>
      <c r="H439" s="25">
        <v>202102011</v>
      </c>
      <c r="I439" s="175" t="s">
        <v>157</v>
      </c>
      <c r="J439" s="175" t="s">
        <v>827</v>
      </c>
      <c r="K439" s="175" t="s">
        <v>682</v>
      </c>
      <c r="L439" s="175" t="s">
        <v>170</v>
      </c>
      <c r="M439" s="175" t="s">
        <v>261</v>
      </c>
      <c r="N439" s="175" t="s">
        <v>1406</v>
      </c>
      <c r="O439" s="25">
        <v>0</v>
      </c>
      <c r="P439" s="26" t="str">
        <f>_xlfn.DISPIMG("ID_FA69E1E4EF8743A583B1A39075AAAF21",1)</f>
        <v>=DISPIMG("ID_FA69E1E4EF8743A583B1A39075AAAF21",1)</v>
      </c>
      <c r="Q439" s="25" t="s">
        <v>1407</v>
      </c>
      <c r="R439" s="25">
        <v>154</v>
      </c>
      <c r="S439" s="40" t="s">
        <v>4710</v>
      </c>
      <c r="T439" s="18" t="s">
        <v>66</v>
      </c>
      <c r="U439" s="25">
        <v>17</v>
      </c>
      <c r="V439" s="84"/>
    </row>
    <row r="440" s="3" customFormat="1" customHeight="1" spans="1:22">
      <c r="A440" s="84">
        <v>18</v>
      </c>
      <c r="B440" s="175" t="s">
        <v>3248</v>
      </c>
      <c r="C440" s="175" t="s">
        <v>153</v>
      </c>
      <c r="D440" s="175" t="s">
        <v>3249</v>
      </c>
      <c r="E440" s="25">
        <v>15180608216</v>
      </c>
      <c r="F440" s="175" t="s">
        <v>156</v>
      </c>
      <c r="G440" s="175" t="s">
        <v>11</v>
      </c>
      <c r="H440" s="25">
        <v>202102013</v>
      </c>
      <c r="I440" s="175" t="s">
        <v>157</v>
      </c>
      <c r="J440" s="175" t="s">
        <v>827</v>
      </c>
      <c r="K440" s="175" t="s">
        <v>3251</v>
      </c>
      <c r="L440" s="175" t="s">
        <v>160</v>
      </c>
      <c r="M440" s="175" t="s">
        <v>161</v>
      </c>
      <c r="N440" s="175" t="s">
        <v>8</v>
      </c>
      <c r="O440" s="25">
        <v>0</v>
      </c>
      <c r="P440" s="26" t="str">
        <f>_xlfn.DISPIMG("ID_80F22CEDB358451BB7235F67F99FD33D",1)</f>
        <v>=DISPIMG("ID_80F22CEDB358451BB7235F67F99FD33D",1)</v>
      </c>
      <c r="Q440" s="25" t="s">
        <v>3252</v>
      </c>
      <c r="R440" s="25">
        <v>405</v>
      </c>
      <c r="S440" s="40" t="s">
        <v>4734</v>
      </c>
      <c r="T440" s="18" t="s">
        <v>66</v>
      </c>
      <c r="U440" s="25">
        <v>18</v>
      </c>
      <c r="V440" s="84"/>
    </row>
    <row r="441" s="3" customFormat="1" customHeight="1" spans="1:22">
      <c r="A441" s="84">
        <v>19</v>
      </c>
      <c r="B441" s="175" t="s">
        <v>3335</v>
      </c>
      <c r="C441" s="175" t="s">
        <v>165</v>
      </c>
      <c r="D441" s="175" t="s">
        <v>3336</v>
      </c>
      <c r="E441" s="25">
        <v>15170662594</v>
      </c>
      <c r="F441" s="175" t="s">
        <v>156</v>
      </c>
      <c r="G441" s="175" t="s">
        <v>11</v>
      </c>
      <c r="H441" s="25">
        <v>202102013</v>
      </c>
      <c r="I441" s="175" t="s">
        <v>157</v>
      </c>
      <c r="J441" s="175" t="s">
        <v>3070</v>
      </c>
      <c r="K441" s="175" t="s">
        <v>1147</v>
      </c>
      <c r="L441" s="175" t="s">
        <v>170</v>
      </c>
      <c r="M441" s="175" t="s">
        <v>306</v>
      </c>
      <c r="N441" s="175" t="s">
        <v>23</v>
      </c>
      <c r="O441" s="175" t="s">
        <v>3338</v>
      </c>
      <c r="P441" s="26" t="str">
        <f>_xlfn.DISPIMG("ID_1086188647994FC4A050F44FE33ED3AF",1)</f>
        <v>=DISPIMG("ID_1086188647994FC4A050F44FE33ED3AF",1)</v>
      </c>
      <c r="Q441" s="25" t="s">
        <v>3339</v>
      </c>
      <c r="R441" s="25">
        <v>420</v>
      </c>
      <c r="S441" s="40" t="s">
        <v>4738</v>
      </c>
      <c r="T441" s="18" t="s">
        <v>66</v>
      </c>
      <c r="U441" s="25">
        <v>19</v>
      </c>
      <c r="V441" s="84"/>
    </row>
    <row r="442" s="3" customFormat="1" customHeight="1" spans="1:22">
      <c r="A442" s="84"/>
      <c r="B442" s="25"/>
      <c r="C442" s="25"/>
      <c r="D442" s="25"/>
      <c r="E442" s="25"/>
      <c r="F442" s="25"/>
      <c r="G442" s="25"/>
      <c r="H442" s="25"/>
      <c r="I442" s="25"/>
      <c r="J442" s="25"/>
      <c r="K442" s="25"/>
      <c r="L442" s="25"/>
      <c r="M442" s="25"/>
      <c r="N442" s="25"/>
      <c r="O442" s="25"/>
      <c r="P442" s="26"/>
      <c r="Q442" s="25"/>
      <c r="R442" s="25"/>
      <c r="S442" s="40"/>
      <c r="T442" s="18"/>
      <c r="U442" s="25"/>
      <c r="V442" s="84"/>
    </row>
    <row r="443" s="3" customFormat="1" customHeight="1" spans="1:22">
      <c r="A443" s="84"/>
      <c r="B443" s="25"/>
      <c r="C443" s="25"/>
      <c r="D443" s="25"/>
      <c r="E443" s="25"/>
      <c r="F443" s="25"/>
      <c r="G443" s="25"/>
      <c r="H443" s="25"/>
      <c r="I443" s="25"/>
      <c r="J443" s="25"/>
      <c r="K443" s="25"/>
      <c r="L443" s="25"/>
      <c r="M443" s="25"/>
      <c r="N443" s="25"/>
      <c r="O443" s="25"/>
      <c r="P443" s="26"/>
      <c r="Q443" s="25"/>
      <c r="R443" s="25"/>
      <c r="S443" s="40"/>
      <c r="T443" s="18"/>
      <c r="U443" s="25"/>
      <c r="V443" s="84"/>
    </row>
    <row r="444" s="3" customFormat="1" customHeight="1" spans="1:22">
      <c r="A444" s="84"/>
      <c r="B444" s="25"/>
      <c r="C444" s="25"/>
      <c r="D444" s="25"/>
      <c r="E444" s="25"/>
      <c r="F444" s="25"/>
      <c r="G444" s="25"/>
      <c r="H444" s="25"/>
      <c r="I444" s="25"/>
      <c r="J444" s="25"/>
      <c r="K444" s="25"/>
      <c r="L444" s="25"/>
      <c r="M444" s="25"/>
      <c r="N444" s="25"/>
      <c r="O444" s="25"/>
      <c r="P444" s="26"/>
      <c r="Q444" s="25"/>
      <c r="R444" s="25"/>
      <c r="S444" s="40"/>
      <c r="T444" s="18"/>
      <c r="U444" s="25"/>
      <c r="V444" s="84"/>
    </row>
    <row r="445" s="3" customFormat="1" customHeight="1" spans="1:22">
      <c r="A445" s="84"/>
      <c r="B445" s="25"/>
      <c r="C445" s="25"/>
      <c r="D445" s="25"/>
      <c r="E445" s="25"/>
      <c r="F445" s="25"/>
      <c r="G445" s="25"/>
      <c r="H445" s="25"/>
      <c r="I445" s="25"/>
      <c r="J445" s="25"/>
      <c r="K445" s="25"/>
      <c r="L445" s="25"/>
      <c r="M445" s="25"/>
      <c r="N445" s="25"/>
      <c r="O445" s="25"/>
      <c r="P445" s="26"/>
      <c r="Q445" s="25"/>
      <c r="R445" s="25"/>
      <c r="S445" s="40"/>
      <c r="T445" s="18"/>
      <c r="U445" s="25"/>
      <c r="V445" s="84"/>
    </row>
    <row r="446" s="3" customFormat="1" customHeight="1" spans="1:22">
      <c r="A446" s="84"/>
      <c r="B446" s="25"/>
      <c r="C446" s="25"/>
      <c r="D446" s="25"/>
      <c r="E446" s="25"/>
      <c r="F446" s="25"/>
      <c r="G446" s="25"/>
      <c r="H446" s="25"/>
      <c r="I446" s="25"/>
      <c r="J446" s="25"/>
      <c r="K446" s="25"/>
      <c r="L446" s="25"/>
      <c r="M446" s="25"/>
      <c r="N446" s="25"/>
      <c r="O446" s="25"/>
      <c r="P446" s="26"/>
      <c r="Q446" s="25"/>
      <c r="R446" s="25"/>
      <c r="S446" s="40"/>
      <c r="T446" s="18"/>
      <c r="U446" s="25"/>
      <c r="V446" s="84"/>
    </row>
    <row r="447" s="3" customFormat="1" customHeight="1" spans="1:22">
      <c r="A447" s="84"/>
      <c r="B447" s="25"/>
      <c r="C447" s="25"/>
      <c r="D447" s="25"/>
      <c r="E447" s="25"/>
      <c r="F447" s="25"/>
      <c r="G447" s="25"/>
      <c r="H447" s="25"/>
      <c r="I447" s="25"/>
      <c r="J447" s="25"/>
      <c r="K447" s="25"/>
      <c r="L447" s="25"/>
      <c r="M447" s="25"/>
      <c r="N447" s="25"/>
      <c r="O447" s="25"/>
      <c r="P447" s="26"/>
      <c r="Q447" s="25"/>
      <c r="R447" s="25"/>
      <c r="S447" s="40"/>
      <c r="T447" s="18"/>
      <c r="U447" s="25"/>
      <c r="V447" s="84"/>
    </row>
    <row r="448" s="3" customFormat="1" customHeight="1" spans="1:22">
      <c r="A448" s="84"/>
      <c r="B448" s="25"/>
      <c r="C448" s="25"/>
      <c r="D448" s="25"/>
      <c r="E448" s="25"/>
      <c r="F448" s="25"/>
      <c r="G448" s="25"/>
      <c r="H448" s="25"/>
      <c r="I448" s="25"/>
      <c r="J448" s="25"/>
      <c r="K448" s="25"/>
      <c r="L448" s="25"/>
      <c r="M448" s="25"/>
      <c r="N448" s="25"/>
      <c r="O448" s="25"/>
      <c r="P448" s="26"/>
      <c r="Q448" s="25"/>
      <c r="R448" s="25"/>
      <c r="S448" s="40"/>
      <c r="T448" s="18"/>
      <c r="U448" s="25"/>
      <c r="V448" s="84"/>
    </row>
    <row r="449" s="3" customFormat="1" customHeight="1" spans="1:22">
      <c r="A449" s="84"/>
      <c r="B449" s="25"/>
      <c r="C449" s="25"/>
      <c r="D449" s="25"/>
      <c r="E449" s="25"/>
      <c r="F449" s="25"/>
      <c r="G449" s="25"/>
      <c r="H449" s="25"/>
      <c r="I449" s="25"/>
      <c r="J449" s="25"/>
      <c r="K449" s="25"/>
      <c r="L449" s="25"/>
      <c r="M449" s="25"/>
      <c r="N449" s="25"/>
      <c r="O449" s="25"/>
      <c r="P449" s="26"/>
      <c r="Q449" s="25"/>
      <c r="R449" s="25"/>
      <c r="S449" s="40"/>
      <c r="T449" s="18"/>
      <c r="U449" s="25"/>
      <c r="V449" s="84"/>
    </row>
    <row r="450" s="3" customFormat="1" customHeight="1" spans="1:22">
      <c r="A450" s="84"/>
      <c r="B450" s="25"/>
      <c r="C450" s="25"/>
      <c r="D450" s="25"/>
      <c r="E450" s="25"/>
      <c r="F450" s="25"/>
      <c r="G450" s="25"/>
      <c r="H450" s="25"/>
      <c r="I450" s="25"/>
      <c r="J450" s="25"/>
      <c r="K450" s="25"/>
      <c r="L450" s="25"/>
      <c r="M450" s="25"/>
      <c r="N450" s="25"/>
      <c r="O450" s="25"/>
      <c r="P450" s="26"/>
      <c r="Q450" s="25"/>
      <c r="R450" s="25"/>
      <c r="S450" s="40"/>
      <c r="T450" s="18"/>
      <c r="U450" s="25"/>
      <c r="V450" s="84"/>
    </row>
    <row r="451" s="3" customFormat="1" customHeight="1" spans="1:22">
      <c r="A451" s="84"/>
      <c r="B451" s="25"/>
      <c r="C451" s="25"/>
      <c r="D451" s="25"/>
      <c r="E451" s="25"/>
      <c r="F451" s="25"/>
      <c r="G451" s="25"/>
      <c r="H451" s="25"/>
      <c r="I451" s="25"/>
      <c r="J451" s="25"/>
      <c r="K451" s="25"/>
      <c r="L451" s="25"/>
      <c r="M451" s="25"/>
      <c r="N451" s="25"/>
      <c r="O451" s="25"/>
      <c r="P451" s="26"/>
      <c r="Q451" s="25"/>
      <c r="R451" s="25"/>
      <c r="S451" s="40"/>
      <c r="T451" s="18"/>
      <c r="U451" s="25"/>
      <c r="V451" s="84"/>
    </row>
    <row r="452" s="3" customFormat="1" customHeight="1" spans="1:22">
      <c r="A452" s="84"/>
      <c r="B452" s="25"/>
      <c r="C452" s="25"/>
      <c r="D452" s="25"/>
      <c r="E452" s="25"/>
      <c r="F452" s="25"/>
      <c r="G452" s="25"/>
      <c r="H452" s="25"/>
      <c r="I452" s="25"/>
      <c r="J452" s="25"/>
      <c r="K452" s="25"/>
      <c r="L452" s="25"/>
      <c r="M452" s="25"/>
      <c r="N452" s="25"/>
      <c r="O452" s="25"/>
      <c r="P452" s="26"/>
      <c r="Q452" s="25"/>
      <c r="R452" s="25"/>
      <c r="S452" s="40"/>
      <c r="T452" s="18"/>
      <c r="U452" s="25"/>
      <c r="V452" s="84"/>
    </row>
    <row r="453" s="3" customFormat="1" customHeight="1" spans="1:22">
      <c r="A453" s="84">
        <v>26</v>
      </c>
      <c r="B453" s="175" t="s">
        <v>3386</v>
      </c>
      <c r="C453" s="175" t="s">
        <v>165</v>
      </c>
      <c r="D453" s="175" t="s">
        <v>3387</v>
      </c>
      <c r="E453" s="25">
        <v>15070657835</v>
      </c>
      <c r="F453" s="175" t="s">
        <v>384</v>
      </c>
      <c r="G453" s="175" t="s">
        <v>25</v>
      </c>
      <c r="H453" s="25">
        <v>202101007</v>
      </c>
      <c r="I453" s="175" t="s">
        <v>705</v>
      </c>
      <c r="J453" s="175" t="s">
        <v>233</v>
      </c>
      <c r="K453" s="175" t="s">
        <v>3389</v>
      </c>
      <c r="L453" s="175" t="s">
        <v>160</v>
      </c>
      <c r="M453" s="175" t="s">
        <v>261</v>
      </c>
      <c r="N453" s="175" t="s">
        <v>1506</v>
      </c>
      <c r="O453" s="25">
        <v>0</v>
      </c>
      <c r="P453" s="26" t="str">
        <f>_xlfn.DISPIMG("ID_E7900D53DC2C42DFA545534A1C33490B",1)</f>
        <v>=DISPIMG("ID_E7900D53DC2C42DFA545534A1C33490B",1)</v>
      </c>
      <c r="Q453" s="25" t="s">
        <v>3390</v>
      </c>
      <c r="R453" s="25">
        <v>427</v>
      </c>
      <c r="S453" s="40" t="s">
        <v>4755</v>
      </c>
      <c r="T453" s="18" t="s">
        <v>70</v>
      </c>
      <c r="U453" s="25">
        <v>1</v>
      </c>
      <c r="V453" s="84"/>
    </row>
    <row r="454" s="3" customFormat="1" customHeight="1" spans="1:22">
      <c r="A454" s="84">
        <v>21</v>
      </c>
      <c r="B454" s="175" t="s">
        <v>2674</v>
      </c>
      <c r="C454" s="175" t="s">
        <v>165</v>
      </c>
      <c r="D454" s="175" t="s">
        <v>2675</v>
      </c>
      <c r="E454" s="25">
        <v>18000227120</v>
      </c>
      <c r="F454" s="175" t="s">
        <v>297</v>
      </c>
      <c r="G454" s="175" t="s">
        <v>25</v>
      </c>
      <c r="H454" s="25">
        <v>202101008</v>
      </c>
      <c r="I454" s="175" t="s">
        <v>157</v>
      </c>
      <c r="J454" s="175" t="s">
        <v>269</v>
      </c>
      <c r="K454" s="175" t="s">
        <v>2677</v>
      </c>
      <c r="L454" s="175" t="s">
        <v>160</v>
      </c>
      <c r="M454" s="175" t="s">
        <v>224</v>
      </c>
      <c r="N454" s="175" t="s">
        <v>25</v>
      </c>
      <c r="O454" s="175" t="s">
        <v>2678</v>
      </c>
      <c r="P454" s="26" t="str">
        <f>_xlfn.DISPIMG("ID_03E1DAA8D63B4AFF99883CCD0E6E65E6",1)</f>
        <v>=DISPIMG("ID_03E1DAA8D63B4AFF99883CCD0E6E65E6",1)</v>
      </c>
      <c r="Q454" s="25" t="s">
        <v>2679</v>
      </c>
      <c r="R454" s="25">
        <v>359</v>
      </c>
      <c r="S454" s="40" t="s">
        <v>4750</v>
      </c>
      <c r="T454" s="18" t="s">
        <v>70</v>
      </c>
      <c r="U454" s="25">
        <v>2</v>
      </c>
      <c r="V454" s="84"/>
    </row>
    <row r="455" s="3" customFormat="1" customHeight="1" spans="1:22">
      <c r="A455" s="84">
        <v>16</v>
      </c>
      <c r="B455" s="175" t="s">
        <v>2069</v>
      </c>
      <c r="C455" s="175" t="s">
        <v>165</v>
      </c>
      <c r="D455" s="175" t="s">
        <v>2070</v>
      </c>
      <c r="E455" s="25">
        <v>18970492528</v>
      </c>
      <c r="F455" s="175" t="s">
        <v>384</v>
      </c>
      <c r="G455" s="175" t="s">
        <v>25</v>
      </c>
      <c r="H455" s="25">
        <v>202101007</v>
      </c>
      <c r="I455" s="175" t="s">
        <v>157</v>
      </c>
      <c r="J455" s="175" t="s">
        <v>233</v>
      </c>
      <c r="K455" s="175" t="s">
        <v>179</v>
      </c>
      <c r="L455" s="175" t="s">
        <v>170</v>
      </c>
      <c r="M455" s="175" t="s">
        <v>1346</v>
      </c>
      <c r="N455" s="175" t="s">
        <v>25</v>
      </c>
      <c r="O455" s="175" t="s">
        <v>2072</v>
      </c>
      <c r="P455" s="26" t="str">
        <f>_xlfn.DISPIMG("ID_AE7BFEF114344F24954EA3AA4FC71BD8",1)</f>
        <v>=DISPIMG("ID_AE7BFEF114344F24954EA3AA4FC71BD8",1)</v>
      </c>
      <c r="Q455" s="25" t="s">
        <v>2073</v>
      </c>
      <c r="R455" s="25">
        <v>241</v>
      </c>
      <c r="S455" s="40" t="s">
        <v>4744</v>
      </c>
      <c r="T455" s="18" t="s">
        <v>70</v>
      </c>
      <c r="U455" s="25">
        <v>3</v>
      </c>
      <c r="V455" s="70"/>
    </row>
    <row r="456" s="3" customFormat="1" customHeight="1" spans="1:22">
      <c r="A456" s="84">
        <v>11</v>
      </c>
      <c r="B456" s="175" t="s">
        <v>1552</v>
      </c>
      <c r="C456" s="175" t="s">
        <v>165</v>
      </c>
      <c r="D456" s="175" t="s">
        <v>1553</v>
      </c>
      <c r="E456" s="25">
        <v>18795899857</v>
      </c>
      <c r="F456" s="175" t="s">
        <v>384</v>
      </c>
      <c r="G456" s="175" t="s">
        <v>25</v>
      </c>
      <c r="H456" s="25">
        <v>202101007</v>
      </c>
      <c r="I456" s="175" t="s">
        <v>157</v>
      </c>
      <c r="J456" s="175" t="s">
        <v>385</v>
      </c>
      <c r="K456" s="175" t="s">
        <v>828</v>
      </c>
      <c r="L456" s="175" t="s">
        <v>170</v>
      </c>
      <c r="M456" s="175" t="s">
        <v>548</v>
      </c>
      <c r="N456" s="175" t="s">
        <v>25</v>
      </c>
      <c r="O456" s="175" t="s">
        <v>1555</v>
      </c>
      <c r="P456" s="26" t="str">
        <f>_xlfn.DISPIMG("ID_3244697DE8F74EF1A671D4FB148CF806",1)</f>
        <v>=DISPIMG("ID_3244697DE8F74EF1A671D4FB148CF806",1)</v>
      </c>
      <c r="Q456" s="25" t="s">
        <v>1556</v>
      </c>
      <c r="R456" s="25">
        <v>173</v>
      </c>
      <c r="S456" s="40" t="s">
        <v>4737</v>
      </c>
      <c r="T456" s="18" t="s">
        <v>70</v>
      </c>
      <c r="U456" s="25">
        <v>4</v>
      </c>
      <c r="V456" s="84"/>
    </row>
    <row r="457" s="3" customFormat="1" customHeight="1" spans="1:22">
      <c r="A457" s="84">
        <v>6</v>
      </c>
      <c r="B457" s="175" t="s">
        <v>720</v>
      </c>
      <c r="C457" s="175" t="s">
        <v>165</v>
      </c>
      <c r="D457" s="175" t="s">
        <v>721</v>
      </c>
      <c r="E457" s="25">
        <v>18070248182</v>
      </c>
      <c r="F457" s="175" t="s">
        <v>384</v>
      </c>
      <c r="G457" s="175" t="s">
        <v>25</v>
      </c>
      <c r="H457" s="25">
        <v>202101007</v>
      </c>
      <c r="I457" s="175" t="s">
        <v>157</v>
      </c>
      <c r="J457" s="175" t="s">
        <v>723</v>
      </c>
      <c r="K457" s="175" t="s">
        <v>223</v>
      </c>
      <c r="L457" s="175" t="s">
        <v>170</v>
      </c>
      <c r="M457" s="175" t="s">
        <v>252</v>
      </c>
      <c r="N457" s="175" t="s">
        <v>724</v>
      </c>
      <c r="O457" s="175" t="s">
        <v>725</v>
      </c>
      <c r="P457" s="26" t="str">
        <f>_xlfn.DISPIMG("ID_18752421A8044E9999D06F0B98A5B3A9",1)</f>
        <v>=DISPIMG("ID_18752421A8044E9999D06F0B98A5B3A9",1)</v>
      </c>
      <c r="Q457" s="25" t="s">
        <v>726</v>
      </c>
      <c r="R457" s="25">
        <v>68</v>
      </c>
      <c r="S457" s="40" t="s">
        <v>4731</v>
      </c>
      <c r="T457" s="18" t="s">
        <v>70</v>
      </c>
      <c r="U457" s="25">
        <v>5</v>
      </c>
      <c r="V457" s="84"/>
    </row>
    <row r="458" s="3" customFormat="1" customHeight="1" spans="1:22">
      <c r="A458" s="84">
        <v>1</v>
      </c>
      <c r="B458" s="175" t="s">
        <v>294</v>
      </c>
      <c r="C458" s="175" t="s">
        <v>165</v>
      </c>
      <c r="D458" s="175" t="s">
        <v>295</v>
      </c>
      <c r="E458" s="25">
        <v>18214938323</v>
      </c>
      <c r="F458" s="175" t="s">
        <v>297</v>
      </c>
      <c r="G458" s="175" t="s">
        <v>25</v>
      </c>
      <c r="H458" s="25">
        <v>202101008</v>
      </c>
      <c r="I458" s="175" t="s">
        <v>157</v>
      </c>
      <c r="J458" s="175" t="s">
        <v>178</v>
      </c>
      <c r="K458" s="175" t="s">
        <v>298</v>
      </c>
      <c r="L458" s="175" t="s">
        <v>160</v>
      </c>
      <c r="M458" s="175" t="s">
        <v>261</v>
      </c>
      <c r="N458" s="175" t="s">
        <v>25</v>
      </c>
      <c r="O458" s="25">
        <v>0</v>
      </c>
      <c r="P458" s="26" t="str">
        <f>_xlfn.DISPIMG("ID_60CDE70AF1564D1B99D89BFC637EF6FF",1)</f>
        <v>=DISPIMG("ID_60CDE70AF1564D1B99D89BFC637EF6FF",1)</v>
      </c>
      <c r="Q458" s="25" t="s">
        <v>299</v>
      </c>
      <c r="R458" s="25">
        <v>17</v>
      </c>
      <c r="S458" s="40" t="s">
        <v>4742</v>
      </c>
      <c r="T458" s="18" t="s">
        <v>70</v>
      </c>
      <c r="U458" s="25">
        <v>6</v>
      </c>
      <c r="V458" s="84"/>
    </row>
    <row r="459" s="3" customFormat="1" customHeight="1" spans="1:22">
      <c r="A459" s="84">
        <v>2</v>
      </c>
      <c r="B459" s="175" t="s">
        <v>312</v>
      </c>
      <c r="C459" s="175" t="s">
        <v>165</v>
      </c>
      <c r="D459" s="175" t="s">
        <v>313</v>
      </c>
      <c r="E459" s="25">
        <v>13479263942</v>
      </c>
      <c r="F459" s="175" t="s">
        <v>297</v>
      </c>
      <c r="G459" s="175" t="s">
        <v>25</v>
      </c>
      <c r="H459" s="25">
        <v>202101008</v>
      </c>
      <c r="I459" s="175" t="s">
        <v>157</v>
      </c>
      <c r="J459" s="175" t="s">
        <v>158</v>
      </c>
      <c r="K459" s="175" t="s">
        <v>223</v>
      </c>
      <c r="L459" s="175" t="s">
        <v>170</v>
      </c>
      <c r="M459" s="175" t="s">
        <v>306</v>
      </c>
      <c r="N459" s="175" t="s">
        <v>315</v>
      </c>
      <c r="O459" s="175" t="s">
        <v>316</v>
      </c>
      <c r="P459" s="26" t="str">
        <f>_xlfn.DISPIMG("ID_70953AC2E42945A88FA3E573D09D6D1B",1)</f>
        <v>=DISPIMG("ID_70953AC2E42945A88FA3E573D09D6D1B",1)</v>
      </c>
      <c r="Q459" s="25" t="s">
        <v>317</v>
      </c>
      <c r="R459" s="25">
        <v>19</v>
      </c>
      <c r="S459" s="40" t="s">
        <v>4745</v>
      </c>
      <c r="T459" s="18" t="s">
        <v>70</v>
      </c>
      <c r="U459" s="25">
        <v>7</v>
      </c>
      <c r="V459" s="84"/>
    </row>
    <row r="460" s="3" customFormat="1" customHeight="1" spans="1:22">
      <c r="A460" s="84">
        <v>7</v>
      </c>
      <c r="B460" s="175" t="s">
        <v>786</v>
      </c>
      <c r="C460" s="175" t="s">
        <v>165</v>
      </c>
      <c r="D460" s="175" t="s">
        <v>787</v>
      </c>
      <c r="E460" s="25">
        <v>15870883510</v>
      </c>
      <c r="F460" s="175" t="s">
        <v>384</v>
      </c>
      <c r="G460" s="175" t="s">
        <v>25</v>
      </c>
      <c r="H460" s="25">
        <v>202101007</v>
      </c>
      <c r="I460" s="175" t="s">
        <v>705</v>
      </c>
      <c r="J460" s="175" t="s">
        <v>789</v>
      </c>
      <c r="K460" s="175" t="s">
        <v>790</v>
      </c>
      <c r="L460" s="175" t="s">
        <v>160</v>
      </c>
      <c r="M460" s="175" t="s">
        <v>455</v>
      </c>
      <c r="N460" s="175" t="s">
        <v>307</v>
      </c>
      <c r="O460" s="175" t="s">
        <v>791</v>
      </c>
      <c r="P460" s="26" t="str">
        <f>_xlfn.DISPIMG("ID_81CFC0148DBF4084ADB804B82E5E7200",1)</f>
        <v>=DISPIMG("ID_81CFC0148DBF4084ADB804B82E5E7200",1)</v>
      </c>
      <c r="Q460" s="25" t="s">
        <v>792</v>
      </c>
      <c r="R460" s="25">
        <v>76</v>
      </c>
      <c r="S460" s="40" t="s">
        <v>4732</v>
      </c>
      <c r="T460" s="18" t="s">
        <v>70</v>
      </c>
      <c r="U460" s="25">
        <v>8</v>
      </c>
      <c r="V460" s="84"/>
    </row>
    <row r="461" s="3" customFormat="1" customHeight="1" spans="1:22">
      <c r="A461" s="84">
        <v>12</v>
      </c>
      <c r="B461" s="175" t="s">
        <v>1597</v>
      </c>
      <c r="C461" s="175" t="s">
        <v>153</v>
      </c>
      <c r="D461" s="175" t="s">
        <v>1598</v>
      </c>
      <c r="E461" s="25">
        <v>13979287846</v>
      </c>
      <c r="F461" s="175" t="s">
        <v>384</v>
      </c>
      <c r="G461" s="175" t="s">
        <v>25</v>
      </c>
      <c r="H461" s="25">
        <v>202101007</v>
      </c>
      <c r="I461" s="175" t="s">
        <v>157</v>
      </c>
      <c r="J461" s="175" t="s">
        <v>1600</v>
      </c>
      <c r="K461" s="175" t="s">
        <v>1601</v>
      </c>
      <c r="L461" s="175" t="s">
        <v>170</v>
      </c>
      <c r="M461" s="175" t="s">
        <v>252</v>
      </c>
      <c r="N461" s="175" t="s">
        <v>25</v>
      </c>
      <c r="O461" s="175" t="s">
        <v>1602</v>
      </c>
      <c r="P461" s="26" t="str">
        <f>_xlfn.DISPIMG("ID_E78F3BF41C5D43B8884910B23D8EE46A",1)</f>
        <v>=DISPIMG("ID_E78F3BF41C5D43B8884910B23D8EE46A",1)</v>
      </c>
      <c r="Q461" s="25" t="s">
        <v>1603</v>
      </c>
      <c r="R461" s="25">
        <v>179</v>
      </c>
      <c r="S461" s="40" t="s">
        <v>4739</v>
      </c>
      <c r="T461" s="18" t="s">
        <v>70</v>
      </c>
      <c r="U461" s="25">
        <v>9</v>
      </c>
      <c r="V461" s="85"/>
    </row>
    <row r="462" s="3" customFormat="1" customHeight="1" spans="1:22">
      <c r="A462" s="84">
        <v>17</v>
      </c>
      <c r="B462" s="175" t="s">
        <v>2360</v>
      </c>
      <c r="C462" s="175" t="s">
        <v>165</v>
      </c>
      <c r="D462" s="175" t="s">
        <v>2361</v>
      </c>
      <c r="E462" s="25">
        <v>18070140896</v>
      </c>
      <c r="F462" s="175" t="s">
        <v>384</v>
      </c>
      <c r="G462" s="175" t="s">
        <v>25</v>
      </c>
      <c r="H462" s="25">
        <v>202101007</v>
      </c>
      <c r="I462" s="175" t="s">
        <v>157</v>
      </c>
      <c r="J462" s="175" t="s">
        <v>2363</v>
      </c>
      <c r="K462" s="175" t="s">
        <v>179</v>
      </c>
      <c r="L462" s="175" t="s">
        <v>170</v>
      </c>
      <c r="M462" s="175" t="s">
        <v>577</v>
      </c>
      <c r="N462" s="175" t="s">
        <v>25</v>
      </c>
      <c r="O462" s="175" t="s">
        <v>2364</v>
      </c>
      <c r="P462" s="26" t="str">
        <f>_xlfn.DISPIMG("ID_9FF2F7CED6DC40CB89E306847985BA44",1)</f>
        <v>=DISPIMG("ID_9FF2F7CED6DC40CB89E306847985BA44",1)</v>
      </c>
      <c r="Q462" s="25" t="s">
        <v>2365</v>
      </c>
      <c r="R462" s="25">
        <v>280</v>
      </c>
      <c r="S462" s="40" t="s">
        <v>4746</v>
      </c>
      <c r="T462" s="18" t="s">
        <v>70</v>
      </c>
      <c r="U462" s="25">
        <v>10</v>
      </c>
      <c r="V462" s="70"/>
    </row>
    <row r="463" s="3" customFormat="1" customHeight="1" spans="1:22">
      <c r="A463" s="84">
        <v>22</v>
      </c>
      <c r="B463" s="175" t="s">
        <v>3002</v>
      </c>
      <c r="C463" s="175" t="s">
        <v>165</v>
      </c>
      <c r="D463" s="175" t="s">
        <v>3003</v>
      </c>
      <c r="E463" s="25">
        <v>15798074733</v>
      </c>
      <c r="F463" s="175" t="s">
        <v>297</v>
      </c>
      <c r="G463" s="175" t="s">
        <v>25</v>
      </c>
      <c r="H463" s="25">
        <v>202101008</v>
      </c>
      <c r="I463" s="175" t="s">
        <v>157</v>
      </c>
      <c r="J463" s="175" t="s">
        <v>540</v>
      </c>
      <c r="K463" s="175" t="s">
        <v>179</v>
      </c>
      <c r="L463" s="175" t="s">
        <v>160</v>
      </c>
      <c r="M463" s="175" t="s">
        <v>2047</v>
      </c>
      <c r="N463" s="175" t="s">
        <v>3005</v>
      </c>
      <c r="O463" s="25">
        <v>0</v>
      </c>
      <c r="P463" s="26" t="str">
        <f>_xlfn.DISPIMG("ID_4E0EBDB804BA45EB8B4195F5A93DFBBD",1)</f>
        <v>=DISPIMG("ID_4E0EBDB804BA45EB8B4195F5A93DFBBD",1)</v>
      </c>
      <c r="Q463" s="25" t="s">
        <v>3006</v>
      </c>
      <c r="R463" s="25">
        <v>370</v>
      </c>
      <c r="S463" s="40" t="s">
        <v>4751</v>
      </c>
      <c r="T463" s="18" t="s">
        <v>70</v>
      </c>
      <c r="U463" s="25">
        <v>11</v>
      </c>
      <c r="V463" s="84"/>
    </row>
    <row r="464" s="5" customFormat="1" customHeight="1" spans="1:22">
      <c r="A464" s="84">
        <v>27</v>
      </c>
      <c r="B464" s="175" t="s">
        <v>3789</v>
      </c>
      <c r="C464" s="175" t="s">
        <v>165</v>
      </c>
      <c r="D464" s="175" t="s">
        <v>3790</v>
      </c>
      <c r="E464" s="25">
        <v>15979943806</v>
      </c>
      <c r="F464" s="175" t="s">
        <v>384</v>
      </c>
      <c r="G464" s="175" t="s">
        <v>25</v>
      </c>
      <c r="H464" s="25">
        <v>202101007</v>
      </c>
      <c r="I464" s="175" t="s">
        <v>157</v>
      </c>
      <c r="J464" s="175" t="s">
        <v>2874</v>
      </c>
      <c r="K464" s="175" t="s">
        <v>3792</v>
      </c>
      <c r="L464" s="175" t="s">
        <v>170</v>
      </c>
      <c r="M464" s="175" t="s">
        <v>216</v>
      </c>
      <c r="N464" s="175" t="s">
        <v>25</v>
      </c>
      <c r="O464" s="175" t="s">
        <v>3793</v>
      </c>
      <c r="P464" s="26" t="str">
        <f>_xlfn.DISPIMG("ID_7E3A3C48C46B4922B18A5C2AD1587AC0",1)</f>
        <v>=DISPIMG("ID_7E3A3C48C46B4922B18A5C2AD1587AC0",1)</v>
      </c>
      <c r="Q464" s="25" t="s">
        <v>3794</v>
      </c>
      <c r="R464" s="25">
        <v>483</v>
      </c>
      <c r="S464" s="40" t="s">
        <v>4756</v>
      </c>
      <c r="T464" s="18" t="s">
        <v>70</v>
      </c>
      <c r="U464" s="25">
        <v>12</v>
      </c>
      <c r="V464" s="84"/>
    </row>
    <row r="465" s="3" customFormat="1" customHeight="1" spans="1:22">
      <c r="A465" s="84">
        <v>28</v>
      </c>
      <c r="B465" s="175" t="s">
        <v>3918</v>
      </c>
      <c r="C465" s="175" t="s">
        <v>165</v>
      </c>
      <c r="D465" s="175" t="s">
        <v>3919</v>
      </c>
      <c r="E465" s="25">
        <v>18979261626</v>
      </c>
      <c r="F465" s="175" t="s">
        <v>384</v>
      </c>
      <c r="G465" s="175" t="s">
        <v>25</v>
      </c>
      <c r="H465" s="25">
        <v>202101007</v>
      </c>
      <c r="I465" s="175" t="s">
        <v>157</v>
      </c>
      <c r="J465" s="175" t="s">
        <v>178</v>
      </c>
      <c r="K465" s="175" t="s">
        <v>179</v>
      </c>
      <c r="L465" s="175" t="s">
        <v>170</v>
      </c>
      <c r="M465" s="175" t="s">
        <v>161</v>
      </c>
      <c r="N465" s="175" t="s">
        <v>952</v>
      </c>
      <c r="O465" s="175" t="s">
        <v>3920</v>
      </c>
      <c r="P465" s="26" t="str">
        <f>_xlfn.DISPIMG("ID_64C458B5785C4AE8B3EB4D932C0866CC",1)</f>
        <v>=DISPIMG("ID_64C458B5785C4AE8B3EB4D932C0866CC",1)</v>
      </c>
      <c r="Q465" s="25" t="s">
        <v>3921</v>
      </c>
      <c r="R465" s="25">
        <v>500</v>
      </c>
      <c r="S465" s="40" t="s">
        <v>4757</v>
      </c>
      <c r="T465" s="18" t="s">
        <v>70</v>
      </c>
      <c r="U465" s="25">
        <v>13</v>
      </c>
      <c r="V465" s="84"/>
    </row>
    <row r="466" s="3" customFormat="1" customHeight="1" spans="1:22">
      <c r="A466" s="84">
        <v>23</v>
      </c>
      <c r="B466" s="175" t="s">
        <v>3130</v>
      </c>
      <c r="C466" s="175" t="s">
        <v>165</v>
      </c>
      <c r="D466" s="175" t="s">
        <v>3131</v>
      </c>
      <c r="E466" s="25">
        <v>13510703252</v>
      </c>
      <c r="F466" s="175" t="s">
        <v>384</v>
      </c>
      <c r="G466" s="175" t="s">
        <v>25</v>
      </c>
      <c r="H466" s="25">
        <v>202101007</v>
      </c>
      <c r="I466" s="175" t="s">
        <v>157</v>
      </c>
      <c r="J466" s="175" t="s">
        <v>1203</v>
      </c>
      <c r="K466" s="175" t="s">
        <v>223</v>
      </c>
      <c r="L466" s="175" t="s">
        <v>170</v>
      </c>
      <c r="M466" s="175" t="s">
        <v>224</v>
      </c>
      <c r="N466" s="175" t="s">
        <v>25</v>
      </c>
      <c r="O466" s="175" t="s">
        <v>3132</v>
      </c>
      <c r="P466" s="26" t="str">
        <f>_xlfn.DISPIMG("ID_DD2B22793A5D42C5A4C202130135D188",1)</f>
        <v>=DISPIMG("ID_DD2B22793A5D42C5A4C202130135D188",1)</v>
      </c>
      <c r="Q466" s="25" t="s">
        <v>3133</v>
      </c>
      <c r="R466" s="25">
        <v>387</v>
      </c>
      <c r="S466" s="40" t="s">
        <v>4752</v>
      </c>
      <c r="T466" s="18" t="s">
        <v>70</v>
      </c>
      <c r="U466" s="25">
        <v>14</v>
      </c>
      <c r="V466" s="84"/>
    </row>
    <row r="467" s="3" customFormat="1" customHeight="1" spans="1:22">
      <c r="A467" s="84">
        <v>18</v>
      </c>
      <c r="B467" s="175" t="s">
        <v>2415</v>
      </c>
      <c r="C467" s="175" t="s">
        <v>165</v>
      </c>
      <c r="D467" s="175" t="s">
        <v>2416</v>
      </c>
      <c r="E467" s="25">
        <v>18179591146</v>
      </c>
      <c r="F467" s="175" t="s">
        <v>384</v>
      </c>
      <c r="G467" s="175" t="s">
        <v>25</v>
      </c>
      <c r="H467" s="25">
        <v>202101007</v>
      </c>
      <c r="I467" s="175" t="s">
        <v>157</v>
      </c>
      <c r="J467" s="175" t="s">
        <v>1258</v>
      </c>
      <c r="K467" s="175" t="s">
        <v>828</v>
      </c>
      <c r="L467" s="175" t="s">
        <v>170</v>
      </c>
      <c r="M467" s="175" t="s">
        <v>171</v>
      </c>
      <c r="N467" s="175" t="s">
        <v>25</v>
      </c>
      <c r="O467" s="175" t="s">
        <v>2418</v>
      </c>
      <c r="P467" s="26" t="str">
        <f>_xlfn.DISPIMG("ID_CD5C977DBB8D404E885C56F791C17D27",1)</f>
        <v>=DISPIMG("ID_CD5C977DBB8D404E885C56F791C17D27",1)</v>
      </c>
      <c r="Q467" s="25" t="s">
        <v>2419</v>
      </c>
      <c r="R467" s="25">
        <v>287</v>
      </c>
      <c r="S467" s="40" t="s">
        <v>4747</v>
      </c>
      <c r="T467" s="18" t="s">
        <v>70</v>
      </c>
      <c r="U467" s="25">
        <v>15</v>
      </c>
      <c r="V467" s="84"/>
    </row>
    <row r="468" s="4" customFormat="1" customHeight="1" spans="1:22">
      <c r="A468" s="84">
        <v>13</v>
      </c>
      <c r="B468" s="175" t="s">
        <v>1689</v>
      </c>
      <c r="C468" s="175" t="s">
        <v>165</v>
      </c>
      <c r="D468" s="175" t="s">
        <v>1690</v>
      </c>
      <c r="E468" s="25">
        <v>13677055035</v>
      </c>
      <c r="F468" s="175" t="s">
        <v>384</v>
      </c>
      <c r="G468" s="175" t="s">
        <v>25</v>
      </c>
      <c r="H468" s="25">
        <v>202101007</v>
      </c>
      <c r="I468" s="175" t="s">
        <v>157</v>
      </c>
      <c r="J468" s="175" t="s">
        <v>1258</v>
      </c>
      <c r="K468" s="175" t="s">
        <v>179</v>
      </c>
      <c r="L468" s="175" t="s">
        <v>170</v>
      </c>
      <c r="M468" s="175" t="s">
        <v>180</v>
      </c>
      <c r="N468" s="175" t="s">
        <v>1692</v>
      </c>
      <c r="O468" s="175" t="s">
        <v>1693</v>
      </c>
      <c r="P468" s="26" t="str">
        <f>_xlfn.DISPIMG("ID_43885BD9A06C404291EA89276C573B8A",1)</f>
        <v>=DISPIMG("ID_43885BD9A06C404291EA89276C573B8A",1)</v>
      </c>
      <c r="Q468" s="25" t="s">
        <v>1694</v>
      </c>
      <c r="R468" s="25">
        <v>191</v>
      </c>
      <c r="S468" s="40" t="s">
        <v>4740</v>
      </c>
      <c r="T468" s="18" t="s">
        <v>70</v>
      </c>
      <c r="U468" s="25">
        <v>16</v>
      </c>
      <c r="V468" s="84"/>
    </row>
    <row r="469" s="4" customFormat="1" customHeight="1" spans="1:22">
      <c r="A469" s="84">
        <v>8</v>
      </c>
      <c r="B469" s="175" t="s">
        <v>824</v>
      </c>
      <c r="C469" s="175" t="s">
        <v>165</v>
      </c>
      <c r="D469" s="175" t="s">
        <v>825</v>
      </c>
      <c r="E469" s="25">
        <v>18870036528</v>
      </c>
      <c r="F469" s="175" t="s">
        <v>297</v>
      </c>
      <c r="G469" s="175" t="s">
        <v>25</v>
      </c>
      <c r="H469" s="25">
        <v>202101008</v>
      </c>
      <c r="I469" s="175" t="s">
        <v>157</v>
      </c>
      <c r="J469" s="175" t="s">
        <v>827</v>
      </c>
      <c r="K469" s="175" t="s">
        <v>828</v>
      </c>
      <c r="L469" s="175" t="s">
        <v>170</v>
      </c>
      <c r="M469" s="175" t="s">
        <v>396</v>
      </c>
      <c r="N469" s="175" t="s">
        <v>25</v>
      </c>
      <c r="O469" s="175" t="s">
        <v>829</v>
      </c>
      <c r="P469" s="26" t="str">
        <f>_xlfn.DISPIMG("ID_8A1A22938F334E1D900FC8311DB2BE9A",1)</f>
        <v>=DISPIMG("ID_8A1A22938F334E1D900FC8311DB2BE9A",1)</v>
      </c>
      <c r="Q469" s="25" t="s">
        <v>830</v>
      </c>
      <c r="R469" s="25">
        <v>81</v>
      </c>
      <c r="S469" s="40" t="s">
        <v>4733</v>
      </c>
      <c r="T469" s="18" t="s">
        <v>70</v>
      </c>
      <c r="U469" s="25">
        <v>17</v>
      </c>
      <c r="V469" s="84"/>
    </row>
    <row r="470" s="3" customFormat="1" customHeight="1" spans="1:22">
      <c r="A470" s="84">
        <v>3</v>
      </c>
      <c r="B470" s="175" t="s">
        <v>381</v>
      </c>
      <c r="C470" s="175" t="s">
        <v>165</v>
      </c>
      <c r="D470" s="175" t="s">
        <v>382</v>
      </c>
      <c r="E470" s="25">
        <v>15180106412</v>
      </c>
      <c r="F470" s="175" t="s">
        <v>384</v>
      </c>
      <c r="G470" s="175" t="s">
        <v>25</v>
      </c>
      <c r="H470" s="25">
        <v>202101007</v>
      </c>
      <c r="I470" s="175" t="s">
        <v>157</v>
      </c>
      <c r="J470" s="175" t="s">
        <v>385</v>
      </c>
      <c r="K470" s="175" t="s">
        <v>386</v>
      </c>
      <c r="L470" s="175" t="s">
        <v>170</v>
      </c>
      <c r="M470" s="175" t="s">
        <v>216</v>
      </c>
      <c r="N470" s="175" t="s">
        <v>25</v>
      </c>
      <c r="O470" s="175" t="s">
        <v>387</v>
      </c>
      <c r="P470" s="26" t="str">
        <f>_xlfn.DISPIMG("ID_66D69597049F4F76B0A0201065CACE75",1)</f>
        <v>=DISPIMG("ID_66D69597049F4F76B0A0201065CACE75",1)</v>
      </c>
      <c r="Q470" s="25" t="s">
        <v>388</v>
      </c>
      <c r="R470" s="25">
        <v>27</v>
      </c>
      <c r="S470" s="40" t="s">
        <v>4727</v>
      </c>
      <c r="T470" s="18" t="s">
        <v>70</v>
      </c>
      <c r="U470" s="25">
        <v>18</v>
      </c>
      <c r="V470" s="84"/>
    </row>
    <row r="471" s="3" customFormat="1" customHeight="1" spans="1:22">
      <c r="A471" s="84">
        <v>4</v>
      </c>
      <c r="B471" s="175" t="s">
        <v>545</v>
      </c>
      <c r="C471" s="175" t="s">
        <v>165</v>
      </c>
      <c r="D471" s="175" t="s">
        <v>546</v>
      </c>
      <c r="E471" s="25">
        <v>13282964470</v>
      </c>
      <c r="F471" s="175" t="s">
        <v>384</v>
      </c>
      <c r="G471" s="175" t="s">
        <v>25</v>
      </c>
      <c r="H471" s="25">
        <v>202101007</v>
      </c>
      <c r="I471" s="175" t="s">
        <v>157</v>
      </c>
      <c r="J471" s="175" t="s">
        <v>158</v>
      </c>
      <c r="K471" s="175" t="s">
        <v>223</v>
      </c>
      <c r="L471" s="175" t="s">
        <v>170</v>
      </c>
      <c r="M471" s="175" t="s">
        <v>548</v>
      </c>
      <c r="N471" s="175" t="s">
        <v>549</v>
      </c>
      <c r="O471" s="175" t="s">
        <v>550</v>
      </c>
      <c r="P471" s="26" t="str">
        <f>_xlfn.DISPIMG("ID_815DB3FDB9924FE5A27318CA3E9A763D",1)</f>
        <v>=DISPIMG("ID_815DB3FDB9924FE5A27318CA3E9A763D",1)</v>
      </c>
      <c r="Q471" s="25" t="s">
        <v>551</v>
      </c>
      <c r="R471" s="25">
        <v>47</v>
      </c>
      <c r="S471" s="40" t="s">
        <v>4728</v>
      </c>
      <c r="T471" s="18" t="s">
        <v>70</v>
      </c>
      <c r="U471" s="25">
        <v>19</v>
      </c>
      <c r="V471" s="84"/>
    </row>
    <row r="472" s="3" customFormat="1" customHeight="1" spans="1:22">
      <c r="A472" s="84">
        <v>9</v>
      </c>
      <c r="B472" s="175" t="s">
        <v>949</v>
      </c>
      <c r="C472" s="175" t="s">
        <v>165</v>
      </c>
      <c r="D472" s="175" t="s">
        <v>950</v>
      </c>
      <c r="E472" s="25">
        <v>15720934889</v>
      </c>
      <c r="F472" s="175" t="s">
        <v>384</v>
      </c>
      <c r="G472" s="175" t="s">
        <v>25</v>
      </c>
      <c r="H472" s="25">
        <v>202101007</v>
      </c>
      <c r="I472" s="175" t="s">
        <v>157</v>
      </c>
      <c r="J472" s="175" t="s">
        <v>269</v>
      </c>
      <c r="K472" s="175" t="s">
        <v>179</v>
      </c>
      <c r="L472" s="175" t="s">
        <v>170</v>
      </c>
      <c r="M472" s="175" t="s">
        <v>171</v>
      </c>
      <c r="N472" s="175" t="s">
        <v>952</v>
      </c>
      <c r="O472" s="175" t="s">
        <v>953</v>
      </c>
      <c r="P472" s="26" t="str">
        <f>_xlfn.DISPIMG("ID_7778BC47A591458DA9EA33FB1000B681",1)</f>
        <v>=DISPIMG("ID_7778BC47A591458DA9EA33FB1000B681",1)</v>
      </c>
      <c r="Q472" s="25" t="s">
        <v>954</v>
      </c>
      <c r="R472" s="25">
        <v>96</v>
      </c>
      <c r="S472" s="40" t="s">
        <v>4735</v>
      </c>
      <c r="T472" s="18" t="s">
        <v>70</v>
      </c>
      <c r="U472" s="25">
        <v>20</v>
      </c>
      <c r="V472" s="84"/>
    </row>
    <row r="473" s="6" customFormat="1" customHeight="1" spans="1:22">
      <c r="A473" s="84">
        <v>14</v>
      </c>
      <c r="B473" s="175" t="s">
        <v>1807</v>
      </c>
      <c r="C473" s="175" t="s">
        <v>165</v>
      </c>
      <c r="D473" s="175" t="s">
        <v>1808</v>
      </c>
      <c r="E473" s="25">
        <v>18279208598</v>
      </c>
      <c r="F473" s="175" t="s">
        <v>384</v>
      </c>
      <c r="G473" s="175" t="s">
        <v>25</v>
      </c>
      <c r="H473" s="25">
        <v>202101007</v>
      </c>
      <c r="I473" s="175" t="s">
        <v>157</v>
      </c>
      <c r="J473" s="175" t="s">
        <v>1413</v>
      </c>
      <c r="K473" s="175" t="s">
        <v>179</v>
      </c>
      <c r="L473" s="175" t="s">
        <v>170</v>
      </c>
      <c r="M473" s="175" t="s">
        <v>235</v>
      </c>
      <c r="N473" s="175" t="s">
        <v>1692</v>
      </c>
      <c r="O473" s="175" t="s">
        <v>1810</v>
      </c>
      <c r="P473" s="26" t="str">
        <f>_xlfn.DISPIMG("ID_CF289AF208E247F38051A435A278D00A",1)</f>
        <v>=DISPIMG("ID_CF289AF208E247F38051A435A278D00A",1)</v>
      </c>
      <c r="Q473" s="25" t="s">
        <v>1811</v>
      </c>
      <c r="R473" s="25">
        <v>206</v>
      </c>
      <c r="S473" s="40" t="s">
        <v>4741</v>
      </c>
      <c r="T473" s="18" t="s">
        <v>70</v>
      </c>
      <c r="U473" s="25">
        <v>21</v>
      </c>
      <c r="V473" s="84"/>
    </row>
    <row r="474" s="3" customFormat="1" customHeight="1" spans="1:22">
      <c r="A474" s="84">
        <v>19</v>
      </c>
      <c r="B474" s="175" t="s">
        <v>2495</v>
      </c>
      <c r="C474" s="175" t="s">
        <v>165</v>
      </c>
      <c r="D474" s="175" t="s">
        <v>2496</v>
      </c>
      <c r="E474" s="25">
        <v>15170284980</v>
      </c>
      <c r="F474" s="175" t="s">
        <v>384</v>
      </c>
      <c r="G474" s="175" t="s">
        <v>25</v>
      </c>
      <c r="H474" s="25">
        <v>202101007</v>
      </c>
      <c r="I474" s="175" t="s">
        <v>157</v>
      </c>
      <c r="J474" s="175" t="s">
        <v>662</v>
      </c>
      <c r="K474" s="175" t="s">
        <v>179</v>
      </c>
      <c r="L474" s="175" t="s">
        <v>170</v>
      </c>
      <c r="M474" s="175" t="s">
        <v>261</v>
      </c>
      <c r="N474" s="175" t="s">
        <v>25</v>
      </c>
      <c r="O474" s="25">
        <v>0</v>
      </c>
      <c r="P474" s="26" t="str">
        <f>_xlfn.DISPIMG("ID_9517FA682BDD4A72AC67B046C0A956F9",1)</f>
        <v>=DISPIMG("ID_9517FA682BDD4A72AC67B046C0A956F9",1)</v>
      </c>
      <c r="Q474" s="25" t="s">
        <v>2498</v>
      </c>
      <c r="R474" s="25">
        <v>298</v>
      </c>
      <c r="S474" s="40" t="s">
        <v>4748</v>
      </c>
      <c r="T474" s="18" t="s">
        <v>70</v>
      </c>
      <c r="U474" s="25">
        <v>22</v>
      </c>
      <c r="V474" s="84"/>
    </row>
    <row r="475" s="3" customFormat="1" customHeight="1" spans="1:22">
      <c r="A475" s="84">
        <v>24</v>
      </c>
      <c r="B475" s="175" t="s">
        <v>3185</v>
      </c>
      <c r="C475" s="175" t="s">
        <v>165</v>
      </c>
      <c r="D475" s="175" t="s">
        <v>3186</v>
      </c>
      <c r="E475" s="25">
        <v>15070259733</v>
      </c>
      <c r="F475" s="175" t="s">
        <v>297</v>
      </c>
      <c r="G475" s="175" t="s">
        <v>25</v>
      </c>
      <c r="H475" s="25">
        <v>202101008</v>
      </c>
      <c r="I475" s="175" t="s">
        <v>157</v>
      </c>
      <c r="J475" s="175" t="s">
        <v>646</v>
      </c>
      <c r="K475" s="175" t="s">
        <v>179</v>
      </c>
      <c r="L475" s="175" t="s">
        <v>170</v>
      </c>
      <c r="M475" s="175" t="s">
        <v>161</v>
      </c>
      <c r="N475" s="175" t="s">
        <v>3188</v>
      </c>
      <c r="O475" s="25">
        <v>0</v>
      </c>
      <c r="P475" s="26" t="str">
        <f>_xlfn.DISPIMG("ID_76C776A08E8241118AA436F440F434C8",1)</f>
        <v>=DISPIMG("ID_76C776A08E8241118AA436F440F434C8",1)</v>
      </c>
      <c r="Q475" s="25" t="s">
        <v>3189</v>
      </c>
      <c r="R475" s="25">
        <v>396</v>
      </c>
      <c r="S475" s="40" t="s">
        <v>4753</v>
      </c>
      <c r="T475" s="18" t="s">
        <v>70</v>
      </c>
      <c r="U475" s="25">
        <v>23</v>
      </c>
      <c r="V475" s="84"/>
    </row>
    <row r="476" s="3" customFormat="1" customHeight="1" spans="1:22">
      <c r="A476" s="84">
        <v>29</v>
      </c>
      <c r="B476" s="175" t="s">
        <v>4006</v>
      </c>
      <c r="C476" s="175" t="s">
        <v>165</v>
      </c>
      <c r="D476" s="175" t="s">
        <v>4007</v>
      </c>
      <c r="E476" s="25">
        <v>15979112724</v>
      </c>
      <c r="F476" s="175" t="s">
        <v>297</v>
      </c>
      <c r="G476" s="175" t="s">
        <v>25</v>
      </c>
      <c r="H476" s="25">
        <v>202101008</v>
      </c>
      <c r="I476" s="175" t="s">
        <v>157</v>
      </c>
      <c r="J476" s="175" t="s">
        <v>3070</v>
      </c>
      <c r="K476" s="175" t="s">
        <v>179</v>
      </c>
      <c r="L476" s="175" t="s">
        <v>170</v>
      </c>
      <c r="M476" s="175" t="s">
        <v>306</v>
      </c>
      <c r="N476" s="175" t="s">
        <v>1692</v>
      </c>
      <c r="O476" s="175" t="s">
        <v>4009</v>
      </c>
      <c r="P476" s="26" t="str">
        <f>_xlfn.DISPIMG("ID_410BA329CDB34577BE3D2E13C6D8589F",1)</f>
        <v>=DISPIMG("ID_410BA329CDB34577BE3D2E13C6D8589F",1)</v>
      </c>
      <c r="Q476" s="25" t="s">
        <v>4010</v>
      </c>
      <c r="R476" s="25">
        <v>512</v>
      </c>
      <c r="S476" s="40" t="s">
        <v>4758</v>
      </c>
      <c r="T476" s="18" t="s">
        <v>70</v>
      </c>
      <c r="U476" s="25">
        <v>24</v>
      </c>
      <c r="V476" s="84"/>
    </row>
    <row r="477" s="4" customFormat="1" customHeight="1" spans="1:22">
      <c r="A477" s="84">
        <v>30</v>
      </c>
      <c r="B477" s="175" t="s">
        <v>4073</v>
      </c>
      <c r="C477" s="175" t="s">
        <v>165</v>
      </c>
      <c r="D477" s="175" t="s">
        <v>4074</v>
      </c>
      <c r="E477" s="25">
        <v>18379233389</v>
      </c>
      <c r="F477" s="175" t="s">
        <v>297</v>
      </c>
      <c r="G477" s="175" t="s">
        <v>25</v>
      </c>
      <c r="H477" s="25">
        <v>202101008</v>
      </c>
      <c r="I477" s="175" t="s">
        <v>157</v>
      </c>
      <c r="J477" s="175" t="s">
        <v>4076</v>
      </c>
      <c r="K477" s="175" t="s">
        <v>179</v>
      </c>
      <c r="L477" s="175" t="s">
        <v>160</v>
      </c>
      <c r="M477" s="175" t="s">
        <v>919</v>
      </c>
      <c r="N477" s="175" t="s">
        <v>4077</v>
      </c>
      <c r="O477" s="175" t="s">
        <v>4078</v>
      </c>
      <c r="P477" s="26" t="str">
        <f>_xlfn.DISPIMG("ID_5240EB7A8E6D4B1A8B52378BBD0117F8",1)</f>
        <v>=DISPIMG("ID_5240EB7A8E6D4B1A8B52378BBD0117F8",1)</v>
      </c>
      <c r="Q477" s="25" t="s">
        <v>4079</v>
      </c>
      <c r="R477" s="25">
        <v>521</v>
      </c>
      <c r="S477" s="40" t="s">
        <v>4759</v>
      </c>
      <c r="T477" s="18" t="s">
        <v>70</v>
      </c>
      <c r="U477" s="25">
        <v>25</v>
      </c>
      <c r="V477" s="84"/>
    </row>
    <row r="478" s="3" customFormat="1" customHeight="1" spans="1:22">
      <c r="A478" s="84">
        <v>25</v>
      </c>
      <c r="B478" s="175" t="s">
        <v>3219</v>
      </c>
      <c r="C478" s="175" t="s">
        <v>165</v>
      </c>
      <c r="D478" s="175" t="s">
        <v>3220</v>
      </c>
      <c r="E478" s="25">
        <v>18279832090</v>
      </c>
      <c r="F478" s="175" t="s">
        <v>384</v>
      </c>
      <c r="G478" s="175" t="s">
        <v>25</v>
      </c>
      <c r="H478" s="25">
        <v>202101007</v>
      </c>
      <c r="I478" s="175" t="s">
        <v>157</v>
      </c>
      <c r="J478" s="175" t="s">
        <v>507</v>
      </c>
      <c r="K478" s="175" t="s">
        <v>828</v>
      </c>
      <c r="L478" s="175" t="s">
        <v>170</v>
      </c>
      <c r="M478" s="175" t="s">
        <v>161</v>
      </c>
      <c r="N478" s="175" t="s">
        <v>25</v>
      </c>
      <c r="O478" s="175" t="s">
        <v>3222</v>
      </c>
      <c r="P478" s="26" t="str">
        <f>_xlfn.DISPIMG("ID_31DA0D5E67EC49E4A7DA2145DC608874",1)</f>
        <v>=DISPIMG("ID_31DA0D5E67EC49E4A7DA2145DC608874",1)</v>
      </c>
      <c r="Q478" s="25" t="s">
        <v>3223</v>
      </c>
      <c r="R478" s="25">
        <v>401</v>
      </c>
      <c r="S478" s="40" t="s">
        <v>4754</v>
      </c>
      <c r="T478" s="18" t="s">
        <v>70</v>
      </c>
      <c r="U478" s="25">
        <v>26</v>
      </c>
      <c r="V478" s="70"/>
    </row>
    <row r="479" s="3" customFormat="1" customHeight="1" spans="1:22">
      <c r="A479" s="84">
        <v>20</v>
      </c>
      <c r="B479" s="175" t="s">
        <v>2606</v>
      </c>
      <c r="C479" s="175" t="s">
        <v>165</v>
      </c>
      <c r="D479" s="175" t="s">
        <v>2607</v>
      </c>
      <c r="E479" s="25">
        <v>18720995920</v>
      </c>
      <c r="F479" s="175" t="s">
        <v>297</v>
      </c>
      <c r="G479" s="175" t="s">
        <v>25</v>
      </c>
      <c r="H479" s="25">
        <v>202101008</v>
      </c>
      <c r="I479" s="175" t="s">
        <v>157</v>
      </c>
      <c r="J479" s="175" t="s">
        <v>1654</v>
      </c>
      <c r="K479" s="175" t="s">
        <v>2609</v>
      </c>
      <c r="L479" s="175" t="s">
        <v>160</v>
      </c>
      <c r="M479" s="175" t="s">
        <v>281</v>
      </c>
      <c r="N479" s="175" t="s">
        <v>2610</v>
      </c>
      <c r="O479" s="175" t="s">
        <v>2611</v>
      </c>
      <c r="P479" s="26" t="str">
        <f>_xlfn.DISPIMG("ID_1DA33C1DACDA463582C160858194DE2A",1)</f>
        <v>=DISPIMG("ID_1DA33C1DACDA463582C160858194DE2A",1)</v>
      </c>
      <c r="Q479" s="25" t="s">
        <v>2612</v>
      </c>
      <c r="R479" s="25">
        <v>313</v>
      </c>
      <c r="S479" s="40" t="s">
        <v>4749</v>
      </c>
      <c r="T479" s="18" t="s">
        <v>70</v>
      </c>
      <c r="U479" s="25">
        <v>27</v>
      </c>
      <c r="V479" s="84"/>
    </row>
    <row r="480" s="3" customFormat="1" customHeight="1" spans="1:22">
      <c r="A480" s="84">
        <v>15</v>
      </c>
      <c r="B480" s="175" t="s">
        <v>1912</v>
      </c>
      <c r="C480" s="175" t="s">
        <v>165</v>
      </c>
      <c r="D480" s="175" t="s">
        <v>1913</v>
      </c>
      <c r="E480" s="25">
        <v>15079288765</v>
      </c>
      <c r="F480" s="175" t="s">
        <v>297</v>
      </c>
      <c r="G480" s="175" t="s">
        <v>25</v>
      </c>
      <c r="H480" s="25">
        <v>202101008</v>
      </c>
      <c r="I480" s="175" t="s">
        <v>157</v>
      </c>
      <c r="J480" s="175" t="s">
        <v>233</v>
      </c>
      <c r="K480" s="175" t="s">
        <v>298</v>
      </c>
      <c r="L480" s="175" t="s">
        <v>160</v>
      </c>
      <c r="M480" s="175" t="s">
        <v>587</v>
      </c>
      <c r="N480" s="175" t="s">
        <v>25</v>
      </c>
      <c r="O480" s="175" t="s">
        <v>1915</v>
      </c>
      <c r="P480" s="26" t="str">
        <f>_xlfn.DISPIMG("ID_845D85CFFC3A4B2FB996A756749DD1B9",1)</f>
        <v>=DISPIMG("ID_845D85CFFC3A4B2FB996A756749DD1B9",1)</v>
      </c>
      <c r="Q480" s="25" t="s">
        <v>1916</v>
      </c>
      <c r="R480" s="25">
        <v>220</v>
      </c>
      <c r="S480" s="40" t="s">
        <v>4743</v>
      </c>
      <c r="T480" s="18" t="s">
        <v>70</v>
      </c>
      <c r="U480" s="25">
        <v>28</v>
      </c>
      <c r="V480" s="84"/>
    </row>
    <row r="481" s="3" customFormat="1" customHeight="1" spans="1:22">
      <c r="A481" s="84">
        <v>10</v>
      </c>
      <c r="B481" s="175" t="s">
        <v>1373</v>
      </c>
      <c r="C481" s="175" t="s">
        <v>165</v>
      </c>
      <c r="D481" s="175" t="s">
        <v>1374</v>
      </c>
      <c r="E481" s="25">
        <v>15070130599</v>
      </c>
      <c r="F481" s="175" t="s">
        <v>384</v>
      </c>
      <c r="G481" s="175" t="s">
        <v>25</v>
      </c>
      <c r="H481" s="25">
        <v>202101007</v>
      </c>
      <c r="I481" s="175" t="s">
        <v>705</v>
      </c>
      <c r="J481" s="175" t="s">
        <v>1376</v>
      </c>
      <c r="K481" s="175" t="s">
        <v>790</v>
      </c>
      <c r="L481" s="175" t="s">
        <v>160</v>
      </c>
      <c r="M481" s="175" t="s">
        <v>455</v>
      </c>
      <c r="N481" s="175" t="s">
        <v>1156</v>
      </c>
      <c r="O481" s="25">
        <v>0</v>
      </c>
      <c r="P481" s="26" t="str">
        <f>_xlfn.DISPIMG("ID_ECF84772EBB248C2BC2BD56C2C168331",1)</f>
        <v>=DISPIMG("ID_ECF84772EBB248C2BC2BD56C2C168331",1)</v>
      </c>
      <c r="Q481" s="25" t="s">
        <v>1377</v>
      </c>
      <c r="R481" s="25">
        <v>150</v>
      </c>
      <c r="S481" s="40" t="s">
        <v>4736</v>
      </c>
      <c r="T481" s="18" t="s">
        <v>70</v>
      </c>
      <c r="U481" s="25">
        <v>29</v>
      </c>
      <c r="V481" s="84"/>
    </row>
    <row r="482" s="3" customFormat="1" customHeight="1" spans="1:22">
      <c r="A482" s="84">
        <v>5</v>
      </c>
      <c r="B482" s="175" t="s">
        <v>554</v>
      </c>
      <c r="C482" s="175" t="s">
        <v>165</v>
      </c>
      <c r="D482" s="175" t="s">
        <v>555</v>
      </c>
      <c r="E482" s="25">
        <v>15508941977</v>
      </c>
      <c r="F482" s="175" t="s">
        <v>384</v>
      </c>
      <c r="G482" s="175" t="s">
        <v>25</v>
      </c>
      <c r="H482" s="25">
        <v>202101007</v>
      </c>
      <c r="I482" s="175" t="s">
        <v>157</v>
      </c>
      <c r="J482" s="175" t="s">
        <v>557</v>
      </c>
      <c r="K482" s="175" t="s">
        <v>558</v>
      </c>
      <c r="L482" s="175" t="s">
        <v>170</v>
      </c>
      <c r="M482" s="175" t="s">
        <v>559</v>
      </c>
      <c r="N482" s="175" t="s">
        <v>560</v>
      </c>
      <c r="O482" s="175" t="s">
        <v>561</v>
      </c>
      <c r="P482" s="26" t="str">
        <f>_xlfn.DISPIMG("ID_ED037D5B8E7D49BEA8FD0DBFF3A4827B",1)</f>
        <v>=DISPIMG("ID_ED037D5B8E7D49BEA8FD0DBFF3A4827B",1)</v>
      </c>
      <c r="Q482" s="25" t="s">
        <v>562</v>
      </c>
      <c r="R482" s="25">
        <v>48</v>
      </c>
      <c r="S482" s="40" t="s">
        <v>4729</v>
      </c>
      <c r="T482" s="18" t="s">
        <v>70</v>
      </c>
      <c r="U482" s="25">
        <v>30</v>
      </c>
      <c r="V482" s="84"/>
    </row>
    <row r="483" s="3" customFormat="1" customHeight="1" spans="1:22">
      <c r="A483" s="84">
        <v>11</v>
      </c>
      <c r="B483" s="175" t="s">
        <v>3978</v>
      </c>
      <c r="C483" s="175" t="s">
        <v>165</v>
      </c>
      <c r="D483" s="175" t="s">
        <v>3979</v>
      </c>
      <c r="E483" s="25">
        <v>15070298026</v>
      </c>
      <c r="F483" s="175" t="s">
        <v>268</v>
      </c>
      <c r="G483" s="175" t="s">
        <v>20</v>
      </c>
      <c r="H483" s="25">
        <v>202101004</v>
      </c>
      <c r="I483" s="175" t="s">
        <v>157</v>
      </c>
      <c r="J483" s="175" t="s">
        <v>178</v>
      </c>
      <c r="K483" s="175" t="s">
        <v>270</v>
      </c>
      <c r="L483" s="175" t="s">
        <v>170</v>
      </c>
      <c r="M483" s="175" t="s">
        <v>261</v>
      </c>
      <c r="N483" s="175" t="s">
        <v>20</v>
      </c>
      <c r="O483" s="25">
        <v>0</v>
      </c>
      <c r="P483" s="26" t="str">
        <f>_xlfn.DISPIMG("ID_41FDB18DF8F04859BBDC981BC12AE5F4",1)</f>
        <v>=DISPIMG("ID_41FDB18DF8F04859BBDC981BC12AE5F4",1)</v>
      </c>
      <c r="Q483" s="25" t="s">
        <v>3981</v>
      </c>
      <c r="R483" s="25">
        <v>508</v>
      </c>
      <c r="S483" s="40" t="s">
        <v>4770</v>
      </c>
      <c r="T483" s="18" t="s">
        <v>72</v>
      </c>
      <c r="U483" s="25">
        <v>1</v>
      </c>
      <c r="V483" s="84"/>
    </row>
    <row r="484" s="3" customFormat="1" customHeight="1" spans="1:22">
      <c r="A484" s="84">
        <v>9</v>
      </c>
      <c r="B484" s="175" t="s">
        <v>3661</v>
      </c>
      <c r="C484" s="175" t="s">
        <v>165</v>
      </c>
      <c r="D484" s="175" t="s">
        <v>3662</v>
      </c>
      <c r="E484" s="25">
        <v>15623206169</v>
      </c>
      <c r="F484" s="175" t="s">
        <v>297</v>
      </c>
      <c r="G484" s="175" t="s">
        <v>20</v>
      </c>
      <c r="H484" s="25">
        <v>202101006</v>
      </c>
      <c r="I484" s="175" t="s">
        <v>157</v>
      </c>
      <c r="J484" s="175" t="s">
        <v>3663</v>
      </c>
      <c r="K484" s="175" t="s">
        <v>1832</v>
      </c>
      <c r="L484" s="175" t="s">
        <v>160</v>
      </c>
      <c r="M484" s="175" t="s">
        <v>455</v>
      </c>
      <c r="N484" s="175" t="s">
        <v>20</v>
      </c>
      <c r="O484" s="25">
        <v>0</v>
      </c>
      <c r="P484" s="26" t="str">
        <f>_xlfn.DISPIMG("ID_2A9E22A9ABC949F8A9FA9AA3239D48CC",1)</f>
        <v>=DISPIMG("ID_2A9E22A9ABC949F8A9FA9AA3239D48CC",1)</v>
      </c>
      <c r="Q484" s="25" t="s">
        <v>3664</v>
      </c>
      <c r="R484" s="25">
        <v>466</v>
      </c>
      <c r="S484" s="40" t="s">
        <v>4768</v>
      </c>
      <c r="T484" s="18" t="s">
        <v>72</v>
      </c>
      <c r="U484" s="25">
        <v>2</v>
      </c>
      <c r="V484" s="84"/>
    </row>
    <row r="485" s="3" customFormat="1" customHeight="1" spans="1:22">
      <c r="A485" s="84">
        <v>7</v>
      </c>
      <c r="B485" s="175" t="s">
        <v>2172</v>
      </c>
      <c r="C485" s="175" t="s">
        <v>153</v>
      </c>
      <c r="D485" s="175" t="s">
        <v>2173</v>
      </c>
      <c r="E485" s="25">
        <v>18370791182</v>
      </c>
      <c r="F485" s="175" t="s">
        <v>297</v>
      </c>
      <c r="G485" s="175" t="s">
        <v>20</v>
      </c>
      <c r="H485" s="25">
        <v>202101006</v>
      </c>
      <c r="I485" s="175" t="s">
        <v>157</v>
      </c>
      <c r="J485" s="175" t="s">
        <v>1413</v>
      </c>
      <c r="K485" s="175" t="s">
        <v>243</v>
      </c>
      <c r="L485" s="175" t="s">
        <v>160</v>
      </c>
      <c r="M485" s="175" t="s">
        <v>199</v>
      </c>
      <c r="N485" s="175" t="s">
        <v>2175</v>
      </c>
      <c r="O485" s="175" t="s">
        <v>2176</v>
      </c>
      <c r="P485" s="26" t="str">
        <f>_xlfn.DISPIMG("ID_164BFB36FB944A6B8D1C179D10EFE455",1)</f>
        <v>=DISPIMG("ID_164BFB36FB944A6B8D1C179D10EFE455",1)</v>
      </c>
      <c r="Q485" s="25" t="s">
        <v>2177</v>
      </c>
      <c r="R485" s="25">
        <v>255</v>
      </c>
      <c r="S485" s="40" t="s">
        <v>4766</v>
      </c>
      <c r="T485" s="18" t="s">
        <v>72</v>
      </c>
      <c r="U485" s="25">
        <v>3</v>
      </c>
      <c r="V485" s="84"/>
    </row>
    <row r="486" s="3" customFormat="1" customHeight="1" spans="1:22">
      <c r="A486" s="84">
        <v>5</v>
      </c>
      <c r="B486" s="175" t="s">
        <v>1729</v>
      </c>
      <c r="C486" s="175" t="s">
        <v>153</v>
      </c>
      <c r="D486" s="175" t="s">
        <v>1730</v>
      </c>
      <c r="E486" s="25">
        <v>18720253839</v>
      </c>
      <c r="F486" s="175" t="s">
        <v>384</v>
      </c>
      <c r="G486" s="175" t="s">
        <v>20</v>
      </c>
      <c r="H486" s="25">
        <v>202101005</v>
      </c>
      <c r="I486" s="175" t="s">
        <v>157</v>
      </c>
      <c r="J486" s="175" t="s">
        <v>1258</v>
      </c>
      <c r="K486" s="175" t="s">
        <v>270</v>
      </c>
      <c r="L486" s="175" t="s">
        <v>170</v>
      </c>
      <c r="M486" s="175" t="s">
        <v>349</v>
      </c>
      <c r="N486" s="175" t="s">
        <v>1732</v>
      </c>
      <c r="O486" s="175" t="s">
        <v>1733</v>
      </c>
      <c r="P486" s="26" t="str">
        <f>_xlfn.DISPIMG("ID_677AC12F255C494892F34EE0AF9DED02",1)</f>
        <v>=DISPIMG("ID_677AC12F255C494892F34EE0AF9DED02",1)</v>
      </c>
      <c r="Q486" s="25" t="s">
        <v>1734</v>
      </c>
      <c r="R486" s="25">
        <v>196</v>
      </c>
      <c r="S486" s="40" t="s">
        <v>4764</v>
      </c>
      <c r="T486" s="18" t="s">
        <v>72</v>
      </c>
      <c r="U486" s="25">
        <v>4</v>
      </c>
      <c r="V486" s="84"/>
    </row>
    <row r="487" s="3" customFormat="1" customHeight="1" spans="1:22">
      <c r="A487" s="84">
        <v>3</v>
      </c>
      <c r="B487" s="175" t="s">
        <v>1050</v>
      </c>
      <c r="C487" s="175" t="s">
        <v>165</v>
      </c>
      <c r="D487" s="175" t="s">
        <v>1051</v>
      </c>
      <c r="E487" s="25">
        <v>15180471768</v>
      </c>
      <c r="F487" s="175" t="s">
        <v>384</v>
      </c>
      <c r="G487" s="175" t="s">
        <v>20</v>
      </c>
      <c r="H487" s="25">
        <v>202101005</v>
      </c>
      <c r="I487" s="175" t="s">
        <v>157</v>
      </c>
      <c r="J487" s="175" t="s">
        <v>178</v>
      </c>
      <c r="K487" s="175" t="s">
        <v>270</v>
      </c>
      <c r="L487" s="175" t="s">
        <v>170</v>
      </c>
      <c r="M487" s="175" t="s">
        <v>261</v>
      </c>
      <c r="N487" s="175" t="s">
        <v>20</v>
      </c>
      <c r="O487" s="25">
        <v>0</v>
      </c>
      <c r="P487" s="26" t="str">
        <f>_xlfn.DISPIMG("ID_296B75901486490E98D040532231AC8D",1)</f>
        <v>=DISPIMG("ID_296B75901486490E98D040532231AC8D",1)</v>
      </c>
      <c r="Q487" s="25" t="s">
        <v>1052</v>
      </c>
      <c r="R487" s="25">
        <v>108</v>
      </c>
      <c r="S487" s="40" t="s">
        <v>4762</v>
      </c>
      <c r="T487" s="18" t="s">
        <v>72</v>
      </c>
      <c r="U487" s="25">
        <v>5</v>
      </c>
      <c r="V487" s="84"/>
    </row>
    <row r="488" s="3" customFormat="1" customHeight="1" spans="1:22">
      <c r="A488" s="84">
        <v>1</v>
      </c>
      <c r="B488" s="175" t="s">
        <v>265</v>
      </c>
      <c r="C488" s="175" t="s">
        <v>153</v>
      </c>
      <c r="D488" s="175" t="s">
        <v>266</v>
      </c>
      <c r="E488" s="25">
        <v>15720975163</v>
      </c>
      <c r="F488" s="175" t="s">
        <v>268</v>
      </c>
      <c r="G488" s="175" t="s">
        <v>20</v>
      </c>
      <c r="H488" s="25">
        <v>202101004</v>
      </c>
      <c r="I488" s="175" t="s">
        <v>157</v>
      </c>
      <c r="J488" s="175" t="s">
        <v>269</v>
      </c>
      <c r="K488" s="175" t="s">
        <v>270</v>
      </c>
      <c r="L488" s="175" t="s">
        <v>170</v>
      </c>
      <c r="M488" s="175" t="s">
        <v>261</v>
      </c>
      <c r="N488" s="175" t="s">
        <v>20</v>
      </c>
      <c r="O488" s="175" t="s">
        <v>271</v>
      </c>
      <c r="P488" s="26" t="str">
        <f>_xlfn.DISPIMG("ID_E6B64D542CF24756B648DE72B52C0790",1)</f>
        <v>=DISPIMG("ID_E6B64D542CF24756B648DE72B52C0790",1)</v>
      </c>
      <c r="Q488" s="25" t="s">
        <v>272</v>
      </c>
      <c r="R488" s="25">
        <v>14</v>
      </c>
      <c r="S488" s="40" t="s">
        <v>4760</v>
      </c>
      <c r="T488" s="18" t="s">
        <v>72</v>
      </c>
      <c r="U488" s="25">
        <v>6</v>
      </c>
      <c r="V488" s="84"/>
    </row>
    <row r="489" s="3" customFormat="1" customHeight="1" spans="1:22">
      <c r="A489" s="84">
        <v>2</v>
      </c>
      <c r="B489" s="175" t="s">
        <v>522</v>
      </c>
      <c r="C489" s="175" t="s">
        <v>165</v>
      </c>
      <c r="D489" s="175" t="s">
        <v>523</v>
      </c>
      <c r="E489" s="25">
        <v>18779278905</v>
      </c>
      <c r="F489" s="175" t="s">
        <v>268</v>
      </c>
      <c r="G489" s="175" t="s">
        <v>20</v>
      </c>
      <c r="H489" s="25">
        <v>202101004</v>
      </c>
      <c r="I489" s="175" t="s">
        <v>157</v>
      </c>
      <c r="J489" s="175" t="s">
        <v>233</v>
      </c>
      <c r="K489" s="175" t="s">
        <v>525</v>
      </c>
      <c r="L489" s="175" t="s">
        <v>170</v>
      </c>
      <c r="M489" s="175" t="s">
        <v>161</v>
      </c>
      <c r="N489" s="175" t="s">
        <v>20</v>
      </c>
      <c r="O489" s="25">
        <v>0</v>
      </c>
      <c r="P489" s="26" t="str">
        <f>_xlfn.DISPIMG("ID_71DE12F1CD59449693F0263DC215D27B",1)</f>
        <v>=DISPIMG("ID_71DE12F1CD59449693F0263DC215D27B",1)</v>
      </c>
      <c r="Q489" s="25" t="s">
        <v>526</v>
      </c>
      <c r="R489" s="25">
        <v>44</v>
      </c>
      <c r="S489" s="40" t="s">
        <v>4761</v>
      </c>
      <c r="T489" s="18" t="s">
        <v>72</v>
      </c>
      <c r="U489" s="25">
        <v>7</v>
      </c>
      <c r="V489" s="84"/>
    </row>
    <row r="490" s="3" customFormat="1" customHeight="1" spans="1:22">
      <c r="A490" s="84">
        <v>4</v>
      </c>
      <c r="B490" s="175" t="s">
        <v>1055</v>
      </c>
      <c r="C490" s="175" t="s">
        <v>165</v>
      </c>
      <c r="D490" s="175" t="s">
        <v>1056</v>
      </c>
      <c r="E490" s="25">
        <v>15279286807</v>
      </c>
      <c r="F490" s="175" t="s">
        <v>384</v>
      </c>
      <c r="G490" s="175" t="s">
        <v>20</v>
      </c>
      <c r="H490" s="25">
        <v>202101005</v>
      </c>
      <c r="I490" s="175" t="s">
        <v>157</v>
      </c>
      <c r="J490" s="175" t="s">
        <v>178</v>
      </c>
      <c r="K490" s="175" t="s">
        <v>270</v>
      </c>
      <c r="L490" s="175" t="s">
        <v>170</v>
      </c>
      <c r="M490" s="175" t="s">
        <v>261</v>
      </c>
      <c r="N490" s="175" t="s">
        <v>20</v>
      </c>
      <c r="O490" s="25">
        <v>0</v>
      </c>
      <c r="P490" s="26" t="str">
        <f>_xlfn.DISPIMG("ID_1261702926BF4B91B3BBC8CF57D7C930",1)</f>
        <v>=DISPIMG("ID_1261702926BF4B91B3BBC8CF57D7C930",1)</v>
      </c>
      <c r="Q490" s="25" t="s">
        <v>1058</v>
      </c>
      <c r="R490" s="25">
        <v>109</v>
      </c>
      <c r="S490" s="40" t="s">
        <v>4763</v>
      </c>
      <c r="T490" s="18" t="s">
        <v>72</v>
      </c>
      <c r="U490" s="25">
        <v>8</v>
      </c>
      <c r="V490" s="84"/>
    </row>
    <row r="491" s="3" customFormat="1" customHeight="1" spans="1:22">
      <c r="A491" s="84">
        <v>6</v>
      </c>
      <c r="B491" s="175" t="s">
        <v>2044</v>
      </c>
      <c r="C491" s="175" t="s">
        <v>153</v>
      </c>
      <c r="D491" s="175" t="s">
        <v>2045</v>
      </c>
      <c r="E491" s="25">
        <v>15949584388</v>
      </c>
      <c r="F491" s="175" t="s">
        <v>384</v>
      </c>
      <c r="G491" s="175" t="s">
        <v>20</v>
      </c>
      <c r="H491" s="25">
        <v>202101005</v>
      </c>
      <c r="I491" s="175" t="s">
        <v>157</v>
      </c>
      <c r="J491" s="175" t="s">
        <v>158</v>
      </c>
      <c r="K491" s="175" t="s">
        <v>270</v>
      </c>
      <c r="L491" s="175" t="s">
        <v>170</v>
      </c>
      <c r="M491" s="175" t="s">
        <v>2047</v>
      </c>
      <c r="N491" s="175" t="s">
        <v>2048</v>
      </c>
      <c r="O491" s="175" t="s">
        <v>2049</v>
      </c>
      <c r="P491" s="26" t="str">
        <f>_xlfn.DISPIMG("ID_AA05B8B9BBB64A2C8B2DEFAC2B7912C3",1)</f>
        <v>=DISPIMG("ID_AA05B8B9BBB64A2C8B2DEFAC2B7912C3",1)</v>
      </c>
      <c r="Q491" s="25" t="s">
        <v>2050</v>
      </c>
      <c r="R491" s="25">
        <v>238</v>
      </c>
      <c r="S491" s="40" t="s">
        <v>4765</v>
      </c>
      <c r="T491" s="18" t="s">
        <v>72</v>
      </c>
      <c r="U491" s="25">
        <v>9</v>
      </c>
      <c r="V491" s="84"/>
    </row>
    <row r="492" s="3" customFormat="1" customHeight="1" spans="1:22">
      <c r="A492" s="84">
        <v>8</v>
      </c>
      <c r="B492" s="175" t="s">
        <v>3473</v>
      </c>
      <c r="C492" s="175" t="s">
        <v>165</v>
      </c>
      <c r="D492" s="175" t="s">
        <v>3474</v>
      </c>
      <c r="E492" s="25">
        <v>16605630524</v>
      </c>
      <c r="F492" s="175" t="s">
        <v>384</v>
      </c>
      <c r="G492" s="175" t="s">
        <v>20</v>
      </c>
      <c r="H492" s="25">
        <v>202101005</v>
      </c>
      <c r="I492" s="175" t="s">
        <v>705</v>
      </c>
      <c r="J492" s="175" t="s">
        <v>1112</v>
      </c>
      <c r="K492" s="175" t="s">
        <v>3476</v>
      </c>
      <c r="L492" s="175" t="s">
        <v>160</v>
      </c>
      <c r="M492" s="175" t="s">
        <v>455</v>
      </c>
      <c r="N492" s="175" t="s">
        <v>3477</v>
      </c>
      <c r="O492" s="25">
        <v>0</v>
      </c>
      <c r="P492" s="26" t="str">
        <f>_xlfn.DISPIMG("ID_BFF35F7767BD4AFE8B2C782755AFDE14",1)</f>
        <v>=DISPIMG("ID_BFF35F7767BD4AFE8B2C782755AFDE14",1)</v>
      </c>
      <c r="Q492" s="25" t="s">
        <v>3478</v>
      </c>
      <c r="R492" s="25">
        <v>439</v>
      </c>
      <c r="S492" s="40" t="s">
        <v>4767</v>
      </c>
      <c r="T492" s="18" t="s">
        <v>72</v>
      </c>
      <c r="U492" s="25">
        <v>10</v>
      </c>
      <c r="V492" s="84"/>
    </row>
    <row r="493" s="3" customFormat="1" customHeight="1" spans="1:22">
      <c r="A493" s="84">
        <v>10</v>
      </c>
      <c r="B493" s="175" t="s">
        <v>3955</v>
      </c>
      <c r="C493" s="175" t="s">
        <v>153</v>
      </c>
      <c r="D493" s="175" t="s">
        <v>3956</v>
      </c>
      <c r="E493" s="25">
        <v>18379670015</v>
      </c>
      <c r="F493" s="175" t="s">
        <v>384</v>
      </c>
      <c r="G493" s="175" t="s">
        <v>20</v>
      </c>
      <c r="H493" s="25">
        <v>202101005</v>
      </c>
      <c r="I493" s="175" t="s">
        <v>157</v>
      </c>
      <c r="J493" s="175" t="s">
        <v>507</v>
      </c>
      <c r="K493" s="175" t="s">
        <v>270</v>
      </c>
      <c r="L493" s="175" t="s">
        <v>170</v>
      </c>
      <c r="M493" s="175" t="s">
        <v>235</v>
      </c>
      <c r="N493" s="175" t="s">
        <v>1322</v>
      </c>
      <c r="O493" s="175" t="s">
        <v>3958</v>
      </c>
      <c r="P493" s="26" t="str">
        <f>_xlfn.DISPIMG("ID_C25C6B154C2847C9934F6981B40FCD0C",1)</f>
        <v>=DISPIMG("ID_C25C6B154C2847C9934F6981B40FCD0C",1)</v>
      </c>
      <c r="Q493" s="25" t="s">
        <v>3959</v>
      </c>
      <c r="R493" s="25">
        <v>505</v>
      </c>
      <c r="S493" s="40" t="s">
        <v>4769</v>
      </c>
      <c r="T493" s="18" t="s">
        <v>72</v>
      </c>
      <c r="U493" s="25">
        <v>11</v>
      </c>
      <c r="V493" s="84"/>
    </row>
    <row r="494" s="5" customFormat="1" customHeight="1" spans="1:22">
      <c r="A494" s="84">
        <v>12</v>
      </c>
      <c r="B494" s="175" t="s">
        <v>4161</v>
      </c>
      <c r="C494" s="175" t="s">
        <v>165</v>
      </c>
      <c r="D494" s="175" t="s">
        <v>4162</v>
      </c>
      <c r="E494" s="25">
        <v>15999192756</v>
      </c>
      <c r="F494" s="175" t="s">
        <v>297</v>
      </c>
      <c r="G494" s="175" t="s">
        <v>20</v>
      </c>
      <c r="H494" s="25">
        <v>202101006</v>
      </c>
      <c r="I494" s="175" t="s">
        <v>157</v>
      </c>
      <c r="J494" s="175" t="s">
        <v>4164</v>
      </c>
      <c r="K494" s="175" t="s">
        <v>4165</v>
      </c>
      <c r="L494" s="175" t="s">
        <v>160</v>
      </c>
      <c r="M494" s="175" t="s">
        <v>1089</v>
      </c>
      <c r="N494" s="175" t="s">
        <v>20</v>
      </c>
      <c r="O494" s="175" t="s">
        <v>4166</v>
      </c>
      <c r="P494" s="26" t="str">
        <f>_xlfn.DISPIMG("ID_0FB1CC236BB0441E8D7B28856D597318",1)</f>
        <v>=DISPIMG("ID_0FB1CC236BB0441E8D7B28856D597318",1)</v>
      </c>
      <c r="Q494" s="25" t="s">
        <v>4167</v>
      </c>
      <c r="R494" s="25">
        <v>532</v>
      </c>
      <c r="S494" s="40" t="s">
        <v>4771</v>
      </c>
      <c r="T494" s="18" t="s">
        <v>72</v>
      </c>
      <c r="U494" s="25">
        <v>12</v>
      </c>
      <c r="V494" s="84"/>
    </row>
    <row r="495" s="3" customFormat="1" customHeight="1" spans="1:22">
      <c r="A495" s="84">
        <v>17</v>
      </c>
      <c r="B495" s="175" t="s">
        <v>2940</v>
      </c>
      <c r="C495" s="175" t="s">
        <v>153</v>
      </c>
      <c r="D495" s="175" t="s">
        <v>2941</v>
      </c>
      <c r="E495" s="25">
        <v>18679635856</v>
      </c>
      <c r="F495" s="175" t="s">
        <v>156</v>
      </c>
      <c r="G495" s="175" t="s">
        <v>10</v>
      </c>
      <c r="H495" s="25">
        <v>202102004</v>
      </c>
      <c r="I495" s="175" t="s">
        <v>157</v>
      </c>
      <c r="J495" s="175" t="s">
        <v>2943</v>
      </c>
      <c r="K495" s="175" t="s">
        <v>2093</v>
      </c>
      <c r="L495" s="175" t="s">
        <v>160</v>
      </c>
      <c r="M495" s="175" t="s">
        <v>587</v>
      </c>
      <c r="N495" s="175" t="s">
        <v>10</v>
      </c>
      <c r="O495" s="25">
        <v>0</v>
      </c>
      <c r="P495" s="26" t="str">
        <f>_xlfn.DISPIMG("ID_5CF4EBD7502F4485844CA64AA4EECF8E",1)</f>
        <v>=DISPIMG("ID_5CF4EBD7502F4485844CA64AA4EECF8E",1)</v>
      </c>
      <c r="Q495" s="25" t="s">
        <v>2944</v>
      </c>
      <c r="R495" s="25">
        <v>361</v>
      </c>
      <c r="S495" s="40" t="s">
        <v>4776</v>
      </c>
      <c r="T495" s="18" t="s">
        <v>72</v>
      </c>
      <c r="U495" s="25">
        <v>13</v>
      </c>
      <c r="V495" s="84"/>
    </row>
    <row r="496" s="3" customFormat="1" customHeight="1" spans="1:22">
      <c r="A496" s="84">
        <v>16</v>
      </c>
      <c r="B496" s="175" t="s">
        <v>152</v>
      </c>
      <c r="C496" s="175" t="s">
        <v>153</v>
      </c>
      <c r="D496" s="175" t="s">
        <v>154</v>
      </c>
      <c r="E496" s="25">
        <v>18807023240</v>
      </c>
      <c r="F496" s="175" t="s">
        <v>156</v>
      </c>
      <c r="G496" s="175" t="s">
        <v>10</v>
      </c>
      <c r="H496" s="25">
        <v>202102004</v>
      </c>
      <c r="I496" s="175" t="s">
        <v>157</v>
      </c>
      <c r="J496" s="175" t="s">
        <v>158</v>
      </c>
      <c r="K496" s="175" t="s">
        <v>159</v>
      </c>
      <c r="L496" s="175" t="s">
        <v>160</v>
      </c>
      <c r="M496" s="175" t="s">
        <v>161</v>
      </c>
      <c r="N496" s="175" t="s">
        <v>10</v>
      </c>
      <c r="O496" s="25">
        <v>0</v>
      </c>
      <c r="P496" s="26" t="str">
        <f>_xlfn.DISPIMG("ID_1BBFB8252D30496F95F71593A2B76AF5",1)</f>
        <v>=DISPIMG("ID_1BBFB8252D30496F95F71593A2B76AF5",1)</v>
      </c>
      <c r="Q496" s="25" t="s">
        <v>162</v>
      </c>
      <c r="R496" s="25">
        <v>2</v>
      </c>
      <c r="S496" s="40" t="s">
        <v>4775</v>
      </c>
      <c r="T496" s="18" t="s">
        <v>72</v>
      </c>
      <c r="U496" s="25">
        <v>14</v>
      </c>
      <c r="V496" s="84"/>
    </row>
    <row r="497" s="3" customFormat="1" customHeight="1" spans="1:22">
      <c r="A497" s="84">
        <v>15</v>
      </c>
      <c r="B497" s="175" t="s">
        <v>2104</v>
      </c>
      <c r="C497" s="175" t="s">
        <v>165</v>
      </c>
      <c r="D497" s="175" t="s">
        <v>2105</v>
      </c>
      <c r="E497" s="25">
        <v>13817884693</v>
      </c>
      <c r="F497" s="175" t="s">
        <v>384</v>
      </c>
      <c r="G497" s="175" t="s">
        <v>19</v>
      </c>
      <c r="H497" s="25">
        <v>202101014</v>
      </c>
      <c r="I497" s="175" t="s">
        <v>705</v>
      </c>
      <c r="J497" s="175" t="s">
        <v>2063</v>
      </c>
      <c r="K497" s="175" t="s">
        <v>2107</v>
      </c>
      <c r="L497" s="175" t="s">
        <v>160</v>
      </c>
      <c r="M497" s="175" t="s">
        <v>396</v>
      </c>
      <c r="N497" s="175" t="s">
        <v>2108</v>
      </c>
      <c r="O497" s="175" t="s">
        <v>2109</v>
      </c>
      <c r="P497" s="26" t="str">
        <f>_xlfn.DISPIMG("ID_21FE4349EE994987AC614A279458E356",1)</f>
        <v>=DISPIMG("ID_21FE4349EE994987AC614A279458E356",1)</v>
      </c>
      <c r="Q497" s="25" t="s">
        <v>2110</v>
      </c>
      <c r="R497" s="25">
        <v>246</v>
      </c>
      <c r="S497" s="40" t="s">
        <v>4774</v>
      </c>
      <c r="T497" s="18" t="s">
        <v>72</v>
      </c>
      <c r="U497" s="25">
        <v>15</v>
      </c>
      <c r="V497" s="84"/>
    </row>
    <row r="498" s="3" customFormat="1" customHeight="1" spans="1:22">
      <c r="A498" s="84">
        <v>14</v>
      </c>
      <c r="B498" s="175" t="s">
        <v>1637</v>
      </c>
      <c r="C498" s="175" t="s">
        <v>165</v>
      </c>
      <c r="D498" s="175" t="s">
        <v>1638</v>
      </c>
      <c r="E498" s="25">
        <v>18279206250</v>
      </c>
      <c r="F498" s="175" t="s">
        <v>384</v>
      </c>
      <c r="G498" s="175" t="s">
        <v>19</v>
      </c>
      <c r="H498" s="25">
        <v>202101014</v>
      </c>
      <c r="I498" s="175" t="s">
        <v>157</v>
      </c>
      <c r="J498" s="175" t="s">
        <v>178</v>
      </c>
      <c r="K498" s="175" t="s">
        <v>1639</v>
      </c>
      <c r="L498" s="175" t="s">
        <v>170</v>
      </c>
      <c r="M498" s="175" t="s">
        <v>455</v>
      </c>
      <c r="N498" s="175" t="s">
        <v>19</v>
      </c>
      <c r="O498" s="25">
        <v>0</v>
      </c>
      <c r="P498" s="26" t="str">
        <f>_xlfn.DISPIMG("ID_74FDF0D5FA0548BCA212C8D2C43783F4",1)</f>
        <v>=DISPIMG("ID_74FDF0D5FA0548BCA212C8D2C43783F4",1)</v>
      </c>
      <c r="Q498" s="25" t="s">
        <v>1640</v>
      </c>
      <c r="R498" s="25">
        <v>184</v>
      </c>
      <c r="S498" s="40" t="s">
        <v>4773</v>
      </c>
      <c r="T498" s="18" t="s">
        <v>72</v>
      </c>
      <c r="U498" s="25">
        <v>16</v>
      </c>
      <c r="V498" s="84"/>
    </row>
    <row r="499" s="3" customFormat="1" customHeight="1" spans="1:22">
      <c r="A499" s="84">
        <v>13</v>
      </c>
      <c r="B499" s="175" t="s">
        <v>833</v>
      </c>
      <c r="C499" s="175" t="s">
        <v>165</v>
      </c>
      <c r="D499" s="175" t="s">
        <v>1302</v>
      </c>
      <c r="E499" s="25">
        <v>15770803797</v>
      </c>
      <c r="F499" s="175" t="s">
        <v>384</v>
      </c>
      <c r="G499" s="175" t="s">
        <v>19</v>
      </c>
      <c r="H499" s="25">
        <v>202101014</v>
      </c>
      <c r="I499" s="175" t="s">
        <v>705</v>
      </c>
      <c r="J499" s="175" t="s">
        <v>1304</v>
      </c>
      <c r="K499" s="175" t="s">
        <v>1305</v>
      </c>
      <c r="L499" s="175" t="s">
        <v>160</v>
      </c>
      <c r="M499" s="175" t="s">
        <v>516</v>
      </c>
      <c r="N499" s="175" t="s">
        <v>1306</v>
      </c>
      <c r="O499" s="175" t="s">
        <v>1307</v>
      </c>
      <c r="P499" s="26" t="str">
        <f>_xlfn.DISPIMG("ID_2E0E8C97ADBC44CDA9BEA81CC587B750",1)</f>
        <v>=DISPIMG("ID_2E0E8C97ADBC44CDA9BEA81CC587B750",1)</v>
      </c>
      <c r="Q499" s="25" t="s">
        <v>1308</v>
      </c>
      <c r="R499" s="25">
        <v>141</v>
      </c>
      <c r="S499" s="40" t="s">
        <v>4772</v>
      </c>
      <c r="T499" s="18" t="s">
        <v>72</v>
      </c>
      <c r="U499" s="25">
        <v>17</v>
      </c>
      <c r="V499" s="84"/>
    </row>
    <row r="500" s="3" customFormat="1" customHeight="1" spans="1:22">
      <c r="A500" s="84"/>
      <c r="B500" s="25"/>
      <c r="C500" s="25"/>
      <c r="D500" s="25"/>
      <c r="E500" s="25"/>
      <c r="F500" s="25"/>
      <c r="G500" s="25"/>
      <c r="H500" s="25"/>
      <c r="I500" s="25"/>
      <c r="J500" s="25"/>
      <c r="K500" s="25"/>
      <c r="L500" s="25"/>
      <c r="M500" s="25"/>
      <c r="N500" s="25"/>
      <c r="O500" s="25"/>
      <c r="P500" s="26"/>
      <c r="Q500" s="25"/>
      <c r="R500" s="25"/>
      <c r="S500" s="40"/>
      <c r="T500" s="18"/>
      <c r="U500" s="25"/>
      <c r="V500" s="84"/>
    </row>
    <row r="501" s="3" customFormat="1" customHeight="1" spans="1:22">
      <c r="A501" s="84"/>
      <c r="B501" s="25"/>
      <c r="C501" s="25"/>
      <c r="D501" s="25"/>
      <c r="E501" s="25"/>
      <c r="F501" s="25"/>
      <c r="G501" s="25"/>
      <c r="H501" s="25"/>
      <c r="I501" s="25"/>
      <c r="J501" s="25"/>
      <c r="K501" s="25"/>
      <c r="L501" s="25"/>
      <c r="M501" s="25"/>
      <c r="N501" s="25"/>
      <c r="O501" s="25"/>
      <c r="P501" s="26"/>
      <c r="Q501" s="25"/>
      <c r="R501" s="25"/>
      <c r="S501" s="40"/>
      <c r="T501" s="18"/>
      <c r="U501" s="25"/>
      <c r="V501" s="84"/>
    </row>
    <row r="502" s="3" customFormat="1" customHeight="1" spans="1:22">
      <c r="A502" s="84"/>
      <c r="B502" s="25"/>
      <c r="C502" s="25"/>
      <c r="D502" s="25"/>
      <c r="E502" s="25"/>
      <c r="F502" s="25"/>
      <c r="G502" s="25"/>
      <c r="H502" s="25"/>
      <c r="I502" s="25"/>
      <c r="J502" s="25"/>
      <c r="K502" s="25"/>
      <c r="L502" s="25"/>
      <c r="M502" s="25"/>
      <c r="N502" s="25"/>
      <c r="O502" s="25"/>
      <c r="P502" s="26"/>
      <c r="Q502" s="25"/>
      <c r="R502" s="25"/>
      <c r="S502" s="40"/>
      <c r="T502" s="18"/>
      <c r="U502" s="25"/>
      <c r="V502" s="84"/>
    </row>
    <row r="503" s="3" customFormat="1" customHeight="1" spans="1:22">
      <c r="A503" s="84"/>
      <c r="B503" s="25"/>
      <c r="C503" s="25"/>
      <c r="D503" s="25"/>
      <c r="E503" s="25"/>
      <c r="F503" s="25"/>
      <c r="G503" s="25"/>
      <c r="H503" s="25"/>
      <c r="I503" s="25"/>
      <c r="J503" s="25"/>
      <c r="K503" s="25"/>
      <c r="L503" s="25"/>
      <c r="M503" s="25"/>
      <c r="N503" s="25"/>
      <c r="O503" s="25"/>
      <c r="P503" s="26"/>
      <c r="Q503" s="25"/>
      <c r="R503" s="25"/>
      <c r="S503" s="40"/>
      <c r="T503" s="18"/>
      <c r="U503" s="25"/>
      <c r="V503" s="84"/>
    </row>
    <row r="504" s="3" customFormat="1" customHeight="1" spans="1:22">
      <c r="A504" s="84"/>
      <c r="B504" s="25"/>
      <c r="C504" s="25"/>
      <c r="D504" s="25"/>
      <c r="E504" s="25"/>
      <c r="F504" s="25"/>
      <c r="G504" s="25"/>
      <c r="H504" s="25"/>
      <c r="I504" s="25"/>
      <c r="J504" s="25"/>
      <c r="K504" s="25"/>
      <c r="L504" s="25"/>
      <c r="M504" s="25"/>
      <c r="N504" s="25"/>
      <c r="O504" s="25"/>
      <c r="P504" s="26"/>
      <c r="Q504" s="25"/>
      <c r="R504" s="25"/>
      <c r="S504" s="40"/>
      <c r="T504" s="18"/>
      <c r="U504" s="25"/>
      <c r="V504" s="84"/>
    </row>
    <row r="505" s="3" customFormat="1" customHeight="1" spans="1:22">
      <c r="A505" s="84"/>
      <c r="B505" s="25"/>
      <c r="C505" s="25"/>
      <c r="D505" s="25"/>
      <c r="E505" s="25"/>
      <c r="F505" s="25"/>
      <c r="G505" s="25"/>
      <c r="H505" s="25"/>
      <c r="I505" s="25"/>
      <c r="J505" s="25"/>
      <c r="K505" s="25"/>
      <c r="L505" s="25"/>
      <c r="M505" s="25"/>
      <c r="N505" s="25"/>
      <c r="O505" s="25"/>
      <c r="P505" s="26"/>
      <c r="Q505" s="25"/>
      <c r="R505" s="25"/>
      <c r="S505" s="40"/>
      <c r="T505" s="18"/>
      <c r="U505" s="25"/>
      <c r="V505" s="84"/>
    </row>
    <row r="506" s="3" customFormat="1" customHeight="1" spans="1:22">
      <c r="A506" s="84"/>
      <c r="B506" s="25"/>
      <c r="C506" s="25"/>
      <c r="D506" s="25"/>
      <c r="E506" s="25"/>
      <c r="F506" s="25"/>
      <c r="G506" s="25"/>
      <c r="H506" s="25"/>
      <c r="I506" s="25"/>
      <c r="J506" s="25"/>
      <c r="K506" s="25"/>
      <c r="L506" s="25"/>
      <c r="M506" s="25"/>
      <c r="N506" s="25"/>
      <c r="O506" s="25"/>
      <c r="P506" s="26"/>
      <c r="Q506" s="25"/>
      <c r="R506" s="25"/>
      <c r="S506" s="40"/>
      <c r="T506" s="18"/>
      <c r="U506" s="25"/>
      <c r="V506" s="84"/>
    </row>
    <row r="507" s="3" customFormat="1" customHeight="1" spans="1:22">
      <c r="A507" s="84"/>
      <c r="B507" s="25"/>
      <c r="C507" s="25"/>
      <c r="D507" s="25"/>
      <c r="E507" s="25"/>
      <c r="F507" s="25"/>
      <c r="G507" s="25"/>
      <c r="H507" s="25"/>
      <c r="I507" s="25"/>
      <c r="J507" s="25"/>
      <c r="K507" s="25"/>
      <c r="L507" s="25"/>
      <c r="M507" s="25"/>
      <c r="N507" s="25"/>
      <c r="O507" s="25"/>
      <c r="P507" s="26"/>
      <c r="Q507" s="25"/>
      <c r="R507" s="25"/>
      <c r="S507" s="40"/>
      <c r="T507" s="18"/>
      <c r="U507" s="25"/>
      <c r="V507" s="84"/>
    </row>
    <row r="508" s="3" customFormat="1" customHeight="1" spans="1:22">
      <c r="A508" s="84"/>
      <c r="B508" s="25"/>
      <c r="C508" s="25"/>
      <c r="D508" s="25"/>
      <c r="E508" s="25"/>
      <c r="F508" s="25"/>
      <c r="G508" s="25"/>
      <c r="H508" s="25"/>
      <c r="I508" s="25"/>
      <c r="J508" s="25"/>
      <c r="K508" s="25"/>
      <c r="L508" s="25"/>
      <c r="M508" s="25"/>
      <c r="N508" s="25"/>
      <c r="O508" s="25"/>
      <c r="P508" s="26"/>
      <c r="Q508" s="25"/>
      <c r="R508" s="25"/>
      <c r="S508" s="40"/>
      <c r="T508" s="18"/>
      <c r="U508" s="25"/>
      <c r="V508" s="84"/>
    </row>
    <row r="509" s="3" customFormat="1" customHeight="1" spans="1:22">
      <c r="A509" s="84"/>
      <c r="B509" s="25"/>
      <c r="C509" s="25"/>
      <c r="D509" s="25"/>
      <c r="E509" s="25"/>
      <c r="F509" s="25"/>
      <c r="G509" s="25"/>
      <c r="H509" s="25"/>
      <c r="I509" s="25"/>
      <c r="J509" s="25"/>
      <c r="K509" s="25"/>
      <c r="L509" s="25"/>
      <c r="M509" s="25"/>
      <c r="N509" s="25"/>
      <c r="O509" s="25"/>
      <c r="P509" s="26"/>
      <c r="Q509" s="25"/>
      <c r="R509" s="25"/>
      <c r="S509" s="40"/>
      <c r="T509" s="18"/>
      <c r="U509" s="25"/>
      <c r="V509" s="84"/>
    </row>
    <row r="510" s="3" customFormat="1" customHeight="1" spans="1:22">
      <c r="A510" s="84"/>
      <c r="B510" s="25"/>
      <c r="C510" s="25"/>
      <c r="D510" s="25"/>
      <c r="E510" s="25"/>
      <c r="F510" s="25"/>
      <c r="G510" s="25"/>
      <c r="H510" s="25"/>
      <c r="I510" s="25"/>
      <c r="J510" s="25"/>
      <c r="K510" s="25"/>
      <c r="L510" s="25"/>
      <c r="M510" s="25"/>
      <c r="N510" s="25"/>
      <c r="O510" s="25"/>
      <c r="P510" s="26"/>
      <c r="Q510" s="25"/>
      <c r="R510" s="25"/>
      <c r="S510" s="40"/>
      <c r="T510" s="18"/>
      <c r="U510" s="25"/>
      <c r="V510" s="84"/>
    </row>
    <row r="511" s="3" customFormat="1" customHeight="1" spans="1:22">
      <c r="A511" s="84"/>
      <c r="B511" s="25"/>
      <c r="C511" s="25"/>
      <c r="D511" s="25"/>
      <c r="E511" s="25"/>
      <c r="F511" s="25"/>
      <c r="G511" s="25"/>
      <c r="H511" s="25"/>
      <c r="I511" s="25"/>
      <c r="J511" s="25"/>
      <c r="K511" s="25"/>
      <c r="L511" s="25"/>
      <c r="M511" s="25"/>
      <c r="N511" s="25"/>
      <c r="O511" s="25"/>
      <c r="P511" s="26"/>
      <c r="Q511" s="25"/>
      <c r="R511" s="25"/>
      <c r="S511" s="40"/>
      <c r="T511" s="18"/>
      <c r="U511" s="25"/>
      <c r="V511" s="84"/>
    </row>
    <row r="512" s="3" customFormat="1" customHeight="1" spans="1:22">
      <c r="A512" s="84"/>
      <c r="B512" s="25"/>
      <c r="C512" s="25"/>
      <c r="D512" s="25"/>
      <c r="E512" s="25"/>
      <c r="F512" s="25"/>
      <c r="G512" s="25"/>
      <c r="H512" s="25"/>
      <c r="I512" s="25"/>
      <c r="J512" s="25"/>
      <c r="K512" s="25"/>
      <c r="L512" s="25"/>
      <c r="M512" s="25"/>
      <c r="N512" s="25"/>
      <c r="O512" s="25"/>
      <c r="P512" s="26"/>
      <c r="Q512" s="25"/>
      <c r="R512" s="25"/>
      <c r="S512" s="40"/>
      <c r="T512" s="18"/>
      <c r="U512" s="25"/>
      <c r="V512" s="84"/>
    </row>
    <row r="513" s="3" customFormat="1" customHeight="1" spans="1:22">
      <c r="A513" s="84">
        <v>11</v>
      </c>
      <c r="B513" s="175" t="s">
        <v>4251</v>
      </c>
      <c r="C513" s="175" t="s">
        <v>153</v>
      </c>
      <c r="D513" s="175" t="s">
        <v>4252</v>
      </c>
      <c r="E513" s="25">
        <v>13340012018</v>
      </c>
      <c r="F513" s="175" t="s">
        <v>268</v>
      </c>
      <c r="G513" s="175" t="s">
        <v>16</v>
      </c>
      <c r="H513" s="25">
        <v>202101011</v>
      </c>
      <c r="I513" s="175" t="s">
        <v>705</v>
      </c>
      <c r="J513" s="175" t="s">
        <v>233</v>
      </c>
      <c r="K513" s="175" t="s">
        <v>4254</v>
      </c>
      <c r="L513" s="175" t="s">
        <v>160</v>
      </c>
      <c r="M513" s="175" t="s">
        <v>455</v>
      </c>
      <c r="N513" s="175" t="s">
        <v>16</v>
      </c>
      <c r="O513" s="175" t="s">
        <v>4255</v>
      </c>
      <c r="P513" s="26" t="str">
        <f>_xlfn.DISPIMG("ID_7B994A5EE1894E46909466AD8B994299",1)</f>
        <v>=DISPIMG("ID_7B994A5EE1894E46909466AD8B994299",1)</v>
      </c>
      <c r="Q513" s="25" t="s">
        <v>4256</v>
      </c>
      <c r="R513" s="25">
        <v>544</v>
      </c>
      <c r="S513" s="40" t="s">
        <v>4794</v>
      </c>
      <c r="T513" s="18" t="s">
        <v>76</v>
      </c>
      <c r="U513" s="25">
        <v>1</v>
      </c>
      <c r="V513" s="84"/>
    </row>
    <row r="514" s="3" customFormat="1" customHeight="1" spans="1:22">
      <c r="A514" s="84">
        <v>9</v>
      </c>
      <c r="B514" s="175" t="s">
        <v>4184</v>
      </c>
      <c r="C514" s="175" t="s">
        <v>153</v>
      </c>
      <c r="D514" s="175" t="s">
        <v>4185</v>
      </c>
      <c r="E514" s="25">
        <v>15779857764</v>
      </c>
      <c r="F514" s="175" t="s">
        <v>384</v>
      </c>
      <c r="G514" s="175" t="s">
        <v>16</v>
      </c>
      <c r="H514" s="25">
        <v>202101012</v>
      </c>
      <c r="I514" s="175" t="s">
        <v>157</v>
      </c>
      <c r="J514" s="175" t="s">
        <v>507</v>
      </c>
      <c r="K514" s="175" t="s">
        <v>977</v>
      </c>
      <c r="L514" s="175" t="s">
        <v>170</v>
      </c>
      <c r="M514" s="175" t="s">
        <v>281</v>
      </c>
      <c r="N514" s="175" t="s">
        <v>16</v>
      </c>
      <c r="O514" s="175" t="s">
        <v>4187</v>
      </c>
      <c r="P514" s="26" t="str">
        <f>_xlfn.DISPIMG("ID_CB7789B563324522805F1ED9D1BFD221",1)</f>
        <v>=DISPIMG("ID_CB7789B563324522805F1ED9D1BFD221",1)</v>
      </c>
      <c r="Q514" s="25" t="s">
        <v>4188</v>
      </c>
      <c r="R514" s="25">
        <v>535</v>
      </c>
      <c r="S514" s="40" t="s">
        <v>4788</v>
      </c>
      <c r="T514" s="18" t="s">
        <v>76</v>
      </c>
      <c r="U514" s="25">
        <v>2</v>
      </c>
      <c r="V514" s="84"/>
    </row>
    <row r="515" s="3" customFormat="1" customHeight="1" spans="1:22">
      <c r="A515" s="84">
        <v>7</v>
      </c>
      <c r="B515" s="175" t="s">
        <v>3833</v>
      </c>
      <c r="C515" s="175" t="s">
        <v>153</v>
      </c>
      <c r="D515" s="175" t="s">
        <v>3834</v>
      </c>
      <c r="E515" s="25">
        <v>15970472554</v>
      </c>
      <c r="F515" s="175" t="s">
        <v>268</v>
      </c>
      <c r="G515" s="175" t="s">
        <v>16</v>
      </c>
      <c r="H515" s="25">
        <v>202101011</v>
      </c>
      <c r="I515" s="175" t="s">
        <v>705</v>
      </c>
      <c r="J515" s="175" t="s">
        <v>1654</v>
      </c>
      <c r="K515" s="175" t="s">
        <v>3836</v>
      </c>
      <c r="L515" s="175" t="s">
        <v>160</v>
      </c>
      <c r="M515" s="175" t="s">
        <v>235</v>
      </c>
      <c r="N515" s="175" t="s">
        <v>16</v>
      </c>
      <c r="O515" s="175" t="s">
        <v>3837</v>
      </c>
      <c r="P515" s="26" t="str">
        <f>_xlfn.DISPIMG("ID_34928AEB616641BE854DC3D58FC2EECD",1)</f>
        <v>=DISPIMG("ID_34928AEB616641BE854DC3D58FC2EECD",1)</v>
      </c>
      <c r="Q515" s="25" t="s">
        <v>3838</v>
      </c>
      <c r="R515" s="25">
        <v>489</v>
      </c>
      <c r="S515" s="40" t="s">
        <v>4783</v>
      </c>
      <c r="T515" s="18" t="s">
        <v>76</v>
      </c>
      <c r="U515" s="25">
        <v>3</v>
      </c>
      <c r="V515" s="84"/>
    </row>
    <row r="516" s="3" customFormat="1" customHeight="1" spans="1:22">
      <c r="A516" s="84">
        <v>5</v>
      </c>
      <c r="B516" s="175" t="s">
        <v>3022</v>
      </c>
      <c r="C516" s="175" t="s">
        <v>165</v>
      </c>
      <c r="D516" s="175" t="s">
        <v>3023</v>
      </c>
      <c r="E516" s="25">
        <v>15870035090</v>
      </c>
      <c r="F516" s="175" t="s">
        <v>268</v>
      </c>
      <c r="G516" s="175" t="s">
        <v>16</v>
      </c>
      <c r="H516" s="25">
        <v>202101011</v>
      </c>
      <c r="I516" s="175" t="s">
        <v>157</v>
      </c>
      <c r="J516" s="175" t="s">
        <v>233</v>
      </c>
      <c r="K516" s="175" t="s">
        <v>1088</v>
      </c>
      <c r="L516" s="175" t="s">
        <v>170</v>
      </c>
      <c r="M516" s="175" t="s">
        <v>548</v>
      </c>
      <c r="N516" s="175" t="s">
        <v>1579</v>
      </c>
      <c r="O516" s="175" t="s">
        <v>3025</v>
      </c>
      <c r="P516" s="26" t="str">
        <f>_xlfn.DISPIMG("ID_B71153A1EE7A48CF8E15967732B6C043",1)</f>
        <v>=DISPIMG("ID_B71153A1EE7A48CF8E15967732B6C043",1)</v>
      </c>
      <c r="Q516" s="25" t="s">
        <v>3026</v>
      </c>
      <c r="R516" s="25">
        <v>412</v>
      </c>
      <c r="S516" s="40" t="s">
        <v>4778</v>
      </c>
      <c r="T516" s="18" t="s">
        <v>76</v>
      </c>
      <c r="U516" s="25">
        <v>4</v>
      </c>
      <c r="V516" s="84"/>
    </row>
    <row r="517" s="3" customFormat="1" customHeight="1" spans="1:22">
      <c r="A517" s="84">
        <v>3</v>
      </c>
      <c r="B517" s="175" t="s">
        <v>2961</v>
      </c>
      <c r="C517" s="175" t="s">
        <v>153</v>
      </c>
      <c r="D517" s="175" t="s">
        <v>2962</v>
      </c>
      <c r="E517" s="25">
        <v>15180672774</v>
      </c>
      <c r="F517" s="175" t="s">
        <v>268</v>
      </c>
      <c r="G517" s="175" t="s">
        <v>16</v>
      </c>
      <c r="H517" s="25">
        <v>202101011</v>
      </c>
      <c r="I517" s="175" t="s">
        <v>157</v>
      </c>
      <c r="J517" s="175" t="s">
        <v>385</v>
      </c>
      <c r="K517" s="175" t="s">
        <v>2964</v>
      </c>
      <c r="L517" s="175" t="s">
        <v>170</v>
      </c>
      <c r="M517" s="175" t="s">
        <v>161</v>
      </c>
      <c r="N517" s="175" t="s">
        <v>1156</v>
      </c>
      <c r="O517" s="175" t="s">
        <v>2965</v>
      </c>
      <c r="P517" s="26" t="str">
        <f>_xlfn.DISPIMG("ID_7E33BA02CEC345A989E0186D8EADFECF",1)</f>
        <v>=DISPIMG("ID_7E33BA02CEC345A989E0186D8EADFECF",1)</v>
      </c>
      <c r="Q517" s="25" t="s">
        <v>2966</v>
      </c>
      <c r="R517" s="25">
        <v>364</v>
      </c>
      <c r="S517" s="40" t="s">
        <v>4798</v>
      </c>
      <c r="T517" s="18" t="s">
        <v>76</v>
      </c>
      <c r="U517" s="25">
        <v>5</v>
      </c>
      <c r="V517" s="84"/>
    </row>
    <row r="518" s="3" customFormat="1" customHeight="1" spans="1:22">
      <c r="A518" s="84">
        <v>1</v>
      </c>
      <c r="B518" s="175" t="s">
        <v>974</v>
      </c>
      <c r="C518" s="175" t="s">
        <v>153</v>
      </c>
      <c r="D518" s="175" t="s">
        <v>975</v>
      </c>
      <c r="E518" s="25">
        <v>14796380079</v>
      </c>
      <c r="F518" s="175" t="s">
        <v>268</v>
      </c>
      <c r="G518" s="175" t="s">
        <v>16</v>
      </c>
      <c r="H518" s="25">
        <v>202101011</v>
      </c>
      <c r="I518" s="175" t="s">
        <v>157</v>
      </c>
      <c r="J518" s="175" t="s">
        <v>233</v>
      </c>
      <c r="K518" s="175" t="s">
        <v>977</v>
      </c>
      <c r="L518" s="175" t="s">
        <v>170</v>
      </c>
      <c r="M518" s="175" t="s">
        <v>235</v>
      </c>
      <c r="N518" s="175" t="s">
        <v>978</v>
      </c>
      <c r="O518" s="175" t="s">
        <v>979</v>
      </c>
      <c r="P518" s="26" t="str">
        <f>_xlfn.DISPIMG("ID_9AC6BD34E9E244F89B50B29F8EA156DD",1)</f>
        <v>=DISPIMG("ID_9AC6BD34E9E244F89B50B29F8EA156DD",1)</v>
      </c>
      <c r="Q518" s="25" t="s">
        <v>980</v>
      </c>
      <c r="R518" s="25">
        <v>99</v>
      </c>
      <c r="S518" s="40" t="s">
        <v>4777</v>
      </c>
      <c r="T518" s="18" t="s">
        <v>76</v>
      </c>
      <c r="U518" s="25">
        <v>6</v>
      </c>
      <c r="V518" s="84"/>
    </row>
    <row r="519" s="3" customFormat="1" customHeight="1" spans="1:22">
      <c r="A519" s="84">
        <v>2</v>
      </c>
      <c r="B519" s="175" t="s">
        <v>2831</v>
      </c>
      <c r="C519" s="175" t="s">
        <v>165</v>
      </c>
      <c r="D519" s="175" t="s">
        <v>2832</v>
      </c>
      <c r="E519" s="25">
        <v>17794516178</v>
      </c>
      <c r="F519" s="175" t="s">
        <v>268</v>
      </c>
      <c r="G519" s="175" t="s">
        <v>16</v>
      </c>
      <c r="H519" s="25">
        <v>202101011</v>
      </c>
      <c r="I519" s="175" t="s">
        <v>705</v>
      </c>
      <c r="J519" s="175" t="s">
        <v>2834</v>
      </c>
      <c r="K519" s="175" t="s">
        <v>1397</v>
      </c>
      <c r="L519" s="175" t="s">
        <v>160</v>
      </c>
      <c r="M519" s="175" t="s">
        <v>261</v>
      </c>
      <c r="N519" s="175" t="s">
        <v>2835</v>
      </c>
      <c r="O519" s="25">
        <v>0</v>
      </c>
      <c r="P519" s="26" t="str">
        <f>_xlfn.DISPIMG("ID_012851E191D54E319B75F7300CFFD208",1)</f>
        <v>=DISPIMG("ID_012851E191D54E319B75F7300CFFD208",1)</v>
      </c>
      <c r="Q519" s="25" t="s">
        <v>2836</v>
      </c>
      <c r="R519" s="25">
        <v>344</v>
      </c>
      <c r="S519" s="40" t="s">
        <v>4793</v>
      </c>
      <c r="T519" s="18" t="s">
        <v>76</v>
      </c>
      <c r="U519" s="25">
        <v>7</v>
      </c>
      <c r="V519" s="84"/>
    </row>
    <row r="520" s="3" customFormat="1" customHeight="1" spans="1:22">
      <c r="A520" s="84">
        <v>4</v>
      </c>
      <c r="B520" s="175" t="s">
        <v>3116</v>
      </c>
      <c r="C520" s="175" t="s">
        <v>165</v>
      </c>
      <c r="D520" s="175" t="s">
        <v>3117</v>
      </c>
      <c r="E520" s="25">
        <v>15279286337</v>
      </c>
      <c r="F520" s="175" t="s">
        <v>268</v>
      </c>
      <c r="G520" s="175" t="s">
        <v>16</v>
      </c>
      <c r="H520" s="25">
        <v>202101011</v>
      </c>
      <c r="I520" s="175" t="s">
        <v>157</v>
      </c>
      <c r="J520" s="175" t="s">
        <v>385</v>
      </c>
      <c r="K520" s="175" t="s">
        <v>3119</v>
      </c>
      <c r="L520" s="175" t="s">
        <v>170</v>
      </c>
      <c r="M520" s="175" t="s">
        <v>161</v>
      </c>
      <c r="N520" s="175" t="s">
        <v>190</v>
      </c>
      <c r="O520" s="25">
        <v>0</v>
      </c>
      <c r="P520" s="26" t="str">
        <f>_xlfn.DISPIMG("ID_BC4D6E67EBDF472A876E1598CD3DE965",1)</f>
        <v>=DISPIMG("ID_BC4D6E67EBDF472A876E1598CD3DE965",1)</v>
      </c>
      <c r="Q520" s="25" t="s">
        <v>3120</v>
      </c>
      <c r="R520" s="25">
        <v>385</v>
      </c>
      <c r="S520" s="40" t="s">
        <v>4803</v>
      </c>
      <c r="T520" s="18" t="s">
        <v>76</v>
      </c>
      <c r="U520" s="25">
        <v>8</v>
      </c>
      <c r="V520" s="84"/>
    </row>
    <row r="521" s="3" customFormat="1" customHeight="1" spans="1:22">
      <c r="A521" s="84">
        <v>6</v>
      </c>
      <c r="B521" s="175" t="s">
        <v>3507</v>
      </c>
      <c r="C521" s="175" t="s">
        <v>165</v>
      </c>
      <c r="D521" s="175" t="s">
        <v>3508</v>
      </c>
      <c r="E521" s="25">
        <v>15179282402</v>
      </c>
      <c r="F521" s="175" t="s">
        <v>384</v>
      </c>
      <c r="G521" s="175" t="s">
        <v>16</v>
      </c>
      <c r="H521" s="25">
        <v>202101012</v>
      </c>
      <c r="I521" s="175" t="s">
        <v>157</v>
      </c>
      <c r="J521" s="175" t="s">
        <v>158</v>
      </c>
      <c r="K521" s="175" t="s">
        <v>2742</v>
      </c>
      <c r="L521" s="175" t="s">
        <v>160</v>
      </c>
      <c r="M521" s="175" t="s">
        <v>281</v>
      </c>
      <c r="N521" s="175" t="s">
        <v>3510</v>
      </c>
      <c r="O521" s="25">
        <v>0</v>
      </c>
      <c r="P521" s="26" t="str">
        <f>_xlfn.DISPIMG("ID_F203C9D79BED4D608F3184BA9064F545",1)</f>
        <v>=DISPIMG("ID_F203C9D79BED4D608F3184BA9064F545",1)</v>
      </c>
      <c r="Q521" s="25" t="s">
        <v>3511</v>
      </c>
      <c r="R521" s="25">
        <v>445</v>
      </c>
      <c r="S521" s="40" t="s">
        <v>4779</v>
      </c>
      <c r="T521" s="18" t="s">
        <v>76</v>
      </c>
      <c r="U521" s="25">
        <v>9</v>
      </c>
      <c r="V521" s="84"/>
    </row>
    <row r="522" s="3" customFormat="1" customHeight="1" spans="1:22">
      <c r="A522" s="84">
        <v>8</v>
      </c>
      <c r="B522" s="175" t="s">
        <v>4111</v>
      </c>
      <c r="C522" s="175" t="s">
        <v>153</v>
      </c>
      <c r="D522" s="175" t="s">
        <v>4112</v>
      </c>
      <c r="E522" s="25">
        <v>15155149842</v>
      </c>
      <c r="F522" s="175" t="s">
        <v>268</v>
      </c>
      <c r="G522" s="175" t="s">
        <v>16</v>
      </c>
      <c r="H522" s="25">
        <v>202101011</v>
      </c>
      <c r="I522" s="175" t="s">
        <v>705</v>
      </c>
      <c r="J522" s="175" t="s">
        <v>4114</v>
      </c>
      <c r="K522" s="175" t="s">
        <v>4115</v>
      </c>
      <c r="L522" s="175" t="s">
        <v>160</v>
      </c>
      <c r="M522" s="175" t="s">
        <v>161</v>
      </c>
      <c r="N522" s="175" t="s">
        <v>16</v>
      </c>
      <c r="O522" s="175" t="s">
        <v>4116</v>
      </c>
      <c r="P522" s="26" t="str">
        <f>_xlfn.DISPIMG("ID_AB3A7CA2D44F41A18DEECB4F4C161234",1)</f>
        <v>=DISPIMG("ID_AB3A7CA2D44F41A18DEECB4F4C161234",1)</v>
      </c>
      <c r="Q522" s="25" t="s">
        <v>4117</v>
      </c>
      <c r="R522" s="25">
        <v>526</v>
      </c>
      <c r="S522" s="40" t="s">
        <v>4784</v>
      </c>
      <c r="T522" s="18" t="s">
        <v>76</v>
      </c>
      <c r="U522" s="25">
        <v>10</v>
      </c>
      <c r="V522" s="84"/>
    </row>
    <row r="523" s="3" customFormat="1" customHeight="1" spans="1:22">
      <c r="A523" s="84">
        <v>10</v>
      </c>
      <c r="B523" s="175" t="s">
        <v>4222</v>
      </c>
      <c r="C523" s="175" t="s">
        <v>165</v>
      </c>
      <c r="D523" s="175" t="s">
        <v>4223</v>
      </c>
      <c r="E523" s="25">
        <v>18170013045</v>
      </c>
      <c r="F523" s="175" t="s">
        <v>268</v>
      </c>
      <c r="G523" s="175" t="s">
        <v>16</v>
      </c>
      <c r="H523" s="25">
        <v>202101011</v>
      </c>
      <c r="I523" s="175" t="s">
        <v>157</v>
      </c>
      <c r="J523" s="175" t="s">
        <v>385</v>
      </c>
      <c r="K523" s="175" t="s">
        <v>4225</v>
      </c>
      <c r="L523" s="175" t="s">
        <v>170</v>
      </c>
      <c r="M523" s="175" t="s">
        <v>224</v>
      </c>
      <c r="N523" s="175" t="s">
        <v>16</v>
      </c>
      <c r="O523" s="175" t="s">
        <v>4226</v>
      </c>
      <c r="P523" s="26" t="str">
        <f>_xlfn.DISPIMG("ID_6A583EA485744871AED4CEE0D95D9DC4",1)</f>
        <v>=DISPIMG("ID_6A583EA485744871AED4CEE0D95D9DC4",1)</v>
      </c>
      <c r="Q523" s="25" t="s">
        <v>4227</v>
      </c>
      <c r="R523" s="25">
        <v>540</v>
      </c>
      <c r="S523" s="40" t="s">
        <v>4789</v>
      </c>
      <c r="T523" s="18" t="s">
        <v>76</v>
      </c>
      <c r="U523" s="25">
        <v>11</v>
      </c>
      <c r="V523" s="84"/>
    </row>
    <row r="524" s="3" customFormat="1" customHeight="1" spans="1:22">
      <c r="A524" s="84">
        <v>15</v>
      </c>
      <c r="B524" s="175" t="s">
        <v>3099</v>
      </c>
      <c r="C524" s="175" t="s">
        <v>165</v>
      </c>
      <c r="D524" s="175" t="s">
        <v>3100</v>
      </c>
      <c r="E524" s="25">
        <v>15720976892</v>
      </c>
      <c r="F524" s="175" t="s">
        <v>384</v>
      </c>
      <c r="G524" s="175" t="s">
        <v>17</v>
      </c>
      <c r="H524" s="25">
        <v>202101018</v>
      </c>
      <c r="I524" s="175" t="s">
        <v>157</v>
      </c>
      <c r="J524" s="175" t="s">
        <v>385</v>
      </c>
      <c r="K524" s="175" t="s">
        <v>290</v>
      </c>
      <c r="L524" s="175" t="s">
        <v>170</v>
      </c>
      <c r="M524" s="175" t="s">
        <v>577</v>
      </c>
      <c r="N524" s="175" t="s">
        <v>3102</v>
      </c>
      <c r="O524" s="175" t="s">
        <v>3103</v>
      </c>
      <c r="P524" s="26" t="str">
        <f>_xlfn.DISPIMG("ID_FEEAA5237B6C4B708D314FC0E0560DA3",1)</f>
        <v>=DISPIMG("ID_FEEAA5237B6C4B708D314FC0E0560DA3",1)</v>
      </c>
      <c r="Q524" s="25" t="s">
        <v>3104</v>
      </c>
      <c r="R524" s="25">
        <v>383</v>
      </c>
      <c r="S524" s="40" t="s">
        <v>4804</v>
      </c>
      <c r="T524" s="18" t="s">
        <v>76</v>
      </c>
      <c r="U524" s="25">
        <v>12</v>
      </c>
      <c r="V524" s="84"/>
    </row>
    <row r="525" s="3" customFormat="1" customHeight="1" spans="1:22">
      <c r="A525" s="84">
        <v>16</v>
      </c>
      <c r="B525" s="175" t="s">
        <v>3192</v>
      </c>
      <c r="C525" s="175" t="s">
        <v>165</v>
      </c>
      <c r="D525" s="175" t="s">
        <v>3193</v>
      </c>
      <c r="E525" s="25">
        <v>13361729367</v>
      </c>
      <c r="F525" s="175" t="s">
        <v>268</v>
      </c>
      <c r="G525" s="175" t="s">
        <v>17</v>
      </c>
      <c r="H525" s="25">
        <v>202101017</v>
      </c>
      <c r="I525" s="175" t="s">
        <v>157</v>
      </c>
      <c r="J525" s="175" t="s">
        <v>1258</v>
      </c>
      <c r="K525" s="175" t="s">
        <v>3195</v>
      </c>
      <c r="L525" s="175" t="s">
        <v>170</v>
      </c>
      <c r="M525" s="175" t="s">
        <v>216</v>
      </c>
      <c r="N525" s="175" t="s">
        <v>17</v>
      </c>
      <c r="O525" s="175" t="s">
        <v>3196</v>
      </c>
      <c r="P525" s="26" t="str">
        <f>_xlfn.DISPIMG("ID_F0B384F7F2BD4ECB81B75D08A62A8621",1)</f>
        <v>=DISPIMG("ID_F0B384F7F2BD4ECB81B75D08A62A8621",1)</v>
      </c>
      <c r="Q525" s="25" t="s">
        <v>3197</v>
      </c>
      <c r="R525" s="25">
        <v>397</v>
      </c>
      <c r="S525" s="40" t="s">
        <v>4805</v>
      </c>
      <c r="T525" s="18" t="s">
        <v>76</v>
      </c>
      <c r="U525" s="25">
        <v>13</v>
      </c>
      <c r="V525" s="84"/>
    </row>
    <row r="526" s="3" customFormat="1" customHeight="1" spans="1:22">
      <c r="A526" s="84">
        <v>14</v>
      </c>
      <c r="B526" s="175" t="s">
        <v>2805</v>
      </c>
      <c r="C526" s="175" t="s">
        <v>153</v>
      </c>
      <c r="D526" s="175" t="s">
        <v>2806</v>
      </c>
      <c r="E526" s="25">
        <v>15350253333</v>
      </c>
      <c r="F526" s="175" t="s">
        <v>268</v>
      </c>
      <c r="G526" s="175" t="s">
        <v>17</v>
      </c>
      <c r="H526" s="25">
        <v>202101007</v>
      </c>
      <c r="I526" s="175" t="s">
        <v>157</v>
      </c>
      <c r="J526" s="175" t="s">
        <v>269</v>
      </c>
      <c r="K526" s="175" t="s">
        <v>290</v>
      </c>
      <c r="L526" s="175" t="s">
        <v>170</v>
      </c>
      <c r="M526" s="175" t="s">
        <v>368</v>
      </c>
      <c r="N526" s="175" t="s">
        <v>17</v>
      </c>
      <c r="O526" s="175" t="s">
        <v>2808</v>
      </c>
      <c r="P526" s="26" t="str">
        <f>_xlfn.DISPIMG("ID_7C47A0694F0147EB860DAA1E2F9E87A3",1)</f>
        <v>=DISPIMG("ID_7C47A0694F0147EB860DAA1E2F9E87A3",1)</v>
      </c>
      <c r="Q526" s="25" t="s">
        <v>2809</v>
      </c>
      <c r="R526" s="25">
        <v>340</v>
      </c>
      <c r="S526" s="40" t="s">
        <v>4800</v>
      </c>
      <c r="T526" s="18" t="s">
        <v>76</v>
      </c>
      <c r="U526" s="25">
        <v>14</v>
      </c>
      <c r="V526" s="84"/>
    </row>
    <row r="527" s="3" customFormat="1" customHeight="1" spans="1:22">
      <c r="A527" s="84">
        <v>13</v>
      </c>
      <c r="B527" s="175" t="s">
        <v>1365</v>
      </c>
      <c r="C527" s="175" t="s">
        <v>153</v>
      </c>
      <c r="D527" s="175" t="s">
        <v>1366</v>
      </c>
      <c r="E527" s="25">
        <v>15720964071</v>
      </c>
      <c r="F527" s="175" t="s">
        <v>268</v>
      </c>
      <c r="G527" s="175" t="s">
        <v>17</v>
      </c>
      <c r="H527" s="25">
        <v>202101017</v>
      </c>
      <c r="I527" s="175" t="s">
        <v>157</v>
      </c>
      <c r="J527" s="175" t="s">
        <v>1368</v>
      </c>
      <c r="K527" s="175" t="s">
        <v>290</v>
      </c>
      <c r="L527" s="175" t="s">
        <v>170</v>
      </c>
      <c r="M527" s="175" t="s">
        <v>455</v>
      </c>
      <c r="N527" s="175" t="s">
        <v>1369</v>
      </c>
      <c r="O527" s="25">
        <v>0</v>
      </c>
      <c r="P527" s="26" t="str">
        <f>_xlfn.DISPIMG("ID_EB5AC667C054437CBFE2486B339F8A77",1)</f>
        <v>=DISPIMG("ID_EB5AC667C054437CBFE2486B339F8A77",1)</v>
      </c>
      <c r="Q527" s="25" t="s">
        <v>1370</v>
      </c>
      <c r="R527" s="25">
        <v>149</v>
      </c>
      <c r="S527" s="40" t="s">
        <v>4799</v>
      </c>
      <c r="T527" s="18" t="s">
        <v>76</v>
      </c>
      <c r="U527" s="25">
        <v>15</v>
      </c>
      <c r="V527" s="84"/>
    </row>
    <row r="528" s="3" customFormat="1" customHeight="1" spans="1:22">
      <c r="A528" s="84">
        <v>12</v>
      </c>
      <c r="B528" s="175" t="s">
        <v>1061</v>
      </c>
      <c r="C528" s="175" t="s">
        <v>165</v>
      </c>
      <c r="D528" s="175" t="s">
        <v>1062</v>
      </c>
      <c r="E528" s="25">
        <v>18370272213</v>
      </c>
      <c r="F528" s="175" t="s">
        <v>268</v>
      </c>
      <c r="G528" s="175" t="s">
        <v>17</v>
      </c>
      <c r="H528" s="25">
        <v>202101017</v>
      </c>
      <c r="I528" s="175" t="s">
        <v>157</v>
      </c>
      <c r="J528" s="175" t="s">
        <v>269</v>
      </c>
      <c r="K528" s="175" t="s">
        <v>290</v>
      </c>
      <c r="L528" s="175" t="s">
        <v>170</v>
      </c>
      <c r="M528" s="175" t="s">
        <v>261</v>
      </c>
      <c r="N528" s="175" t="s">
        <v>1064</v>
      </c>
      <c r="O528" s="25">
        <v>0</v>
      </c>
      <c r="P528" s="26" t="str">
        <f>_xlfn.DISPIMG("ID_9916007E0F6C44BAA2C2DFDD815EDF7E",1)</f>
        <v>=DISPIMG("ID_9916007E0F6C44BAA2C2DFDD815EDF7E",1)</v>
      </c>
      <c r="Q528" s="25" t="s">
        <v>1065</v>
      </c>
      <c r="R528" s="25">
        <v>110</v>
      </c>
      <c r="S528" s="40" t="s">
        <v>4795</v>
      </c>
      <c r="T528" s="18" t="s">
        <v>76</v>
      </c>
      <c r="U528" s="25">
        <v>16</v>
      </c>
      <c r="V528" s="84"/>
    </row>
    <row r="529" s="3" customFormat="1" customHeight="1" spans="1:22">
      <c r="A529" s="84">
        <v>19</v>
      </c>
      <c r="B529" s="175" t="s">
        <v>1789</v>
      </c>
      <c r="C529" s="175" t="s">
        <v>165</v>
      </c>
      <c r="D529" s="175" t="s">
        <v>1790</v>
      </c>
      <c r="E529" s="25">
        <v>15350130023</v>
      </c>
      <c r="F529" s="175" t="s">
        <v>384</v>
      </c>
      <c r="G529" s="175" t="s">
        <v>18</v>
      </c>
      <c r="H529" s="25">
        <v>202101023</v>
      </c>
      <c r="I529" s="175" t="s">
        <v>157</v>
      </c>
      <c r="J529" s="175" t="s">
        <v>1792</v>
      </c>
      <c r="K529" s="175" t="s">
        <v>1793</v>
      </c>
      <c r="L529" s="175" t="s">
        <v>160</v>
      </c>
      <c r="M529" s="175" t="s">
        <v>455</v>
      </c>
      <c r="N529" s="175" t="s">
        <v>1794</v>
      </c>
      <c r="O529" s="25">
        <v>0</v>
      </c>
      <c r="P529" s="26" t="str">
        <f>_xlfn.DISPIMG("ID_F2D31DD52A09466996724F8ACF5386A0",1)</f>
        <v>=DISPIMG("ID_F2D31DD52A09466996724F8ACF5386A0",1)</v>
      </c>
      <c r="Q529" s="25" t="s">
        <v>1795</v>
      </c>
      <c r="R529" s="25">
        <v>204</v>
      </c>
      <c r="S529" s="40" t="s">
        <v>4782</v>
      </c>
      <c r="T529" s="18" t="s">
        <v>76</v>
      </c>
      <c r="U529" s="25">
        <v>17</v>
      </c>
      <c r="V529" s="84"/>
    </row>
    <row r="530" s="3" customFormat="1" customHeight="1" spans="1:22">
      <c r="A530" s="84">
        <v>17</v>
      </c>
      <c r="B530" s="175" t="s">
        <v>1294</v>
      </c>
      <c r="C530" s="175" t="s">
        <v>165</v>
      </c>
      <c r="D530" s="175" t="s">
        <v>1295</v>
      </c>
      <c r="E530" s="25">
        <v>16607139534</v>
      </c>
      <c r="F530" s="175" t="s">
        <v>384</v>
      </c>
      <c r="G530" s="175" t="s">
        <v>18</v>
      </c>
      <c r="H530" s="25">
        <v>202101024</v>
      </c>
      <c r="I530" s="175" t="s">
        <v>705</v>
      </c>
      <c r="J530" s="175" t="s">
        <v>1297</v>
      </c>
      <c r="K530" s="175" t="s">
        <v>323</v>
      </c>
      <c r="L530" s="175" t="s">
        <v>160</v>
      </c>
      <c r="M530" s="175" t="s">
        <v>455</v>
      </c>
      <c r="N530" s="175" t="s">
        <v>18</v>
      </c>
      <c r="O530" s="175" t="s">
        <v>1298</v>
      </c>
      <c r="P530" s="26" t="str">
        <f>_xlfn.DISPIMG("ID_0467DD9C16B84F62946A6DA8763F5DB1",1)</f>
        <v>=DISPIMG("ID_0467DD9C16B84F62946A6DA8763F5DB1",1)</v>
      </c>
      <c r="Q530" s="25" t="s">
        <v>1299</v>
      </c>
      <c r="R530" s="25">
        <v>140</v>
      </c>
      <c r="S530" s="40" t="s">
        <v>4780</v>
      </c>
      <c r="T530" s="18" t="s">
        <v>76</v>
      </c>
      <c r="U530" s="25">
        <v>18</v>
      </c>
      <c r="V530" s="84"/>
    </row>
    <row r="531" s="3" customFormat="1" customHeight="1" spans="1:22">
      <c r="A531" s="84">
        <v>18</v>
      </c>
      <c r="B531" s="175" t="s">
        <v>1387</v>
      </c>
      <c r="C531" s="175" t="s">
        <v>165</v>
      </c>
      <c r="D531" s="175" t="s">
        <v>1388</v>
      </c>
      <c r="E531" s="25">
        <v>15079175259</v>
      </c>
      <c r="F531" s="175" t="s">
        <v>156</v>
      </c>
      <c r="G531" s="175" t="s">
        <v>18</v>
      </c>
      <c r="H531" s="25">
        <v>202101012</v>
      </c>
      <c r="I531" s="175" t="s">
        <v>157</v>
      </c>
      <c r="J531" s="175" t="s">
        <v>827</v>
      </c>
      <c r="K531" s="175" t="s">
        <v>1390</v>
      </c>
      <c r="L531" s="175" t="s">
        <v>170</v>
      </c>
      <c r="M531" s="175" t="s">
        <v>261</v>
      </c>
      <c r="N531" s="175" t="s">
        <v>18</v>
      </c>
      <c r="O531" s="25">
        <v>0</v>
      </c>
      <c r="P531" s="26" t="str">
        <f>_xlfn.DISPIMG("ID_22A5305EF7CD44458C8E85EF1B5003E3",1)</f>
        <v>=DISPIMG("ID_22A5305EF7CD44458C8E85EF1B5003E3",1)</v>
      </c>
      <c r="Q531" s="25" t="s">
        <v>1391</v>
      </c>
      <c r="R531" s="25">
        <v>152</v>
      </c>
      <c r="S531" s="40" t="s">
        <v>4781</v>
      </c>
      <c r="T531" s="18" t="s">
        <v>76</v>
      </c>
      <c r="U531" s="25">
        <v>19</v>
      </c>
      <c r="V531" s="84"/>
    </row>
    <row r="532" s="3" customFormat="1" customHeight="1" spans="1:22">
      <c r="A532" s="84">
        <v>20</v>
      </c>
      <c r="B532" s="175" t="s">
        <v>3051</v>
      </c>
      <c r="C532" s="175" t="s">
        <v>165</v>
      </c>
      <c r="D532" s="175" t="s">
        <v>3052</v>
      </c>
      <c r="E532" s="25">
        <v>18779104869</v>
      </c>
      <c r="F532" s="175" t="s">
        <v>384</v>
      </c>
      <c r="G532" s="175" t="s">
        <v>18</v>
      </c>
      <c r="H532" s="25">
        <v>202101024</v>
      </c>
      <c r="I532" s="175" t="s">
        <v>157</v>
      </c>
      <c r="J532" s="175" t="s">
        <v>3054</v>
      </c>
      <c r="K532" s="175" t="s">
        <v>404</v>
      </c>
      <c r="L532" s="175" t="s">
        <v>160</v>
      </c>
      <c r="M532" s="175" t="s">
        <v>455</v>
      </c>
      <c r="N532" s="175" t="s">
        <v>18</v>
      </c>
      <c r="O532" s="25">
        <v>0</v>
      </c>
      <c r="P532" s="26" t="str">
        <f>_xlfn.DISPIMG("ID_030DD5A3CEBA48E5AA84D6300BCE898E",1)</f>
        <v>=DISPIMG("ID_030DD5A3CEBA48E5AA84D6300BCE898E",1)</v>
      </c>
      <c r="Q532" s="25" t="s">
        <v>3055</v>
      </c>
      <c r="R532" s="25">
        <v>377</v>
      </c>
      <c r="S532" s="40" t="s">
        <v>4785</v>
      </c>
      <c r="T532" s="18" t="s">
        <v>76</v>
      </c>
      <c r="U532" s="25">
        <v>20</v>
      </c>
      <c r="V532" s="84"/>
    </row>
    <row r="533" s="3" customFormat="1" customHeight="1" spans="1:22">
      <c r="A533" s="84"/>
      <c r="B533" s="25"/>
      <c r="C533" s="25"/>
      <c r="D533" s="25"/>
      <c r="E533" s="25"/>
      <c r="F533" s="25"/>
      <c r="G533" s="25"/>
      <c r="H533" s="25"/>
      <c r="I533" s="25"/>
      <c r="J533" s="25"/>
      <c r="K533" s="25"/>
      <c r="L533" s="25"/>
      <c r="M533" s="25"/>
      <c r="N533" s="25"/>
      <c r="O533" s="25"/>
      <c r="P533" s="26"/>
      <c r="Q533" s="25"/>
      <c r="R533" s="25"/>
      <c r="S533" s="40"/>
      <c r="T533" s="18"/>
      <c r="U533" s="25"/>
      <c r="V533" s="84"/>
    </row>
    <row r="534" s="3" customFormat="1" customHeight="1" spans="1:22">
      <c r="A534" s="84"/>
      <c r="B534" s="25"/>
      <c r="C534" s="25"/>
      <c r="D534" s="25"/>
      <c r="E534" s="25"/>
      <c r="F534" s="25"/>
      <c r="G534" s="25"/>
      <c r="H534" s="25"/>
      <c r="I534" s="25"/>
      <c r="J534" s="25"/>
      <c r="K534" s="25"/>
      <c r="L534" s="25"/>
      <c r="M534" s="25"/>
      <c r="N534" s="25"/>
      <c r="O534" s="25"/>
      <c r="P534" s="26"/>
      <c r="Q534" s="25"/>
      <c r="R534" s="25"/>
      <c r="S534" s="40"/>
      <c r="T534" s="18"/>
      <c r="U534" s="25"/>
      <c r="V534" s="84"/>
    </row>
    <row r="535" s="3" customFormat="1" customHeight="1" spans="1:22">
      <c r="A535" s="84"/>
      <c r="B535" s="25"/>
      <c r="C535" s="25"/>
      <c r="D535" s="25"/>
      <c r="E535" s="25"/>
      <c r="F535" s="25"/>
      <c r="G535" s="25"/>
      <c r="H535" s="25"/>
      <c r="I535" s="25"/>
      <c r="J535" s="25"/>
      <c r="K535" s="25"/>
      <c r="L535" s="25"/>
      <c r="M535" s="25"/>
      <c r="N535" s="25"/>
      <c r="O535" s="25"/>
      <c r="P535" s="26"/>
      <c r="Q535" s="25"/>
      <c r="R535" s="25"/>
      <c r="S535" s="40"/>
      <c r="T535" s="18"/>
      <c r="U535" s="25"/>
      <c r="V535" s="84"/>
    </row>
    <row r="536" s="3" customFormat="1" customHeight="1" spans="1:22">
      <c r="A536" s="84"/>
      <c r="B536" s="25"/>
      <c r="C536" s="25"/>
      <c r="D536" s="25"/>
      <c r="E536" s="25"/>
      <c r="F536" s="25"/>
      <c r="G536" s="25"/>
      <c r="H536" s="25"/>
      <c r="I536" s="25"/>
      <c r="J536" s="25"/>
      <c r="K536" s="25"/>
      <c r="L536" s="25"/>
      <c r="M536" s="25"/>
      <c r="N536" s="25"/>
      <c r="O536" s="25"/>
      <c r="P536" s="26"/>
      <c r="Q536" s="25"/>
      <c r="R536" s="25"/>
      <c r="S536" s="40"/>
      <c r="T536" s="18"/>
      <c r="U536" s="25"/>
      <c r="V536" s="84"/>
    </row>
    <row r="537" s="3" customFormat="1" customHeight="1" spans="1:22">
      <c r="A537" s="84"/>
      <c r="B537" s="25"/>
      <c r="C537" s="25"/>
      <c r="D537" s="25"/>
      <c r="E537" s="25"/>
      <c r="F537" s="25"/>
      <c r="G537" s="25"/>
      <c r="H537" s="25"/>
      <c r="I537" s="25"/>
      <c r="J537" s="25"/>
      <c r="K537" s="25"/>
      <c r="L537" s="25"/>
      <c r="M537" s="25"/>
      <c r="N537" s="25"/>
      <c r="O537" s="25"/>
      <c r="P537" s="26"/>
      <c r="Q537" s="25"/>
      <c r="R537" s="25"/>
      <c r="S537" s="40"/>
      <c r="T537" s="18"/>
      <c r="U537" s="25"/>
      <c r="V537" s="84"/>
    </row>
    <row r="538" s="3" customFormat="1" customHeight="1" spans="1:22">
      <c r="A538" s="84"/>
      <c r="B538" s="25"/>
      <c r="C538" s="25"/>
      <c r="D538" s="25"/>
      <c r="E538" s="25"/>
      <c r="F538" s="25"/>
      <c r="G538" s="25"/>
      <c r="H538" s="25"/>
      <c r="I538" s="25"/>
      <c r="J538" s="25"/>
      <c r="K538" s="25"/>
      <c r="L538" s="25"/>
      <c r="M538" s="25"/>
      <c r="N538" s="25"/>
      <c r="O538" s="25"/>
      <c r="P538" s="26"/>
      <c r="Q538" s="25"/>
      <c r="R538" s="25"/>
      <c r="S538" s="40"/>
      <c r="T538" s="18"/>
      <c r="U538" s="25"/>
      <c r="V538" s="84"/>
    </row>
    <row r="539" s="3" customFormat="1" customHeight="1" spans="1:22">
      <c r="A539" s="84"/>
      <c r="B539" s="25"/>
      <c r="C539" s="25"/>
      <c r="D539" s="25"/>
      <c r="E539" s="25"/>
      <c r="F539" s="25"/>
      <c r="G539" s="25"/>
      <c r="H539" s="25"/>
      <c r="I539" s="25"/>
      <c r="J539" s="25"/>
      <c r="K539" s="25"/>
      <c r="L539" s="25"/>
      <c r="M539" s="25"/>
      <c r="N539" s="25"/>
      <c r="O539" s="25"/>
      <c r="P539" s="26"/>
      <c r="Q539" s="25"/>
      <c r="R539" s="25"/>
      <c r="S539" s="40"/>
      <c r="T539" s="18"/>
      <c r="U539" s="25"/>
      <c r="V539" s="84"/>
    </row>
    <row r="540" s="3" customFormat="1" customHeight="1" spans="1:22">
      <c r="A540" s="84"/>
      <c r="B540" s="25"/>
      <c r="C540" s="25"/>
      <c r="D540" s="25"/>
      <c r="E540" s="25"/>
      <c r="F540" s="25"/>
      <c r="G540" s="25"/>
      <c r="H540" s="25"/>
      <c r="I540" s="25"/>
      <c r="J540" s="25"/>
      <c r="K540" s="25"/>
      <c r="L540" s="25"/>
      <c r="M540" s="25"/>
      <c r="N540" s="25"/>
      <c r="O540" s="25"/>
      <c r="P540" s="26"/>
      <c r="Q540" s="25"/>
      <c r="R540" s="25"/>
      <c r="S540" s="40"/>
      <c r="T540" s="18"/>
      <c r="U540" s="25"/>
      <c r="V540" s="84"/>
    </row>
    <row r="541" s="3" customFormat="1" customHeight="1" spans="1:22">
      <c r="A541" s="84"/>
      <c r="B541" s="25"/>
      <c r="C541" s="25"/>
      <c r="D541" s="25"/>
      <c r="E541" s="25"/>
      <c r="F541" s="25"/>
      <c r="G541" s="25"/>
      <c r="H541" s="25"/>
      <c r="I541" s="25"/>
      <c r="J541" s="25"/>
      <c r="K541" s="25"/>
      <c r="L541" s="25"/>
      <c r="M541" s="25"/>
      <c r="N541" s="25"/>
      <c r="O541" s="25"/>
      <c r="P541" s="26"/>
      <c r="Q541" s="25"/>
      <c r="R541" s="25"/>
      <c r="S541" s="40"/>
      <c r="T541" s="18"/>
      <c r="U541" s="25"/>
      <c r="V541" s="84"/>
    </row>
    <row r="542" s="3" customFormat="1" customHeight="1" spans="1:22">
      <c r="A542" s="84"/>
      <c r="B542" s="25"/>
      <c r="C542" s="25"/>
      <c r="D542" s="25"/>
      <c r="E542" s="25"/>
      <c r="F542" s="25"/>
      <c r="G542" s="25"/>
      <c r="H542" s="25"/>
      <c r="I542" s="25"/>
      <c r="J542" s="25"/>
      <c r="K542" s="25"/>
      <c r="L542" s="25"/>
      <c r="M542" s="25"/>
      <c r="N542" s="25"/>
      <c r="O542" s="25"/>
      <c r="P542" s="26"/>
      <c r="Q542" s="25"/>
      <c r="R542" s="25"/>
      <c r="S542" s="40"/>
      <c r="T542" s="18"/>
      <c r="U542" s="25"/>
      <c r="V542" s="84"/>
    </row>
    <row r="543" s="3" customFormat="1" customHeight="1" spans="1:22">
      <c r="A543" s="84">
        <v>9</v>
      </c>
      <c r="B543" s="175" t="s">
        <v>4127</v>
      </c>
      <c r="C543" s="175" t="s">
        <v>165</v>
      </c>
      <c r="D543" s="175" t="s">
        <v>4128</v>
      </c>
      <c r="E543" s="25">
        <v>18779230962</v>
      </c>
      <c r="F543" s="175" t="s">
        <v>268</v>
      </c>
      <c r="G543" s="175" t="s">
        <v>26</v>
      </c>
      <c r="H543" s="25">
        <v>202101001</v>
      </c>
      <c r="I543" s="175" t="s">
        <v>157</v>
      </c>
      <c r="J543" s="175" t="s">
        <v>233</v>
      </c>
      <c r="K543" s="175" t="s">
        <v>454</v>
      </c>
      <c r="L543" s="175" t="s">
        <v>170</v>
      </c>
      <c r="M543" s="175" t="s">
        <v>252</v>
      </c>
      <c r="N543" s="175" t="s">
        <v>26</v>
      </c>
      <c r="O543" s="175" t="s">
        <v>4130</v>
      </c>
      <c r="P543" s="26" t="str">
        <f>_xlfn.DISPIMG("ID_135AA7394FE044C981CB1DCD13A764A0",1)</f>
        <v>=DISPIMG("ID_135AA7394FE044C981CB1DCD13A764A0",1)</v>
      </c>
      <c r="Q543" s="25" t="s">
        <v>4131</v>
      </c>
      <c r="R543" s="25">
        <v>528</v>
      </c>
      <c r="S543" s="40" t="s">
        <v>4802</v>
      </c>
      <c r="T543" s="18" t="s">
        <v>80</v>
      </c>
      <c r="U543" s="25">
        <v>1</v>
      </c>
      <c r="V543" s="84"/>
    </row>
    <row r="544" s="3" customFormat="1" customHeight="1" spans="1:22">
      <c r="A544" s="84">
        <v>8</v>
      </c>
      <c r="B544" s="175" t="s">
        <v>3359</v>
      </c>
      <c r="C544" s="175" t="s">
        <v>165</v>
      </c>
      <c r="D544" s="175" t="s">
        <v>3360</v>
      </c>
      <c r="E544" s="25">
        <v>18970285935</v>
      </c>
      <c r="F544" s="175" t="s">
        <v>297</v>
      </c>
      <c r="G544" s="175" t="s">
        <v>26</v>
      </c>
      <c r="H544" s="25">
        <v>202101003</v>
      </c>
      <c r="I544" s="175" t="s">
        <v>157</v>
      </c>
      <c r="J544" s="175" t="s">
        <v>1213</v>
      </c>
      <c r="K544" s="175" t="s">
        <v>3362</v>
      </c>
      <c r="L544" s="175" t="s">
        <v>160</v>
      </c>
      <c r="M544" s="175" t="s">
        <v>224</v>
      </c>
      <c r="N544" s="175" t="s">
        <v>26</v>
      </c>
      <c r="O544" s="25">
        <v>0</v>
      </c>
      <c r="P544" s="26" t="str">
        <f>_xlfn.DISPIMG("ID_8997E37C597A4A678DEC3DE2B773630A",1)</f>
        <v>=DISPIMG("ID_8997E37C597A4A678DEC3DE2B773630A",1)</v>
      </c>
      <c r="Q544" s="25" t="s">
        <v>3363</v>
      </c>
      <c r="R544" s="25">
        <v>423</v>
      </c>
      <c r="S544" s="40" t="s">
        <v>4801</v>
      </c>
      <c r="T544" s="18" t="s">
        <v>80</v>
      </c>
      <c r="U544" s="25">
        <v>2</v>
      </c>
      <c r="V544" s="84"/>
    </row>
    <row r="545" s="3" customFormat="1" customHeight="1" spans="1:22">
      <c r="A545" s="84">
        <v>7</v>
      </c>
      <c r="B545" s="175" t="s">
        <v>1932</v>
      </c>
      <c r="C545" s="175" t="s">
        <v>165</v>
      </c>
      <c r="D545" s="175" t="s">
        <v>1933</v>
      </c>
      <c r="E545" s="25">
        <v>13507099496</v>
      </c>
      <c r="F545" s="175" t="s">
        <v>384</v>
      </c>
      <c r="G545" s="175" t="s">
        <v>26</v>
      </c>
      <c r="H545" s="25">
        <v>202101002</v>
      </c>
      <c r="I545" s="175" t="s">
        <v>157</v>
      </c>
      <c r="J545" s="175" t="s">
        <v>827</v>
      </c>
      <c r="K545" s="175" t="s">
        <v>454</v>
      </c>
      <c r="L545" s="175" t="s">
        <v>170</v>
      </c>
      <c r="M545" s="175" t="s">
        <v>199</v>
      </c>
      <c r="N545" s="175" t="s">
        <v>324</v>
      </c>
      <c r="O545" s="175" t="s">
        <v>1935</v>
      </c>
      <c r="P545" s="26" t="str">
        <f>_xlfn.DISPIMG("ID_4ED50304A31443EC8E946100C168F137",1)</f>
        <v>=DISPIMG("ID_4ED50304A31443EC8E946100C168F137",1)</v>
      </c>
      <c r="Q545" s="25" t="s">
        <v>1936</v>
      </c>
      <c r="R545" s="25">
        <v>223</v>
      </c>
      <c r="S545" s="40" t="s">
        <v>4797</v>
      </c>
      <c r="T545" s="18" t="s">
        <v>80</v>
      </c>
      <c r="U545" s="25">
        <v>3</v>
      </c>
      <c r="V545" s="84"/>
    </row>
    <row r="546" s="3" customFormat="1" customHeight="1" spans="1:22">
      <c r="A546" s="84">
        <v>5</v>
      </c>
      <c r="B546" s="175" t="s">
        <v>1566</v>
      </c>
      <c r="C546" s="175" t="s">
        <v>165</v>
      </c>
      <c r="D546" s="175" t="s">
        <v>1567</v>
      </c>
      <c r="E546" s="25">
        <v>13535561771</v>
      </c>
      <c r="F546" s="175" t="s">
        <v>268</v>
      </c>
      <c r="G546" s="175" t="s">
        <v>26</v>
      </c>
      <c r="H546" s="25">
        <v>202101001</v>
      </c>
      <c r="I546" s="175" t="s">
        <v>705</v>
      </c>
      <c r="J546" s="175" t="s">
        <v>1569</v>
      </c>
      <c r="K546" s="175" t="s">
        <v>1570</v>
      </c>
      <c r="L546" s="175" t="s">
        <v>160</v>
      </c>
      <c r="M546" s="175" t="s">
        <v>171</v>
      </c>
      <c r="N546" s="175" t="s">
        <v>1571</v>
      </c>
      <c r="O546" s="25">
        <v>0</v>
      </c>
      <c r="P546" s="26" t="str">
        <f>_xlfn.DISPIMG("ID_F9DBEEB152DD4F6D9E9954F28F8B48D4",1)</f>
        <v>=DISPIMG("ID_F9DBEEB152DD4F6D9E9954F28F8B48D4",1)</v>
      </c>
      <c r="Q546" s="25" t="s">
        <v>1572</v>
      </c>
      <c r="R546" s="25">
        <v>175</v>
      </c>
      <c r="S546" s="40" t="s">
        <v>4792</v>
      </c>
      <c r="T546" s="18" t="s">
        <v>80</v>
      </c>
      <c r="U546" s="25">
        <v>4</v>
      </c>
      <c r="V546" s="84"/>
    </row>
    <row r="547" s="3" customFormat="1" customHeight="1" spans="1:22">
      <c r="A547" s="84">
        <v>3</v>
      </c>
      <c r="B547" s="175" t="s">
        <v>898</v>
      </c>
      <c r="C547" s="175" t="s">
        <v>165</v>
      </c>
      <c r="D547" s="175" t="s">
        <v>899</v>
      </c>
      <c r="E547" s="25">
        <v>18970287322</v>
      </c>
      <c r="F547" s="175" t="s">
        <v>268</v>
      </c>
      <c r="G547" s="175" t="s">
        <v>26</v>
      </c>
      <c r="H547" s="25">
        <v>202101001</v>
      </c>
      <c r="I547" s="175" t="s">
        <v>157</v>
      </c>
      <c r="J547" s="175" t="s">
        <v>901</v>
      </c>
      <c r="K547" s="175" t="s">
        <v>454</v>
      </c>
      <c r="L547" s="175" t="s">
        <v>170</v>
      </c>
      <c r="M547" s="175" t="s">
        <v>235</v>
      </c>
      <c r="N547" s="175" t="s">
        <v>26</v>
      </c>
      <c r="O547" s="175" t="s">
        <v>902</v>
      </c>
      <c r="P547" s="26" t="str">
        <f>_xlfn.DISPIMG("ID_1BFE84DC97BC469ABB3506659F95FD8E",1)</f>
        <v>=DISPIMG("ID_1BFE84DC97BC469ABB3506659F95FD8E",1)</v>
      </c>
      <c r="Q547" s="25" t="s">
        <v>903</v>
      </c>
      <c r="R547" s="25">
        <v>90</v>
      </c>
      <c r="S547" s="40" t="s">
        <v>4790</v>
      </c>
      <c r="T547" s="18" t="s">
        <v>80</v>
      </c>
      <c r="U547" s="25">
        <v>5</v>
      </c>
      <c r="V547" s="84"/>
    </row>
    <row r="548" s="3" customFormat="1" customHeight="1" spans="1:22">
      <c r="A548" s="84">
        <v>1</v>
      </c>
      <c r="B548" s="175" t="s">
        <v>702</v>
      </c>
      <c r="C548" s="175" t="s">
        <v>165</v>
      </c>
      <c r="D548" s="175" t="s">
        <v>703</v>
      </c>
      <c r="E548" s="25">
        <v>18720956827</v>
      </c>
      <c r="F548" s="175" t="s">
        <v>384</v>
      </c>
      <c r="G548" s="175" t="s">
        <v>26</v>
      </c>
      <c r="H548" s="25">
        <v>202101002</v>
      </c>
      <c r="I548" s="175" t="s">
        <v>705</v>
      </c>
      <c r="J548" s="175" t="s">
        <v>233</v>
      </c>
      <c r="K548" s="175" t="s">
        <v>706</v>
      </c>
      <c r="L548" s="175" t="s">
        <v>170</v>
      </c>
      <c r="M548" s="175" t="s">
        <v>161</v>
      </c>
      <c r="N548" s="175" t="s">
        <v>707</v>
      </c>
      <c r="O548" s="175" t="s">
        <v>708</v>
      </c>
      <c r="P548" s="26" t="str">
        <f>_xlfn.DISPIMG("ID_0553F27943C1489A99AB032B2AD0761A",1)</f>
        <v>=DISPIMG("ID_0553F27943C1489A99AB032B2AD0761A",1)</v>
      </c>
      <c r="Q548" s="25" t="s">
        <v>709</v>
      </c>
      <c r="R548" s="25">
        <v>66</v>
      </c>
      <c r="S548" s="40" t="s">
        <v>4786</v>
      </c>
      <c r="T548" s="18" t="s">
        <v>80</v>
      </c>
      <c r="U548" s="25">
        <v>6</v>
      </c>
      <c r="V548" s="84"/>
    </row>
    <row r="549" s="3" customFormat="1" customHeight="1" spans="1:22">
      <c r="A549" s="84">
        <v>2</v>
      </c>
      <c r="B549" s="175" t="s">
        <v>817</v>
      </c>
      <c r="C549" s="175" t="s">
        <v>165</v>
      </c>
      <c r="D549" s="175" t="s">
        <v>818</v>
      </c>
      <c r="E549" s="25">
        <v>15270286273</v>
      </c>
      <c r="F549" s="175" t="s">
        <v>297</v>
      </c>
      <c r="G549" s="175" t="s">
        <v>26</v>
      </c>
      <c r="H549" s="25">
        <v>202101003</v>
      </c>
      <c r="I549" s="175" t="s">
        <v>157</v>
      </c>
      <c r="J549" s="175" t="s">
        <v>820</v>
      </c>
      <c r="K549" s="175" t="s">
        <v>454</v>
      </c>
      <c r="L549" s="175" t="s">
        <v>160</v>
      </c>
      <c r="M549" s="175" t="s">
        <v>252</v>
      </c>
      <c r="N549" s="175" t="s">
        <v>26</v>
      </c>
      <c r="O549" s="25">
        <v>0</v>
      </c>
      <c r="P549" s="26" t="str">
        <f>_xlfn.DISPIMG("ID_D94148DE170D425EB66AE2DFFF655A13",1)</f>
        <v>=DISPIMG("ID_D94148DE170D425EB66AE2DFFF655A13",1)</v>
      </c>
      <c r="Q549" s="25" t="s">
        <v>821</v>
      </c>
      <c r="R549" s="25">
        <v>80</v>
      </c>
      <c r="S549" s="40" t="s">
        <v>4787</v>
      </c>
      <c r="T549" s="18" t="s">
        <v>80</v>
      </c>
      <c r="U549" s="25">
        <v>7</v>
      </c>
      <c r="V549" s="84"/>
    </row>
    <row r="550" s="3" customFormat="1" customHeight="1" spans="1:22">
      <c r="A550" s="84">
        <v>4</v>
      </c>
      <c r="B550" s="175" t="s">
        <v>932</v>
      </c>
      <c r="C550" s="175" t="s">
        <v>165</v>
      </c>
      <c r="D550" s="175" t="s">
        <v>933</v>
      </c>
      <c r="E550" s="25">
        <v>15373854743</v>
      </c>
      <c r="F550" s="175" t="s">
        <v>268</v>
      </c>
      <c r="G550" s="175" t="s">
        <v>26</v>
      </c>
      <c r="H550" s="25">
        <v>202101001</v>
      </c>
      <c r="I550" s="175" t="s">
        <v>157</v>
      </c>
      <c r="J550" s="175" t="s">
        <v>935</v>
      </c>
      <c r="K550" s="175" t="s">
        <v>936</v>
      </c>
      <c r="L550" s="175" t="s">
        <v>170</v>
      </c>
      <c r="M550" s="175" t="s">
        <v>252</v>
      </c>
      <c r="N550" s="175" t="s">
        <v>26</v>
      </c>
      <c r="O550" s="175" t="s">
        <v>937</v>
      </c>
      <c r="P550" s="26" t="str">
        <f>_xlfn.DISPIMG("ID_B0F72DE4E87649C28924E4AA265BAF06",1)</f>
        <v>=DISPIMG("ID_B0F72DE4E87649C28924E4AA265BAF06",1)</v>
      </c>
      <c r="Q550" s="25" t="s">
        <v>938</v>
      </c>
      <c r="R550" s="25">
        <v>94</v>
      </c>
      <c r="S550" s="40" t="s">
        <v>4791</v>
      </c>
      <c r="T550" s="18" t="s">
        <v>80</v>
      </c>
      <c r="U550" s="25">
        <v>8</v>
      </c>
      <c r="V550" s="84"/>
    </row>
    <row r="551" s="3" customFormat="1" customHeight="1" spans="1:22">
      <c r="A551" s="84">
        <v>6</v>
      </c>
      <c r="B551" s="175" t="s">
        <v>1606</v>
      </c>
      <c r="C551" s="175" t="s">
        <v>165</v>
      </c>
      <c r="D551" s="175" t="s">
        <v>1607</v>
      </c>
      <c r="E551" s="25">
        <v>15180623635</v>
      </c>
      <c r="F551" s="175" t="s">
        <v>384</v>
      </c>
      <c r="G551" s="175" t="s">
        <v>26</v>
      </c>
      <c r="H551" s="25">
        <v>202101002</v>
      </c>
      <c r="I551" s="175" t="s">
        <v>705</v>
      </c>
      <c r="J551" s="175" t="s">
        <v>1112</v>
      </c>
      <c r="K551" s="175" t="s">
        <v>1489</v>
      </c>
      <c r="L551" s="175" t="s">
        <v>170</v>
      </c>
      <c r="M551" s="175" t="s">
        <v>261</v>
      </c>
      <c r="N551" s="175" t="s">
        <v>26</v>
      </c>
      <c r="O551" s="175" t="s">
        <v>1609</v>
      </c>
      <c r="P551" s="26" t="str">
        <f>_xlfn.DISPIMG("ID_D4D81D5180FB4698ABF9FADCA15E9025",1)</f>
        <v>=DISPIMG("ID_D4D81D5180FB4698ABF9FADCA15E9025",1)</v>
      </c>
      <c r="Q551" s="25" t="s">
        <v>1610</v>
      </c>
      <c r="R551" s="25">
        <v>180</v>
      </c>
      <c r="S551" s="40" t="s">
        <v>4796</v>
      </c>
      <c r="T551" s="18" t="s">
        <v>80</v>
      </c>
      <c r="U551" s="25">
        <v>9</v>
      </c>
      <c r="V551" s="84"/>
    </row>
    <row r="552" s="3" customFormat="1" customHeight="1" spans="1:22">
      <c r="A552" s="84">
        <v>10</v>
      </c>
      <c r="B552" s="175" t="s">
        <v>329</v>
      </c>
      <c r="C552" s="175" t="s">
        <v>165</v>
      </c>
      <c r="D552" s="175" t="s">
        <v>330</v>
      </c>
      <c r="E552" s="25">
        <v>13635987780</v>
      </c>
      <c r="F552" s="175" t="s">
        <v>156</v>
      </c>
      <c r="G552" s="175" t="s">
        <v>3</v>
      </c>
      <c r="H552" s="25">
        <v>202102009</v>
      </c>
      <c r="I552" s="175" t="s">
        <v>157</v>
      </c>
      <c r="J552" s="175" t="s">
        <v>332</v>
      </c>
      <c r="K552" s="175" t="s">
        <v>333</v>
      </c>
      <c r="L552" s="175" t="s">
        <v>160</v>
      </c>
      <c r="M552" s="175" t="s">
        <v>199</v>
      </c>
      <c r="N552" s="175" t="s">
        <v>3</v>
      </c>
      <c r="O552" s="25">
        <v>0</v>
      </c>
      <c r="P552" s="26" t="str">
        <f>_xlfn.DISPIMG("ID_66E2A8C103C040BCBC4789F49E6E9C74",1)</f>
        <v>=DISPIMG("ID_66E2A8C103C040BCBC4789F49E6E9C74",1)</v>
      </c>
      <c r="Q552" s="25" t="s">
        <v>334</v>
      </c>
      <c r="R552" s="25">
        <v>21</v>
      </c>
      <c r="S552" s="40" t="s">
        <v>4806</v>
      </c>
      <c r="T552" s="18" t="s">
        <v>80</v>
      </c>
      <c r="U552" s="25">
        <v>10</v>
      </c>
      <c r="V552" s="84"/>
    </row>
    <row r="553" s="3" customFormat="1" customHeight="1" spans="1:22">
      <c r="A553" s="84">
        <v>12</v>
      </c>
      <c r="B553" s="175" t="s">
        <v>1161</v>
      </c>
      <c r="C553" s="175" t="s">
        <v>165</v>
      </c>
      <c r="D553" s="175" t="s">
        <v>1162</v>
      </c>
      <c r="E553" s="25">
        <v>15879899835</v>
      </c>
      <c r="F553" s="175" t="s">
        <v>156</v>
      </c>
      <c r="G553" s="175" t="s">
        <v>3</v>
      </c>
      <c r="H553" s="25">
        <v>202102009</v>
      </c>
      <c r="I553" s="175" t="s">
        <v>157</v>
      </c>
      <c r="J553" s="175" t="s">
        <v>1146</v>
      </c>
      <c r="K553" s="175" t="s">
        <v>1164</v>
      </c>
      <c r="L553" s="175" t="s">
        <v>160</v>
      </c>
      <c r="M553" s="175" t="s">
        <v>252</v>
      </c>
      <c r="N553" s="175" t="s">
        <v>3</v>
      </c>
      <c r="O553" s="25">
        <v>0</v>
      </c>
      <c r="P553" s="26" t="str">
        <f>_xlfn.DISPIMG("ID_AF5F9594083C4D63A9C12F6DBB9E6CAE",1)</f>
        <v>=DISPIMG("ID_AF5F9594083C4D63A9C12F6DBB9E6CAE",1)</v>
      </c>
      <c r="Q553" s="25" t="s">
        <v>1165</v>
      </c>
      <c r="R553" s="25">
        <v>122</v>
      </c>
      <c r="S553" s="40" t="s">
        <v>4808</v>
      </c>
      <c r="T553" s="18" t="s">
        <v>80</v>
      </c>
      <c r="U553" s="25">
        <v>11</v>
      </c>
      <c r="V553" s="84"/>
    </row>
    <row r="554" s="3" customFormat="1" customHeight="1" spans="1:22">
      <c r="A554" s="84">
        <v>14</v>
      </c>
      <c r="B554" s="175" t="s">
        <v>2871</v>
      </c>
      <c r="C554" s="175" t="s">
        <v>165</v>
      </c>
      <c r="D554" s="175" t="s">
        <v>2872</v>
      </c>
      <c r="E554" s="25">
        <v>15135136743</v>
      </c>
      <c r="F554" s="175" t="s">
        <v>156</v>
      </c>
      <c r="G554" s="175" t="s">
        <v>3</v>
      </c>
      <c r="H554" s="25">
        <v>202102009</v>
      </c>
      <c r="I554" s="175" t="s">
        <v>157</v>
      </c>
      <c r="J554" s="175" t="s">
        <v>2874</v>
      </c>
      <c r="K554" s="175" t="s">
        <v>169</v>
      </c>
      <c r="L554" s="175" t="s">
        <v>170</v>
      </c>
      <c r="M554" s="175" t="s">
        <v>171</v>
      </c>
      <c r="N554" s="175" t="s">
        <v>1425</v>
      </c>
      <c r="O554" s="25">
        <v>0</v>
      </c>
      <c r="P554" s="26" t="str">
        <f>_xlfn.DISPIMG("ID_16C7080DFBEB4260AD8944B9B8A16C63",1)</f>
        <v>=DISPIMG("ID_16C7080DFBEB4260AD8944B9B8A16C63",1)</v>
      </c>
      <c r="Q554" s="25" t="s">
        <v>2875</v>
      </c>
      <c r="R554" s="25">
        <v>349</v>
      </c>
      <c r="S554" s="40" t="s">
        <v>4812</v>
      </c>
      <c r="T554" s="18" t="s">
        <v>80</v>
      </c>
      <c r="U554" s="25">
        <v>12</v>
      </c>
      <c r="V554" s="84"/>
    </row>
    <row r="555" s="3" customFormat="1" customHeight="1" spans="1:22">
      <c r="A555" s="84">
        <v>15</v>
      </c>
      <c r="B555" s="175" t="s">
        <v>3301</v>
      </c>
      <c r="C555" s="175" t="s">
        <v>165</v>
      </c>
      <c r="D555" s="175" t="s">
        <v>3302</v>
      </c>
      <c r="E555" s="25">
        <v>13870479934</v>
      </c>
      <c r="F555" s="175" t="s">
        <v>156</v>
      </c>
      <c r="G555" s="175" t="s">
        <v>3</v>
      </c>
      <c r="H555" s="25">
        <v>202102009</v>
      </c>
      <c r="I555" s="175" t="s">
        <v>157</v>
      </c>
      <c r="J555" s="175" t="s">
        <v>178</v>
      </c>
      <c r="K555" s="175" t="s">
        <v>454</v>
      </c>
      <c r="L555" s="175" t="s">
        <v>170</v>
      </c>
      <c r="M555" s="175" t="s">
        <v>261</v>
      </c>
      <c r="N555" s="175" t="s">
        <v>1425</v>
      </c>
      <c r="O555" s="25">
        <v>0</v>
      </c>
      <c r="P555" s="26" t="str">
        <f>_xlfn.DISPIMG("ID_DD8D706699DA435AABD3242B003A06E3",1)</f>
        <v>=DISPIMG("ID_DD8D706699DA435AABD3242B003A06E3",1)</v>
      </c>
      <c r="Q555" s="25" t="s">
        <v>3304</v>
      </c>
      <c r="R555" s="25">
        <v>414</v>
      </c>
      <c r="S555" s="40" t="s">
        <v>4813</v>
      </c>
      <c r="T555" s="18" t="s">
        <v>80</v>
      </c>
      <c r="U555" s="25">
        <v>13</v>
      </c>
      <c r="V555" s="84"/>
    </row>
    <row r="556" s="3" customFormat="1" customHeight="1" spans="1:22">
      <c r="A556" s="84">
        <v>13</v>
      </c>
      <c r="B556" s="175" t="s">
        <v>1421</v>
      </c>
      <c r="C556" s="175" t="s">
        <v>165</v>
      </c>
      <c r="D556" s="175" t="s">
        <v>1422</v>
      </c>
      <c r="E556" s="25">
        <v>15179266183</v>
      </c>
      <c r="F556" s="175" t="s">
        <v>156</v>
      </c>
      <c r="G556" s="175" t="s">
        <v>3</v>
      </c>
      <c r="H556" s="25">
        <v>202102009</v>
      </c>
      <c r="I556" s="175" t="s">
        <v>157</v>
      </c>
      <c r="J556" s="175" t="s">
        <v>1424</v>
      </c>
      <c r="K556" s="175" t="s">
        <v>298</v>
      </c>
      <c r="L556" s="175" t="s">
        <v>160</v>
      </c>
      <c r="M556" s="175" t="s">
        <v>252</v>
      </c>
      <c r="N556" s="175" t="s">
        <v>1425</v>
      </c>
      <c r="O556" s="25">
        <v>0</v>
      </c>
      <c r="P556" s="26" t="str">
        <f>_xlfn.DISPIMG("ID_9A5193B60E294BCB8EBBC32356364290",1)</f>
        <v>=DISPIMG("ID_9A5193B60E294BCB8EBBC32356364290",1)</v>
      </c>
      <c r="Q556" s="25" t="s">
        <v>1426</v>
      </c>
      <c r="R556" s="25">
        <v>157</v>
      </c>
      <c r="S556" s="40" t="s">
        <v>4809</v>
      </c>
      <c r="T556" s="18" t="s">
        <v>80</v>
      </c>
      <c r="U556" s="25">
        <v>14</v>
      </c>
      <c r="V556" s="84"/>
    </row>
    <row r="557" s="3" customFormat="1" customHeight="1" spans="1:22">
      <c r="A557" s="84">
        <v>11</v>
      </c>
      <c r="B557" s="175" t="s">
        <v>965</v>
      </c>
      <c r="C557" s="175" t="s">
        <v>165</v>
      </c>
      <c r="D557" s="175" t="s">
        <v>966</v>
      </c>
      <c r="E557" s="25">
        <v>18379223080</v>
      </c>
      <c r="F557" s="175" t="s">
        <v>156</v>
      </c>
      <c r="G557" s="175" t="s">
        <v>3</v>
      </c>
      <c r="H557" s="25">
        <v>202102009</v>
      </c>
      <c r="I557" s="175" t="s">
        <v>157</v>
      </c>
      <c r="J557" s="175" t="s">
        <v>158</v>
      </c>
      <c r="K557" s="175" t="s">
        <v>968</v>
      </c>
      <c r="L557" s="175" t="s">
        <v>160</v>
      </c>
      <c r="M557" s="175" t="s">
        <v>368</v>
      </c>
      <c r="N557" s="175" t="s">
        <v>969</v>
      </c>
      <c r="O557" s="175" t="s">
        <v>970</v>
      </c>
      <c r="P557" s="26" t="str">
        <f>_xlfn.DISPIMG("ID_25A1371DB5D24E7E87AED819AD313075",1)</f>
        <v>=DISPIMG("ID_25A1371DB5D24E7E87AED819AD313075",1)</v>
      </c>
      <c r="Q557" s="25" t="s">
        <v>971</v>
      </c>
      <c r="R557" s="25">
        <v>98</v>
      </c>
      <c r="S557" s="40" t="s">
        <v>4807</v>
      </c>
      <c r="T557" s="18" t="s">
        <v>80</v>
      </c>
      <c r="U557" s="25">
        <v>15</v>
      </c>
      <c r="V557" s="84"/>
    </row>
    <row r="558" s="3" customFormat="1" customHeight="1" spans="1:22">
      <c r="A558" s="84">
        <v>16</v>
      </c>
      <c r="B558" s="175" t="s">
        <v>1410</v>
      </c>
      <c r="C558" s="175" t="s">
        <v>165</v>
      </c>
      <c r="D558" s="175" t="s">
        <v>1411</v>
      </c>
      <c r="E558" s="25">
        <v>19979027323</v>
      </c>
      <c r="F558" s="175" t="s">
        <v>268</v>
      </c>
      <c r="G558" s="175" t="s">
        <v>22</v>
      </c>
      <c r="H558" s="25">
        <v>202101009</v>
      </c>
      <c r="I558" s="175" t="s">
        <v>157</v>
      </c>
      <c r="J558" s="175" t="s">
        <v>1413</v>
      </c>
      <c r="K558" s="175" t="s">
        <v>944</v>
      </c>
      <c r="L558" s="175" t="s">
        <v>170</v>
      </c>
      <c r="M558" s="175" t="s">
        <v>396</v>
      </c>
      <c r="N558" s="175" t="s">
        <v>1414</v>
      </c>
      <c r="O558" s="175" t="s">
        <v>1415</v>
      </c>
      <c r="P558" s="26" t="str">
        <f>_xlfn.DISPIMG("ID_7AA3981AEA4B4044958F80E226B55196",1)</f>
        <v>=DISPIMG("ID_7AA3981AEA4B4044958F80E226B55196",1)</v>
      </c>
      <c r="Q558" s="25" t="s">
        <v>1416</v>
      </c>
      <c r="R558" s="25">
        <v>155</v>
      </c>
      <c r="S558" s="40" t="s">
        <v>4816</v>
      </c>
      <c r="T558" s="18" t="s">
        <v>80</v>
      </c>
      <c r="U558" s="25">
        <v>16</v>
      </c>
      <c r="V558" s="84"/>
    </row>
    <row r="559" s="3" customFormat="1" customHeight="1" spans="1:22">
      <c r="A559" s="84"/>
      <c r="B559" s="25"/>
      <c r="C559" s="25"/>
      <c r="D559" s="25"/>
      <c r="E559" s="25"/>
      <c r="F559" s="25"/>
      <c r="G559" s="25"/>
      <c r="H559" s="25"/>
      <c r="I559" s="25"/>
      <c r="J559" s="25"/>
      <c r="K559" s="25"/>
      <c r="L559" s="25"/>
      <c r="M559" s="25"/>
      <c r="N559" s="25"/>
      <c r="O559" s="25"/>
      <c r="P559" s="26"/>
      <c r="Q559" s="25"/>
      <c r="R559" s="25"/>
      <c r="S559" s="40"/>
      <c r="T559" s="18"/>
      <c r="U559" s="25"/>
      <c r="V559" s="84"/>
    </row>
    <row r="560" s="3" customFormat="1" customHeight="1" spans="1:22">
      <c r="A560" s="84"/>
      <c r="B560" s="25"/>
      <c r="C560" s="25"/>
      <c r="D560" s="25"/>
      <c r="E560" s="25"/>
      <c r="F560" s="25"/>
      <c r="G560" s="25"/>
      <c r="H560" s="25"/>
      <c r="I560" s="25"/>
      <c r="J560" s="25"/>
      <c r="K560" s="25"/>
      <c r="L560" s="25"/>
      <c r="M560" s="25"/>
      <c r="N560" s="25"/>
      <c r="O560" s="25"/>
      <c r="P560" s="26"/>
      <c r="Q560" s="25"/>
      <c r="R560" s="25"/>
      <c r="S560" s="40"/>
      <c r="T560" s="18"/>
      <c r="U560" s="25"/>
      <c r="V560" s="84"/>
    </row>
    <row r="561" s="3" customFormat="1" customHeight="1" spans="1:22">
      <c r="A561" s="84"/>
      <c r="B561" s="25"/>
      <c r="C561" s="25"/>
      <c r="D561" s="25"/>
      <c r="E561" s="25"/>
      <c r="F561" s="25"/>
      <c r="G561" s="25"/>
      <c r="H561" s="25"/>
      <c r="I561" s="25"/>
      <c r="J561" s="25"/>
      <c r="K561" s="25"/>
      <c r="L561" s="25"/>
      <c r="M561" s="25"/>
      <c r="N561" s="25"/>
      <c r="O561" s="25"/>
      <c r="P561" s="26"/>
      <c r="Q561" s="25"/>
      <c r="R561" s="25"/>
      <c r="S561" s="40"/>
      <c r="T561" s="18"/>
      <c r="U561" s="25"/>
      <c r="V561" s="84"/>
    </row>
    <row r="562" s="3" customFormat="1" customHeight="1" spans="1:22">
      <c r="A562" s="84"/>
      <c r="B562" s="25"/>
      <c r="C562" s="25"/>
      <c r="D562" s="25"/>
      <c r="E562" s="25"/>
      <c r="F562" s="25"/>
      <c r="G562" s="25"/>
      <c r="H562" s="25"/>
      <c r="I562" s="25"/>
      <c r="J562" s="25"/>
      <c r="K562" s="25"/>
      <c r="L562" s="25"/>
      <c r="M562" s="25"/>
      <c r="N562" s="25"/>
      <c r="O562" s="25"/>
      <c r="P562" s="26"/>
      <c r="Q562" s="25"/>
      <c r="R562" s="25"/>
      <c r="S562" s="40"/>
      <c r="T562" s="18"/>
      <c r="U562" s="25"/>
      <c r="V562" s="84"/>
    </row>
    <row r="563" s="3" customFormat="1" customHeight="1" spans="1:22">
      <c r="A563" s="84"/>
      <c r="B563" s="25"/>
      <c r="C563" s="25"/>
      <c r="D563" s="25"/>
      <c r="E563" s="25"/>
      <c r="F563" s="25"/>
      <c r="G563" s="25"/>
      <c r="H563" s="25"/>
      <c r="I563" s="25"/>
      <c r="J563" s="25"/>
      <c r="K563" s="25"/>
      <c r="L563" s="25"/>
      <c r="M563" s="25"/>
      <c r="N563" s="25"/>
      <c r="O563" s="25"/>
      <c r="P563" s="26"/>
      <c r="Q563" s="25"/>
      <c r="R563" s="25"/>
      <c r="S563" s="40"/>
      <c r="T563" s="18"/>
      <c r="U563" s="25"/>
      <c r="V563" s="84"/>
    </row>
    <row r="564" s="3" customFormat="1" customHeight="1" spans="1:22">
      <c r="A564" s="84"/>
      <c r="B564" s="25"/>
      <c r="C564" s="25"/>
      <c r="D564" s="25"/>
      <c r="E564" s="25"/>
      <c r="F564" s="25"/>
      <c r="G564" s="25"/>
      <c r="H564" s="25"/>
      <c r="I564" s="25"/>
      <c r="J564" s="25"/>
      <c r="K564" s="25"/>
      <c r="L564" s="25"/>
      <c r="M564" s="25"/>
      <c r="N564" s="25"/>
      <c r="O564" s="25"/>
      <c r="P564" s="26"/>
      <c r="Q564" s="25"/>
      <c r="R564" s="25"/>
      <c r="S564" s="40"/>
      <c r="T564" s="18"/>
      <c r="U564" s="25"/>
      <c r="V564" s="84"/>
    </row>
    <row r="565" s="3" customFormat="1" customHeight="1" spans="1:22">
      <c r="A565" s="84"/>
      <c r="B565" s="25"/>
      <c r="C565" s="25"/>
      <c r="D565" s="25"/>
      <c r="E565" s="25"/>
      <c r="F565" s="25"/>
      <c r="G565" s="25"/>
      <c r="H565" s="25"/>
      <c r="I565" s="25"/>
      <c r="J565" s="25"/>
      <c r="K565" s="25"/>
      <c r="L565" s="25"/>
      <c r="M565" s="25"/>
      <c r="N565" s="25"/>
      <c r="O565" s="25"/>
      <c r="P565" s="26"/>
      <c r="Q565" s="25"/>
      <c r="R565" s="25"/>
      <c r="S565" s="40"/>
      <c r="T565" s="18"/>
      <c r="U565" s="25"/>
      <c r="V565" s="84"/>
    </row>
    <row r="566" s="3" customFormat="1" customHeight="1" spans="1:22">
      <c r="A566" s="84"/>
      <c r="B566" s="25"/>
      <c r="C566" s="25"/>
      <c r="D566" s="25"/>
      <c r="E566" s="25"/>
      <c r="F566" s="25"/>
      <c r="G566" s="25"/>
      <c r="H566" s="25"/>
      <c r="I566" s="25"/>
      <c r="J566" s="25"/>
      <c r="K566" s="25"/>
      <c r="L566" s="25"/>
      <c r="M566" s="25"/>
      <c r="N566" s="25"/>
      <c r="O566" s="25"/>
      <c r="P566" s="26"/>
      <c r="Q566" s="25"/>
      <c r="R566" s="25"/>
      <c r="S566" s="40"/>
      <c r="T566" s="18"/>
      <c r="U566" s="25"/>
      <c r="V566" s="84"/>
    </row>
    <row r="567" s="3" customFormat="1" customHeight="1" spans="1:22">
      <c r="A567" s="84"/>
      <c r="B567" s="25"/>
      <c r="C567" s="25"/>
      <c r="D567" s="25"/>
      <c r="E567" s="25"/>
      <c r="F567" s="25"/>
      <c r="G567" s="25"/>
      <c r="H567" s="25"/>
      <c r="I567" s="25"/>
      <c r="J567" s="25"/>
      <c r="K567" s="25"/>
      <c r="L567" s="25"/>
      <c r="M567" s="25"/>
      <c r="N567" s="25"/>
      <c r="O567" s="25"/>
      <c r="P567" s="26"/>
      <c r="Q567" s="25"/>
      <c r="R567" s="25"/>
      <c r="S567" s="40"/>
      <c r="T567" s="18"/>
      <c r="U567" s="25"/>
      <c r="V567" s="84"/>
    </row>
    <row r="568" s="3" customFormat="1" customHeight="1" spans="1:22">
      <c r="A568" s="84"/>
      <c r="B568" s="25"/>
      <c r="C568" s="25"/>
      <c r="D568" s="25"/>
      <c r="E568" s="25"/>
      <c r="F568" s="25"/>
      <c r="G568" s="25"/>
      <c r="H568" s="25"/>
      <c r="I568" s="25"/>
      <c r="J568" s="25"/>
      <c r="K568" s="25"/>
      <c r="L568" s="25"/>
      <c r="M568" s="25"/>
      <c r="N568" s="25"/>
      <c r="O568" s="25"/>
      <c r="P568" s="26"/>
      <c r="Q568" s="25"/>
      <c r="R568" s="25"/>
      <c r="S568" s="40"/>
      <c r="T568" s="18"/>
      <c r="U568" s="25"/>
      <c r="V568" s="84"/>
    </row>
    <row r="569" s="3" customFormat="1" customHeight="1" spans="1:22">
      <c r="A569" s="84"/>
      <c r="B569" s="25"/>
      <c r="C569" s="25"/>
      <c r="D569" s="25"/>
      <c r="E569" s="25"/>
      <c r="F569" s="25"/>
      <c r="G569" s="25"/>
      <c r="H569" s="25"/>
      <c r="I569" s="25"/>
      <c r="J569" s="25"/>
      <c r="K569" s="25"/>
      <c r="L569" s="25"/>
      <c r="M569" s="25"/>
      <c r="N569" s="25"/>
      <c r="O569" s="25"/>
      <c r="P569" s="26"/>
      <c r="Q569" s="25"/>
      <c r="R569" s="25"/>
      <c r="S569" s="40"/>
      <c r="T569" s="18"/>
      <c r="U569" s="25"/>
      <c r="V569" s="84"/>
    </row>
    <row r="570" s="3" customFormat="1" customHeight="1" spans="1:22">
      <c r="A570" s="84"/>
      <c r="B570" s="25"/>
      <c r="C570" s="25"/>
      <c r="D570" s="25"/>
      <c r="E570" s="25"/>
      <c r="F570" s="25"/>
      <c r="G570" s="25"/>
      <c r="H570" s="25"/>
      <c r="I570" s="25"/>
      <c r="J570" s="25"/>
      <c r="K570" s="25"/>
      <c r="L570" s="25"/>
      <c r="M570" s="25"/>
      <c r="N570" s="25"/>
      <c r="O570" s="25"/>
      <c r="P570" s="26"/>
      <c r="Q570" s="25"/>
      <c r="R570" s="25"/>
      <c r="S570" s="40"/>
      <c r="T570" s="18"/>
      <c r="U570" s="25"/>
      <c r="V570" s="84"/>
    </row>
    <row r="571" s="3" customFormat="1" customHeight="1" spans="1:22">
      <c r="A571" s="84"/>
      <c r="B571" s="25"/>
      <c r="C571" s="25"/>
      <c r="D571" s="25"/>
      <c r="E571" s="25"/>
      <c r="F571" s="25"/>
      <c r="G571" s="25"/>
      <c r="H571" s="25"/>
      <c r="I571" s="25"/>
      <c r="J571" s="25"/>
      <c r="K571" s="25"/>
      <c r="L571" s="25"/>
      <c r="M571" s="25"/>
      <c r="N571" s="25"/>
      <c r="O571" s="25"/>
      <c r="P571" s="26"/>
      <c r="Q571" s="25"/>
      <c r="R571" s="25"/>
      <c r="S571" s="40"/>
      <c r="T571" s="18"/>
      <c r="U571" s="25"/>
      <c r="V571" s="84"/>
    </row>
    <row r="572" s="3" customFormat="1" customHeight="1" spans="1:22">
      <c r="A572" s="84"/>
      <c r="B572" s="25"/>
      <c r="C572" s="25"/>
      <c r="D572" s="25"/>
      <c r="E572" s="25"/>
      <c r="F572" s="25"/>
      <c r="G572" s="25"/>
      <c r="H572" s="25"/>
      <c r="I572" s="25"/>
      <c r="J572" s="25"/>
      <c r="K572" s="25"/>
      <c r="L572" s="25"/>
      <c r="M572" s="25"/>
      <c r="N572" s="25"/>
      <c r="O572" s="25"/>
      <c r="P572" s="26"/>
      <c r="Q572" s="25"/>
      <c r="R572" s="25"/>
      <c r="S572" s="40"/>
      <c r="T572" s="18"/>
      <c r="U572" s="25"/>
      <c r="V572" s="84"/>
    </row>
    <row r="573" s="3" customFormat="1" customHeight="1" spans="1:22">
      <c r="A573" s="84">
        <v>12</v>
      </c>
      <c r="B573" s="175" t="s">
        <v>3531</v>
      </c>
      <c r="C573" s="175" t="s">
        <v>153</v>
      </c>
      <c r="D573" s="175" t="s">
        <v>3532</v>
      </c>
      <c r="E573" s="25">
        <v>17687910769</v>
      </c>
      <c r="F573" s="175" t="s">
        <v>384</v>
      </c>
      <c r="G573" s="175" t="s">
        <v>21</v>
      </c>
      <c r="H573" s="25">
        <v>202101023</v>
      </c>
      <c r="I573" s="175" t="s">
        <v>157</v>
      </c>
      <c r="J573" s="175" t="s">
        <v>3518</v>
      </c>
      <c r="K573" s="175" t="s">
        <v>3534</v>
      </c>
      <c r="L573" s="175" t="s">
        <v>160</v>
      </c>
      <c r="M573" s="175" t="s">
        <v>455</v>
      </c>
      <c r="N573" s="175" t="s">
        <v>2462</v>
      </c>
      <c r="O573" s="25">
        <v>0</v>
      </c>
      <c r="P573" s="26" t="str">
        <f>_xlfn.DISPIMG("ID_B9B540B424394A6290A83DEC0AB8F385",1)</f>
        <v>=DISPIMG("ID_B9B540B424394A6290A83DEC0AB8F385",1)</v>
      </c>
      <c r="Q573" s="25" t="s">
        <v>3535</v>
      </c>
      <c r="R573" s="25">
        <v>448</v>
      </c>
      <c r="S573" s="40" t="s">
        <v>4810</v>
      </c>
      <c r="T573" s="18" t="s">
        <v>84</v>
      </c>
      <c r="U573" s="25">
        <v>1</v>
      </c>
      <c r="V573" s="84"/>
    </row>
    <row r="574" s="3" customFormat="1" customHeight="1" spans="1:22">
      <c r="A574" s="84">
        <v>9</v>
      </c>
      <c r="B574" s="175" t="s">
        <v>3159</v>
      </c>
      <c r="C574" s="175" t="s">
        <v>153</v>
      </c>
      <c r="D574" s="175" t="s">
        <v>3160</v>
      </c>
      <c r="E574" s="25">
        <v>15070024256</v>
      </c>
      <c r="F574" s="175" t="s">
        <v>268</v>
      </c>
      <c r="G574" s="175" t="s">
        <v>21</v>
      </c>
      <c r="H574" s="25">
        <v>202101022</v>
      </c>
      <c r="I574" s="175" t="s">
        <v>157</v>
      </c>
      <c r="J574" s="175" t="s">
        <v>827</v>
      </c>
      <c r="K574" s="175" t="s">
        <v>682</v>
      </c>
      <c r="L574" s="175" t="s">
        <v>170</v>
      </c>
      <c r="M574" s="175" t="s">
        <v>281</v>
      </c>
      <c r="N574" s="175" t="s">
        <v>2244</v>
      </c>
      <c r="O574" s="175" t="s">
        <v>3162</v>
      </c>
      <c r="P574" s="26" t="str">
        <f>_xlfn.DISPIMG("ID_2F448B7CE8524D1AA48554771DC3D4AB",1)</f>
        <v>=DISPIMG("ID_2F448B7CE8524D1AA48554771DC3D4AB",1)</v>
      </c>
      <c r="Q574" s="25" t="s">
        <v>3163</v>
      </c>
      <c r="R574" s="25">
        <v>392</v>
      </c>
      <c r="S574" s="40" t="s">
        <v>4824</v>
      </c>
      <c r="T574" s="18" t="s">
        <v>84</v>
      </c>
      <c r="U574" s="25">
        <v>2</v>
      </c>
      <c r="V574" s="84"/>
    </row>
    <row r="575" s="3" customFormat="1" customHeight="1" spans="1:22">
      <c r="A575" s="84">
        <v>7</v>
      </c>
      <c r="B575" s="175" t="s">
        <v>2969</v>
      </c>
      <c r="C575" s="175" t="s">
        <v>153</v>
      </c>
      <c r="D575" s="175" t="s">
        <v>2970</v>
      </c>
      <c r="E575" s="25">
        <v>18579193689</v>
      </c>
      <c r="F575" s="175" t="s">
        <v>268</v>
      </c>
      <c r="G575" s="175" t="s">
        <v>21</v>
      </c>
      <c r="H575" s="25">
        <v>202101022</v>
      </c>
      <c r="I575" s="175" t="s">
        <v>157</v>
      </c>
      <c r="J575" s="175" t="s">
        <v>827</v>
      </c>
      <c r="K575" s="175" t="s">
        <v>682</v>
      </c>
      <c r="L575" s="175" t="s">
        <v>170</v>
      </c>
      <c r="M575" s="175" t="s">
        <v>252</v>
      </c>
      <c r="N575" s="175" t="s">
        <v>2972</v>
      </c>
      <c r="O575" s="25">
        <v>0</v>
      </c>
      <c r="P575" s="26" t="str">
        <f>_xlfn.DISPIMG("ID_99E38CC0E4B2437A8E74F9D976F948B9",1)</f>
        <v>=DISPIMG("ID_99E38CC0E4B2437A8E74F9D976F948B9",1)</v>
      </c>
      <c r="Q575" s="25" t="s">
        <v>2973</v>
      </c>
      <c r="R575" s="25">
        <v>365</v>
      </c>
      <c r="S575" s="40" t="s">
        <v>4818</v>
      </c>
      <c r="T575" s="18" t="s">
        <v>84</v>
      </c>
      <c r="U575" s="25">
        <v>3</v>
      </c>
      <c r="V575" s="84"/>
    </row>
    <row r="576" s="3" customFormat="1" customHeight="1" spans="1:22">
      <c r="A576" s="84">
        <v>5</v>
      </c>
      <c r="B576" s="175" t="s">
        <v>2524</v>
      </c>
      <c r="C576" s="175" t="s">
        <v>153</v>
      </c>
      <c r="D576" s="175" t="s">
        <v>2525</v>
      </c>
      <c r="E576" s="25">
        <v>13133668154</v>
      </c>
      <c r="F576" s="175" t="s">
        <v>268</v>
      </c>
      <c r="G576" s="175" t="s">
        <v>21</v>
      </c>
      <c r="H576" s="25">
        <v>202101022</v>
      </c>
      <c r="I576" s="175" t="s">
        <v>157</v>
      </c>
      <c r="J576" s="175" t="s">
        <v>876</v>
      </c>
      <c r="K576" s="175" t="s">
        <v>682</v>
      </c>
      <c r="L576" s="175" t="s">
        <v>170</v>
      </c>
      <c r="M576" s="175" t="s">
        <v>180</v>
      </c>
      <c r="N576" s="175" t="s">
        <v>2527</v>
      </c>
      <c r="O576" s="175" t="s">
        <v>2528</v>
      </c>
      <c r="P576" s="26" t="str">
        <f>_xlfn.DISPIMG("ID_C8BB1148198145FCA2837FAC9D925FDE",1)</f>
        <v>=DISPIMG("ID_C8BB1148198145FCA2837FAC9D925FDE",1)</v>
      </c>
      <c r="Q576" s="25" t="s">
        <v>2529</v>
      </c>
      <c r="R576" s="25">
        <v>302</v>
      </c>
      <c r="S576" s="40" t="s">
        <v>4823</v>
      </c>
      <c r="T576" s="18" t="s">
        <v>84</v>
      </c>
      <c r="U576" s="25">
        <v>4</v>
      </c>
      <c r="V576" s="84"/>
    </row>
    <row r="577" s="3" customFormat="1" customHeight="1" spans="1:22">
      <c r="A577" s="84">
        <v>3</v>
      </c>
      <c r="B577" s="175" t="s">
        <v>1590</v>
      </c>
      <c r="C577" s="175" t="s">
        <v>153</v>
      </c>
      <c r="D577" s="175" t="s">
        <v>1591</v>
      </c>
      <c r="E577" s="25">
        <v>19165078910</v>
      </c>
      <c r="F577" s="175" t="s">
        <v>268</v>
      </c>
      <c r="G577" s="175" t="s">
        <v>21</v>
      </c>
      <c r="H577" s="25">
        <v>202101022</v>
      </c>
      <c r="I577" s="175" t="s">
        <v>157</v>
      </c>
      <c r="J577" s="175" t="s">
        <v>827</v>
      </c>
      <c r="K577" s="175" t="s">
        <v>682</v>
      </c>
      <c r="L577" s="175" t="s">
        <v>170</v>
      </c>
      <c r="M577" s="175" t="s">
        <v>455</v>
      </c>
      <c r="N577" s="175" t="s">
        <v>1593</v>
      </c>
      <c r="O577" s="25">
        <v>0</v>
      </c>
      <c r="P577" s="26" t="str">
        <f>_xlfn.DISPIMG("ID_A40AE5361B8D44C884FA7CDADC74343E",1)</f>
        <v>=DISPIMG("ID_A40AE5361B8D44C884FA7CDADC74343E",1)</v>
      </c>
      <c r="Q577" s="25" t="s">
        <v>1594</v>
      </c>
      <c r="R577" s="25">
        <v>178</v>
      </c>
      <c r="S577" s="40" t="s">
        <v>4820</v>
      </c>
      <c r="T577" s="18" t="s">
        <v>84</v>
      </c>
      <c r="U577" s="25">
        <v>5</v>
      </c>
      <c r="V577" s="84"/>
    </row>
    <row r="578" s="3" customFormat="1" customHeight="1" spans="1:22">
      <c r="A578" s="84">
        <v>1</v>
      </c>
      <c r="B578" s="175" t="s">
        <v>679</v>
      </c>
      <c r="C578" s="175" t="s">
        <v>165</v>
      </c>
      <c r="D578" s="175" t="s">
        <v>680</v>
      </c>
      <c r="E578" s="25">
        <v>15079252278</v>
      </c>
      <c r="F578" s="175" t="s">
        <v>384</v>
      </c>
      <c r="G578" s="175" t="s">
        <v>21</v>
      </c>
      <c r="H578" s="25">
        <v>202101023</v>
      </c>
      <c r="I578" s="175" t="s">
        <v>157</v>
      </c>
      <c r="J578" s="175" t="s">
        <v>233</v>
      </c>
      <c r="K578" s="175" t="s">
        <v>682</v>
      </c>
      <c r="L578" s="175" t="s">
        <v>170</v>
      </c>
      <c r="M578" s="175" t="s">
        <v>261</v>
      </c>
      <c r="N578" s="175" t="s">
        <v>683</v>
      </c>
      <c r="O578" s="25">
        <v>0</v>
      </c>
      <c r="P578" s="26" t="str">
        <f>_xlfn.DISPIMG("ID_6F0A1E5B97CE4F0C8967B602A8189E7F",1)</f>
        <v>=DISPIMG("ID_6F0A1E5B97CE4F0C8967B602A8189E7F",1)</v>
      </c>
      <c r="Q578" s="25" t="s">
        <v>684</v>
      </c>
      <c r="R578" s="25">
        <v>63</v>
      </c>
      <c r="S578" s="40" t="s">
        <v>4817</v>
      </c>
      <c r="T578" s="18" t="s">
        <v>84</v>
      </c>
      <c r="U578" s="25">
        <v>6</v>
      </c>
      <c r="V578" s="84"/>
    </row>
    <row r="579" s="3" customFormat="1" customHeight="1" spans="1:22">
      <c r="A579" s="84">
        <v>2</v>
      </c>
      <c r="B579" s="175" t="s">
        <v>1584</v>
      </c>
      <c r="C579" s="175" t="s">
        <v>153</v>
      </c>
      <c r="D579" s="175" t="s">
        <v>1585</v>
      </c>
      <c r="E579" s="25">
        <v>18460003044</v>
      </c>
      <c r="F579" s="175" t="s">
        <v>268</v>
      </c>
      <c r="G579" s="175" t="s">
        <v>21</v>
      </c>
      <c r="H579" s="25">
        <v>202101022</v>
      </c>
      <c r="I579" s="175" t="s">
        <v>157</v>
      </c>
      <c r="J579" s="175" t="s">
        <v>827</v>
      </c>
      <c r="K579" s="175" t="s">
        <v>682</v>
      </c>
      <c r="L579" s="175" t="s">
        <v>170</v>
      </c>
      <c r="M579" s="175" t="s">
        <v>455</v>
      </c>
      <c r="N579" s="175" t="s">
        <v>1587</v>
      </c>
      <c r="O579" s="25">
        <v>0</v>
      </c>
      <c r="P579" s="26" t="str">
        <f>_xlfn.DISPIMG("ID_E364C79C5CB74A97A356C87CFF697310",1)</f>
        <v>=DISPIMG("ID_E364C79C5CB74A97A356C87CFF697310",1)</v>
      </c>
      <c r="Q579" s="25" t="s">
        <v>1588</v>
      </c>
      <c r="R579" s="25">
        <v>177</v>
      </c>
      <c r="S579" s="40" t="s">
        <v>4819</v>
      </c>
      <c r="T579" s="18" t="s">
        <v>84</v>
      </c>
      <c r="U579" s="25">
        <v>7</v>
      </c>
      <c r="V579" s="84"/>
    </row>
    <row r="580" s="3" customFormat="1" customHeight="1" spans="1:22">
      <c r="A580" s="84">
        <v>4</v>
      </c>
      <c r="B580" s="175" t="s">
        <v>1737</v>
      </c>
      <c r="C580" s="175" t="s">
        <v>153</v>
      </c>
      <c r="D580" s="175" t="s">
        <v>1738</v>
      </c>
      <c r="E580" s="25">
        <v>19815092923</v>
      </c>
      <c r="F580" s="175" t="s">
        <v>384</v>
      </c>
      <c r="G580" s="175" t="s">
        <v>21</v>
      </c>
      <c r="H580" s="25">
        <v>202101023</v>
      </c>
      <c r="I580" s="175" t="s">
        <v>157</v>
      </c>
      <c r="J580" s="175" t="s">
        <v>1740</v>
      </c>
      <c r="K580" s="175" t="s">
        <v>682</v>
      </c>
      <c r="L580" s="175" t="s">
        <v>170</v>
      </c>
      <c r="M580" s="175" t="s">
        <v>281</v>
      </c>
      <c r="N580" s="175" t="s">
        <v>21</v>
      </c>
      <c r="O580" s="25">
        <v>0</v>
      </c>
      <c r="P580" s="26" t="str">
        <f>_xlfn.DISPIMG("ID_5626D0773278487D84DF299D01619D61",1)</f>
        <v>=DISPIMG("ID_5626D0773278487D84DF299D01619D61",1)</v>
      </c>
      <c r="Q580" s="25" t="s">
        <v>1741</v>
      </c>
      <c r="R580" s="25">
        <v>197</v>
      </c>
      <c r="S580" s="40" t="s">
        <v>4822</v>
      </c>
      <c r="T580" s="18" t="s">
        <v>84</v>
      </c>
      <c r="U580" s="25">
        <v>8</v>
      </c>
      <c r="V580" s="84"/>
    </row>
    <row r="581" s="3" customFormat="1" customHeight="1" spans="1:22">
      <c r="A581" s="84">
        <v>6</v>
      </c>
      <c r="B581" s="175" t="s">
        <v>2539</v>
      </c>
      <c r="C581" s="175" t="s">
        <v>153</v>
      </c>
      <c r="D581" s="175" t="s">
        <v>2540</v>
      </c>
      <c r="E581" s="25">
        <v>18507928899</v>
      </c>
      <c r="F581" s="175" t="s">
        <v>384</v>
      </c>
      <c r="G581" s="175" t="s">
        <v>21</v>
      </c>
      <c r="H581" s="25">
        <v>202101023</v>
      </c>
      <c r="I581" s="175" t="s">
        <v>157</v>
      </c>
      <c r="J581" s="175" t="s">
        <v>876</v>
      </c>
      <c r="K581" s="175" t="s">
        <v>682</v>
      </c>
      <c r="L581" s="175" t="s">
        <v>170</v>
      </c>
      <c r="M581" s="175" t="s">
        <v>180</v>
      </c>
      <c r="N581" s="175" t="s">
        <v>2542</v>
      </c>
      <c r="O581" s="175" t="s">
        <v>2543</v>
      </c>
      <c r="P581" s="26" t="str">
        <f>_xlfn.DISPIMG("ID_718ACAD550894B0696EED0DE65C7554F",1)</f>
        <v>=DISPIMG("ID_718ACAD550894B0696EED0DE65C7554F",1)</v>
      </c>
      <c r="Q581" s="25" t="s">
        <v>2544</v>
      </c>
      <c r="R581" s="25">
        <v>304</v>
      </c>
      <c r="S581" s="40" t="s">
        <v>4825</v>
      </c>
      <c r="T581" s="18" t="s">
        <v>84</v>
      </c>
      <c r="U581" s="25">
        <v>9</v>
      </c>
      <c r="V581" s="84"/>
    </row>
    <row r="582" s="3" customFormat="1" customHeight="1" spans="1:22">
      <c r="A582" s="84">
        <v>8</v>
      </c>
      <c r="B582" s="175" t="s">
        <v>3107</v>
      </c>
      <c r="C582" s="175" t="s">
        <v>165</v>
      </c>
      <c r="D582" s="175" t="s">
        <v>3108</v>
      </c>
      <c r="E582" s="25">
        <v>15070251262</v>
      </c>
      <c r="F582" s="175" t="s">
        <v>384</v>
      </c>
      <c r="G582" s="175" t="s">
        <v>21</v>
      </c>
      <c r="H582" s="25">
        <v>202101023</v>
      </c>
      <c r="I582" s="175" t="s">
        <v>157</v>
      </c>
      <c r="J582" s="175" t="s">
        <v>1203</v>
      </c>
      <c r="K582" s="175" t="s">
        <v>682</v>
      </c>
      <c r="L582" s="175" t="s">
        <v>170</v>
      </c>
      <c r="M582" s="175" t="s">
        <v>3110</v>
      </c>
      <c r="N582" s="175" t="s">
        <v>3111</v>
      </c>
      <c r="O582" s="175" t="s">
        <v>3112</v>
      </c>
      <c r="P582" s="26" t="str">
        <f>_xlfn.DISPIMG("ID_865FFCD2F6414202A972206BA39BAB94",1)</f>
        <v>=DISPIMG("ID_865FFCD2F6414202A972206BA39BAB94",1)</v>
      </c>
      <c r="Q582" s="25" t="s">
        <v>3113</v>
      </c>
      <c r="R582" s="25">
        <v>384</v>
      </c>
      <c r="S582" s="40" t="s">
        <v>4821</v>
      </c>
      <c r="T582" s="18" t="s">
        <v>84</v>
      </c>
      <c r="U582" s="25">
        <v>10</v>
      </c>
      <c r="V582" s="85"/>
    </row>
    <row r="583" s="3" customFormat="1" customHeight="1" spans="1:22">
      <c r="A583" s="84">
        <v>10</v>
      </c>
      <c r="B583" s="175" t="s">
        <v>3178</v>
      </c>
      <c r="C583" s="175" t="s">
        <v>153</v>
      </c>
      <c r="D583" s="175" t="s">
        <v>3179</v>
      </c>
      <c r="E583" s="25">
        <v>15257934004</v>
      </c>
      <c r="F583" s="175" t="s">
        <v>384</v>
      </c>
      <c r="G583" s="175" t="s">
        <v>21</v>
      </c>
      <c r="H583" s="25">
        <v>202101023</v>
      </c>
      <c r="I583" s="175" t="s">
        <v>157</v>
      </c>
      <c r="J583" s="175" t="s">
        <v>1258</v>
      </c>
      <c r="K583" s="175" t="s">
        <v>682</v>
      </c>
      <c r="L583" s="175" t="s">
        <v>170</v>
      </c>
      <c r="M583" s="175" t="s">
        <v>587</v>
      </c>
      <c r="N583" s="175" t="s">
        <v>1824</v>
      </c>
      <c r="O583" s="175" t="s">
        <v>3181</v>
      </c>
      <c r="P583" s="26" t="str">
        <f>_xlfn.DISPIMG("ID_D70CF13D201844A6B6408BAB9F88D034",1)</f>
        <v>=DISPIMG("ID_D70CF13D201844A6B6408BAB9F88D034",1)</v>
      </c>
      <c r="Q583" s="25" t="s">
        <v>3182</v>
      </c>
      <c r="R583" s="25">
        <v>395</v>
      </c>
      <c r="S583" s="40" t="s">
        <v>4826</v>
      </c>
      <c r="T583" s="18" t="s">
        <v>84</v>
      </c>
      <c r="U583" s="25">
        <v>11</v>
      </c>
      <c r="V583" s="84"/>
    </row>
    <row r="584" s="3" customFormat="1" customHeight="1" spans="1:22">
      <c r="A584" s="84">
        <v>13</v>
      </c>
      <c r="B584" s="175" t="s">
        <v>3699</v>
      </c>
      <c r="C584" s="175" t="s">
        <v>153</v>
      </c>
      <c r="D584" s="175" t="s">
        <v>3700</v>
      </c>
      <c r="E584" s="25">
        <v>18046710217</v>
      </c>
      <c r="F584" s="175" t="s">
        <v>384</v>
      </c>
      <c r="G584" s="175" t="s">
        <v>21</v>
      </c>
      <c r="H584" s="25">
        <v>202101023</v>
      </c>
      <c r="I584" s="175" t="s">
        <v>157</v>
      </c>
      <c r="J584" s="175" t="s">
        <v>233</v>
      </c>
      <c r="K584" s="175" t="s">
        <v>682</v>
      </c>
      <c r="L584" s="175" t="s">
        <v>170</v>
      </c>
      <c r="M584" s="175" t="s">
        <v>306</v>
      </c>
      <c r="N584" s="175" t="s">
        <v>1579</v>
      </c>
      <c r="O584" s="175" t="s">
        <v>3702</v>
      </c>
      <c r="P584" s="26" t="str">
        <f>_xlfn.DISPIMG("ID_E2F022B7DBF04DECBE980BB970833FC7",1)</f>
        <v>=DISPIMG("ID_E2F022B7DBF04DECBE980BB970833FC7",1)</v>
      </c>
      <c r="Q584" s="25" t="s">
        <v>3703</v>
      </c>
      <c r="R584" s="25">
        <v>471</v>
      </c>
      <c r="S584" s="40" t="s">
        <v>4811</v>
      </c>
      <c r="T584" s="18" t="s">
        <v>84</v>
      </c>
      <c r="U584" s="25">
        <v>12</v>
      </c>
      <c r="V584" s="84"/>
    </row>
    <row r="585" s="3" customFormat="1" customHeight="1" spans="1:22">
      <c r="A585" s="84">
        <v>14</v>
      </c>
      <c r="B585" s="175" t="s">
        <v>3751</v>
      </c>
      <c r="C585" s="175" t="s">
        <v>153</v>
      </c>
      <c r="D585" s="175" t="s">
        <v>3752</v>
      </c>
      <c r="E585" s="25">
        <v>15180696881</v>
      </c>
      <c r="F585" s="175" t="s">
        <v>384</v>
      </c>
      <c r="G585" s="175" t="s">
        <v>21</v>
      </c>
      <c r="H585" s="25">
        <v>202101023</v>
      </c>
      <c r="I585" s="175" t="s">
        <v>157</v>
      </c>
      <c r="J585" s="175" t="s">
        <v>827</v>
      </c>
      <c r="K585" s="175" t="s">
        <v>682</v>
      </c>
      <c r="L585" s="175" t="s">
        <v>170</v>
      </c>
      <c r="M585" s="175" t="s">
        <v>161</v>
      </c>
      <c r="N585" s="175" t="s">
        <v>3754</v>
      </c>
      <c r="O585" s="25">
        <v>0</v>
      </c>
      <c r="P585" s="26" t="str">
        <f>_xlfn.DISPIMG("ID_0C4C873C986C4E8A8DE913748576F208",1)</f>
        <v>=DISPIMG("ID_0C4C873C986C4E8A8DE913748576F208",1)</v>
      </c>
      <c r="Q585" s="25" t="s">
        <v>3755</v>
      </c>
      <c r="R585" s="25">
        <v>478</v>
      </c>
      <c r="S585" s="40" t="s">
        <v>4814</v>
      </c>
      <c r="T585" s="18" t="s">
        <v>84</v>
      </c>
      <c r="U585" s="25">
        <v>13</v>
      </c>
      <c r="V585" s="84"/>
    </row>
    <row r="586" s="3" customFormat="1" customHeight="1" spans="1:22">
      <c r="A586" s="84">
        <v>11</v>
      </c>
      <c r="B586" s="175" t="s">
        <v>2831</v>
      </c>
      <c r="C586" s="175" t="s">
        <v>165</v>
      </c>
      <c r="D586" s="175" t="s">
        <v>3200</v>
      </c>
      <c r="E586" s="25">
        <v>15079253920</v>
      </c>
      <c r="F586" s="175" t="s">
        <v>384</v>
      </c>
      <c r="G586" s="175" t="s">
        <v>21</v>
      </c>
      <c r="H586" s="25">
        <v>202101023</v>
      </c>
      <c r="I586" s="175" t="s">
        <v>157</v>
      </c>
      <c r="J586" s="175" t="s">
        <v>1413</v>
      </c>
      <c r="K586" s="175" t="s">
        <v>682</v>
      </c>
      <c r="L586" s="175" t="s">
        <v>170</v>
      </c>
      <c r="M586" s="175" t="s">
        <v>261</v>
      </c>
      <c r="N586" s="175" t="s">
        <v>1824</v>
      </c>
      <c r="O586" s="25">
        <v>0</v>
      </c>
      <c r="P586" s="26" t="str">
        <f>_xlfn.DISPIMG("ID_6FA15DDD4AA745CAA44305EB8A7C29E0",1)</f>
        <v>=DISPIMG("ID_6FA15DDD4AA745CAA44305EB8A7C29E0",1)</v>
      </c>
      <c r="Q586" s="25" t="s">
        <v>4312</v>
      </c>
      <c r="R586" s="25">
        <v>398</v>
      </c>
      <c r="S586" s="40" t="s">
        <v>4827</v>
      </c>
      <c r="T586" s="18" t="s">
        <v>84</v>
      </c>
      <c r="U586" s="25">
        <v>14</v>
      </c>
      <c r="V586" s="84"/>
    </row>
    <row r="587" s="3" customFormat="1" customHeight="1" spans="1:22">
      <c r="A587" s="84">
        <v>18</v>
      </c>
      <c r="B587" s="175" t="s">
        <v>4051</v>
      </c>
      <c r="C587" s="175" t="s">
        <v>153</v>
      </c>
      <c r="D587" s="175" t="s">
        <v>4052</v>
      </c>
      <c r="E587" s="25">
        <v>15170932237</v>
      </c>
      <c r="F587" s="175" t="s">
        <v>384</v>
      </c>
      <c r="G587" s="175" t="s">
        <v>23</v>
      </c>
      <c r="H587" s="25">
        <v>202101025</v>
      </c>
      <c r="I587" s="175" t="s">
        <v>157</v>
      </c>
      <c r="J587" s="175" t="s">
        <v>269</v>
      </c>
      <c r="K587" s="175" t="s">
        <v>1147</v>
      </c>
      <c r="L587" s="175" t="s">
        <v>170</v>
      </c>
      <c r="M587" s="175" t="s">
        <v>235</v>
      </c>
      <c r="N587" s="175" t="s">
        <v>4053</v>
      </c>
      <c r="O587" s="175" t="s">
        <v>4054</v>
      </c>
      <c r="P587" s="26" t="str">
        <f>_xlfn.DISPIMG("ID_D924765B597248FDA57FB5DFF006BD17",1)</f>
        <v>=DISPIMG("ID_D924765B597248FDA57FB5DFF006BD17",1)</v>
      </c>
      <c r="Q587" s="25" t="s">
        <v>4055</v>
      </c>
      <c r="R587" s="25">
        <v>518</v>
      </c>
      <c r="S587" s="40" t="s">
        <v>4830</v>
      </c>
      <c r="T587" s="18" t="s">
        <v>84</v>
      </c>
      <c r="U587" s="25">
        <v>15</v>
      </c>
      <c r="V587" s="84"/>
    </row>
    <row r="588" s="3" customFormat="1" customHeight="1" spans="1:22">
      <c r="A588" s="84">
        <v>17</v>
      </c>
      <c r="B588" s="175" t="s">
        <v>4028</v>
      </c>
      <c r="C588" s="175" t="s">
        <v>165</v>
      </c>
      <c r="D588" s="175" t="s">
        <v>4029</v>
      </c>
      <c r="E588" s="25">
        <v>13820505031</v>
      </c>
      <c r="F588" s="175" t="s">
        <v>384</v>
      </c>
      <c r="G588" s="175" t="s">
        <v>23</v>
      </c>
      <c r="H588" s="25">
        <v>202101025</v>
      </c>
      <c r="I588" s="175" t="s">
        <v>157</v>
      </c>
      <c r="J588" s="175" t="s">
        <v>3737</v>
      </c>
      <c r="K588" s="175" t="s">
        <v>1616</v>
      </c>
      <c r="L588" s="175" t="s">
        <v>170</v>
      </c>
      <c r="M588" s="175" t="s">
        <v>235</v>
      </c>
      <c r="N588" s="175" t="s">
        <v>4031</v>
      </c>
      <c r="O588" s="175" t="s">
        <v>4032</v>
      </c>
      <c r="P588" s="26" t="str">
        <f>_xlfn.DISPIMG("ID_4D845800D3864A2B99D106DDD9FD3F5D",1)</f>
        <v>=DISPIMG("ID_4D845800D3864A2B99D106DDD9FD3F5D",1)</v>
      </c>
      <c r="Q588" s="25" t="s">
        <v>4033</v>
      </c>
      <c r="R588" s="25">
        <v>515</v>
      </c>
      <c r="S588" s="40" t="s">
        <v>4829</v>
      </c>
      <c r="T588" s="18" t="s">
        <v>84</v>
      </c>
      <c r="U588" s="25">
        <v>16</v>
      </c>
      <c r="V588" s="84"/>
    </row>
    <row r="589" s="3" customFormat="1" customHeight="1" spans="1:22">
      <c r="A589" s="84">
        <v>16</v>
      </c>
      <c r="B589" s="175" t="s">
        <v>2036</v>
      </c>
      <c r="C589" s="175" t="s">
        <v>165</v>
      </c>
      <c r="D589" s="175" t="s">
        <v>2037</v>
      </c>
      <c r="E589" s="25">
        <v>17770040821</v>
      </c>
      <c r="F589" s="175" t="s">
        <v>297</v>
      </c>
      <c r="G589" s="175" t="s">
        <v>23</v>
      </c>
      <c r="H589" s="25">
        <v>202101031</v>
      </c>
      <c r="I589" s="175" t="s">
        <v>157</v>
      </c>
      <c r="J589" s="175" t="s">
        <v>2039</v>
      </c>
      <c r="K589" s="175" t="s">
        <v>1147</v>
      </c>
      <c r="L589" s="175" t="s">
        <v>170</v>
      </c>
      <c r="M589" s="175" t="s">
        <v>368</v>
      </c>
      <c r="N589" s="175" t="s">
        <v>23</v>
      </c>
      <c r="O589" s="175" t="s">
        <v>2040</v>
      </c>
      <c r="P589" s="26" t="str">
        <f>_xlfn.DISPIMG("ID_99E16B0934D843998C9152B322CD2339",1)</f>
        <v>=DISPIMG("ID_99E16B0934D843998C9152B322CD2339",1)</v>
      </c>
      <c r="Q589" s="25" t="s">
        <v>2041</v>
      </c>
      <c r="R589" s="25">
        <v>237</v>
      </c>
      <c r="S589" s="40" t="s">
        <v>4828</v>
      </c>
      <c r="T589" s="18" t="s">
        <v>84</v>
      </c>
      <c r="U589" s="25">
        <v>17</v>
      </c>
      <c r="V589" s="84"/>
    </row>
    <row r="590" s="3" customFormat="1" customHeight="1" spans="1:22">
      <c r="A590" s="84">
        <v>15</v>
      </c>
      <c r="B590" s="175" t="s">
        <v>1143</v>
      </c>
      <c r="C590" s="175" t="s">
        <v>165</v>
      </c>
      <c r="D590" s="175" t="s">
        <v>1144</v>
      </c>
      <c r="E590" s="25">
        <v>15777198130</v>
      </c>
      <c r="F590" s="175" t="s">
        <v>384</v>
      </c>
      <c r="G590" s="175" t="s">
        <v>23</v>
      </c>
      <c r="H590" s="25">
        <v>202101025</v>
      </c>
      <c r="I590" s="175" t="s">
        <v>157</v>
      </c>
      <c r="J590" s="175" t="s">
        <v>1146</v>
      </c>
      <c r="K590" s="175" t="s">
        <v>1147</v>
      </c>
      <c r="L590" s="175" t="s">
        <v>170</v>
      </c>
      <c r="M590" s="175" t="s">
        <v>455</v>
      </c>
      <c r="N590" s="175" t="s">
        <v>1148</v>
      </c>
      <c r="O590" s="175" t="s">
        <v>1149</v>
      </c>
      <c r="P590" s="26" t="str">
        <f>_xlfn.DISPIMG("ID_0415E10C85C94C988A22FA5D4842DE09",1)</f>
        <v>=DISPIMG("ID_0415E10C85C94C988A22FA5D4842DE09",1)</v>
      </c>
      <c r="Q590" s="25" t="s">
        <v>1150</v>
      </c>
      <c r="R590" s="25">
        <v>120</v>
      </c>
      <c r="S590" s="40" t="s">
        <v>4815</v>
      </c>
      <c r="T590" s="18" t="s">
        <v>84</v>
      </c>
      <c r="U590" s="25">
        <v>18</v>
      </c>
      <c r="V590" s="84"/>
    </row>
    <row r="591" s="3" customFormat="1" customHeight="1" spans="1:22">
      <c r="A591" s="84">
        <v>19</v>
      </c>
      <c r="B591" s="175" t="s">
        <v>4142</v>
      </c>
      <c r="C591" s="175" t="s">
        <v>153</v>
      </c>
      <c r="D591" s="175" t="s">
        <v>4143</v>
      </c>
      <c r="E591" s="25">
        <v>13330123354</v>
      </c>
      <c r="F591" s="175" t="s">
        <v>297</v>
      </c>
      <c r="G591" s="162" t="s">
        <v>30</v>
      </c>
      <c r="H591" s="25">
        <v>202101032</v>
      </c>
      <c r="I591" s="175" t="s">
        <v>705</v>
      </c>
      <c r="J591" s="175" t="s">
        <v>4145</v>
      </c>
      <c r="K591" s="175" t="s">
        <v>4146</v>
      </c>
      <c r="L591" s="175" t="s">
        <v>160</v>
      </c>
      <c r="M591" s="175" t="s">
        <v>235</v>
      </c>
      <c r="N591" s="175" t="s">
        <v>4147</v>
      </c>
      <c r="O591" s="175" t="s">
        <v>4148</v>
      </c>
      <c r="P591" s="26" t="str">
        <f>_xlfn.DISPIMG("ID_28A32B60C96343E48DA79AC0817DB8B2",1)</f>
        <v>=DISPIMG("ID_28A32B60C96343E48DA79AC0817DB8B2",1)</v>
      </c>
      <c r="Q591" s="25" t="s">
        <v>4149</v>
      </c>
      <c r="R591" s="25">
        <v>530</v>
      </c>
      <c r="S591" s="40" t="s">
        <v>4831</v>
      </c>
      <c r="T591" s="18" t="s">
        <v>84</v>
      </c>
      <c r="U591" s="25">
        <v>19</v>
      </c>
      <c r="V591" s="84"/>
    </row>
  </sheetData>
  <sheetProtection formatCells="0" insertHyperlinks="0" autoFilter="0"/>
  <autoFilter ref="A2:XFD591">
    <extLst/>
  </autoFilter>
  <sortState ref="A572:XFC590">
    <sortCondition ref="U572:U590"/>
  </sortState>
  <mergeCells count="1">
    <mergeCell ref="B1:V1"/>
  </mergeCells>
  <printOptions horizontalCentered="1"/>
  <pageMargins left="0.751388888888889" right="0.751388888888889" top="1" bottom="1" header="0.5" footer="0.5"/>
  <pageSetup paperSize="9"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91"/>
  <sheetViews>
    <sheetView workbookViewId="0">
      <pane xSplit="2" ySplit="2" topLeftCell="C582" activePane="bottomRight" state="frozen"/>
      <selection/>
      <selection pane="topRight"/>
      <selection pane="bottomLeft"/>
      <selection pane="bottomRight" activeCell="W586" sqref="W586"/>
    </sheetView>
  </sheetViews>
  <sheetFormatPr defaultColWidth="9" defaultRowHeight="21" customHeight="1"/>
  <cols>
    <col min="2" max="2" width="13.75" style="36" customWidth="1"/>
    <col min="3" max="3" width="7.37962962962963" style="36" customWidth="1"/>
    <col min="4" max="4" width="22.1296296296296" style="36" hidden="1" customWidth="1"/>
    <col min="5" max="5" width="14.3796296296296" style="36" hidden="1" customWidth="1"/>
    <col min="6" max="6" width="13" style="36" hidden="1" customWidth="1"/>
    <col min="7" max="7" width="19.6296296296296" style="36" customWidth="1"/>
    <col min="8" max="8" width="15.75" style="36" customWidth="1"/>
    <col min="9" max="19" width="13" style="36" hidden="1" customWidth="1"/>
    <col min="20" max="20" width="15" style="36" customWidth="1"/>
    <col min="21" max="16382" width="9" style="81"/>
  </cols>
  <sheetData>
    <row r="1" ht="27" customHeight="1" spans="1:20">
      <c r="A1" s="88" t="s">
        <v>4856</v>
      </c>
      <c r="B1" s="89"/>
      <c r="C1" s="89"/>
      <c r="D1" s="89"/>
      <c r="E1" s="88"/>
      <c r="F1" s="88"/>
      <c r="G1" s="89"/>
      <c r="H1" s="89"/>
      <c r="I1" s="88"/>
      <c r="J1" s="88"/>
      <c r="K1" s="88"/>
      <c r="L1" s="88"/>
      <c r="M1" s="88"/>
      <c r="N1" s="88"/>
      <c r="O1" s="88"/>
      <c r="P1" s="88"/>
      <c r="Q1" s="88"/>
      <c r="R1" s="88"/>
      <c r="S1" s="89"/>
      <c r="T1" s="89"/>
    </row>
    <row r="2" s="3" customFormat="1" customHeight="1" spans="1:20">
      <c r="A2" s="83" t="s">
        <v>116</v>
      </c>
      <c r="B2" s="90" t="s">
        <v>133</v>
      </c>
      <c r="C2" s="91" t="s">
        <v>134</v>
      </c>
      <c r="D2" s="91" t="s">
        <v>135</v>
      </c>
      <c r="E2" s="92" t="s">
        <v>136</v>
      </c>
      <c r="F2" s="91" t="s">
        <v>138</v>
      </c>
      <c r="G2" s="91" t="s">
        <v>1</v>
      </c>
      <c r="H2" s="91" t="s">
        <v>139</v>
      </c>
      <c r="I2" s="91" t="s">
        <v>140</v>
      </c>
      <c r="J2" s="91" t="s">
        <v>141</v>
      </c>
      <c r="K2" s="91" t="s">
        <v>142</v>
      </c>
      <c r="L2" s="91" t="s">
        <v>143</v>
      </c>
      <c r="M2" s="91" t="s">
        <v>144</v>
      </c>
      <c r="N2" s="91" t="s">
        <v>145</v>
      </c>
      <c r="O2" s="91" t="s">
        <v>146</v>
      </c>
      <c r="P2" s="91" t="s">
        <v>147</v>
      </c>
      <c r="Q2" s="91" t="s">
        <v>148</v>
      </c>
      <c r="R2" s="93" t="s">
        <v>149</v>
      </c>
      <c r="S2" s="39" t="s">
        <v>4313</v>
      </c>
      <c r="T2" s="39" t="s">
        <v>32</v>
      </c>
    </row>
    <row r="3" s="3" customFormat="1" customHeight="1" spans="1:20">
      <c r="A3" s="84">
        <v>1</v>
      </c>
      <c r="B3" s="177" t="s">
        <v>275</v>
      </c>
      <c r="C3" s="167" t="s">
        <v>165</v>
      </c>
      <c r="D3" s="167" t="s">
        <v>276</v>
      </c>
      <c r="E3" s="11">
        <v>15180601470</v>
      </c>
      <c r="F3" s="167" t="s">
        <v>278</v>
      </c>
      <c r="G3" s="167" t="s">
        <v>28</v>
      </c>
      <c r="H3" s="11">
        <v>202103001</v>
      </c>
      <c r="I3" s="167" t="s">
        <v>279</v>
      </c>
      <c r="J3" s="167" t="s">
        <v>233</v>
      </c>
      <c r="K3" s="167" t="s">
        <v>280</v>
      </c>
      <c r="L3" s="167" t="s">
        <v>170</v>
      </c>
      <c r="M3" s="167" t="s">
        <v>281</v>
      </c>
      <c r="N3" s="167" t="s">
        <v>280</v>
      </c>
      <c r="O3" s="167" t="s">
        <v>282</v>
      </c>
      <c r="P3" s="12" t="str">
        <f>_xlfn.DISPIMG("ID_B65C52FC26C14A83A9F7B47ADDC75EF7",1)</f>
        <v>=DISPIMG("ID_B65C52FC26C14A83A9F7B47ADDC75EF7",1)</v>
      </c>
      <c r="Q3" s="11" t="s">
        <v>283</v>
      </c>
      <c r="R3" s="11">
        <v>15</v>
      </c>
      <c r="S3" s="17" t="s">
        <v>4315</v>
      </c>
      <c r="T3" s="94" t="s">
        <v>36</v>
      </c>
    </row>
    <row r="4" s="3" customFormat="1" customHeight="1" spans="1:20">
      <c r="A4" s="84">
        <v>2</v>
      </c>
      <c r="B4" s="177" t="s">
        <v>336</v>
      </c>
      <c r="C4" s="167" t="s">
        <v>165</v>
      </c>
      <c r="D4" s="167" t="s">
        <v>337</v>
      </c>
      <c r="E4" s="11">
        <v>18397927213</v>
      </c>
      <c r="F4" s="167" t="s">
        <v>278</v>
      </c>
      <c r="G4" s="167" t="s">
        <v>28</v>
      </c>
      <c r="H4" s="11">
        <v>202103001</v>
      </c>
      <c r="I4" s="167" t="s">
        <v>279</v>
      </c>
      <c r="J4" s="167" t="s">
        <v>339</v>
      </c>
      <c r="K4" s="167" t="s">
        <v>280</v>
      </c>
      <c r="L4" s="167" t="s">
        <v>170</v>
      </c>
      <c r="M4" s="167" t="s">
        <v>180</v>
      </c>
      <c r="N4" s="167" t="s">
        <v>340</v>
      </c>
      <c r="O4" s="167" t="s">
        <v>341</v>
      </c>
      <c r="P4" s="12" t="str">
        <f>_xlfn.DISPIMG("ID_FA546082303144F6A5FD61F335F92D18",1)</f>
        <v>=DISPIMG("ID_FA546082303144F6A5FD61F335F92D18",1)</v>
      </c>
      <c r="Q4" s="11" t="s">
        <v>342</v>
      </c>
      <c r="R4" s="11">
        <v>22</v>
      </c>
      <c r="S4" s="17" t="s">
        <v>4316</v>
      </c>
      <c r="T4" s="94" t="s">
        <v>36</v>
      </c>
    </row>
    <row r="5" s="3" customFormat="1" customHeight="1" spans="1:20">
      <c r="A5" s="84">
        <v>3</v>
      </c>
      <c r="B5" s="177" t="s">
        <v>373</v>
      </c>
      <c r="C5" s="167" t="s">
        <v>165</v>
      </c>
      <c r="D5" s="167" t="s">
        <v>374</v>
      </c>
      <c r="E5" s="11">
        <v>15170964571</v>
      </c>
      <c r="F5" s="167" t="s">
        <v>278</v>
      </c>
      <c r="G5" s="167" t="s">
        <v>28</v>
      </c>
      <c r="H5" s="11">
        <v>202103001</v>
      </c>
      <c r="I5" s="167" t="s">
        <v>279</v>
      </c>
      <c r="J5" s="167" t="s">
        <v>367</v>
      </c>
      <c r="K5" s="167" t="s">
        <v>280</v>
      </c>
      <c r="L5" s="167" t="s">
        <v>170</v>
      </c>
      <c r="M5" s="167" t="s">
        <v>224</v>
      </c>
      <c r="N5" s="167" t="s">
        <v>376</v>
      </c>
      <c r="O5" s="167" t="s">
        <v>377</v>
      </c>
      <c r="P5" s="12" t="str">
        <f>_xlfn.DISPIMG("ID_C8327FEC732A4CC39200F90994F97069",1)</f>
        <v>=DISPIMG("ID_C8327FEC732A4CC39200F90994F97069",1)</v>
      </c>
      <c r="Q5" s="11" t="s">
        <v>378</v>
      </c>
      <c r="R5" s="11">
        <v>26</v>
      </c>
      <c r="S5" s="17" t="s">
        <v>4317</v>
      </c>
      <c r="T5" s="94" t="s">
        <v>36</v>
      </c>
    </row>
    <row r="6" s="3" customFormat="1" customHeight="1" spans="1:20">
      <c r="A6" s="84">
        <v>4</v>
      </c>
      <c r="B6" s="177" t="s">
        <v>418</v>
      </c>
      <c r="C6" s="167" t="s">
        <v>165</v>
      </c>
      <c r="D6" s="167" t="s">
        <v>419</v>
      </c>
      <c r="E6" s="11">
        <v>13870260927</v>
      </c>
      <c r="F6" s="167" t="s">
        <v>278</v>
      </c>
      <c r="G6" s="167" t="s">
        <v>28</v>
      </c>
      <c r="H6" s="11">
        <v>202103001</v>
      </c>
      <c r="I6" s="167" t="s">
        <v>279</v>
      </c>
      <c r="J6" s="167" t="s">
        <v>367</v>
      </c>
      <c r="K6" s="167" t="s">
        <v>280</v>
      </c>
      <c r="L6" s="167" t="s">
        <v>170</v>
      </c>
      <c r="M6" s="167" t="s">
        <v>224</v>
      </c>
      <c r="N6" s="167" t="s">
        <v>28</v>
      </c>
      <c r="O6" s="167" t="s">
        <v>421</v>
      </c>
      <c r="P6" s="12" t="str">
        <f>_xlfn.DISPIMG("ID_37FC201A56874EEA918314432BBE8D22",1)</f>
        <v>=DISPIMG("ID_37FC201A56874EEA918314432BBE8D22",1)</v>
      </c>
      <c r="Q6" s="11" t="s">
        <v>422</v>
      </c>
      <c r="R6" s="11">
        <v>31</v>
      </c>
      <c r="S6" s="17" t="s">
        <v>4318</v>
      </c>
      <c r="T6" s="94" t="s">
        <v>36</v>
      </c>
    </row>
    <row r="7" s="3" customFormat="1" customHeight="1" spans="1:20">
      <c r="A7" s="84">
        <v>5</v>
      </c>
      <c r="B7" s="177" t="s">
        <v>477</v>
      </c>
      <c r="C7" s="167" t="s">
        <v>165</v>
      </c>
      <c r="D7" s="167" t="s">
        <v>478</v>
      </c>
      <c r="E7" s="11">
        <v>18770282894</v>
      </c>
      <c r="F7" s="167" t="s">
        <v>278</v>
      </c>
      <c r="G7" s="167" t="s">
        <v>28</v>
      </c>
      <c r="H7" s="11">
        <v>202103001</v>
      </c>
      <c r="I7" s="167" t="s">
        <v>279</v>
      </c>
      <c r="J7" s="167" t="s">
        <v>367</v>
      </c>
      <c r="K7" s="167" t="s">
        <v>280</v>
      </c>
      <c r="L7" s="167" t="s">
        <v>170</v>
      </c>
      <c r="M7" s="167" t="s">
        <v>216</v>
      </c>
      <c r="N7" s="167" t="s">
        <v>340</v>
      </c>
      <c r="O7" s="167" t="s">
        <v>480</v>
      </c>
      <c r="P7" s="12" t="str">
        <f>_xlfn.DISPIMG("ID_CA960935E07F423087EFDE1A92D5AFE3",1)</f>
        <v>=DISPIMG("ID_CA960935E07F423087EFDE1A92D5AFE3",1)</v>
      </c>
      <c r="Q7" s="11" t="s">
        <v>481</v>
      </c>
      <c r="R7" s="11">
        <v>38</v>
      </c>
      <c r="S7" s="17" t="s">
        <v>4319</v>
      </c>
      <c r="T7" s="94" t="s">
        <v>36</v>
      </c>
    </row>
    <row r="8" s="3" customFormat="1" customHeight="1" spans="1:20">
      <c r="A8" s="84">
        <v>6</v>
      </c>
      <c r="B8" s="177" t="s">
        <v>512</v>
      </c>
      <c r="C8" s="167" t="s">
        <v>165</v>
      </c>
      <c r="D8" s="167" t="s">
        <v>513</v>
      </c>
      <c r="E8" s="11">
        <v>15007008219</v>
      </c>
      <c r="F8" s="167" t="s">
        <v>278</v>
      </c>
      <c r="G8" s="167" t="s">
        <v>28</v>
      </c>
      <c r="H8" s="11">
        <v>202103001</v>
      </c>
      <c r="I8" s="167" t="s">
        <v>279</v>
      </c>
      <c r="J8" s="167" t="s">
        <v>515</v>
      </c>
      <c r="K8" s="167" t="s">
        <v>280</v>
      </c>
      <c r="L8" s="167" t="s">
        <v>170</v>
      </c>
      <c r="M8" s="167" t="s">
        <v>516</v>
      </c>
      <c r="N8" s="167" t="s">
        <v>517</v>
      </c>
      <c r="O8" s="167" t="s">
        <v>518</v>
      </c>
      <c r="P8" s="12" t="str">
        <f>_xlfn.DISPIMG("ID_07A071EC50BE4110A9ABC6B339CCBE2D",1)</f>
        <v>=DISPIMG("ID_07A071EC50BE4110A9ABC6B339CCBE2D",1)</v>
      </c>
      <c r="Q8" s="11" t="s">
        <v>519</v>
      </c>
      <c r="R8" s="11">
        <v>43</v>
      </c>
      <c r="S8" s="17" t="s">
        <v>4320</v>
      </c>
      <c r="T8" s="94" t="s">
        <v>36</v>
      </c>
    </row>
    <row r="9" s="3" customFormat="1" customHeight="1" spans="1:20">
      <c r="A9" s="84">
        <v>7</v>
      </c>
      <c r="B9" s="177" t="s">
        <v>573</v>
      </c>
      <c r="C9" s="167" t="s">
        <v>165</v>
      </c>
      <c r="D9" s="167" t="s">
        <v>574</v>
      </c>
      <c r="E9" s="11">
        <v>13387029092</v>
      </c>
      <c r="F9" s="167" t="s">
        <v>278</v>
      </c>
      <c r="G9" s="167" t="s">
        <v>28</v>
      </c>
      <c r="H9" s="11">
        <v>202103001</v>
      </c>
      <c r="I9" s="167" t="s">
        <v>279</v>
      </c>
      <c r="J9" s="167" t="s">
        <v>576</v>
      </c>
      <c r="K9" s="167" t="s">
        <v>280</v>
      </c>
      <c r="L9" s="167" t="s">
        <v>170</v>
      </c>
      <c r="M9" s="167" t="s">
        <v>577</v>
      </c>
      <c r="N9" s="167" t="s">
        <v>280</v>
      </c>
      <c r="O9" s="167" t="s">
        <v>578</v>
      </c>
      <c r="P9" s="12" t="str">
        <f>_xlfn.DISPIMG("ID_82D3A4866E584D37A328F1F75C226980",1)</f>
        <v>=DISPIMG("ID_82D3A4866E584D37A328F1F75C226980",1)</v>
      </c>
      <c r="Q9" s="11" t="s">
        <v>579</v>
      </c>
      <c r="R9" s="11">
        <v>50</v>
      </c>
      <c r="S9" s="17" t="s">
        <v>4321</v>
      </c>
      <c r="T9" s="94" t="s">
        <v>36</v>
      </c>
    </row>
    <row r="10" s="4" customFormat="1" customHeight="1" spans="1:20">
      <c r="A10" s="84">
        <v>8</v>
      </c>
      <c r="B10" s="177" t="s">
        <v>582</v>
      </c>
      <c r="C10" s="167" t="s">
        <v>165</v>
      </c>
      <c r="D10" s="167" t="s">
        <v>583</v>
      </c>
      <c r="E10" s="11">
        <v>18879297924</v>
      </c>
      <c r="F10" s="167" t="s">
        <v>278</v>
      </c>
      <c r="G10" s="167" t="s">
        <v>28</v>
      </c>
      <c r="H10" s="11">
        <v>202103001</v>
      </c>
      <c r="I10" s="167" t="s">
        <v>585</v>
      </c>
      <c r="J10" s="167" t="s">
        <v>367</v>
      </c>
      <c r="K10" s="167" t="s">
        <v>586</v>
      </c>
      <c r="L10" s="167" t="s">
        <v>170</v>
      </c>
      <c r="M10" s="167" t="s">
        <v>587</v>
      </c>
      <c r="N10" s="167" t="s">
        <v>588</v>
      </c>
      <c r="O10" s="167" t="s">
        <v>589</v>
      </c>
      <c r="P10" s="12" t="str">
        <f>_xlfn.DISPIMG("ID_6DA92F60F38D4176A8885E139DCAD5AE",1)</f>
        <v>=DISPIMG("ID_6DA92F60F38D4176A8885E139DCAD5AE",1)</v>
      </c>
      <c r="Q10" s="11" t="s">
        <v>590</v>
      </c>
      <c r="R10" s="11">
        <v>51</v>
      </c>
      <c r="S10" s="17" t="s">
        <v>4322</v>
      </c>
      <c r="T10" s="94" t="s">
        <v>36</v>
      </c>
    </row>
    <row r="11" s="3" customFormat="1" customHeight="1" spans="1:20">
      <c r="A11" s="84">
        <v>9</v>
      </c>
      <c r="B11" s="177" t="s">
        <v>592</v>
      </c>
      <c r="C11" s="167" t="s">
        <v>165</v>
      </c>
      <c r="D11" s="167" t="s">
        <v>593</v>
      </c>
      <c r="E11" s="11">
        <v>13177706682</v>
      </c>
      <c r="F11" s="167" t="s">
        <v>278</v>
      </c>
      <c r="G11" s="167" t="s">
        <v>28</v>
      </c>
      <c r="H11" s="11">
        <v>202103001</v>
      </c>
      <c r="I11" s="167" t="s">
        <v>279</v>
      </c>
      <c r="J11" s="167" t="s">
        <v>595</v>
      </c>
      <c r="K11" s="167" t="s">
        <v>280</v>
      </c>
      <c r="L11" s="167" t="s">
        <v>170</v>
      </c>
      <c r="M11" s="167" t="s">
        <v>281</v>
      </c>
      <c r="N11" s="167" t="s">
        <v>28</v>
      </c>
      <c r="O11" s="167" t="s">
        <v>596</v>
      </c>
      <c r="P11" s="12" t="str">
        <f>_xlfn.DISPIMG("ID_4A2B45245E6541EDAAF502188C295214",1)</f>
        <v>=DISPIMG("ID_4A2B45245E6541EDAAF502188C295214",1)</v>
      </c>
      <c r="Q11" s="11" t="s">
        <v>597</v>
      </c>
      <c r="R11" s="11">
        <v>52</v>
      </c>
      <c r="S11" s="17" t="s">
        <v>4323</v>
      </c>
      <c r="T11" s="94" t="s">
        <v>36</v>
      </c>
    </row>
    <row r="12" s="3" customFormat="1" customHeight="1" spans="1:20">
      <c r="A12" s="84">
        <v>10</v>
      </c>
      <c r="B12" s="177" t="s">
        <v>614</v>
      </c>
      <c r="C12" s="167" t="s">
        <v>165</v>
      </c>
      <c r="D12" s="167" t="s">
        <v>615</v>
      </c>
      <c r="E12" s="11">
        <v>13755265925</v>
      </c>
      <c r="F12" s="167" t="s">
        <v>278</v>
      </c>
      <c r="G12" s="167" t="s">
        <v>28</v>
      </c>
      <c r="H12" s="11">
        <v>202103001</v>
      </c>
      <c r="I12" s="167" t="s">
        <v>585</v>
      </c>
      <c r="J12" s="167" t="s">
        <v>595</v>
      </c>
      <c r="K12" s="167" t="s">
        <v>280</v>
      </c>
      <c r="L12" s="167" t="s">
        <v>170</v>
      </c>
      <c r="M12" s="167" t="s">
        <v>281</v>
      </c>
      <c r="N12" s="167" t="s">
        <v>28</v>
      </c>
      <c r="O12" s="167" t="s">
        <v>617</v>
      </c>
      <c r="P12" s="12" t="str">
        <f>_xlfn.DISPIMG("ID_85355BEE288D4456A9F8FBBF22F43B44",1)</f>
        <v>=DISPIMG("ID_85355BEE288D4456A9F8FBBF22F43B44",1)</v>
      </c>
      <c r="Q12" s="11" t="s">
        <v>618</v>
      </c>
      <c r="R12" s="11">
        <v>55</v>
      </c>
      <c r="S12" s="17" t="s">
        <v>4324</v>
      </c>
      <c r="T12" s="94" t="s">
        <v>36</v>
      </c>
    </row>
    <row r="13" s="3" customFormat="1" customHeight="1" spans="1:20">
      <c r="A13" s="84">
        <v>11</v>
      </c>
      <c r="B13" s="177" t="s">
        <v>620</v>
      </c>
      <c r="C13" s="167" t="s">
        <v>165</v>
      </c>
      <c r="D13" s="167" t="s">
        <v>621</v>
      </c>
      <c r="E13" s="11">
        <v>18370123772</v>
      </c>
      <c r="F13" s="167" t="s">
        <v>278</v>
      </c>
      <c r="G13" s="167" t="s">
        <v>28</v>
      </c>
      <c r="H13" s="11">
        <v>202103001</v>
      </c>
      <c r="I13" s="167" t="s">
        <v>585</v>
      </c>
      <c r="J13" s="167" t="s">
        <v>595</v>
      </c>
      <c r="K13" s="167" t="s">
        <v>280</v>
      </c>
      <c r="L13" s="167" t="s">
        <v>170</v>
      </c>
      <c r="M13" s="167" t="s">
        <v>368</v>
      </c>
      <c r="N13" s="167" t="s">
        <v>28</v>
      </c>
      <c r="O13" s="167" t="s">
        <v>623</v>
      </c>
      <c r="P13" s="12" t="str">
        <f>_xlfn.DISPIMG("ID_109F9871D9934FD3B362EB8D2EAFD060",1)</f>
        <v>=DISPIMG("ID_109F9871D9934FD3B362EB8D2EAFD060",1)</v>
      </c>
      <c r="Q13" s="11" t="s">
        <v>624</v>
      </c>
      <c r="R13" s="11">
        <v>56</v>
      </c>
      <c r="S13" s="17" t="s">
        <v>4325</v>
      </c>
      <c r="T13" s="94" t="s">
        <v>36</v>
      </c>
    </row>
    <row r="14" s="3" customFormat="1" customHeight="1" spans="1:20">
      <c r="A14" s="84">
        <v>12</v>
      </c>
      <c r="B14" s="177" t="s">
        <v>659</v>
      </c>
      <c r="C14" s="167" t="s">
        <v>165</v>
      </c>
      <c r="D14" s="167" t="s">
        <v>660</v>
      </c>
      <c r="E14" s="11">
        <v>18370120304</v>
      </c>
      <c r="F14" s="167" t="s">
        <v>278</v>
      </c>
      <c r="G14" s="167" t="s">
        <v>28</v>
      </c>
      <c r="H14" s="11">
        <v>202103001</v>
      </c>
      <c r="I14" s="167" t="s">
        <v>279</v>
      </c>
      <c r="J14" s="167" t="s">
        <v>662</v>
      </c>
      <c r="K14" s="167" t="s">
        <v>280</v>
      </c>
      <c r="L14" s="167" t="s">
        <v>170</v>
      </c>
      <c r="M14" s="167" t="s">
        <v>368</v>
      </c>
      <c r="N14" s="167" t="s">
        <v>663</v>
      </c>
      <c r="O14" s="167" t="s">
        <v>664</v>
      </c>
      <c r="P14" s="12" t="str">
        <f>_xlfn.DISPIMG("ID_4AE3C77D21184B118F491A1655043931",1)</f>
        <v>=DISPIMG("ID_4AE3C77D21184B118F491A1655043931",1)</v>
      </c>
      <c r="Q14" s="11" t="s">
        <v>665</v>
      </c>
      <c r="R14" s="11">
        <v>61</v>
      </c>
      <c r="S14" s="17" t="s">
        <v>4326</v>
      </c>
      <c r="T14" s="94" t="s">
        <v>36</v>
      </c>
    </row>
    <row r="15" s="3" customFormat="1" customHeight="1" spans="1:20">
      <c r="A15" s="84">
        <v>13</v>
      </c>
      <c r="B15" s="177" t="s">
        <v>694</v>
      </c>
      <c r="C15" s="167" t="s">
        <v>165</v>
      </c>
      <c r="D15" s="167" t="s">
        <v>695</v>
      </c>
      <c r="E15" s="11">
        <v>15779270127</v>
      </c>
      <c r="F15" s="167" t="s">
        <v>278</v>
      </c>
      <c r="G15" s="167" t="s">
        <v>28</v>
      </c>
      <c r="H15" s="11">
        <v>202103001</v>
      </c>
      <c r="I15" s="167" t="s">
        <v>279</v>
      </c>
      <c r="J15" s="167" t="s">
        <v>697</v>
      </c>
      <c r="K15" s="167" t="s">
        <v>280</v>
      </c>
      <c r="L15" s="167" t="s">
        <v>160</v>
      </c>
      <c r="M15" s="167" t="s">
        <v>180</v>
      </c>
      <c r="N15" s="167" t="s">
        <v>28</v>
      </c>
      <c r="O15" s="167" t="s">
        <v>698</v>
      </c>
      <c r="P15" s="12" t="str">
        <f>_xlfn.DISPIMG("ID_E6AFBB076E18415F8E4E8CB1E3BFC1A0",1)</f>
        <v>=DISPIMG("ID_E6AFBB076E18415F8E4E8CB1E3BFC1A0",1)</v>
      </c>
      <c r="Q15" s="11" t="s">
        <v>699</v>
      </c>
      <c r="R15" s="11">
        <v>65</v>
      </c>
      <c r="S15" s="17" t="s">
        <v>4327</v>
      </c>
      <c r="T15" s="94" t="s">
        <v>36</v>
      </c>
    </row>
    <row r="16" s="3" customFormat="1" customHeight="1" spans="1:20">
      <c r="A16" s="84">
        <v>14</v>
      </c>
      <c r="B16" s="177" t="s">
        <v>712</v>
      </c>
      <c r="C16" s="167" t="s">
        <v>165</v>
      </c>
      <c r="D16" s="167" t="s">
        <v>713</v>
      </c>
      <c r="E16" s="11">
        <v>18379282600</v>
      </c>
      <c r="F16" s="167" t="s">
        <v>278</v>
      </c>
      <c r="G16" s="167" t="s">
        <v>28</v>
      </c>
      <c r="H16" s="11">
        <v>202103001</v>
      </c>
      <c r="I16" s="167" t="s">
        <v>279</v>
      </c>
      <c r="J16" s="167" t="s">
        <v>168</v>
      </c>
      <c r="K16" s="167" t="s">
        <v>280</v>
      </c>
      <c r="L16" s="167" t="s">
        <v>170</v>
      </c>
      <c r="M16" s="167" t="s">
        <v>199</v>
      </c>
      <c r="N16" s="167" t="s">
        <v>715</v>
      </c>
      <c r="O16" s="167" t="s">
        <v>716</v>
      </c>
      <c r="P16" s="12" t="str">
        <f>_xlfn.DISPIMG("ID_CF0B9D1514D24BCEBECEF1FC59445AFE",1)</f>
        <v>=DISPIMG("ID_CF0B9D1514D24BCEBECEF1FC59445AFE",1)</v>
      </c>
      <c r="Q16" s="11" t="s">
        <v>717</v>
      </c>
      <c r="R16" s="11">
        <v>67</v>
      </c>
      <c r="S16" s="17" t="s">
        <v>4328</v>
      </c>
      <c r="T16" s="94" t="s">
        <v>36</v>
      </c>
    </row>
    <row r="17" s="3" customFormat="1" customHeight="1" spans="1:20">
      <c r="A17" s="84">
        <v>15</v>
      </c>
      <c r="B17" s="177" t="s">
        <v>729</v>
      </c>
      <c r="C17" s="167" t="s">
        <v>165</v>
      </c>
      <c r="D17" s="167" t="s">
        <v>730</v>
      </c>
      <c r="E17" s="11">
        <v>18270279001</v>
      </c>
      <c r="F17" s="167" t="s">
        <v>278</v>
      </c>
      <c r="G17" s="167" t="s">
        <v>28</v>
      </c>
      <c r="H17" s="11">
        <v>202103001</v>
      </c>
      <c r="I17" s="167" t="s">
        <v>279</v>
      </c>
      <c r="J17" s="167" t="s">
        <v>732</v>
      </c>
      <c r="K17" s="167" t="s">
        <v>280</v>
      </c>
      <c r="L17" s="167" t="s">
        <v>170</v>
      </c>
      <c r="M17" s="167" t="s">
        <v>733</v>
      </c>
      <c r="N17" s="167" t="s">
        <v>517</v>
      </c>
      <c r="O17" s="167" t="s">
        <v>734</v>
      </c>
      <c r="P17" s="12" t="str">
        <f>_xlfn.DISPIMG("ID_9786F64DF5E04D0EBFF7257960884627",1)</f>
        <v>=DISPIMG("ID_9786F64DF5E04D0EBFF7257960884627",1)</v>
      </c>
      <c r="Q17" s="11" t="s">
        <v>735</v>
      </c>
      <c r="R17" s="11">
        <v>69</v>
      </c>
      <c r="S17" s="17" t="s">
        <v>4329</v>
      </c>
      <c r="T17" s="94" t="s">
        <v>36</v>
      </c>
    </row>
    <row r="18" s="3" customFormat="1" customHeight="1" spans="1:20">
      <c r="A18" s="84">
        <v>16</v>
      </c>
      <c r="B18" s="177" t="s">
        <v>754</v>
      </c>
      <c r="C18" s="167" t="s">
        <v>165</v>
      </c>
      <c r="D18" s="167" t="s">
        <v>755</v>
      </c>
      <c r="E18" s="11">
        <v>18679201139</v>
      </c>
      <c r="F18" s="167" t="s">
        <v>278</v>
      </c>
      <c r="G18" s="167" t="s">
        <v>28</v>
      </c>
      <c r="H18" s="11">
        <v>202103001</v>
      </c>
      <c r="I18" s="167" t="s">
        <v>585</v>
      </c>
      <c r="J18" s="167" t="s">
        <v>576</v>
      </c>
      <c r="K18" s="167" t="s">
        <v>757</v>
      </c>
      <c r="L18" s="167" t="s">
        <v>170</v>
      </c>
      <c r="M18" s="167" t="s">
        <v>224</v>
      </c>
      <c r="N18" s="167" t="s">
        <v>376</v>
      </c>
      <c r="O18" s="167" t="s">
        <v>758</v>
      </c>
      <c r="P18" s="12" t="str">
        <f>_xlfn.DISPIMG("ID_7BB67F893C7640E3B6FEA6424D027990",1)</f>
        <v>=DISPIMG("ID_7BB67F893C7640E3B6FEA6424D027990",1)</v>
      </c>
      <c r="Q18" s="11" t="s">
        <v>759</v>
      </c>
      <c r="R18" s="11">
        <v>72</v>
      </c>
      <c r="S18" s="17" t="s">
        <v>4330</v>
      </c>
      <c r="T18" s="94" t="s">
        <v>36</v>
      </c>
    </row>
    <row r="19" s="3" customFormat="1" customHeight="1" spans="1:20">
      <c r="A19" s="84">
        <v>17</v>
      </c>
      <c r="B19" s="177" t="s">
        <v>762</v>
      </c>
      <c r="C19" s="167" t="s">
        <v>165</v>
      </c>
      <c r="D19" s="167" t="s">
        <v>763</v>
      </c>
      <c r="E19" s="11">
        <v>13697921659</v>
      </c>
      <c r="F19" s="167" t="s">
        <v>278</v>
      </c>
      <c r="G19" s="167" t="s">
        <v>28</v>
      </c>
      <c r="H19" s="11">
        <v>202103001</v>
      </c>
      <c r="I19" s="167" t="s">
        <v>279</v>
      </c>
      <c r="J19" s="167" t="s">
        <v>765</v>
      </c>
      <c r="K19" s="167" t="s">
        <v>280</v>
      </c>
      <c r="L19" s="167" t="s">
        <v>170</v>
      </c>
      <c r="M19" s="167" t="s">
        <v>235</v>
      </c>
      <c r="N19" s="167" t="s">
        <v>340</v>
      </c>
      <c r="O19" s="167" t="s">
        <v>766</v>
      </c>
      <c r="P19" s="12" t="str">
        <f>_xlfn.DISPIMG("ID_4E1CCA66E504445CA5B7AB8D0FB70FB1",1)</f>
        <v>=DISPIMG("ID_4E1CCA66E504445CA5B7AB8D0FB70FB1",1)</v>
      </c>
      <c r="Q19" s="11" t="s">
        <v>767</v>
      </c>
      <c r="R19" s="11">
        <v>73</v>
      </c>
      <c r="S19" s="17" t="s">
        <v>4331</v>
      </c>
      <c r="T19" s="94" t="s">
        <v>36</v>
      </c>
    </row>
    <row r="20" s="3" customFormat="1" customHeight="1" spans="1:20">
      <c r="A20" s="84">
        <v>18</v>
      </c>
      <c r="B20" s="177" t="s">
        <v>794</v>
      </c>
      <c r="C20" s="167" t="s">
        <v>165</v>
      </c>
      <c r="D20" s="167" t="s">
        <v>795</v>
      </c>
      <c r="E20" s="11">
        <v>18707021672</v>
      </c>
      <c r="F20" s="167" t="s">
        <v>278</v>
      </c>
      <c r="G20" s="167" t="s">
        <v>28</v>
      </c>
      <c r="H20" s="11">
        <v>202103001</v>
      </c>
      <c r="I20" s="167" t="s">
        <v>279</v>
      </c>
      <c r="J20" s="167" t="s">
        <v>367</v>
      </c>
      <c r="K20" s="167" t="s">
        <v>280</v>
      </c>
      <c r="L20" s="167" t="s">
        <v>170</v>
      </c>
      <c r="M20" s="167" t="s">
        <v>306</v>
      </c>
      <c r="N20" s="167" t="s">
        <v>376</v>
      </c>
      <c r="O20" s="167" t="s">
        <v>797</v>
      </c>
      <c r="P20" s="12" t="str">
        <f>_xlfn.DISPIMG("ID_639B898E1B304FC0A6FA0E13C551BEC4",1)</f>
        <v>=DISPIMG("ID_639B898E1B304FC0A6FA0E13C551BEC4",1)</v>
      </c>
      <c r="Q20" s="11" t="s">
        <v>798</v>
      </c>
      <c r="R20" s="11">
        <v>77</v>
      </c>
      <c r="S20" s="17" t="s">
        <v>4332</v>
      </c>
      <c r="T20" s="94" t="s">
        <v>36</v>
      </c>
    </row>
    <row r="21" s="3" customFormat="1" customHeight="1" spans="1:20">
      <c r="A21" s="84">
        <v>19</v>
      </c>
      <c r="B21" s="177" t="s">
        <v>801</v>
      </c>
      <c r="C21" s="167" t="s">
        <v>165</v>
      </c>
      <c r="D21" s="167" t="s">
        <v>802</v>
      </c>
      <c r="E21" s="11">
        <v>13698021995</v>
      </c>
      <c r="F21" s="167" t="s">
        <v>278</v>
      </c>
      <c r="G21" s="167" t="s">
        <v>28</v>
      </c>
      <c r="H21" s="11">
        <v>202103001</v>
      </c>
      <c r="I21" s="167" t="s">
        <v>585</v>
      </c>
      <c r="J21" s="167" t="s">
        <v>804</v>
      </c>
      <c r="K21" s="167" t="s">
        <v>280</v>
      </c>
      <c r="L21" s="167" t="s">
        <v>170</v>
      </c>
      <c r="M21" s="167" t="s">
        <v>805</v>
      </c>
      <c r="N21" s="167" t="s">
        <v>376</v>
      </c>
      <c r="O21" s="167" t="s">
        <v>806</v>
      </c>
      <c r="P21" s="12" t="str">
        <f>_xlfn.DISPIMG("ID_AEB241E66C41495DBC633E36C32A72C8",1)</f>
        <v>=DISPIMG("ID_AEB241E66C41495DBC633E36C32A72C8",1)</v>
      </c>
      <c r="Q21" s="11" t="s">
        <v>807</v>
      </c>
      <c r="R21" s="11">
        <v>78</v>
      </c>
      <c r="S21" s="17" t="s">
        <v>4333</v>
      </c>
      <c r="T21" s="94" t="s">
        <v>36</v>
      </c>
    </row>
    <row r="22" s="3" customFormat="1" customHeight="1" spans="1:20">
      <c r="A22" s="84">
        <v>20</v>
      </c>
      <c r="B22" s="177" t="s">
        <v>840</v>
      </c>
      <c r="C22" s="167" t="s">
        <v>165</v>
      </c>
      <c r="D22" s="167" t="s">
        <v>841</v>
      </c>
      <c r="E22" s="11">
        <v>15059878679</v>
      </c>
      <c r="F22" s="167" t="s">
        <v>278</v>
      </c>
      <c r="G22" s="167" t="s">
        <v>28</v>
      </c>
      <c r="H22" s="11">
        <v>202103001</v>
      </c>
      <c r="I22" s="167" t="s">
        <v>279</v>
      </c>
      <c r="J22" s="167" t="s">
        <v>339</v>
      </c>
      <c r="K22" s="167" t="s">
        <v>280</v>
      </c>
      <c r="L22" s="167" t="s">
        <v>170</v>
      </c>
      <c r="M22" s="167" t="s">
        <v>843</v>
      </c>
      <c r="N22" s="167" t="s">
        <v>376</v>
      </c>
      <c r="O22" s="167" t="s">
        <v>844</v>
      </c>
      <c r="P22" s="12" t="str">
        <f>_xlfn.DISPIMG("ID_424B9BE152D1418A818313627A199A3A",1)</f>
        <v>=DISPIMG("ID_424B9BE152D1418A818313627A199A3A",1)</v>
      </c>
      <c r="Q22" s="11" t="s">
        <v>845</v>
      </c>
      <c r="R22" s="11">
        <v>83</v>
      </c>
      <c r="S22" s="17" t="s">
        <v>4334</v>
      </c>
      <c r="T22" s="94" t="s">
        <v>36</v>
      </c>
    </row>
    <row r="23" s="3" customFormat="1" customHeight="1" spans="1:20">
      <c r="A23" s="84">
        <v>21</v>
      </c>
      <c r="B23" s="177" t="s">
        <v>848</v>
      </c>
      <c r="C23" s="167" t="s">
        <v>165</v>
      </c>
      <c r="D23" s="167" t="s">
        <v>849</v>
      </c>
      <c r="E23" s="11">
        <v>18379626219</v>
      </c>
      <c r="F23" s="167" t="s">
        <v>278</v>
      </c>
      <c r="G23" s="167" t="s">
        <v>28</v>
      </c>
      <c r="H23" s="11">
        <v>202103001</v>
      </c>
      <c r="I23" s="167" t="s">
        <v>279</v>
      </c>
      <c r="J23" s="167" t="s">
        <v>851</v>
      </c>
      <c r="K23" s="167" t="s">
        <v>280</v>
      </c>
      <c r="L23" s="167" t="s">
        <v>170</v>
      </c>
      <c r="M23" s="167" t="s">
        <v>235</v>
      </c>
      <c r="N23" s="167" t="s">
        <v>340</v>
      </c>
      <c r="O23" s="167" t="s">
        <v>852</v>
      </c>
      <c r="P23" s="12" t="str">
        <f>_xlfn.DISPIMG("ID_42372BFB4B414C38BA1598FF5C930944",1)</f>
        <v>=DISPIMG("ID_42372BFB4B414C38BA1598FF5C930944",1)</v>
      </c>
      <c r="Q23" s="11" t="s">
        <v>853</v>
      </c>
      <c r="R23" s="11">
        <v>84</v>
      </c>
      <c r="S23" s="17" t="s">
        <v>4335</v>
      </c>
      <c r="T23" s="94" t="s">
        <v>36</v>
      </c>
    </row>
    <row r="24" s="3" customFormat="1" customHeight="1" spans="1:20">
      <c r="A24" s="84">
        <v>22</v>
      </c>
      <c r="B24" s="177" t="s">
        <v>873</v>
      </c>
      <c r="C24" s="167" t="s">
        <v>165</v>
      </c>
      <c r="D24" s="167" t="s">
        <v>874</v>
      </c>
      <c r="E24" s="11">
        <v>15070424036</v>
      </c>
      <c r="F24" s="167" t="s">
        <v>278</v>
      </c>
      <c r="G24" s="167" t="s">
        <v>28</v>
      </c>
      <c r="H24" s="11">
        <v>202103001</v>
      </c>
      <c r="I24" s="167" t="s">
        <v>279</v>
      </c>
      <c r="J24" s="167" t="s">
        <v>876</v>
      </c>
      <c r="K24" s="167" t="s">
        <v>280</v>
      </c>
      <c r="L24" s="167" t="s">
        <v>170</v>
      </c>
      <c r="M24" s="167" t="s">
        <v>180</v>
      </c>
      <c r="N24" s="167" t="s">
        <v>517</v>
      </c>
      <c r="O24" s="167" t="s">
        <v>877</v>
      </c>
      <c r="P24" s="12" t="str">
        <f>_xlfn.DISPIMG("ID_FA24C7A6F2FA44B892B9DF563FC4E960",1)</f>
        <v>=DISPIMG("ID_FA24C7A6F2FA44B892B9DF563FC4E960",1)</v>
      </c>
      <c r="Q24" s="11" t="s">
        <v>878</v>
      </c>
      <c r="R24" s="11">
        <v>87</v>
      </c>
      <c r="S24" s="17" t="s">
        <v>4336</v>
      </c>
      <c r="T24" s="94" t="s">
        <v>36</v>
      </c>
    </row>
    <row r="25" s="5" customFormat="1" customHeight="1" spans="1:20">
      <c r="A25" s="84">
        <v>23</v>
      </c>
      <c r="B25" s="177" t="s">
        <v>881</v>
      </c>
      <c r="C25" s="167" t="s">
        <v>165</v>
      </c>
      <c r="D25" s="167" t="s">
        <v>882</v>
      </c>
      <c r="E25" s="11">
        <v>15279260286</v>
      </c>
      <c r="F25" s="167" t="s">
        <v>278</v>
      </c>
      <c r="G25" s="167" t="s">
        <v>28</v>
      </c>
      <c r="H25" s="11">
        <v>202103001</v>
      </c>
      <c r="I25" s="167" t="s">
        <v>279</v>
      </c>
      <c r="J25" s="167" t="s">
        <v>884</v>
      </c>
      <c r="K25" s="167" t="s">
        <v>223</v>
      </c>
      <c r="L25" s="167" t="s">
        <v>170</v>
      </c>
      <c r="M25" s="167" t="s">
        <v>733</v>
      </c>
      <c r="N25" s="167" t="s">
        <v>885</v>
      </c>
      <c r="O25" s="167" t="s">
        <v>886</v>
      </c>
      <c r="P25" s="12" t="str">
        <f>_xlfn.DISPIMG("ID_79374B2C837849A79ABAFBB6FF76D11C",1)</f>
        <v>=DISPIMG("ID_79374B2C837849A79ABAFBB6FF76D11C",1)</v>
      </c>
      <c r="Q25" s="11" t="s">
        <v>887</v>
      </c>
      <c r="R25" s="11">
        <v>88</v>
      </c>
      <c r="S25" s="17" t="s">
        <v>4337</v>
      </c>
      <c r="T25" s="94" t="s">
        <v>36</v>
      </c>
    </row>
    <row r="26" s="3" customFormat="1" customHeight="1" spans="1:20">
      <c r="A26" s="84">
        <v>24</v>
      </c>
      <c r="B26" s="177" t="s">
        <v>890</v>
      </c>
      <c r="C26" s="167" t="s">
        <v>165</v>
      </c>
      <c r="D26" s="167" t="s">
        <v>891</v>
      </c>
      <c r="E26" s="11">
        <v>15270271332</v>
      </c>
      <c r="F26" s="167" t="s">
        <v>278</v>
      </c>
      <c r="G26" s="167" t="s">
        <v>28</v>
      </c>
      <c r="H26" s="11">
        <v>202103001</v>
      </c>
      <c r="I26" s="167" t="s">
        <v>279</v>
      </c>
      <c r="J26" s="167" t="s">
        <v>765</v>
      </c>
      <c r="K26" s="167" t="s">
        <v>893</v>
      </c>
      <c r="L26" s="167" t="s">
        <v>170</v>
      </c>
      <c r="M26" s="167" t="s">
        <v>161</v>
      </c>
      <c r="N26" s="167" t="s">
        <v>340</v>
      </c>
      <c r="O26" s="167" t="s">
        <v>894</v>
      </c>
      <c r="P26" s="12" t="str">
        <f>_xlfn.DISPIMG("ID_85B3DA5A290A4196889B653600FB42ED",1)</f>
        <v>=DISPIMG("ID_85B3DA5A290A4196889B653600FB42ED",1)</v>
      </c>
      <c r="Q26" s="11" t="s">
        <v>895</v>
      </c>
      <c r="R26" s="11">
        <v>89</v>
      </c>
      <c r="S26" s="17" t="s">
        <v>4338</v>
      </c>
      <c r="T26" s="94" t="s">
        <v>36</v>
      </c>
    </row>
    <row r="27" s="3" customFormat="1" customHeight="1" spans="1:20">
      <c r="A27" s="84">
        <v>25</v>
      </c>
      <c r="B27" s="177" t="s">
        <v>924</v>
      </c>
      <c r="C27" s="167" t="s">
        <v>165</v>
      </c>
      <c r="D27" s="167" t="s">
        <v>925</v>
      </c>
      <c r="E27" s="11">
        <v>13979203425</v>
      </c>
      <c r="F27" s="167" t="s">
        <v>278</v>
      </c>
      <c r="G27" s="167" t="s">
        <v>28</v>
      </c>
      <c r="H27" s="11">
        <v>202103001</v>
      </c>
      <c r="I27" s="167" t="s">
        <v>585</v>
      </c>
      <c r="J27" s="167" t="s">
        <v>927</v>
      </c>
      <c r="K27" s="167" t="s">
        <v>928</v>
      </c>
      <c r="L27" s="167" t="s">
        <v>170</v>
      </c>
      <c r="M27" s="167" t="s">
        <v>349</v>
      </c>
      <c r="N27" s="167" t="s">
        <v>376</v>
      </c>
      <c r="O27" s="167" t="s">
        <v>929</v>
      </c>
      <c r="P27" s="12" t="str">
        <f>_xlfn.DISPIMG("ID_8862CF8F67E94F49BA25AF43C58A74CB",1)</f>
        <v>=DISPIMG("ID_8862CF8F67E94F49BA25AF43C58A74CB",1)</v>
      </c>
      <c r="Q27" s="11" t="s">
        <v>930</v>
      </c>
      <c r="R27" s="11">
        <v>93</v>
      </c>
      <c r="S27" s="17" t="s">
        <v>4339</v>
      </c>
      <c r="T27" s="94" t="s">
        <v>36</v>
      </c>
    </row>
    <row r="28" s="3" customFormat="1" customHeight="1" spans="1:20">
      <c r="A28" s="84">
        <v>26</v>
      </c>
      <c r="B28" s="177" t="s">
        <v>957</v>
      </c>
      <c r="C28" s="167" t="s">
        <v>165</v>
      </c>
      <c r="D28" s="167" t="s">
        <v>958</v>
      </c>
      <c r="E28" s="11">
        <v>15579232085</v>
      </c>
      <c r="F28" s="167" t="s">
        <v>278</v>
      </c>
      <c r="G28" s="167" t="s">
        <v>28</v>
      </c>
      <c r="H28" s="11">
        <v>202103001</v>
      </c>
      <c r="I28" s="167" t="s">
        <v>279</v>
      </c>
      <c r="J28" s="167" t="s">
        <v>367</v>
      </c>
      <c r="K28" s="167" t="s">
        <v>960</v>
      </c>
      <c r="L28" s="167" t="s">
        <v>160</v>
      </c>
      <c r="M28" s="167" t="s">
        <v>261</v>
      </c>
      <c r="N28" s="167" t="s">
        <v>961</v>
      </c>
      <c r="O28" s="11">
        <v>0</v>
      </c>
      <c r="P28" s="12" t="str">
        <f>_xlfn.DISPIMG("ID_4CCFD0700027401988C293FD5FDA33FE",1)</f>
        <v>=DISPIMG("ID_4CCFD0700027401988C293FD5FDA33FE",1)</v>
      </c>
      <c r="Q28" s="11" t="s">
        <v>962</v>
      </c>
      <c r="R28" s="11">
        <v>97</v>
      </c>
      <c r="S28" s="17" t="s">
        <v>4340</v>
      </c>
      <c r="T28" s="94" t="s">
        <v>36</v>
      </c>
    </row>
    <row r="29" s="3" customFormat="1" customHeight="1" spans="1:20">
      <c r="A29" s="84">
        <v>27</v>
      </c>
      <c r="B29" s="177" t="s">
        <v>1010</v>
      </c>
      <c r="C29" s="167" t="s">
        <v>165</v>
      </c>
      <c r="D29" s="167" t="s">
        <v>1011</v>
      </c>
      <c r="E29" s="11">
        <v>13065115241</v>
      </c>
      <c r="F29" s="167" t="s">
        <v>278</v>
      </c>
      <c r="G29" s="167" t="s">
        <v>28</v>
      </c>
      <c r="H29" s="11">
        <v>202103001</v>
      </c>
      <c r="I29" s="167" t="s">
        <v>279</v>
      </c>
      <c r="J29" s="167" t="s">
        <v>662</v>
      </c>
      <c r="K29" s="167" t="s">
        <v>280</v>
      </c>
      <c r="L29" s="167" t="s">
        <v>170</v>
      </c>
      <c r="M29" s="167" t="s">
        <v>161</v>
      </c>
      <c r="N29" s="167" t="s">
        <v>1013</v>
      </c>
      <c r="O29" s="167" t="s">
        <v>1014</v>
      </c>
      <c r="P29" s="12" t="str">
        <f>_xlfn.DISPIMG("ID_723B44C496604BFA92AC4D10BD64E9FC",1)</f>
        <v>=DISPIMG("ID_723B44C496604BFA92AC4D10BD64E9FC",1)</v>
      </c>
      <c r="Q29" s="11" t="s">
        <v>1015</v>
      </c>
      <c r="R29" s="11">
        <v>103</v>
      </c>
      <c r="S29" s="17" t="s">
        <v>4341</v>
      </c>
      <c r="T29" s="94" t="s">
        <v>36</v>
      </c>
    </row>
    <row r="30" s="3" customFormat="1" customHeight="1" spans="1:20">
      <c r="A30" s="84">
        <v>28</v>
      </c>
      <c r="B30" s="177" t="s">
        <v>1027</v>
      </c>
      <c r="C30" s="167" t="s">
        <v>165</v>
      </c>
      <c r="D30" s="167" t="s">
        <v>1028</v>
      </c>
      <c r="E30" s="11">
        <v>15579180298</v>
      </c>
      <c r="F30" s="167" t="s">
        <v>278</v>
      </c>
      <c r="G30" s="167" t="s">
        <v>28</v>
      </c>
      <c r="H30" s="11">
        <v>202103001</v>
      </c>
      <c r="I30" s="167" t="s">
        <v>279</v>
      </c>
      <c r="J30" s="167" t="s">
        <v>662</v>
      </c>
      <c r="K30" s="167" t="s">
        <v>280</v>
      </c>
      <c r="L30" s="167" t="s">
        <v>170</v>
      </c>
      <c r="M30" s="167" t="s">
        <v>161</v>
      </c>
      <c r="N30" s="167" t="s">
        <v>376</v>
      </c>
      <c r="O30" s="167" t="s">
        <v>1030</v>
      </c>
      <c r="P30" s="12" t="str">
        <f>_xlfn.DISPIMG("ID_1619E0FF3AE04637958459633AD8C1B8",1)</f>
        <v>=DISPIMG("ID_1619E0FF3AE04637958459633AD8C1B8",1)</v>
      </c>
      <c r="Q30" s="11" t="s">
        <v>1031</v>
      </c>
      <c r="R30" s="11">
        <v>105</v>
      </c>
      <c r="S30" s="17" t="s">
        <v>4342</v>
      </c>
      <c r="T30" s="94" t="s">
        <v>36</v>
      </c>
    </row>
    <row r="31" s="3" customFormat="1" customHeight="1" spans="1:20">
      <c r="A31" s="84">
        <v>29</v>
      </c>
      <c r="B31" s="177" t="s">
        <v>1043</v>
      </c>
      <c r="C31" s="167" t="s">
        <v>165</v>
      </c>
      <c r="D31" s="167" t="s">
        <v>1044</v>
      </c>
      <c r="E31" s="11">
        <v>13257081497</v>
      </c>
      <c r="F31" s="167" t="s">
        <v>278</v>
      </c>
      <c r="G31" s="167" t="s">
        <v>28</v>
      </c>
      <c r="H31" s="11">
        <v>202103001</v>
      </c>
      <c r="I31" s="167" t="s">
        <v>279</v>
      </c>
      <c r="J31" s="167" t="s">
        <v>515</v>
      </c>
      <c r="K31" s="167" t="s">
        <v>280</v>
      </c>
      <c r="L31" s="167" t="s">
        <v>170</v>
      </c>
      <c r="M31" s="167" t="s">
        <v>216</v>
      </c>
      <c r="N31" s="167" t="s">
        <v>28</v>
      </c>
      <c r="O31" s="167" t="s">
        <v>1046</v>
      </c>
      <c r="P31" s="12" t="str">
        <f>_xlfn.DISPIMG("ID_95C77A057E51453F847E60BE7A6D3C93",1)</f>
        <v>=DISPIMG("ID_95C77A057E51453F847E60BE7A6D3C93",1)</v>
      </c>
      <c r="Q31" s="11" t="s">
        <v>1047</v>
      </c>
      <c r="R31" s="11">
        <v>107</v>
      </c>
      <c r="S31" s="17" t="s">
        <v>4343</v>
      </c>
      <c r="T31" s="94" t="s">
        <v>36</v>
      </c>
    </row>
    <row r="32" s="3" customFormat="1" customHeight="1" spans="1:20">
      <c r="A32" s="84">
        <v>30</v>
      </c>
      <c r="B32" s="177" t="s">
        <v>1094</v>
      </c>
      <c r="C32" s="167" t="s">
        <v>165</v>
      </c>
      <c r="D32" s="167" t="s">
        <v>1095</v>
      </c>
      <c r="E32" s="11">
        <v>18279284539</v>
      </c>
      <c r="F32" s="167" t="s">
        <v>278</v>
      </c>
      <c r="G32" s="167" t="s">
        <v>28</v>
      </c>
      <c r="H32" s="11">
        <v>202103001</v>
      </c>
      <c r="I32" s="167" t="s">
        <v>279</v>
      </c>
      <c r="J32" s="167" t="s">
        <v>1097</v>
      </c>
      <c r="K32" s="167" t="s">
        <v>280</v>
      </c>
      <c r="L32" s="167" t="s">
        <v>170</v>
      </c>
      <c r="M32" s="167" t="s">
        <v>455</v>
      </c>
      <c r="N32" s="167" t="s">
        <v>1098</v>
      </c>
      <c r="O32" s="11">
        <v>0</v>
      </c>
      <c r="P32" s="12" t="str">
        <f>_xlfn.DISPIMG("ID_FAFFBB147A2A46E5B294F9119A127E5F",1)</f>
        <v>=DISPIMG("ID_FAFFBB147A2A46E5B294F9119A127E5F",1)</v>
      </c>
      <c r="Q32" s="11" t="s">
        <v>1099</v>
      </c>
      <c r="R32" s="11">
        <v>114</v>
      </c>
      <c r="S32" s="17" t="s">
        <v>4344</v>
      </c>
      <c r="T32" s="94" t="s">
        <v>36</v>
      </c>
    </row>
    <row r="33" s="3" customFormat="1" customHeight="1" spans="1:20">
      <c r="A33" s="84">
        <v>1</v>
      </c>
      <c r="B33" s="177" t="s">
        <v>1218</v>
      </c>
      <c r="C33" s="167" t="s">
        <v>165</v>
      </c>
      <c r="D33" s="167" t="s">
        <v>1219</v>
      </c>
      <c r="E33" s="11">
        <v>17679241558</v>
      </c>
      <c r="F33" s="167" t="s">
        <v>278</v>
      </c>
      <c r="G33" s="167" t="s">
        <v>28</v>
      </c>
      <c r="H33" s="11">
        <v>202103001</v>
      </c>
      <c r="I33" s="167" t="s">
        <v>279</v>
      </c>
      <c r="J33" s="167" t="s">
        <v>1221</v>
      </c>
      <c r="K33" s="167" t="s">
        <v>280</v>
      </c>
      <c r="L33" s="167" t="s">
        <v>170</v>
      </c>
      <c r="M33" s="167" t="s">
        <v>161</v>
      </c>
      <c r="N33" s="167" t="s">
        <v>1222</v>
      </c>
      <c r="O33" s="167" t="s">
        <v>1223</v>
      </c>
      <c r="P33" s="12" t="str">
        <f>_xlfn.DISPIMG("ID_9D5D5082709049DE9F85EE45C9D21765",1)</f>
        <v>=DISPIMG("ID_9D5D5082709049DE9F85EE45C9D21765",1)</v>
      </c>
      <c r="Q33" s="11" t="s">
        <v>1224</v>
      </c>
      <c r="R33" s="11">
        <v>129</v>
      </c>
      <c r="S33" s="17" t="s">
        <v>4345</v>
      </c>
      <c r="T33" s="18" t="s">
        <v>38</v>
      </c>
    </row>
    <row r="34" s="3" customFormat="1" customHeight="1" spans="1:20">
      <c r="A34" s="84">
        <v>2</v>
      </c>
      <c r="B34" s="177" t="s">
        <v>1234</v>
      </c>
      <c r="C34" s="167" t="s">
        <v>165</v>
      </c>
      <c r="D34" s="167" t="s">
        <v>1235</v>
      </c>
      <c r="E34" s="11">
        <v>18870682713</v>
      </c>
      <c r="F34" s="167" t="s">
        <v>278</v>
      </c>
      <c r="G34" s="167" t="s">
        <v>28</v>
      </c>
      <c r="H34" s="11">
        <v>202103001</v>
      </c>
      <c r="I34" s="167" t="s">
        <v>279</v>
      </c>
      <c r="J34" s="167" t="s">
        <v>1237</v>
      </c>
      <c r="K34" s="167" t="s">
        <v>280</v>
      </c>
      <c r="L34" s="167" t="s">
        <v>170</v>
      </c>
      <c r="M34" s="167" t="s">
        <v>161</v>
      </c>
      <c r="N34" s="167" t="s">
        <v>340</v>
      </c>
      <c r="O34" s="167" t="s">
        <v>1238</v>
      </c>
      <c r="P34" s="12" t="str">
        <f>_xlfn.DISPIMG("ID_BE82B2F060544F05BBDE4FAB7F0C0521",1)</f>
        <v>=DISPIMG("ID_BE82B2F060544F05BBDE4FAB7F0C0521",1)</v>
      </c>
      <c r="Q34" s="11" t="s">
        <v>1239</v>
      </c>
      <c r="R34" s="11">
        <v>131</v>
      </c>
      <c r="S34" s="17" t="s">
        <v>4346</v>
      </c>
      <c r="T34" s="18" t="s">
        <v>38</v>
      </c>
    </row>
    <row r="35" s="3" customFormat="1" customHeight="1" spans="1:20">
      <c r="A35" s="84">
        <v>3</v>
      </c>
      <c r="B35" s="177" t="s">
        <v>1242</v>
      </c>
      <c r="C35" s="167" t="s">
        <v>165</v>
      </c>
      <c r="D35" s="167" t="s">
        <v>1243</v>
      </c>
      <c r="E35" s="11">
        <v>18870899233</v>
      </c>
      <c r="F35" s="167" t="s">
        <v>278</v>
      </c>
      <c r="G35" s="167" t="s">
        <v>28</v>
      </c>
      <c r="H35" s="11">
        <v>202103001</v>
      </c>
      <c r="I35" s="167" t="s">
        <v>279</v>
      </c>
      <c r="J35" s="167" t="s">
        <v>1237</v>
      </c>
      <c r="K35" s="167" t="s">
        <v>280</v>
      </c>
      <c r="L35" s="167" t="s">
        <v>170</v>
      </c>
      <c r="M35" s="167" t="s">
        <v>161</v>
      </c>
      <c r="N35" s="167" t="s">
        <v>340</v>
      </c>
      <c r="O35" s="167" t="s">
        <v>1245</v>
      </c>
      <c r="P35" s="12" t="str">
        <f>_xlfn.DISPIMG("ID_1047B30E34C949B594403C816BBC2C68",1)</f>
        <v>=DISPIMG("ID_1047B30E34C949B594403C816BBC2C68",1)</v>
      </c>
      <c r="Q35" s="11" t="s">
        <v>1246</v>
      </c>
      <c r="R35" s="11">
        <v>132</v>
      </c>
      <c r="S35" s="17" t="s">
        <v>4347</v>
      </c>
      <c r="T35" s="18" t="s">
        <v>38</v>
      </c>
    </row>
    <row r="36" s="3" customFormat="1" customHeight="1" spans="1:20">
      <c r="A36" s="84">
        <v>4</v>
      </c>
      <c r="B36" s="177" t="s">
        <v>1249</v>
      </c>
      <c r="C36" s="167" t="s">
        <v>153</v>
      </c>
      <c r="D36" s="167" t="s">
        <v>1250</v>
      </c>
      <c r="E36" s="11">
        <v>13687914090</v>
      </c>
      <c r="F36" s="167" t="s">
        <v>278</v>
      </c>
      <c r="G36" s="167" t="s">
        <v>28</v>
      </c>
      <c r="H36" s="11">
        <v>202103001</v>
      </c>
      <c r="I36" s="167" t="s">
        <v>279</v>
      </c>
      <c r="J36" s="167" t="s">
        <v>515</v>
      </c>
      <c r="K36" s="167" t="s">
        <v>280</v>
      </c>
      <c r="L36" s="167" t="s">
        <v>170</v>
      </c>
      <c r="M36" s="167" t="s">
        <v>541</v>
      </c>
      <c r="N36" s="167" t="s">
        <v>376</v>
      </c>
      <c r="O36" s="11">
        <v>0</v>
      </c>
      <c r="P36" s="12" t="str">
        <f>_xlfn.DISPIMG("ID_42B7E9B54AA84CB08052198053CBAE81",1)</f>
        <v>=DISPIMG("ID_42B7E9B54AA84CB08052198053CBAE81",1)</v>
      </c>
      <c r="Q36" s="11" t="s">
        <v>1252</v>
      </c>
      <c r="R36" s="11">
        <v>133</v>
      </c>
      <c r="S36" s="17" t="s">
        <v>4348</v>
      </c>
      <c r="T36" s="18" t="s">
        <v>38</v>
      </c>
    </row>
    <row r="37" s="3" customFormat="1" customHeight="1" spans="1:20">
      <c r="A37" s="84">
        <v>5</v>
      </c>
      <c r="B37" s="177" t="s">
        <v>1280</v>
      </c>
      <c r="C37" s="167" t="s">
        <v>165</v>
      </c>
      <c r="D37" s="167" t="s">
        <v>1281</v>
      </c>
      <c r="E37" s="11">
        <v>15779415003</v>
      </c>
      <c r="F37" s="167" t="s">
        <v>278</v>
      </c>
      <c r="G37" s="167" t="s">
        <v>28</v>
      </c>
      <c r="H37" s="11">
        <v>202103001</v>
      </c>
      <c r="I37" s="167" t="s">
        <v>279</v>
      </c>
      <c r="J37" s="167" t="s">
        <v>367</v>
      </c>
      <c r="K37" s="167" t="s">
        <v>280</v>
      </c>
      <c r="L37" s="167" t="s">
        <v>170</v>
      </c>
      <c r="M37" s="167" t="s">
        <v>368</v>
      </c>
      <c r="N37" s="167" t="s">
        <v>340</v>
      </c>
      <c r="O37" s="167" t="s">
        <v>1283</v>
      </c>
      <c r="P37" s="12" t="str">
        <f>_xlfn.DISPIMG("ID_7CFB1AF7BB454AE0866D54E1D87E03E1",1)</f>
        <v>=DISPIMG("ID_7CFB1AF7BB454AE0866D54E1D87E03E1",1)</v>
      </c>
      <c r="Q37" s="11" t="s">
        <v>1284</v>
      </c>
      <c r="R37" s="11">
        <v>138</v>
      </c>
      <c r="S37" s="17" t="s">
        <v>4349</v>
      </c>
      <c r="T37" s="18" t="s">
        <v>38</v>
      </c>
    </row>
    <row r="38" s="4" customFormat="1" customHeight="1" spans="1:20">
      <c r="A38" s="84">
        <v>6</v>
      </c>
      <c r="B38" s="177" t="s">
        <v>1286</v>
      </c>
      <c r="C38" s="167" t="s">
        <v>165</v>
      </c>
      <c r="D38" s="167" t="s">
        <v>1287</v>
      </c>
      <c r="E38" s="11">
        <v>18296159811</v>
      </c>
      <c r="F38" s="167" t="s">
        <v>278</v>
      </c>
      <c r="G38" s="167" t="s">
        <v>28</v>
      </c>
      <c r="H38" s="11">
        <v>202103001</v>
      </c>
      <c r="I38" s="167" t="s">
        <v>279</v>
      </c>
      <c r="J38" s="167" t="s">
        <v>1289</v>
      </c>
      <c r="K38" s="167" t="s">
        <v>280</v>
      </c>
      <c r="L38" s="167" t="s">
        <v>170</v>
      </c>
      <c r="M38" s="167" t="s">
        <v>216</v>
      </c>
      <c r="N38" s="167" t="s">
        <v>960</v>
      </c>
      <c r="O38" s="167" t="s">
        <v>1290</v>
      </c>
      <c r="P38" s="12" t="str">
        <f>_xlfn.DISPIMG("ID_FACC95E727304010BE372974F21E9256",1)</f>
        <v>=DISPIMG("ID_FACC95E727304010BE372974F21E9256",1)</v>
      </c>
      <c r="Q38" s="11" t="s">
        <v>1291</v>
      </c>
      <c r="R38" s="11">
        <v>139</v>
      </c>
      <c r="S38" s="17" t="s">
        <v>4350</v>
      </c>
      <c r="T38" s="18" t="s">
        <v>38</v>
      </c>
    </row>
    <row r="39" s="5" customFormat="1" customHeight="1" spans="1:20">
      <c r="A39" s="84">
        <v>7</v>
      </c>
      <c r="B39" s="177" t="s">
        <v>1344</v>
      </c>
      <c r="C39" s="167" t="s">
        <v>165</v>
      </c>
      <c r="D39" s="167" t="s">
        <v>1345</v>
      </c>
      <c r="E39" s="11">
        <v>15179298712</v>
      </c>
      <c r="F39" s="167" t="s">
        <v>278</v>
      </c>
      <c r="G39" s="167" t="s">
        <v>28</v>
      </c>
      <c r="H39" s="11">
        <v>202103001</v>
      </c>
      <c r="I39" s="167" t="s">
        <v>279</v>
      </c>
      <c r="J39" s="167" t="s">
        <v>158</v>
      </c>
      <c r="K39" s="167" t="s">
        <v>179</v>
      </c>
      <c r="L39" s="167" t="s">
        <v>170</v>
      </c>
      <c r="M39" s="167" t="s">
        <v>1346</v>
      </c>
      <c r="N39" s="167" t="s">
        <v>1013</v>
      </c>
      <c r="O39" s="11">
        <v>0</v>
      </c>
      <c r="P39" s="12" t="str">
        <f>_xlfn.DISPIMG("ID_249FF3C1A0EA4CE88757DD6F52651ECC",1)</f>
        <v>=DISPIMG("ID_249FF3C1A0EA4CE88757DD6F52651ECC",1)</v>
      </c>
      <c r="Q39" s="11" t="s">
        <v>1347</v>
      </c>
      <c r="R39" s="11">
        <v>146</v>
      </c>
      <c r="S39" s="17" t="s">
        <v>4351</v>
      </c>
      <c r="T39" s="18" t="s">
        <v>38</v>
      </c>
    </row>
    <row r="40" s="3" customFormat="1" customHeight="1" spans="1:20">
      <c r="A40" s="84">
        <v>8</v>
      </c>
      <c r="B40" s="177" t="s">
        <v>1327</v>
      </c>
      <c r="C40" s="167" t="s">
        <v>165</v>
      </c>
      <c r="D40" s="167" t="s">
        <v>1328</v>
      </c>
      <c r="E40" s="11">
        <v>15870865214</v>
      </c>
      <c r="F40" s="167" t="s">
        <v>278</v>
      </c>
      <c r="G40" s="167" t="s">
        <v>28</v>
      </c>
      <c r="H40" s="11">
        <v>202103001</v>
      </c>
      <c r="I40" s="167" t="s">
        <v>279</v>
      </c>
      <c r="J40" s="167" t="s">
        <v>1330</v>
      </c>
      <c r="K40" s="167" t="s">
        <v>1331</v>
      </c>
      <c r="L40" s="167" t="s">
        <v>160</v>
      </c>
      <c r="M40" s="167" t="s">
        <v>368</v>
      </c>
      <c r="N40" s="167" t="s">
        <v>1418</v>
      </c>
      <c r="O40" s="11">
        <v>0</v>
      </c>
      <c r="P40" s="12" t="str">
        <f>_xlfn.DISPIMG("ID_042121583D6C4BE29ACF5C4CE545F254",1)</f>
        <v>=DISPIMG("ID_042121583D6C4BE29ACF5C4CE545F254",1)</v>
      </c>
      <c r="Q40" s="11" t="s">
        <v>1333</v>
      </c>
      <c r="R40" s="11">
        <v>156</v>
      </c>
      <c r="S40" s="17" t="s">
        <v>4352</v>
      </c>
      <c r="T40" s="18" t="s">
        <v>38</v>
      </c>
    </row>
    <row r="41" s="3" customFormat="1" customHeight="1" spans="1:20">
      <c r="A41" s="84">
        <v>9</v>
      </c>
      <c r="B41" s="177" t="s">
        <v>1446</v>
      </c>
      <c r="C41" s="167" t="s">
        <v>165</v>
      </c>
      <c r="D41" s="167" t="s">
        <v>1447</v>
      </c>
      <c r="E41" s="11">
        <v>13970292674</v>
      </c>
      <c r="F41" s="167" t="s">
        <v>278</v>
      </c>
      <c r="G41" s="167" t="s">
        <v>28</v>
      </c>
      <c r="H41" s="11">
        <v>202103001</v>
      </c>
      <c r="I41" s="167" t="s">
        <v>585</v>
      </c>
      <c r="J41" s="167" t="s">
        <v>367</v>
      </c>
      <c r="K41" s="167" t="s">
        <v>280</v>
      </c>
      <c r="L41" s="167" t="s">
        <v>170</v>
      </c>
      <c r="M41" s="167" t="s">
        <v>306</v>
      </c>
      <c r="N41" s="167" t="s">
        <v>1449</v>
      </c>
      <c r="O41" s="167" t="s">
        <v>1450</v>
      </c>
      <c r="P41" s="12" t="str">
        <f>_xlfn.DISPIMG("ID_C58710654847468A83F51047999B3A07",1)</f>
        <v>=DISPIMG("ID_C58710654847468A83F51047999B3A07",1)</v>
      </c>
      <c r="Q41" s="11" t="s">
        <v>1451</v>
      </c>
      <c r="R41" s="11">
        <v>160</v>
      </c>
      <c r="S41" s="17" t="s">
        <v>4353</v>
      </c>
      <c r="T41" s="18" t="s">
        <v>38</v>
      </c>
    </row>
    <row r="42" s="3" customFormat="1" customHeight="1" spans="1:20">
      <c r="A42" s="84">
        <v>10</v>
      </c>
      <c r="B42" s="177" t="s">
        <v>1454</v>
      </c>
      <c r="C42" s="167" t="s">
        <v>165</v>
      </c>
      <c r="D42" s="167" t="s">
        <v>1455</v>
      </c>
      <c r="E42" s="11">
        <v>15679261175</v>
      </c>
      <c r="F42" s="167" t="s">
        <v>278</v>
      </c>
      <c r="G42" s="167" t="s">
        <v>28</v>
      </c>
      <c r="H42" s="11">
        <v>202103001</v>
      </c>
      <c r="I42" s="167" t="s">
        <v>157</v>
      </c>
      <c r="J42" s="167" t="s">
        <v>1457</v>
      </c>
      <c r="K42" s="167" t="s">
        <v>280</v>
      </c>
      <c r="L42" s="167" t="s">
        <v>160</v>
      </c>
      <c r="M42" s="167" t="s">
        <v>368</v>
      </c>
      <c r="N42" s="167" t="s">
        <v>1458</v>
      </c>
      <c r="O42" s="167" t="s">
        <v>1459</v>
      </c>
      <c r="P42" s="12" t="str">
        <f>_xlfn.DISPIMG("ID_B3F35F8B340047F693855C9AE3461262",1)</f>
        <v>=DISPIMG("ID_B3F35F8B340047F693855C9AE3461262",1)</v>
      </c>
      <c r="Q42" s="11" t="s">
        <v>1460</v>
      </c>
      <c r="R42" s="11">
        <v>161</v>
      </c>
      <c r="S42" s="17" t="s">
        <v>4354</v>
      </c>
      <c r="T42" s="18" t="s">
        <v>38</v>
      </c>
    </row>
    <row r="43" s="3" customFormat="1" customHeight="1" spans="1:20">
      <c r="A43" s="84">
        <v>11</v>
      </c>
      <c r="B43" s="177" t="s">
        <v>1520</v>
      </c>
      <c r="C43" s="167" t="s">
        <v>165</v>
      </c>
      <c r="D43" s="167" t="s">
        <v>1521</v>
      </c>
      <c r="E43" s="11">
        <v>18370105501</v>
      </c>
      <c r="F43" s="167" t="s">
        <v>278</v>
      </c>
      <c r="G43" s="167" t="s">
        <v>28</v>
      </c>
      <c r="H43" s="11">
        <v>202103001</v>
      </c>
      <c r="I43" s="167" t="s">
        <v>279</v>
      </c>
      <c r="J43" s="167" t="s">
        <v>1523</v>
      </c>
      <c r="K43" s="167" t="s">
        <v>280</v>
      </c>
      <c r="L43" s="167" t="s">
        <v>170</v>
      </c>
      <c r="M43" s="167" t="s">
        <v>235</v>
      </c>
      <c r="N43" s="167" t="s">
        <v>28</v>
      </c>
      <c r="O43" s="167" t="s">
        <v>1524</v>
      </c>
      <c r="P43" s="12" t="str">
        <f>_xlfn.DISPIMG("ID_289CC567200648A4AB5780D725CC9684",1)</f>
        <v>=DISPIMG("ID_289CC567200648A4AB5780D725CC9684",1)</v>
      </c>
      <c r="Q43" s="11" t="s">
        <v>1525</v>
      </c>
      <c r="R43" s="11">
        <v>169</v>
      </c>
      <c r="S43" s="17" t="s">
        <v>4355</v>
      </c>
      <c r="T43" s="18" t="s">
        <v>38</v>
      </c>
    </row>
    <row r="44" s="3" customFormat="1" customHeight="1" spans="1:20">
      <c r="A44" s="84">
        <v>12</v>
      </c>
      <c r="B44" s="177" t="s">
        <v>1535</v>
      </c>
      <c r="C44" s="167" t="s">
        <v>165</v>
      </c>
      <c r="D44" s="167" t="s">
        <v>1536</v>
      </c>
      <c r="E44" s="11">
        <v>17779207332</v>
      </c>
      <c r="F44" s="167" t="s">
        <v>278</v>
      </c>
      <c r="G44" s="167" t="s">
        <v>28</v>
      </c>
      <c r="H44" s="11">
        <v>202103001</v>
      </c>
      <c r="I44" s="167" t="s">
        <v>279</v>
      </c>
      <c r="J44" s="167" t="s">
        <v>765</v>
      </c>
      <c r="K44" s="167" t="s">
        <v>280</v>
      </c>
      <c r="L44" s="167" t="s">
        <v>170</v>
      </c>
      <c r="M44" s="167" t="s">
        <v>235</v>
      </c>
      <c r="N44" s="167" t="s">
        <v>517</v>
      </c>
      <c r="O44" s="167" t="s">
        <v>1538</v>
      </c>
      <c r="P44" s="12" t="str">
        <f>_xlfn.DISPIMG("ID_E53DAA599F9A40239F1135427FCA9C4F",1)</f>
        <v>=DISPIMG("ID_E53DAA599F9A40239F1135427FCA9C4F",1)</v>
      </c>
      <c r="Q44" s="11" t="s">
        <v>1539</v>
      </c>
      <c r="R44" s="11">
        <v>171</v>
      </c>
      <c r="S44" s="17" t="s">
        <v>4356</v>
      </c>
      <c r="T44" s="18" t="s">
        <v>38</v>
      </c>
    </row>
    <row r="45" s="3" customFormat="1" customHeight="1" spans="1:20">
      <c r="A45" s="84">
        <v>13</v>
      </c>
      <c r="B45" s="177" t="s">
        <v>1559</v>
      </c>
      <c r="C45" s="167" t="s">
        <v>165</v>
      </c>
      <c r="D45" s="167" t="s">
        <v>1560</v>
      </c>
      <c r="E45" s="11">
        <v>18720242536</v>
      </c>
      <c r="F45" s="167" t="s">
        <v>278</v>
      </c>
      <c r="G45" s="167" t="s">
        <v>28</v>
      </c>
      <c r="H45" s="11">
        <v>202103001</v>
      </c>
      <c r="I45" s="167" t="s">
        <v>279</v>
      </c>
      <c r="J45" s="167" t="s">
        <v>876</v>
      </c>
      <c r="K45" s="167" t="s">
        <v>960</v>
      </c>
      <c r="L45" s="167" t="s">
        <v>170</v>
      </c>
      <c r="M45" s="167" t="s">
        <v>171</v>
      </c>
      <c r="N45" s="167" t="s">
        <v>340</v>
      </c>
      <c r="O45" s="167" t="s">
        <v>1562</v>
      </c>
      <c r="P45" s="12" t="str">
        <f>_xlfn.DISPIMG("ID_9804FB5AA98E4D44BBA382539FDAF7F0",1)</f>
        <v>=DISPIMG("ID_9804FB5AA98E4D44BBA382539FDAF7F0",1)</v>
      </c>
      <c r="Q45" s="11" t="s">
        <v>1563</v>
      </c>
      <c r="R45" s="11">
        <v>174</v>
      </c>
      <c r="S45" s="17" t="s">
        <v>4357</v>
      </c>
      <c r="T45" s="18" t="s">
        <v>38</v>
      </c>
    </row>
    <row r="46" s="3" customFormat="1" customHeight="1" spans="1:20">
      <c r="A46" s="84">
        <v>14</v>
      </c>
      <c r="B46" s="177" t="s">
        <v>1665</v>
      </c>
      <c r="C46" s="167" t="s">
        <v>165</v>
      </c>
      <c r="D46" s="167" t="s">
        <v>1666</v>
      </c>
      <c r="E46" s="11">
        <v>19126781619</v>
      </c>
      <c r="F46" s="167" t="s">
        <v>278</v>
      </c>
      <c r="G46" s="167" t="s">
        <v>28</v>
      </c>
      <c r="H46" s="11">
        <v>202103001</v>
      </c>
      <c r="I46" s="167" t="s">
        <v>585</v>
      </c>
      <c r="J46" s="167" t="s">
        <v>168</v>
      </c>
      <c r="K46" s="167" t="s">
        <v>280</v>
      </c>
      <c r="L46" s="167" t="s">
        <v>170</v>
      </c>
      <c r="M46" s="167" t="s">
        <v>548</v>
      </c>
      <c r="N46" s="167" t="s">
        <v>376</v>
      </c>
      <c r="O46" s="167" t="s">
        <v>1668</v>
      </c>
      <c r="P46" s="12" t="str">
        <f>_xlfn.DISPIMG("ID_B5AB63FC8A81490B8ED2FED7AE302A44",1)</f>
        <v>=DISPIMG("ID_B5AB63FC8A81490B8ED2FED7AE302A44",1)</v>
      </c>
      <c r="Q46" s="11" t="s">
        <v>1669</v>
      </c>
      <c r="R46" s="11">
        <v>188</v>
      </c>
      <c r="S46" s="17" t="s">
        <v>4358</v>
      </c>
      <c r="T46" s="18" t="s">
        <v>38</v>
      </c>
    </row>
    <row r="47" s="3" customFormat="1" customHeight="1" spans="1:20">
      <c r="A47" s="84">
        <v>15</v>
      </c>
      <c r="B47" s="177" t="s">
        <v>1681</v>
      </c>
      <c r="C47" s="167" t="s">
        <v>165</v>
      </c>
      <c r="D47" s="167" t="s">
        <v>1682</v>
      </c>
      <c r="E47" s="11">
        <v>15707021172</v>
      </c>
      <c r="F47" s="167" t="s">
        <v>278</v>
      </c>
      <c r="G47" s="167" t="s">
        <v>28</v>
      </c>
      <c r="H47" s="11">
        <v>202103001</v>
      </c>
      <c r="I47" s="167" t="s">
        <v>279</v>
      </c>
      <c r="J47" s="167" t="s">
        <v>367</v>
      </c>
      <c r="K47" s="167" t="s">
        <v>1684</v>
      </c>
      <c r="L47" s="167" t="s">
        <v>170</v>
      </c>
      <c r="M47" s="167" t="s">
        <v>368</v>
      </c>
      <c r="N47" s="167" t="s">
        <v>376</v>
      </c>
      <c r="O47" s="167" t="s">
        <v>1685</v>
      </c>
      <c r="P47" s="12" t="str">
        <f>_xlfn.DISPIMG("ID_F515C4DE5D464F10B51159D5558C7D1A",1)</f>
        <v>=DISPIMG("ID_F515C4DE5D464F10B51159D5558C7D1A",1)</v>
      </c>
      <c r="Q47" s="11" t="s">
        <v>1686</v>
      </c>
      <c r="R47" s="11">
        <v>190</v>
      </c>
      <c r="S47" s="17" t="s">
        <v>4359</v>
      </c>
      <c r="T47" s="18" t="s">
        <v>38</v>
      </c>
    </row>
    <row r="48" s="3" customFormat="1" customHeight="1" spans="1:20">
      <c r="A48" s="84">
        <v>16</v>
      </c>
      <c r="B48" s="177" t="s">
        <v>1751</v>
      </c>
      <c r="C48" s="167" t="s">
        <v>165</v>
      </c>
      <c r="D48" s="167" t="s">
        <v>1752</v>
      </c>
      <c r="E48" s="11">
        <v>18770825920</v>
      </c>
      <c r="F48" s="167" t="s">
        <v>278</v>
      </c>
      <c r="G48" s="167" t="s">
        <v>28</v>
      </c>
      <c r="H48" s="11">
        <v>202103001</v>
      </c>
      <c r="I48" s="167" t="s">
        <v>585</v>
      </c>
      <c r="J48" s="167" t="s">
        <v>367</v>
      </c>
      <c r="K48" s="167" t="s">
        <v>280</v>
      </c>
      <c r="L48" s="167" t="s">
        <v>160</v>
      </c>
      <c r="M48" s="167" t="s">
        <v>396</v>
      </c>
      <c r="N48" s="167" t="s">
        <v>1754</v>
      </c>
      <c r="O48" s="167" t="s">
        <v>1755</v>
      </c>
      <c r="P48" s="12" t="str">
        <f>_xlfn.DISPIMG("ID_11BD6E6070704D3C9E8B19CABEC53565",1)</f>
        <v>=DISPIMG("ID_11BD6E6070704D3C9E8B19CABEC53565",1)</v>
      </c>
      <c r="Q48" s="11" t="s">
        <v>1756</v>
      </c>
      <c r="R48" s="11">
        <v>199</v>
      </c>
      <c r="S48" s="17" t="s">
        <v>4360</v>
      </c>
      <c r="T48" s="18" t="s">
        <v>38</v>
      </c>
    </row>
    <row r="49" s="3" customFormat="1" customHeight="1" spans="1:20">
      <c r="A49" s="84">
        <v>17</v>
      </c>
      <c r="B49" s="177" t="s">
        <v>1773</v>
      </c>
      <c r="C49" s="167" t="s">
        <v>165</v>
      </c>
      <c r="D49" s="167" t="s">
        <v>1774</v>
      </c>
      <c r="E49" s="11">
        <v>15070865413</v>
      </c>
      <c r="F49" s="167" t="s">
        <v>278</v>
      </c>
      <c r="G49" s="167" t="s">
        <v>28</v>
      </c>
      <c r="H49" s="11">
        <v>202103001</v>
      </c>
      <c r="I49" s="167" t="s">
        <v>279</v>
      </c>
      <c r="J49" s="167" t="s">
        <v>662</v>
      </c>
      <c r="K49" s="167" t="s">
        <v>280</v>
      </c>
      <c r="L49" s="167" t="s">
        <v>170</v>
      </c>
      <c r="M49" s="167" t="s">
        <v>161</v>
      </c>
      <c r="N49" s="167" t="s">
        <v>1776</v>
      </c>
      <c r="O49" s="167" t="s">
        <v>1777</v>
      </c>
      <c r="P49" s="12" t="str">
        <f>_xlfn.DISPIMG("ID_870E78DB9450493E87561F4FC105D429",1)</f>
        <v>=DISPIMG("ID_870E78DB9450493E87561F4FC105D429",1)</v>
      </c>
      <c r="Q49" s="11" t="s">
        <v>1778</v>
      </c>
      <c r="R49" s="11">
        <v>202</v>
      </c>
      <c r="S49" s="17" t="s">
        <v>4361</v>
      </c>
      <c r="T49" s="18" t="s">
        <v>38</v>
      </c>
    </row>
    <row r="50" s="3" customFormat="1" customHeight="1" spans="1:20">
      <c r="A50" s="84">
        <v>18</v>
      </c>
      <c r="B50" s="177" t="s">
        <v>1814</v>
      </c>
      <c r="C50" s="167" t="s">
        <v>165</v>
      </c>
      <c r="D50" s="167" t="s">
        <v>1815</v>
      </c>
      <c r="E50" s="11">
        <v>15879170317</v>
      </c>
      <c r="F50" s="167" t="s">
        <v>278</v>
      </c>
      <c r="G50" s="167" t="s">
        <v>28</v>
      </c>
      <c r="H50" s="11">
        <v>202103001</v>
      </c>
      <c r="I50" s="167" t="s">
        <v>279</v>
      </c>
      <c r="J50" s="167" t="s">
        <v>732</v>
      </c>
      <c r="K50" s="167" t="s">
        <v>280</v>
      </c>
      <c r="L50" s="167" t="s">
        <v>170</v>
      </c>
      <c r="M50" s="167" t="s">
        <v>306</v>
      </c>
      <c r="N50" s="167" t="s">
        <v>1013</v>
      </c>
      <c r="O50" s="167" t="s">
        <v>1817</v>
      </c>
      <c r="P50" s="12" t="str">
        <f>_xlfn.DISPIMG("ID_6DE4E02A017F4BA2AD59ACE3034B4E4E",1)</f>
        <v>=DISPIMG("ID_6DE4E02A017F4BA2AD59ACE3034B4E4E",1)</v>
      </c>
      <c r="Q50" s="11" t="s">
        <v>1818</v>
      </c>
      <c r="R50" s="11">
        <v>207</v>
      </c>
      <c r="S50" s="17" t="s">
        <v>4362</v>
      </c>
      <c r="T50" s="18" t="s">
        <v>38</v>
      </c>
    </row>
    <row r="51" s="5" customFormat="1" customHeight="1" spans="1:20">
      <c r="A51" s="84">
        <v>19</v>
      </c>
      <c r="B51" s="177" t="s">
        <v>1855</v>
      </c>
      <c r="C51" s="167" t="s">
        <v>165</v>
      </c>
      <c r="D51" s="167" t="s">
        <v>1856</v>
      </c>
      <c r="E51" s="11">
        <v>18070128291</v>
      </c>
      <c r="F51" s="167" t="s">
        <v>278</v>
      </c>
      <c r="G51" s="167" t="s">
        <v>28</v>
      </c>
      <c r="H51" s="11">
        <v>202103001</v>
      </c>
      <c r="I51" s="167" t="s">
        <v>279</v>
      </c>
      <c r="J51" s="167" t="s">
        <v>732</v>
      </c>
      <c r="K51" s="167" t="s">
        <v>1489</v>
      </c>
      <c r="L51" s="167" t="s">
        <v>170</v>
      </c>
      <c r="M51" s="167" t="s">
        <v>733</v>
      </c>
      <c r="N51" s="167" t="s">
        <v>517</v>
      </c>
      <c r="O51" s="167" t="s">
        <v>1858</v>
      </c>
      <c r="P51" s="12" t="str">
        <f>_xlfn.DISPIMG("ID_2E8A5FF2C7EA4CF3BCF137C2FDB07272",1)</f>
        <v>=DISPIMG("ID_2E8A5FF2C7EA4CF3BCF137C2FDB07272",1)</v>
      </c>
      <c r="Q51" s="11" t="s">
        <v>1859</v>
      </c>
      <c r="R51" s="11">
        <v>212</v>
      </c>
      <c r="S51" s="17" t="s">
        <v>4363</v>
      </c>
      <c r="T51" s="18" t="s">
        <v>38</v>
      </c>
    </row>
    <row r="52" s="3" customFormat="1" customHeight="1" spans="1:20">
      <c r="A52" s="84">
        <v>20</v>
      </c>
      <c r="B52" s="177" t="s">
        <v>1919</v>
      </c>
      <c r="C52" s="167" t="s">
        <v>153</v>
      </c>
      <c r="D52" s="167" t="s">
        <v>1920</v>
      </c>
      <c r="E52" s="11">
        <v>18046826639</v>
      </c>
      <c r="F52" s="167" t="s">
        <v>278</v>
      </c>
      <c r="G52" s="167" t="s">
        <v>28</v>
      </c>
      <c r="H52" s="11">
        <v>202103001</v>
      </c>
      <c r="I52" s="167" t="s">
        <v>279</v>
      </c>
      <c r="J52" s="167" t="s">
        <v>765</v>
      </c>
      <c r="K52" s="167" t="s">
        <v>280</v>
      </c>
      <c r="L52" s="167" t="s">
        <v>170</v>
      </c>
      <c r="M52" s="167" t="s">
        <v>455</v>
      </c>
      <c r="N52" s="167" t="s">
        <v>376</v>
      </c>
      <c r="O52" s="11">
        <v>0</v>
      </c>
      <c r="P52" s="12" t="str">
        <f>_xlfn.DISPIMG("ID_A79FF9B64919489DB578A9ECC96B1C96",1)</f>
        <v>=DISPIMG("ID_A79FF9B64919489DB578A9ECC96B1C96",1)</v>
      </c>
      <c r="Q52" s="11" t="s">
        <v>1922</v>
      </c>
      <c r="R52" s="11">
        <v>221</v>
      </c>
      <c r="S52" s="17" t="s">
        <v>4364</v>
      </c>
      <c r="T52" s="18" t="s">
        <v>38</v>
      </c>
    </row>
    <row r="53" s="3" customFormat="1" customHeight="1" spans="1:20">
      <c r="A53" s="84">
        <v>21</v>
      </c>
      <c r="B53" s="177" t="s">
        <v>1969</v>
      </c>
      <c r="C53" s="167" t="s">
        <v>165</v>
      </c>
      <c r="D53" s="167" t="s">
        <v>1970</v>
      </c>
      <c r="E53" s="11">
        <v>13767214799</v>
      </c>
      <c r="F53" s="167" t="s">
        <v>278</v>
      </c>
      <c r="G53" s="167" t="s">
        <v>28</v>
      </c>
      <c r="H53" s="11">
        <v>202103001</v>
      </c>
      <c r="I53" s="167" t="s">
        <v>279</v>
      </c>
      <c r="J53" s="167" t="s">
        <v>1972</v>
      </c>
      <c r="K53" s="167" t="s">
        <v>280</v>
      </c>
      <c r="L53" s="167" t="s">
        <v>170</v>
      </c>
      <c r="M53" s="167" t="s">
        <v>368</v>
      </c>
      <c r="N53" s="167" t="s">
        <v>121</v>
      </c>
      <c r="O53" s="167" t="s">
        <v>1973</v>
      </c>
      <c r="P53" s="12" t="str">
        <f>_xlfn.DISPIMG("ID_AAF95BF9A1304A0693E0346D90E4CF2C",1)</f>
        <v>=DISPIMG("ID_AAF95BF9A1304A0693E0346D90E4CF2C",1)</v>
      </c>
      <c r="Q53" s="11" t="s">
        <v>1974</v>
      </c>
      <c r="R53" s="11">
        <v>228</v>
      </c>
      <c r="S53" s="17" t="s">
        <v>4365</v>
      </c>
      <c r="T53" s="18" t="s">
        <v>38</v>
      </c>
    </row>
    <row r="54" s="3" customFormat="1" customHeight="1" spans="1:20">
      <c r="A54" s="84">
        <v>22</v>
      </c>
      <c r="B54" s="177" t="s">
        <v>2060</v>
      </c>
      <c r="C54" s="167" t="s">
        <v>165</v>
      </c>
      <c r="D54" s="167" t="s">
        <v>2061</v>
      </c>
      <c r="E54" s="11">
        <v>15112002923</v>
      </c>
      <c r="F54" s="167" t="s">
        <v>278</v>
      </c>
      <c r="G54" s="167" t="s">
        <v>28</v>
      </c>
      <c r="H54" s="11">
        <v>202103001</v>
      </c>
      <c r="I54" s="167" t="s">
        <v>157</v>
      </c>
      <c r="J54" s="167" t="s">
        <v>2063</v>
      </c>
      <c r="K54" s="167" t="s">
        <v>280</v>
      </c>
      <c r="L54" s="167" t="s">
        <v>170</v>
      </c>
      <c r="M54" s="167" t="s">
        <v>2064</v>
      </c>
      <c r="N54" s="167" t="s">
        <v>517</v>
      </c>
      <c r="O54" s="167" t="s">
        <v>2065</v>
      </c>
      <c r="P54" s="12" t="str">
        <f>_xlfn.DISPIMG("ID_BF9AE392AFDD4458A2909A9A2C941241",1)</f>
        <v>=DISPIMG("ID_BF9AE392AFDD4458A2909A9A2C941241",1)</v>
      </c>
      <c r="Q54" s="11" t="s">
        <v>2066</v>
      </c>
      <c r="R54" s="11">
        <v>240</v>
      </c>
      <c r="S54" s="17" t="s">
        <v>4366</v>
      </c>
      <c r="T54" s="18" t="s">
        <v>38</v>
      </c>
    </row>
    <row r="55" s="3" customFormat="1" customHeight="1" spans="1:20">
      <c r="A55" s="84">
        <v>23</v>
      </c>
      <c r="B55" s="177" t="s">
        <v>2083</v>
      </c>
      <c r="C55" s="167" t="s">
        <v>165</v>
      </c>
      <c r="D55" s="167" t="s">
        <v>2084</v>
      </c>
      <c r="E55" s="11">
        <v>18816407325</v>
      </c>
      <c r="F55" s="167" t="s">
        <v>278</v>
      </c>
      <c r="G55" s="167" t="s">
        <v>28</v>
      </c>
      <c r="H55" s="11">
        <v>202103001</v>
      </c>
      <c r="I55" s="167" t="s">
        <v>157</v>
      </c>
      <c r="J55" s="167" t="s">
        <v>1258</v>
      </c>
      <c r="K55" s="167" t="s">
        <v>280</v>
      </c>
      <c r="L55" s="167" t="s">
        <v>170</v>
      </c>
      <c r="M55" s="167" t="s">
        <v>180</v>
      </c>
      <c r="N55" s="167" t="s">
        <v>340</v>
      </c>
      <c r="O55" s="167" t="s">
        <v>2086</v>
      </c>
      <c r="P55" s="12" t="str">
        <f>_xlfn.DISPIMG("ID_B2FD46FB94FD4BE298F143BADCF00B8C",1)</f>
        <v>=DISPIMG("ID_B2FD46FB94FD4BE298F143BADCF00B8C",1)</v>
      </c>
      <c r="Q55" s="11" t="s">
        <v>2087</v>
      </c>
      <c r="R55" s="11">
        <v>243</v>
      </c>
      <c r="S55" s="17" t="s">
        <v>4367</v>
      </c>
      <c r="T55" s="18" t="s">
        <v>38</v>
      </c>
    </row>
    <row r="56" s="3" customFormat="1" customHeight="1" spans="1:20">
      <c r="A56" s="84">
        <v>24</v>
      </c>
      <c r="B56" s="177" t="s">
        <v>2098</v>
      </c>
      <c r="C56" s="167" t="s">
        <v>165</v>
      </c>
      <c r="D56" s="167" t="s">
        <v>2099</v>
      </c>
      <c r="E56" s="11">
        <v>18070222825</v>
      </c>
      <c r="F56" s="167" t="s">
        <v>278</v>
      </c>
      <c r="G56" s="167" t="s">
        <v>28</v>
      </c>
      <c r="H56" s="11">
        <v>202103001</v>
      </c>
      <c r="I56" s="167" t="s">
        <v>279</v>
      </c>
      <c r="J56" s="167" t="s">
        <v>732</v>
      </c>
      <c r="K56" s="167" t="s">
        <v>169</v>
      </c>
      <c r="L56" s="167" t="s">
        <v>170</v>
      </c>
      <c r="M56" s="167" t="s">
        <v>733</v>
      </c>
      <c r="N56" s="167" t="s">
        <v>517</v>
      </c>
      <c r="O56" s="167" t="s">
        <v>2101</v>
      </c>
      <c r="P56" s="12" t="str">
        <f>_xlfn.DISPIMG("ID_005BE0017F024C98A2D8AF15B9E0DE6A",1)</f>
        <v>=DISPIMG("ID_005BE0017F024C98A2D8AF15B9E0DE6A",1)</v>
      </c>
      <c r="Q56" s="11" t="s">
        <v>2102</v>
      </c>
      <c r="R56" s="11">
        <v>245</v>
      </c>
      <c r="S56" s="17" t="s">
        <v>4368</v>
      </c>
      <c r="T56" s="18" t="s">
        <v>38</v>
      </c>
    </row>
    <row r="57" s="3" customFormat="1" customHeight="1" spans="1:20">
      <c r="A57" s="84">
        <v>25</v>
      </c>
      <c r="B57" s="177" t="s">
        <v>2226</v>
      </c>
      <c r="C57" s="167" t="s">
        <v>165</v>
      </c>
      <c r="D57" s="167" t="s">
        <v>2227</v>
      </c>
      <c r="E57" s="11">
        <v>15720952167</v>
      </c>
      <c r="F57" s="167" t="s">
        <v>278</v>
      </c>
      <c r="G57" s="167" t="s">
        <v>28</v>
      </c>
      <c r="H57" s="11">
        <v>202103001</v>
      </c>
      <c r="I57" s="167" t="s">
        <v>279</v>
      </c>
      <c r="J57" s="167" t="s">
        <v>2229</v>
      </c>
      <c r="K57" s="167" t="s">
        <v>280</v>
      </c>
      <c r="L57" s="167" t="s">
        <v>170</v>
      </c>
      <c r="M57" s="167" t="s">
        <v>161</v>
      </c>
      <c r="N57" s="167" t="s">
        <v>517</v>
      </c>
      <c r="O57" s="11">
        <v>0</v>
      </c>
      <c r="P57" s="12" t="str">
        <f>_xlfn.DISPIMG("ID_D66F2E0905214E97988618639B1556CA",1)</f>
        <v>=DISPIMG("ID_D66F2E0905214E97988618639B1556CA",1)</v>
      </c>
      <c r="Q57" s="11" t="s">
        <v>2230</v>
      </c>
      <c r="R57" s="11">
        <v>262</v>
      </c>
      <c r="S57" s="17" t="s">
        <v>4369</v>
      </c>
      <c r="T57" s="18" t="s">
        <v>38</v>
      </c>
    </row>
    <row r="58" s="3" customFormat="1" customHeight="1" spans="1:20">
      <c r="A58" s="84">
        <v>26</v>
      </c>
      <c r="B58" s="177" t="s">
        <v>2249</v>
      </c>
      <c r="C58" s="167" t="s">
        <v>165</v>
      </c>
      <c r="D58" s="167" t="s">
        <v>2250</v>
      </c>
      <c r="E58" s="11">
        <v>15270289287</v>
      </c>
      <c r="F58" s="167" t="s">
        <v>278</v>
      </c>
      <c r="G58" s="167" t="s">
        <v>28</v>
      </c>
      <c r="H58" s="11">
        <v>202103001</v>
      </c>
      <c r="I58" s="167" t="s">
        <v>279</v>
      </c>
      <c r="J58" s="167" t="s">
        <v>1258</v>
      </c>
      <c r="K58" s="167" t="s">
        <v>280</v>
      </c>
      <c r="L58" s="167" t="s">
        <v>170</v>
      </c>
      <c r="M58" s="167" t="s">
        <v>180</v>
      </c>
      <c r="N58" s="167" t="s">
        <v>340</v>
      </c>
      <c r="O58" s="167" t="s">
        <v>2252</v>
      </c>
      <c r="P58" s="12" t="str">
        <f>_xlfn.DISPIMG("ID_7985CE250554486189D8524B45608623",1)</f>
        <v>=DISPIMG("ID_7985CE250554486189D8524B45608623",1)</v>
      </c>
      <c r="Q58" s="11" t="s">
        <v>2253</v>
      </c>
      <c r="R58" s="11">
        <v>265</v>
      </c>
      <c r="S58" s="17" t="s">
        <v>4370</v>
      </c>
      <c r="T58" s="18" t="s">
        <v>38</v>
      </c>
    </row>
    <row r="59" s="3" customFormat="1" customHeight="1" spans="1:20">
      <c r="A59" s="84">
        <v>27</v>
      </c>
      <c r="B59" s="177" t="s">
        <v>2273</v>
      </c>
      <c r="C59" s="167" t="s">
        <v>165</v>
      </c>
      <c r="D59" s="167" t="s">
        <v>2274</v>
      </c>
      <c r="E59" s="11">
        <v>18897920642</v>
      </c>
      <c r="F59" s="167" t="s">
        <v>278</v>
      </c>
      <c r="G59" s="167" t="s">
        <v>28</v>
      </c>
      <c r="H59" s="11">
        <v>202103001</v>
      </c>
      <c r="I59" s="167" t="s">
        <v>279</v>
      </c>
      <c r="J59" s="167" t="s">
        <v>367</v>
      </c>
      <c r="K59" s="167" t="s">
        <v>960</v>
      </c>
      <c r="L59" s="167" t="s">
        <v>170</v>
      </c>
      <c r="M59" s="167" t="s">
        <v>171</v>
      </c>
      <c r="N59" s="167" t="s">
        <v>340</v>
      </c>
      <c r="O59" s="167" t="s">
        <v>2276</v>
      </c>
      <c r="P59" s="12" t="str">
        <f>_xlfn.DISPIMG("ID_61B07218C9EC426CBE977F3567B765DD",1)</f>
        <v>=DISPIMG("ID_61B07218C9EC426CBE977F3567B765DD",1)</v>
      </c>
      <c r="Q59" s="11" t="s">
        <v>2277</v>
      </c>
      <c r="R59" s="11">
        <v>268</v>
      </c>
      <c r="S59" s="17" t="s">
        <v>4371</v>
      </c>
      <c r="T59" s="18" t="s">
        <v>38</v>
      </c>
    </row>
    <row r="60" s="3" customFormat="1" customHeight="1" spans="1:20">
      <c r="A60" s="84">
        <v>28</v>
      </c>
      <c r="B60" s="177" t="s">
        <v>2323</v>
      </c>
      <c r="C60" s="167" t="s">
        <v>165</v>
      </c>
      <c r="D60" s="167" t="s">
        <v>2324</v>
      </c>
      <c r="E60" s="11">
        <v>15979178539</v>
      </c>
      <c r="F60" s="167" t="s">
        <v>278</v>
      </c>
      <c r="G60" s="167" t="s">
        <v>28</v>
      </c>
      <c r="H60" s="11">
        <v>202103001</v>
      </c>
      <c r="I60" s="167" t="s">
        <v>157</v>
      </c>
      <c r="J60" s="167" t="s">
        <v>1071</v>
      </c>
      <c r="K60" s="167" t="s">
        <v>2326</v>
      </c>
      <c r="L60" s="167" t="s">
        <v>160</v>
      </c>
      <c r="M60" s="167" t="s">
        <v>1942</v>
      </c>
      <c r="N60" s="167" t="s">
        <v>340</v>
      </c>
      <c r="O60" s="167" t="s">
        <v>2327</v>
      </c>
      <c r="P60" s="12" t="str">
        <f>_xlfn.DISPIMG("ID_A33976891DCF46C9B1DFAD5ADCC8729D",1)</f>
        <v>=DISPIMG("ID_A33976891DCF46C9B1DFAD5ADCC8729D",1)</v>
      </c>
      <c r="Q60" s="11" t="s">
        <v>2328</v>
      </c>
      <c r="R60" s="11">
        <v>275</v>
      </c>
      <c r="S60" s="17" t="s">
        <v>4372</v>
      </c>
      <c r="T60" s="18" t="s">
        <v>38</v>
      </c>
    </row>
    <row r="61" s="3" customFormat="1" customHeight="1" spans="1:20">
      <c r="A61" s="84">
        <v>29</v>
      </c>
      <c r="B61" s="177" t="s">
        <v>2354</v>
      </c>
      <c r="C61" s="167" t="s">
        <v>165</v>
      </c>
      <c r="D61" s="167" t="s">
        <v>2355</v>
      </c>
      <c r="E61" s="11">
        <v>18870202615</v>
      </c>
      <c r="F61" s="167" t="s">
        <v>278</v>
      </c>
      <c r="G61" s="167" t="s">
        <v>28</v>
      </c>
      <c r="H61" s="11">
        <v>202103001</v>
      </c>
      <c r="I61" s="167" t="s">
        <v>279</v>
      </c>
      <c r="J61" s="167" t="s">
        <v>765</v>
      </c>
      <c r="K61" s="167" t="s">
        <v>280</v>
      </c>
      <c r="L61" s="167" t="s">
        <v>170</v>
      </c>
      <c r="M61" s="167" t="s">
        <v>252</v>
      </c>
      <c r="N61" s="167" t="s">
        <v>340</v>
      </c>
      <c r="O61" s="167" t="s">
        <v>2357</v>
      </c>
      <c r="P61" s="12" t="str">
        <f>_xlfn.DISPIMG("ID_1E1BF7CF64ED4C9392E00D748E2CFF78",1)</f>
        <v>=DISPIMG("ID_1E1BF7CF64ED4C9392E00D748E2CFF78",1)</v>
      </c>
      <c r="Q61" s="11" t="s">
        <v>2358</v>
      </c>
      <c r="R61" s="11">
        <v>279</v>
      </c>
      <c r="S61" s="17" t="s">
        <v>4373</v>
      </c>
      <c r="T61" s="18" t="s">
        <v>38</v>
      </c>
    </row>
    <row r="62" s="3" customFormat="1" customHeight="1" spans="1:20">
      <c r="A62" s="84">
        <v>30</v>
      </c>
      <c r="B62" s="177" t="s">
        <v>2368</v>
      </c>
      <c r="C62" s="167" t="s">
        <v>165</v>
      </c>
      <c r="D62" s="167" t="s">
        <v>2369</v>
      </c>
      <c r="E62" s="11">
        <v>13870275403</v>
      </c>
      <c r="F62" s="167" t="s">
        <v>278</v>
      </c>
      <c r="G62" s="167" t="s">
        <v>28</v>
      </c>
      <c r="H62" s="11">
        <v>202103001</v>
      </c>
      <c r="I62" s="167" t="s">
        <v>279</v>
      </c>
      <c r="J62" s="167" t="s">
        <v>367</v>
      </c>
      <c r="K62" s="167" t="s">
        <v>960</v>
      </c>
      <c r="L62" s="167" t="s">
        <v>170</v>
      </c>
      <c r="M62" s="167" t="s">
        <v>161</v>
      </c>
      <c r="N62" s="167" t="s">
        <v>2371</v>
      </c>
      <c r="O62" s="167" t="s">
        <v>2372</v>
      </c>
      <c r="P62" s="12" t="str">
        <f>_xlfn.DISPIMG("ID_8367FF7FCE354E85A6B58C07A55F59C4",1)</f>
        <v>=DISPIMG("ID_8367FF7FCE354E85A6B58C07A55F59C4",1)</v>
      </c>
      <c r="Q62" s="11" t="s">
        <v>2373</v>
      </c>
      <c r="R62" s="11">
        <v>281</v>
      </c>
      <c r="S62" s="17" t="s">
        <v>4374</v>
      </c>
      <c r="T62" s="18" t="s">
        <v>38</v>
      </c>
    </row>
    <row r="63" s="3" customFormat="1" customHeight="1" spans="1:20">
      <c r="A63" s="84">
        <v>1</v>
      </c>
      <c r="B63" s="177" t="s">
        <v>2384</v>
      </c>
      <c r="C63" s="167" t="s">
        <v>165</v>
      </c>
      <c r="D63" s="167" t="s">
        <v>2385</v>
      </c>
      <c r="E63" s="11">
        <v>18779249182</v>
      </c>
      <c r="F63" s="167" t="s">
        <v>278</v>
      </c>
      <c r="G63" s="167" t="s">
        <v>28</v>
      </c>
      <c r="H63" s="11">
        <v>202103001</v>
      </c>
      <c r="I63" s="167" t="s">
        <v>279</v>
      </c>
      <c r="J63" s="167" t="s">
        <v>178</v>
      </c>
      <c r="K63" s="167" t="s">
        <v>280</v>
      </c>
      <c r="L63" s="167" t="s">
        <v>170</v>
      </c>
      <c r="M63" s="167" t="s">
        <v>548</v>
      </c>
      <c r="N63" s="167" t="s">
        <v>517</v>
      </c>
      <c r="O63" s="167" t="s">
        <v>2387</v>
      </c>
      <c r="P63" s="12" t="str">
        <f>_xlfn.DISPIMG("ID_8CF817D3A8834773857DA1D47188BF1C",1)</f>
        <v>=DISPIMG("ID_8CF817D3A8834773857DA1D47188BF1C",1)</v>
      </c>
      <c r="Q63" s="11" t="s">
        <v>2388</v>
      </c>
      <c r="R63" s="11">
        <v>283</v>
      </c>
      <c r="S63" s="17" t="s">
        <v>4375</v>
      </c>
      <c r="T63" s="18" t="s">
        <v>39</v>
      </c>
    </row>
    <row r="64" s="3" customFormat="1" customHeight="1" spans="1:20">
      <c r="A64" s="84">
        <v>2</v>
      </c>
      <c r="B64" s="177" t="s">
        <v>2445</v>
      </c>
      <c r="C64" s="167" t="s">
        <v>165</v>
      </c>
      <c r="D64" s="167" t="s">
        <v>2446</v>
      </c>
      <c r="E64" s="11">
        <v>15270593089</v>
      </c>
      <c r="F64" s="167" t="s">
        <v>278</v>
      </c>
      <c r="G64" s="167" t="s">
        <v>28</v>
      </c>
      <c r="H64" s="11">
        <v>202103001</v>
      </c>
      <c r="I64" s="167" t="s">
        <v>279</v>
      </c>
      <c r="J64" s="167" t="s">
        <v>367</v>
      </c>
      <c r="K64" s="167" t="s">
        <v>280</v>
      </c>
      <c r="L64" s="167" t="s">
        <v>170</v>
      </c>
      <c r="M64" s="167" t="s">
        <v>161</v>
      </c>
      <c r="N64" s="167" t="s">
        <v>517</v>
      </c>
      <c r="O64" s="167" t="s">
        <v>2448</v>
      </c>
      <c r="P64" s="12" t="str">
        <f>_xlfn.DISPIMG("ID_5A60F5CEF6FD4D2AB2A12133308D2C7D",1)</f>
        <v>=DISPIMG("ID_5A60F5CEF6FD4D2AB2A12133308D2C7D",1)</v>
      </c>
      <c r="Q64" s="11" t="s">
        <v>2449</v>
      </c>
      <c r="R64" s="11">
        <v>291</v>
      </c>
      <c r="S64" s="17" t="s">
        <v>4376</v>
      </c>
      <c r="T64" s="18" t="s">
        <v>39</v>
      </c>
    </row>
    <row r="65" s="3" customFormat="1" customHeight="1" spans="1:20">
      <c r="A65" s="84">
        <v>3</v>
      </c>
      <c r="B65" s="177" t="s">
        <v>2487</v>
      </c>
      <c r="C65" s="167" t="s">
        <v>165</v>
      </c>
      <c r="D65" s="167" t="s">
        <v>2488</v>
      </c>
      <c r="E65" s="11">
        <v>18979216011</v>
      </c>
      <c r="F65" s="167" t="s">
        <v>278</v>
      </c>
      <c r="G65" s="167" t="s">
        <v>28</v>
      </c>
      <c r="H65" s="11">
        <v>202103001</v>
      </c>
      <c r="I65" s="167" t="s">
        <v>157</v>
      </c>
      <c r="J65" s="167" t="s">
        <v>178</v>
      </c>
      <c r="K65" s="167" t="s">
        <v>280</v>
      </c>
      <c r="L65" s="167" t="s">
        <v>170</v>
      </c>
      <c r="M65" s="167" t="s">
        <v>2490</v>
      </c>
      <c r="N65" s="167" t="s">
        <v>28</v>
      </c>
      <c r="O65" s="167" t="s">
        <v>2491</v>
      </c>
      <c r="P65" s="12" t="str">
        <f>_xlfn.DISPIMG("ID_53B9839AEAC4407495ABBD356F420DDD",1)</f>
        <v>=DISPIMG("ID_53B9839AEAC4407495ABBD356F420DDD",1)</v>
      </c>
      <c r="Q65" s="11" t="s">
        <v>2492</v>
      </c>
      <c r="R65" s="11">
        <v>297</v>
      </c>
      <c r="S65" s="17" t="s">
        <v>4377</v>
      </c>
      <c r="T65" s="18" t="s">
        <v>39</v>
      </c>
    </row>
    <row r="66" s="3" customFormat="1" customHeight="1" spans="1:20">
      <c r="A66" s="84">
        <v>4</v>
      </c>
      <c r="B66" s="177" t="s">
        <v>2501</v>
      </c>
      <c r="C66" s="167" t="s">
        <v>165</v>
      </c>
      <c r="D66" s="167" t="s">
        <v>2502</v>
      </c>
      <c r="E66" s="11">
        <v>18779413916</v>
      </c>
      <c r="F66" s="167" t="s">
        <v>278</v>
      </c>
      <c r="G66" s="167" t="s">
        <v>28</v>
      </c>
      <c r="H66" s="11">
        <v>202103001</v>
      </c>
      <c r="I66" s="167" t="s">
        <v>279</v>
      </c>
      <c r="J66" s="167" t="s">
        <v>876</v>
      </c>
      <c r="K66" s="167" t="s">
        <v>1684</v>
      </c>
      <c r="L66" s="167" t="s">
        <v>170</v>
      </c>
      <c r="M66" s="167" t="s">
        <v>171</v>
      </c>
      <c r="N66" s="167" t="s">
        <v>2504</v>
      </c>
      <c r="O66" s="167" t="s">
        <v>2505</v>
      </c>
      <c r="P66" s="12" t="str">
        <f>_xlfn.DISPIMG("ID_515277FD8D2D40318D429A7BA8ADC69C",1)</f>
        <v>=DISPIMG("ID_515277FD8D2D40318D429A7BA8ADC69C",1)</v>
      </c>
      <c r="Q66" s="11" t="s">
        <v>2506</v>
      </c>
      <c r="R66" s="11">
        <v>299</v>
      </c>
      <c r="S66" s="17" t="s">
        <v>4378</v>
      </c>
      <c r="T66" s="18" t="s">
        <v>39</v>
      </c>
    </row>
    <row r="67" s="3" customFormat="1" customHeight="1" spans="1:20">
      <c r="A67" s="84">
        <v>5</v>
      </c>
      <c r="B67" s="177" t="s">
        <v>2509</v>
      </c>
      <c r="C67" s="167" t="s">
        <v>165</v>
      </c>
      <c r="D67" s="167" t="s">
        <v>2510</v>
      </c>
      <c r="E67" s="11">
        <v>15170261589</v>
      </c>
      <c r="F67" s="167" t="s">
        <v>278</v>
      </c>
      <c r="G67" s="167" t="s">
        <v>28</v>
      </c>
      <c r="H67" s="11">
        <v>202103001</v>
      </c>
      <c r="I67" s="167" t="s">
        <v>279</v>
      </c>
      <c r="J67" s="167" t="s">
        <v>168</v>
      </c>
      <c r="K67" s="167" t="s">
        <v>280</v>
      </c>
      <c r="L67" s="167" t="s">
        <v>170</v>
      </c>
      <c r="M67" s="167" t="s">
        <v>171</v>
      </c>
      <c r="N67" s="167" t="s">
        <v>28</v>
      </c>
      <c r="O67" s="167" t="s">
        <v>2512</v>
      </c>
      <c r="P67" s="12" t="str">
        <f>_xlfn.DISPIMG("ID_7074182E322C4D868E189D169988DEEF",1)</f>
        <v>=DISPIMG("ID_7074182E322C4D868E189D169988DEEF",1)</v>
      </c>
      <c r="Q67" s="11" t="s">
        <v>2513</v>
      </c>
      <c r="R67" s="11">
        <v>300</v>
      </c>
      <c r="S67" s="17" t="s">
        <v>4379</v>
      </c>
      <c r="T67" s="18" t="s">
        <v>39</v>
      </c>
    </row>
    <row r="68" s="3" customFormat="1" customHeight="1" spans="1:20">
      <c r="A68" s="84">
        <v>6</v>
      </c>
      <c r="B68" s="177" t="s">
        <v>2615</v>
      </c>
      <c r="C68" s="167" t="s">
        <v>165</v>
      </c>
      <c r="D68" s="167" t="s">
        <v>2616</v>
      </c>
      <c r="E68" s="11">
        <v>18779299651</v>
      </c>
      <c r="F68" s="167" t="s">
        <v>278</v>
      </c>
      <c r="G68" s="167" t="s">
        <v>28</v>
      </c>
      <c r="H68" s="11">
        <v>202103001</v>
      </c>
      <c r="I68" s="167" t="s">
        <v>585</v>
      </c>
      <c r="J68" s="167" t="s">
        <v>367</v>
      </c>
      <c r="K68" s="167" t="s">
        <v>280</v>
      </c>
      <c r="L68" s="167" t="s">
        <v>170</v>
      </c>
      <c r="M68" s="167" t="s">
        <v>306</v>
      </c>
      <c r="N68" s="167" t="s">
        <v>585</v>
      </c>
      <c r="O68" s="167" t="s">
        <v>2617</v>
      </c>
      <c r="P68" s="12" t="str">
        <f>_xlfn.DISPIMG("ID_D88361D0AC4F40C29B491840D8C35568",1)</f>
        <v>=DISPIMG("ID_D88361D0AC4F40C29B491840D8C35568",1)</v>
      </c>
      <c r="Q68" s="11" t="s">
        <v>2618</v>
      </c>
      <c r="R68" s="11">
        <v>314</v>
      </c>
      <c r="S68" s="17" t="s">
        <v>4380</v>
      </c>
      <c r="T68" s="18" t="s">
        <v>39</v>
      </c>
    </row>
    <row r="69" s="3" customFormat="1" customHeight="1" spans="1:20">
      <c r="A69" s="84">
        <v>7</v>
      </c>
      <c r="B69" s="177" t="s">
        <v>2651</v>
      </c>
      <c r="C69" s="167" t="s">
        <v>165</v>
      </c>
      <c r="D69" s="167" t="s">
        <v>2652</v>
      </c>
      <c r="E69" s="11">
        <v>18779275146</v>
      </c>
      <c r="F69" s="167" t="s">
        <v>278</v>
      </c>
      <c r="G69" s="167" t="s">
        <v>28</v>
      </c>
      <c r="H69" s="11">
        <v>202103001</v>
      </c>
      <c r="I69" s="167" t="s">
        <v>279</v>
      </c>
      <c r="J69" s="167" t="s">
        <v>367</v>
      </c>
      <c r="K69" s="167" t="s">
        <v>960</v>
      </c>
      <c r="L69" s="167" t="s">
        <v>170</v>
      </c>
      <c r="M69" s="167" t="s">
        <v>261</v>
      </c>
      <c r="N69" s="167" t="s">
        <v>2654</v>
      </c>
      <c r="O69" s="167" t="s">
        <v>2655</v>
      </c>
      <c r="P69" s="12" t="str">
        <f>_xlfn.DISPIMG("ID_1078F268CB1D42879EB5D176263AD754",1)</f>
        <v>=DISPIMG("ID_1078F268CB1D42879EB5D176263AD754",1)</v>
      </c>
      <c r="Q69" s="11" t="s">
        <v>2656</v>
      </c>
      <c r="R69" s="11">
        <v>319</v>
      </c>
      <c r="S69" s="17" t="s">
        <v>4381</v>
      </c>
      <c r="T69" s="18" t="s">
        <v>39</v>
      </c>
    </row>
    <row r="70" s="3" customFormat="1" customHeight="1" spans="1:20">
      <c r="A70" s="84">
        <v>8</v>
      </c>
      <c r="B70" s="177" t="s">
        <v>2666</v>
      </c>
      <c r="C70" s="167" t="s">
        <v>165</v>
      </c>
      <c r="D70" s="167" t="s">
        <v>2667</v>
      </c>
      <c r="E70" s="11">
        <v>13367011157</v>
      </c>
      <c r="F70" s="167" t="s">
        <v>278</v>
      </c>
      <c r="G70" s="167" t="s">
        <v>28</v>
      </c>
      <c r="H70" s="11">
        <v>202103001</v>
      </c>
      <c r="I70" s="167" t="s">
        <v>279</v>
      </c>
      <c r="J70" s="167" t="s">
        <v>2669</v>
      </c>
      <c r="K70" s="167" t="s">
        <v>280</v>
      </c>
      <c r="L70" s="167" t="s">
        <v>170</v>
      </c>
      <c r="M70" s="167" t="s">
        <v>368</v>
      </c>
      <c r="N70" s="167" t="s">
        <v>340</v>
      </c>
      <c r="O70" s="167" t="s">
        <v>2670</v>
      </c>
      <c r="P70" s="12" t="str">
        <f>_xlfn.DISPIMG("ID_F3E1E6ADC00F4323859304E86EC6B8D9",1)</f>
        <v>=DISPIMG("ID_F3E1E6ADC00F4323859304E86EC6B8D9",1)</v>
      </c>
      <c r="Q70" s="11" t="s">
        <v>2671</v>
      </c>
      <c r="R70" s="11">
        <v>321</v>
      </c>
      <c r="S70" s="17" t="s">
        <v>4382</v>
      </c>
      <c r="T70" s="18" t="s">
        <v>39</v>
      </c>
    </row>
    <row r="71" s="3" customFormat="1" customHeight="1" spans="1:20">
      <c r="A71" s="84">
        <v>9</v>
      </c>
      <c r="B71" s="177" t="s">
        <v>2691</v>
      </c>
      <c r="C71" s="167" t="s">
        <v>165</v>
      </c>
      <c r="D71" s="167" t="s">
        <v>2692</v>
      </c>
      <c r="E71" s="11">
        <v>13361724916</v>
      </c>
      <c r="F71" s="167" t="s">
        <v>278</v>
      </c>
      <c r="G71" s="167" t="s">
        <v>28</v>
      </c>
      <c r="H71" s="11">
        <v>202103001</v>
      </c>
      <c r="I71" s="167" t="s">
        <v>585</v>
      </c>
      <c r="J71" s="167" t="s">
        <v>367</v>
      </c>
      <c r="K71" s="167" t="s">
        <v>586</v>
      </c>
      <c r="L71" s="167" t="s">
        <v>170</v>
      </c>
      <c r="M71" s="167" t="s">
        <v>2685</v>
      </c>
      <c r="N71" s="167" t="s">
        <v>2686</v>
      </c>
      <c r="O71" s="167" t="s">
        <v>2694</v>
      </c>
      <c r="P71" s="12" t="str">
        <f>_xlfn.DISPIMG("ID_80BD79931C0D4F069B4BB278F0D6EACF",1)</f>
        <v>=DISPIMG("ID_80BD79931C0D4F069B4BB278F0D6EACF",1)</v>
      </c>
      <c r="Q71" s="11" t="s">
        <v>2695</v>
      </c>
      <c r="R71" s="11">
        <v>324</v>
      </c>
      <c r="S71" s="17" t="s">
        <v>4383</v>
      </c>
      <c r="T71" s="18" t="s">
        <v>39</v>
      </c>
    </row>
    <row r="72" s="3" customFormat="1" customHeight="1" spans="1:20">
      <c r="A72" s="84">
        <v>10</v>
      </c>
      <c r="B72" s="177" t="s">
        <v>2739</v>
      </c>
      <c r="C72" s="167" t="s">
        <v>165</v>
      </c>
      <c r="D72" s="167" t="s">
        <v>2740</v>
      </c>
      <c r="E72" s="11">
        <v>15180645133</v>
      </c>
      <c r="F72" s="167" t="s">
        <v>278</v>
      </c>
      <c r="G72" s="167" t="s">
        <v>28</v>
      </c>
      <c r="H72" s="11">
        <v>202103001</v>
      </c>
      <c r="I72" s="167" t="s">
        <v>279</v>
      </c>
      <c r="J72" s="167" t="s">
        <v>2741</v>
      </c>
      <c r="K72" s="167" t="s">
        <v>2742</v>
      </c>
      <c r="L72" s="167" t="s">
        <v>160</v>
      </c>
      <c r="M72" s="167" t="s">
        <v>577</v>
      </c>
      <c r="N72" s="167" t="s">
        <v>28</v>
      </c>
      <c r="O72" s="11">
        <v>0</v>
      </c>
      <c r="P72" s="12" t="str">
        <f>_xlfn.DISPIMG("ID_DBC66D2ED4394B2EABDB1526C646D9F0",1)</f>
        <v>=DISPIMG("ID_DBC66D2ED4394B2EABDB1526C646D9F0",1)</v>
      </c>
      <c r="Q72" s="11" t="s">
        <v>2743</v>
      </c>
      <c r="R72" s="11">
        <v>331</v>
      </c>
      <c r="S72" s="17" t="s">
        <v>4384</v>
      </c>
      <c r="T72" s="18" t="s">
        <v>39</v>
      </c>
    </row>
    <row r="73" s="3" customFormat="1" customHeight="1" spans="1:20">
      <c r="A73" s="84">
        <v>11</v>
      </c>
      <c r="B73" s="177" t="s">
        <v>2746</v>
      </c>
      <c r="C73" s="167" t="s">
        <v>165</v>
      </c>
      <c r="D73" s="167" t="s">
        <v>2747</v>
      </c>
      <c r="E73" s="11">
        <v>13479871563</v>
      </c>
      <c r="F73" s="167" t="s">
        <v>278</v>
      </c>
      <c r="G73" s="167" t="s">
        <v>28</v>
      </c>
      <c r="H73" s="11">
        <v>202103001</v>
      </c>
      <c r="I73" s="167" t="s">
        <v>279</v>
      </c>
      <c r="J73" s="167" t="s">
        <v>1432</v>
      </c>
      <c r="K73" s="167" t="s">
        <v>280</v>
      </c>
      <c r="L73" s="167" t="s">
        <v>170</v>
      </c>
      <c r="M73" s="167" t="s">
        <v>2221</v>
      </c>
      <c r="N73" s="167" t="s">
        <v>340</v>
      </c>
      <c r="O73" s="167" t="s">
        <v>2749</v>
      </c>
      <c r="P73" s="12" t="str">
        <f>_xlfn.DISPIMG("ID_88F87A068C9F46F1A08F32919B53F4F3",1)</f>
        <v>=DISPIMG("ID_88F87A068C9F46F1A08F32919B53F4F3",1)</v>
      </c>
      <c r="Q73" s="11" t="s">
        <v>2750</v>
      </c>
      <c r="R73" s="11">
        <v>332</v>
      </c>
      <c r="S73" s="17" t="s">
        <v>4385</v>
      </c>
      <c r="T73" s="18" t="s">
        <v>39</v>
      </c>
    </row>
    <row r="74" s="3" customFormat="1" customHeight="1" spans="1:20">
      <c r="A74" s="84">
        <v>12</v>
      </c>
      <c r="B74" s="177" t="s">
        <v>2796</v>
      </c>
      <c r="C74" s="167" t="s">
        <v>165</v>
      </c>
      <c r="D74" s="167" t="s">
        <v>2797</v>
      </c>
      <c r="E74" s="11">
        <v>15079245341</v>
      </c>
      <c r="F74" s="167" t="s">
        <v>278</v>
      </c>
      <c r="G74" s="167" t="s">
        <v>28</v>
      </c>
      <c r="H74" s="11">
        <v>202103001</v>
      </c>
      <c r="I74" s="167" t="s">
        <v>279</v>
      </c>
      <c r="J74" s="167" t="s">
        <v>2799</v>
      </c>
      <c r="K74" s="167" t="s">
        <v>1489</v>
      </c>
      <c r="L74" s="167" t="s">
        <v>170</v>
      </c>
      <c r="M74" s="167" t="s">
        <v>2800</v>
      </c>
      <c r="N74" s="167" t="s">
        <v>28</v>
      </c>
      <c r="O74" s="167" t="s">
        <v>2801</v>
      </c>
      <c r="P74" s="12" t="str">
        <f>_xlfn.DISPIMG("ID_CE28F2C62DED40E5A2B6EB31752867C6",1)</f>
        <v>=DISPIMG("ID_CE28F2C62DED40E5A2B6EB31752867C6",1)</v>
      </c>
      <c r="Q74" s="11" t="s">
        <v>2802</v>
      </c>
      <c r="R74" s="11">
        <v>339</v>
      </c>
      <c r="S74" s="17" t="s">
        <v>4386</v>
      </c>
      <c r="T74" s="18" t="s">
        <v>39</v>
      </c>
    </row>
    <row r="75" s="3" customFormat="1" customHeight="1" spans="1:20">
      <c r="A75" s="84">
        <v>13</v>
      </c>
      <c r="B75" s="177" t="s">
        <v>2825</v>
      </c>
      <c r="C75" s="167" t="s">
        <v>165</v>
      </c>
      <c r="D75" s="167" t="s">
        <v>2826</v>
      </c>
      <c r="E75" s="11">
        <v>13177721280</v>
      </c>
      <c r="F75" s="167" t="s">
        <v>278</v>
      </c>
      <c r="G75" s="167" t="s">
        <v>28</v>
      </c>
      <c r="H75" s="11">
        <v>202103001</v>
      </c>
      <c r="I75" s="167" t="s">
        <v>279</v>
      </c>
      <c r="J75" s="167" t="s">
        <v>1237</v>
      </c>
      <c r="K75" s="167" t="s">
        <v>280</v>
      </c>
      <c r="L75" s="167" t="s">
        <v>170</v>
      </c>
      <c r="M75" s="167" t="s">
        <v>261</v>
      </c>
      <c r="N75" s="167" t="s">
        <v>340</v>
      </c>
      <c r="O75" s="11">
        <v>0</v>
      </c>
      <c r="P75" s="12" t="str">
        <f>_xlfn.DISPIMG("ID_F08BB5C3B75D4962A37212B4DDDA960C",1)</f>
        <v>=DISPIMG("ID_F08BB5C3B75D4962A37212B4DDDA960C",1)</v>
      </c>
      <c r="Q75" s="11" t="s">
        <v>2828</v>
      </c>
      <c r="R75" s="11">
        <v>343</v>
      </c>
      <c r="S75" s="17" t="s">
        <v>4387</v>
      </c>
      <c r="T75" s="18" t="s">
        <v>39</v>
      </c>
    </row>
    <row r="76" s="3" customFormat="1" customHeight="1" spans="1:20">
      <c r="A76" s="84">
        <v>14</v>
      </c>
      <c r="B76" s="177" t="s">
        <v>2854</v>
      </c>
      <c r="C76" s="167" t="s">
        <v>165</v>
      </c>
      <c r="D76" s="167" t="s">
        <v>2855</v>
      </c>
      <c r="E76" s="11">
        <v>18720256092</v>
      </c>
      <c r="F76" s="167" t="s">
        <v>278</v>
      </c>
      <c r="G76" s="167" t="s">
        <v>28</v>
      </c>
      <c r="H76" s="11">
        <v>202103001</v>
      </c>
      <c r="I76" s="167" t="s">
        <v>279</v>
      </c>
      <c r="J76" s="167" t="s">
        <v>2857</v>
      </c>
      <c r="K76" s="167" t="s">
        <v>586</v>
      </c>
      <c r="L76" s="167" t="s">
        <v>170</v>
      </c>
      <c r="M76" s="167" t="s">
        <v>235</v>
      </c>
      <c r="N76" s="167" t="s">
        <v>586</v>
      </c>
      <c r="O76" s="167" t="s">
        <v>2858</v>
      </c>
      <c r="P76" s="12" t="str">
        <f>_xlfn.DISPIMG("ID_11ED1DBBC626428D97C7101FAED1566F",1)</f>
        <v>=DISPIMG("ID_11ED1DBBC626428D97C7101FAED1566F",1)</v>
      </c>
      <c r="Q76" s="11" t="s">
        <v>2859</v>
      </c>
      <c r="R76" s="11">
        <v>347</v>
      </c>
      <c r="S76" s="17" t="s">
        <v>4388</v>
      </c>
      <c r="T76" s="18" t="s">
        <v>39</v>
      </c>
    </row>
    <row r="77" s="3" customFormat="1" customHeight="1" spans="1:20">
      <c r="A77" s="84">
        <v>15</v>
      </c>
      <c r="B77" s="177" t="s">
        <v>2862</v>
      </c>
      <c r="C77" s="167" t="s">
        <v>165</v>
      </c>
      <c r="D77" s="167" t="s">
        <v>2863</v>
      </c>
      <c r="E77" s="11">
        <v>16623154389</v>
      </c>
      <c r="F77" s="167" t="s">
        <v>278</v>
      </c>
      <c r="G77" s="167" t="s">
        <v>28</v>
      </c>
      <c r="H77" s="11">
        <v>202103001</v>
      </c>
      <c r="I77" s="167" t="s">
        <v>585</v>
      </c>
      <c r="J77" s="167" t="s">
        <v>2865</v>
      </c>
      <c r="K77" s="167" t="s">
        <v>280</v>
      </c>
      <c r="L77" s="167" t="s">
        <v>170</v>
      </c>
      <c r="M77" s="167" t="s">
        <v>577</v>
      </c>
      <c r="N77" s="167" t="s">
        <v>2866</v>
      </c>
      <c r="O77" s="167" t="s">
        <v>2867</v>
      </c>
      <c r="P77" s="12" t="str">
        <f>_xlfn.DISPIMG("ID_2A4EA762BC734560A58995F31757BD03",1)</f>
        <v>=DISPIMG("ID_2A4EA762BC734560A58995F31757BD03",1)</v>
      </c>
      <c r="Q77" s="11" t="s">
        <v>2868</v>
      </c>
      <c r="R77" s="11">
        <v>348</v>
      </c>
      <c r="S77" s="17" t="s">
        <v>4389</v>
      </c>
      <c r="T77" s="18" t="s">
        <v>39</v>
      </c>
    </row>
    <row r="78" s="3" customFormat="1" customHeight="1" spans="1:20">
      <c r="A78" s="84">
        <v>16</v>
      </c>
      <c r="B78" s="177" t="s">
        <v>2887</v>
      </c>
      <c r="C78" s="167" t="s">
        <v>165</v>
      </c>
      <c r="D78" s="167" t="s">
        <v>2888</v>
      </c>
      <c r="E78" s="11">
        <v>15879243291</v>
      </c>
      <c r="F78" s="167" t="s">
        <v>278</v>
      </c>
      <c r="G78" s="167" t="s">
        <v>28</v>
      </c>
      <c r="H78" s="11">
        <v>202103001</v>
      </c>
      <c r="I78" s="167" t="s">
        <v>279</v>
      </c>
      <c r="J78" s="167" t="s">
        <v>2890</v>
      </c>
      <c r="K78" s="167" t="s">
        <v>280</v>
      </c>
      <c r="L78" s="167" t="s">
        <v>170</v>
      </c>
      <c r="M78" s="167" t="s">
        <v>261</v>
      </c>
      <c r="N78" s="167" t="s">
        <v>2462</v>
      </c>
      <c r="O78" s="167" t="s">
        <v>2891</v>
      </c>
      <c r="P78" s="12" t="str">
        <f>_xlfn.DISPIMG("ID_0C2059A8D9A84C38B1CE4EFB24FA358E",1)</f>
        <v>=DISPIMG("ID_0C2059A8D9A84C38B1CE4EFB24FA358E",1)</v>
      </c>
      <c r="Q78" s="11" t="s">
        <v>2892</v>
      </c>
      <c r="R78" s="11">
        <v>351</v>
      </c>
      <c r="S78" s="17" t="s">
        <v>4390</v>
      </c>
      <c r="T78" s="18" t="s">
        <v>39</v>
      </c>
    </row>
    <row r="79" s="3" customFormat="1" customHeight="1" spans="1:20">
      <c r="A79" s="84">
        <v>17</v>
      </c>
      <c r="B79" s="177" t="s">
        <v>2908</v>
      </c>
      <c r="C79" s="167" t="s">
        <v>165</v>
      </c>
      <c r="D79" s="167" t="s">
        <v>2909</v>
      </c>
      <c r="E79" s="11">
        <v>15180608812</v>
      </c>
      <c r="F79" s="167" t="s">
        <v>278</v>
      </c>
      <c r="G79" s="167" t="s">
        <v>28</v>
      </c>
      <c r="H79" s="11">
        <v>202103001</v>
      </c>
      <c r="I79" s="167" t="s">
        <v>279</v>
      </c>
      <c r="J79" s="167" t="s">
        <v>732</v>
      </c>
      <c r="K79" s="167" t="s">
        <v>280</v>
      </c>
      <c r="L79" s="167" t="s">
        <v>170</v>
      </c>
      <c r="M79" s="167" t="s">
        <v>216</v>
      </c>
      <c r="N79" s="167" t="s">
        <v>340</v>
      </c>
      <c r="O79" s="167" t="s">
        <v>2911</v>
      </c>
      <c r="P79" s="12" t="str">
        <f>_xlfn.DISPIMG("ID_2372D216C4084B2F90A1624776C89F44",1)</f>
        <v>=DISPIMG("ID_2372D216C4084B2F90A1624776C89F44",1)</v>
      </c>
      <c r="Q79" s="11" t="s">
        <v>2912</v>
      </c>
      <c r="R79" s="11">
        <v>354</v>
      </c>
      <c r="S79" s="17" t="s">
        <v>4391</v>
      </c>
      <c r="T79" s="18" t="s">
        <v>39</v>
      </c>
    </row>
    <row r="80" s="3" customFormat="1" customHeight="1" spans="1:20">
      <c r="A80" s="84">
        <v>18</v>
      </c>
      <c r="B80" s="177" t="s">
        <v>3015</v>
      </c>
      <c r="C80" s="167" t="s">
        <v>165</v>
      </c>
      <c r="D80" s="167" t="s">
        <v>3016</v>
      </c>
      <c r="E80" s="11">
        <v>15779237225</v>
      </c>
      <c r="F80" s="167" t="s">
        <v>278</v>
      </c>
      <c r="G80" s="167" t="s">
        <v>28</v>
      </c>
      <c r="H80" s="11">
        <v>202103001</v>
      </c>
      <c r="I80" s="167" t="s">
        <v>585</v>
      </c>
      <c r="J80" s="167" t="s">
        <v>3018</v>
      </c>
      <c r="K80" s="167" t="s">
        <v>586</v>
      </c>
      <c r="L80" s="167" t="s">
        <v>170</v>
      </c>
      <c r="M80" s="167" t="s">
        <v>1346</v>
      </c>
      <c r="N80" s="167" t="s">
        <v>340</v>
      </c>
      <c r="O80" s="167" t="s">
        <v>3019</v>
      </c>
      <c r="P80" s="12" t="str">
        <f>_xlfn.DISPIMG("ID_5D71807FA9B14D55B579AC354805CDFB",1)</f>
        <v>=DISPIMG("ID_5D71807FA9B14D55B579AC354805CDFB",1)</v>
      </c>
      <c r="Q80" s="11" t="s">
        <v>3020</v>
      </c>
      <c r="R80" s="11">
        <v>372</v>
      </c>
      <c r="S80" s="17" t="s">
        <v>4392</v>
      </c>
      <c r="T80" s="18" t="s">
        <v>39</v>
      </c>
    </row>
    <row r="81" s="4" customFormat="1" customHeight="1" spans="1:20">
      <c r="A81" s="84">
        <v>19</v>
      </c>
      <c r="B81" s="177" t="s">
        <v>3136</v>
      </c>
      <c r="C81" s="167" t="s">
        <v>165</v>
      </c>
      <c r="D81" s="167" t="s">
        <v>3137</v>
      </c>
      <c r="E81" s="11">
        <v>13207912916</v>
      </c>
      <c r="F81" s="167" t="s">
        <v>278</v>
      </c>
      <c r="G81" s="167" t="s">
        <v>28</v>
      </c>
      <c r="H81" s="11">
        <v>202103001</v>
      </c>
      <c r="I81" s="167" t="s">
        <v>157</v>
      </c>
      <c r="J81" s="167" t="s">
        <v>233</v>
      </c>
      <c r="K81" s="167" t="s">
        <v>280</v>
      </c>
      <c r="L81" s="167" t="s">
        <v>170</v>
      </c>
      <c r="M81" s="167" t="s">
        <v>199</v>
      </c>
      <c r="N81" s="167" t="s">
        <v>517</v>
      </c>
      <c r="O81" s="167" t="s">
        <v>3139</v>
      </c>
      <c r="P81" s="12" t="str">
        <f>_xlfn.DISPIMG("ID_5DD0D632EE9F43A696BEAC7A2AD60F9E",1)</f>
        <v>=DISPIMG("ID_5DD0D632EE9F43A696BEAC7A2AD60F9E",1)</v>
      </c>
      <c r="Q81" s="11" t="s">
        <v>3140</v>
      </c>
      <c r="R81" s="11">
        <v>388</v>
      </c>
      <c r="S81" s="17" t="s">
        <v>4393</v>
      </c>
      <c r="T81" s="18" t="s">
        <v>39</v>
      </c>
    </row>
    <row r="82" s="3" customFormat="1" customHeight="1" spans="1:20">
      <c r="A82" s="84">
        <v>20</v>
      </c>
      <c r="B82" s="177" t="s">
        <v>3143</v>
      </c>
      <c r="C82" s="167" t="s">
        <v>165</v>
      </c>
      <c r="D82" s="167" t="s">
        <v>3144</v>
      </c>
      <c r="E82" s="11">
        <v>18046721566</v>
      </c>
      <c r="F82" s="167" t="s">
        <v>278</v>
      </c>
      <c r="G82" s="167" t="s">
        <v>28</v>
      </c>
      <c r="H82" s="11">
        <v>202103001</v>
      </c>
      <c r="I82" s="167" t="s">
        <v>279</v>
      </c>
      <c r="J82" s="167" t="s">
        <v>367</v>
      </c>
      <c r="K82" s="167" t="s">
        <v>169</v>
      </c>
      <c r="L82" s="167" t="s">
        <v>170</v>
      </c>
      <c r="M82" s="167" t="s">
        <v>2685</v>
      </c>
      <c r="N82" s="167" t="s">
        <v>3146</v>
      </c>
      <c r="O82" s="167" t="s">
        <v>3147</v>
      </c>
      <c r="P82" s="12" t="str">
        <f>_xlfn.DISPIMG("ID_A94A4E6038894CA88A82184D1877D675",1)</f>
        <v>=DISPIMG("ID_A94A4E6038894CA88A82184D1877D675",1)</v>
      </c>
      <c r="Q82" s="11" t="s">
        <v>3148</v>
      </c>
      <c r="R82" s="11">
        <v>389</v>
      </c>
      <c r="S82" s="17" t="s">
        <v>4394</v>
      </c>
      <c r="T82" s="18" t="s">
        <v>39</v>
      </c>
    </row>
    <row r="83" s="3" customFormat="1" customHeight="1" spans="1:20">
      <c r="A83" s="84">
        <v>21</v>
      </c>
      <c r="B83" s="177" t="s">
        <v>1429</v>
      </c>
      <c r="C83" s="167" t="s">
        <v>165</v>
      </c>
      <c r="D83" s="167" t="s">
        <v>1430</v>
      </c>
      <c r="E83" s="11">
        <v>15779219115</v>
      </c>
      <c r="F83" s="167" t="s">
        <v>278</v>
      </c>
      <c r="G83" s="167" t="s">
        <v>28</v>
      </c>
      <c r="H83" s="11">
        <v>202103001</v>
      </c>
      <c r="I83" s="167" t="s">
        <v>279</v>
      </c>
      <c r="J83" s="167" t="s">
        <v>1432</v>
      </c>
      <c r="K83" s="167" t="s">
        <v>1433</v>
      </c>
      <c r="L83" s="167" t="s">
        <v>170</v>
      </c>
      <c r="M83" s="167" t="s">
        <v>261</v>
      </c>
      <c r="N83" s="167" t="s">
        <v>1013</v>
      </c>
      <c r="O83" s="167" t="s">
        <v>1435</v>
      </c>
      <c r="P83" s="12" t="str">
        <f>_xlfn.DISPIMG("ID_2AA0C0867EDA4E25AC1B455524935955",1)</f>
        <v>=DISPIMG("ID_2AA0C0867EDA4E25AC1B455524935955",1)</v>
      </c>
      <c r="Q83" s="11" t="s">
        <v>1436</v>
      </c>
      <c r="R83" s="11">
        <v>391</v>
      </c>
      <c r="S83" s="17" t="s">
        <v>4395</v>
      </c>
      <c r="T83" s="18" t="s">
        <v>39</v>
      </c>
    </row>
    <row r="84" s="3" customFormat="1" customHeight="1" spans="1:20">
      <c r="A84" s="84">
        <v>22</v>
      </c>
      <c r="B84" s="177" t="s">
        <v>3172</v>
      </c>
      <c r="C84" s="167" t="s">
        <v>165</v>
      </c>
      <c r="D84" s="167" t="s">
        <v>3173</v>
      </c>
      <c r="E84" s="11">
        <v>18970280941</v>
      </c>
      <c r="F84" s="167" t="s">
        <v>278</v>
      </c>
      <c r="G84" s="167" t="s">
        <v>28</v>
      </c>
      <c r="H84" s="11">
        <v>202103001</v>
      </c>
      <c r="I84" s="167" t="s">
        <v>585</v>
      </c>
      <c r="J84" s="167" t="s">
        <v>3174</v>
      </c>
      <c r="K84" s="167" t="s">
        <v>586</v>
      </c>
      <c r="L84" s="167" t="s">
        <v>170</v>
      </c>
      <c r="M84" s="167" t="s">
        <v>3039</v>
      </c>
      <c r="N84" s="167" t="s">
        <v>340</v>
      </c>
      <c r="O84" s="167" t="s">
        <v>3175</v>
      </c>
      <c r="P84" s="12" t="str">
        <f>_xlfn.DISPIMG("ID_0094E289D6FF483F911D447623CD2A7B",1)</f>
        <v>=DISPIMG("ID_0094E289D6FF483F911D447623CD2A7B",1)</v>
      </c>
      <c r="Q84" s="11" t="s">
        <v>3176</v>
      </c>
      <c r="R84" s="11">
        <v>394</v>
      </c>
      <c r="S84" s="17" t="s">
        <v>4396</v>
      </c>
      <c r="T84" s="18" t="s">
        <v>39</v>
      </c>
    </row>
    <row r="85" s="3" customFormat="1" customHeight="1" spans="1:20">
      <c r="A85" s="84">
        <v>23</v>
      </c>
      <c r="B85" s="177" t="s">
        <v>3234</v>
      </c>
      <c r="C85" s="167" t="s">
        <v>165</v>
      </c>
      <c r="D85" s="167" t="s">
        <v>3235</v>
      </c>
      <c r="E85" s="11">
        <v>15083801983</v>
      </c>
      <c r="F85" s="167" t="s">
        <v>278</v>
      </c>
      <c r="G85" s="167" t="s">
        <v>28</v>
      </c>
      <c r="H85" s="11">
        <v>202103001</v>
      </c>
      <c r="I85" s="167" t="s">
        <v>279</v>
      </c>
      <c r="J85" s="167" t="s">
        <v>339</v>
      </c>
      <c r="K85" s="167" t="s">
        <v>960</v>
      </c>
      <c r="L85" s="167" t="s">
        <v>170</v>
      </c>
      <c r="M85" s="167" t="s">
        <v>2935</v>
      </c>
      <c r="N85" s="167" t="s">
        <v>376</v>
      </c>
      <c r="O85" s="167" t="s">
        <v>3237</v>
      </c>
      <c r="P85" s="12" t="str">
        <f>_xlfn.DISPIMG("ID_6E77F2441F654B1DACC44E4FDEC025B1",1)</f>
        <v>=DISPIMG("ID_6E77F2441F654B1DACC44E4FDEC025B1",1)</v>
      </c>
      <c r="Q85" s="11" t="s">
        <v>3238</v>
      </c>
      <c r="R85" s="11">
        <v>403</v>
      </c>
      <c r="S85" s="17" t="s">
        <v>4397</v>
      </c>
      <c r="T85" s="18" t="s">
        <v>39</v>
      </c>
    </row>
    <row r="86" s="3" customFormat="1" customHeight="1" spans="1:20">
      <c r="A86" s="84">
        <v>24</v>
      </c>
      <c r="B86" s="177" t="s">
        <v>3293</v>
      </c>
      <c r="C86" s="167" t="s">
        <v>165</v>
      </c>
      <c r="D86" s="167" t="s">
        <v>3294</v>
      </c>
      <c r="E86" s="11">
        <v>18170265828</v>
      </c>
      <c r="F86" s="167" t="s">
        <v>278</v>
      </c>
      <c r="G86" s="167" t="s">
        <v>28</v>
      </c>
      <c r="H86" s="11">
        <v>202103001</v>
      </c>
      <c r="I86" s="167" t="s">
        <v>157</v>
      </c>
      <c r="J86" s="167" t="s">
        <v>233</v>
      </c>
      <c r="K86" s="167" t="s">
        <v>280</v>
      </c>
      <c r="L86" s="167" t="s">
        <v>170</v>
      </c>
      <c r="M86" s="167" t="s">
        <v>3061</v>
      </c>
      <c r="N86" s="167" t="s">
        <v>3296</v>
      </c>
      <c r="O86" s="167" t="s">
        <v>3297</v>
      </c>
      <c r="P86" s="12" t="str">
        <f>_xlfn.DISPIMG("ID_1A8F20F988244300AFCAF70BDC1F337C",1)</f>
        <v>=DISPIMG("ID_1A8F20F988244300AFCAF70BDC1F337C",1)</v>
      </c>
      <c r="Q86" s="11" t="s">
        <v>3298</v>
      </c>
      <c r="R86" s="11">
        <v>413</v>
      </c>
      <c r="S86" s="17" t="s">
        <v>4398</v>
      </c>
      <c r="T86" s="18" t="s">
        <v>39</v>
      </c>
    </row>
    <row r="87" s="3" customFormat="1" customHeight="1" spans="1:20">
      <c r="A87" s="84">
        <v>25</v>
      </c>
      <c r="B87" s="177" t="s">
        <v>3307</v>
      </c>
      <c r="C87" s="167" t="s">
        <v>165</v>
      </c>
      <c r="D87" s="167" t="s">
        <v>3308</v>
      </c>
      <c r="E87" s="11">
        <v>15570243314</v>
      </c>
      <c r="F87" s="167" t="s">
        <v>278</v>
      </c>
      <c r="G87" s="167" t="s">
        <v>28</v>
      </c>
      <c r="H87" s="11">
        <v>202103001</v>
      </c>
      <c r="I87" s="167" t="s">
        <v>279</v>
      </c>
      <c r="J87" s="167" t="s">
        <v>3309</v>
      </c>
      <c r="K87" s="167" t="s">
        <v>2326</v>
      </c>
      <c r="L87" s="167" t="s">
        <v>170</v>
      </c>
      <c r="M87" s="167" t="s">
        <v>396</v>
      </c>
      <c r="N87" s="167" t="s">
        <v>517</v>
      </c>
      <c r="O87" s="167" t="s">
        <v>3310</v>
      </c>
      <c r="P87" s="12" t="str">
        <f>_xlfn.DISPIMG("ID_354EF343CD5243F482E0D228CE19598F",1)</f>
        <v>=DISPIMG("ID_354EF343CD5243F482E0D228CE19598F",1)</v>
      </c>
      <c r="Q87" s="11" t="s">
        <v>3311</v>
      </c>
      <c r="R87" s="11">
        <v>415</v>
      </c>
      <c r="S87" s="17" t="s">
        <v>4399</v>
      </c>
      <c r="T87" s="18" t="s">
        <v>39</v>
      </c>
    </row>
    <row r="88" s="3" customFormat="1" customHeight="1" spans="1:20">
      <c r="A88" s="84">
        <v>26</v>
      </c>
      <c r="B88" s="177" t="s">
        <v>3320</v>
      </c>
      <c r="C88" s="167" t="s">
        <v>165</v>
      </c>
      <c r="D88" s="167" t="s">
        <v>3321</v>
      </c>
      <c r="E88" s="11">
        <v>13979205561</v>
      </c>
      <c r="F88" s="167" t="s">
        <v>278</v>
      </c>
      <c r="G88" s="167" t="s">
        <v>28</v>
      </c>
      <c r="H88" s="11">
        <v>202103001</v>
      </c>
      <c r="I88" s="167" t="s">
        <v>585</v>
      </c>
      <c r="J88" s="167" t="s">
        <v>168</v>
      </c>
      <c r="K88" s="167" t="s">
        <v>280</v>
      </c>
      <c r="L88" s="167" t="s">
        <v>170</v>
      </c>
      <c r="M88" s="167" t="s">
        <v>2047</v>
      </c>
      <c r="N88" s="167" t="s">
        <v>340</v>
      </c>
      <c r="O88" s="167" t="s">
        <v>3322</v>
      </c>
      <c r="P88" s="12" t="str">
        <f>_xlfn.DISPIMG("ID_98A98A82D5AD4E03ADF0E8FE54980276",1)</f>
        <v>=DISPIMG("ID_98A98A82D5AD4E03ADF0E8FE54980276",1)</v>
      </c>
      <c r="Q88" s="11" t="s">
        <v>3323</v>
      </c>
      <c r="R88" s="11">
        <v>417</v>
      </c>
      <c r="S88" s="17" t="s">
        <v>4400</v>
      </c>
      <c r="T88" s="18" t="s">
        <v>39</v>
      </c>
    </row>
    <row r="89" s="4" customFormat="1" customHeight="1" spans="1:20">
      <c r="A89" s="84">
        <v>27</v>
      </c>
      <c r="B89" s="177" t="s">
        <v>3326</v>
      </c>
      <c r="C89" s="167" t="s">
        <v>165</v>
      </c>
      <c r="D89" s="167" t="s">
        <v>3327</v>
      </c>
      <c r="E89" s="11">
        <v>15979970756</v>
      </c>
      <c r="F89" s="167" t="s">
        <v>278</v>
      </c>
      <c r="G89" s="167" t="s">
        <v>28</v>
      </c>
      <c r="H89" s="11">
        <v>202103001</v>
      </c>
      <c r="I89" s="167" t="s">
        <v>279</v>
      </c>
      <c r="J89" s="167" t="s">
        <v>3329</v>
      </c>
      <c r="K89" s="167" t="s">
        <v>280</v>
      </c>
      <c r="L89" s="167" t="s">
        <v>170</v>
      </c>
      <c r="M89" s="167" t="s">
        <v>368</v>
      </c>
      <c r="N89" s="167" t="s">
        <v>376</v>
      </c>
      <c r="O89" s="167" t="s">
        <v>3330</v>
      </c>
      <c r="P89" s="12" t="str">
        <f>_xlfn.DISPIMG("ID_35E61F5727C7442282FC0637F60D57FC",1)</f>
        <v>=DISPIMG("ID_35E61F5727C7442282FC0637F60D57FC",1)</v>
      </c>
      <c r="Q89" s="11" t="s">
        <v>3331</v>
      </c>
      <c r="R89" s="11">
        <v>418</v>
      </c>
      <c r="S89" s="17" t="s">
        <v>4401</v>
      </c>
      <c r="T89" s="18" t="s">
        <v>39</v>
      </c>
    </row>
    <row r="90" s="3" customFormat="1" customHeight="1" spans="1:20">
      <c r="A90" s="84">
        <v>28</v>
      </c>
      <c r="B90" s="177" t="s">
        <v>2682</v>
      </c>
      <c r="C90" s="167" t="s">
        <v>165</v>
      </c>
      <c r="D90" s="167" t="s">
        <v>2683</v>
      </c>
      <c r="E90" s="11">
        <v>18079206353</v>
      </c>
      <c r="F90" s="167" t="s">
        <v>278</v>
      </c>
      <c r="G90" s="167" t="s">
        <v>28</v>
      </c>
      <c r="H90" s="11">
        <v>202103001</v>
      </c>
      <c r="I90" s="167" t="s">
        <v>585</v>
      </c>
      <c r="J90" s="167" t="s">
        <v>367</v>
      </c>
      <c r="K90" s="167" t="s">
        <v>586</v>
      </c>
      <c r="L90" s="167" t="s">
        <v>170</v>
      </c>
      <c r="M90" s="167" t="s">
        <v>2685</v>
      </c>
      <c r="N90" s="167" t="s">
        <v>2686</v>
      </c>
      <c r="O90" s="167" t="s">
        <v>2687</v>
      </c>
      <c r="P90" s="12" t="str">
        <f>_xlfn.DISPIMG("ID_5B48971EF1B54F2AA5263A5C67E87781",1)</f>
        <v>=DISPIMG("ID_5B48971EF1B54F2AA5263A5C67E87781",1)</v>
      </c>
      <c r="Q90" s="11" t="s">
        <v>2688</v>
      </c>
      <c r="R90" s="11">
        <v>419</v>
      </c>
      <c r="S90" s="17" t="s">
        <v>4402</v>
      </c>
      <c r="T90" s="18" t="s">
        <v>39</v>
      </c>
    </row>
    <row r="91" s="3" customFormat="1" customHeight="1" spans="1:20">
      <c r="A91" s="84">
        <v>29</v>
      </c>
      <c r="B91" s="177" t="s">
        <v>3342</v>
      </c>
      <c r="C91" s="167" t="s">
        <v>165</v>
      </c>
      <c r="D91" s="167" t="s">
        <v>3343</v>
      </c>
      <c r="E91" s="11">
        <v>18320666217</v>
      </c>
      <c r="F91" s="167" t="s">
        <v>278</v>
      </c>
      <c r="G91" s="167" t="s">
        <v>28</v>
      </c>
      <c r="H91" s="11">
        <v>202103001</v>
      </c>
      <c r="I91" s="167" t="s">
        <v>157</v>
      </c>
      <c r="J91" s="167" t="s">
        <v>3345</v>
      </c>
      <c r="K91" s="167" t="s">
        <v>280</v>
      </c>
      <c r="L91" s="167" t="s">
        <v>170</v>
      </c>
      <c r="M91" s="167" t="s">
        <v>235</v>
      </c>
      <c r="N91" s="167" t="s">
        <v>3346</v>
      </c>
      <c r="O91" s="167" t="s">
        <v>3347</v>
      </c>
      <c r="P91" s="12" t="str">
        <f>_xlfn.DISPIMG("ID_E18EEBC59F6A4BD3BA9929CD3773910D",1)</f>
        <v>=DISPIMG("ID_E18EEBC59F6A4BD3BA9929CD3773910D",1)</v>
      </c>
      <c r="Q91" s="11" t="s">
        <v>3348</v>
      </c>
      <c r="R91" s="11">
        <v>421</v>
      </c>
      <c r="S91" s="17" t="s">
        <v>4403</v>
      </c>
      <c r="T91" s="18" t="s">
        <v>39</v>
      </c>
    </row>
    <row r="92" s="4" customFormat="1" customHeight="1" spans="1:20">
      <c r="A92" s="84">
        <v>30</v>
      </c>
      <c r="B92" s="177" t="s">
        <v>3403</v>
      </c>
      <c r="C92" s="167" t="s">
        <v>165</v>
      </c>
      <c r="D92" s="167" t="s">
        <v>3404</v>
      </c>
      <c r="E92" s="11">
        <v>18000721221</v>
      </c>
      <c r="F92" s="167" t="s">
        <v>278</v>
      </c>
      <c r="G92" s="167" t="s">
        <v>28</v>
      </c>
      <c r="H92" s="11">
        <v>202103001</v>
      </c>
      <c r="I92" s="167" t="s">
        <v>279</v>
      </c>
      <c r="J92" s="167" t="s">
        <v>168</v>
      </c>
      <c r="K92" s="167" t="s">
        <v>280</v>
      </c>
      <c r="L92" s="167" t="s">
        <v>170</v>
      </c>
      <c r="M92" s="167" t="s">
        <v>516</v>
      </c>
      <c r="N92" s="167" t="s">
        <v>280</v>
      </c>
      <c r="O92" s="167" t="s">
        <v>3405</v>
      </c>
      <c r="P92" s="12" t="str">
        <f>_xlfn.DISPIMG("ID_7EFAC0679406489199323C08AE652767",1)</f>
        <v>=DISPIMG("ID_7EFAC0679406489199323C08AE652767",1)</v>
      </c>
      <c r="Q92" s="11" t="s">
        <v>3406</v>
      </c>
      <c r="R92" s="20">
        <v>429</v>
      </c>
      <c r="S92" s="17" t="s">
        <v>4404</v>
      </c>
      <c r="T92" s="18" t="s">
        <v>39</v>
      </c>
    </row>
    <row r="93" s="3" customFormat="1" customHeight="1" spans="1:20">
      <c r="A93" s="84">
        <v>1</v>
      </c>
      <c r="B93" s="177" t="s">
        <v>3429</v>
      </c>
      <c r="C93" s="167" t="s">
        <v>165</v>
      </c>
      <c r="D93" s="167" t="s">
        <v>3430</v>
      </c>
      <c r="E93" s="11">
        <v>18279285118</v>
      </c>
      <c r="F93" s="167" t="s">
        <v>278</v>
      </c>
      <c r="G93" s="167" t="s">
        <v>28</v>
      </c>
      <c r="H93" s="11">
        <v>202103001</v>
      </c>
      <c r="I93" s="167" t="s">
        <v>585</v>
      </c>
      <c r="J93" s="167" t="s">
        <v>3018</v>
      </c>
      <c r="K93" s="167" t="s">
        <v>586</v>
      </c>
      <c r="L93" s="167" t="s">
        <v>170</v>
      </c>
      <c r="M93" s="167" t="s">
        <v>3431</v>
      </c>
      <c r="N93" s="167" t="s">
        <v>586</v>
      </c>
      <c r="O93" s="167" t="s">
        <v>3432</v>
      </c>
      <c r="P93" s="12" t="str">
        <f>_xlfn.DISPIMG("ID_E1216B8DC47A44DFAB6AC1BAFDBCD62B",1)</f>
        <v>=DISPIMG("ID_E1216B8DC47A44DFAB6AC1BAFDBCD62B",1)</v>
      </c>
      <c r="Q93" s="11" t="s">
        <v>3433</v>
      </c>
      <c r="R93" s="20">
        <v>433</v>
      </c>
      <c r="S93" s="17" t="s">
        <v>4405</v>
      </c>
      <c r="T93" s="18" t="s">
        <v>40</v>
      </c>
    </row>
    <row r="94" s="3" customFormat="1" customHeight="1" spans="1:20">
      <c r="A94" s="84">
        <v>2</v>
      </c>
      <c r="B94" s="177" t="s">
        <v>3443</v>
      </c>
      <c r="C94" s="167" t="s">
        <v>165</v>
      </c>
      <c r="D94" s="167" t="s">
        <v>3444</v>
      </c>
      <c r="E94" s="11">
        <v>18607912074</v>
      </c>
      <c r="F94" s="167" t="s">
        <v>278</v>
      </c>
      <c r="G94" s="167" t="s">
        <v>28</v>
      </c>
      <c r="H94" s="11">
        <v>202103001</v>
      </c>
      <c r="I94" s="167" t="s">
        <v>279</v>
      </c>
      <c r="J94" s="167" t="s">
        <v>515</v>
      </c>
      <c r="K94" s="167" t="s">
        <v>280</v>
      </c>
      <c r="L94" s="167" t="s">
        <v>170</v>
      </c>
      <c r="M94" s="167" t="s">
        <v>224</v>
      </c>
      <c r="N94" s="167" t="s">
        <v>517</v>
      </c>
      <c r="O94" s="167" t="s">
        <v>3446</v>
      </c>
      <c r="P94" s="12" t="str">
        <f>_xlfn.DISPIMG("ID_BD52B8A2C60C41F6B5F6C165401F5CB1",1)</f>
        <v>=DISPIMG("ID_BD52B8A2C60C41F6B5F6C165401F5CB1",1)</v>
      </c>
      <c r="Q94" s="11" t="s">
        <v>3447</v>
      </c>
      <c r="R94" s="20">
        <v>435</v>
      </c>
      <c r="S94" s="17" t="s">
        <v>4406</v>
      </c>
      <c r="T94" s="18" t="s">
        <v>40</v>
      </c>
    </row>
    <row r="95" s="3" customFormat="1" customHeight="1" spans="1:20">
      <c r="A95" s="84">
        <v>3</v>
      </c>
      <c r="B95" s="177" t="s">
        <v>3488</v>
      </c>
      <c r="C95" s="167" t="s">
        <v>165</v>
      </c>
      <c r="D95" s="167" t="s">
        <v>3489</v>
      </c>
      <c r="E95" s="11">
        <v>13755200519</v>
      </c>
      <c r="F95" s="167" t="s">
        <v>278</v>
      </c>
      <c r="G95" s="167" t="s">
        <v>28</v>
      </c>
      <c r="H95" s="11">
        <v>202103001</v>
      </c>
      <c r="I95" s="167" t="s">
        <v>279</v>
      </c>
      <c r="J95" s="167" t="s">
        <v>3490</v>
      </c>
      <c r="K95" s="167" t="s">
        <v>404</v>
      </c>
      <c r="L95" s="167" t="s">
        <v>160</v>
      </c>
      <c r="M95" s="167" t="s">
        <v>1346</v>
      </c>
      <c r="N95" s="167" t="s">
        <v>517</v>
      </c>
      <c r="O95" s="167" t="s">
        <v>3491</v>
      </c>
      <c r="P95" s="12" t="str">
        <f>_xlfn.DISPIMG("ID_6A8C51914B494C9CBD5F245F39A2E519",1)</f>
        <v>=DISPIMG("ID_6A8C51914B494C9CBD5F245F39A2E519",1)</v>
      </c>
      <c r="Q95" s="11" t="s">
        <v>3492</v>
      </c>
      <c r="R95" s="11">
        <v>441</v>
      </c>
      <c r="S95" s="17" t="s">
        <v>4411</v>
      </c>
      <c r="T95" s="18" t="s">
        <v>40</v>
      </c>
    </row>
    <row r="96" s="3" customFormat="1" customHeight="1" spans="1:20">
      <c r="A96" s="84">
        <v>4</v>
      </c>
      <c r="B96" s="177" t="s">
        <v>3608</v>
      </c>
      <c r="C96" s="167" t="s">
        <v>165</v>
      </c>
      <c r="D96" s="167" t="s">
        <v>3609</v>
      </c>
      <c r="E96" s="11">
        <v>18279283769</v>
      </c>
      <c r="F96" s="167" t="s">
        <v>278</v>
      </c>
      <c r="G96" s="167" t="s">
        <v>28</v>
      </c>
      <c r="H96" s="11">
        <v>202103001</v>
      </c>
      <c r="I96" s="167" t="s">
        <v>585</v>
      </c>
      <c r="J96" s="167" t="s">
        <v>3174</v>
      </c>
      <c r="K96" s="167" t="s">
        <v>280</v>
      </c>
      <c r="L96" s="167" t="s">
        <v>170</v>
      </c>
      <c r="M96" s="167" t="s">
        <v>3039</v>
      </c>
      <c r="N96" s="167" t="s">
        <v>2686</v>
      </c>
      <c r="O96" s="167" t="s">
        <v>3611</v>
      </c>
      <c r="P96" s="12" t="str">
        <f>_xlfn.DISPIMG("ID_39BF594A37E3442B8E4FFF60E8863D45",1)</f>
        <v>=DISPIMG("ID_39BF594A37E3442B8E4FFF60E8863D45",1)</v>
      </c>
      <c r="Q96" s="11" t="s">
        <v>3612</v>
      </c>
      <c r="R96" s="11">
        <v>459</v>
      </c>
      <c r="S96" s="17" t="s">
        <v>4412</v>
      </c>
      <c r="T96" s="18" t="s">
        <v>40</v>
      </c>
    </row>
    <row r="97" s="3" customFormat="1" customHeight="1" spans="1:20">
      <c r="A97" s="84">
        <v>5</v>
      </c>
      <c r="B97" s="177" t="s">
        <v>3676</v>
      </c>
      <c r="C97" s="167" t="s">
        <v>165</v>
      </c>
      <c r="D97" s="167" t="s">
        <v>3677</v>
      </c>
      <c r="E97" s="11">
        <v>18296221374</v>
      </c>
      <c r="F97" s="167" t="s">
        <v>278</v>
      </c>
      <c r="G97" s="167" t="s">
        <v>28</v>
      </c>
      <c r="H97" s="11">
        <v>202103001</v>
      </c>
      <c r="I97" s="167" t="s">
        <v>585</v>
      </c>
      <c r="J97" s="167" t="s">
        <v>3679</v>
      </c>
      <c r="K97" s="167" t="s">
        <v>586</v>
      </c>
      <c r="L97" s="167" t="s">
        <v>170</v>
      </c>
      <c r="M97" s="167" t="s">
        <v>1089</v>
      </c>
      <c r="N97" s="167" t="s">
        <v>3680</v>
      </c>
      <c r="O97" s="167" t="s">
        <v>3681</v>
      </c>
      <c r="P97" s="12" t="str">
        <f>_xlfn.DISPIMG("ID_B6A72806890947DEB45EA914FD393A84",1)</f>
        <v>=DISPIMG("ID_B6A72806890947DEB45EA914FD393A84",1)</v>
      </c>
      <c r="Q97" s="11" t="s">
        <v>3682</v>
      </c>
      <c r="R97" s="11">
        <v>468</v>
      </c>
      <c r="S97" s="17" t="s">
        <v>4415</v>
      </c>
      <c r="T97" s="18" t="s">
        <v>40</v>
      </c>
    </row>
    <row r="98" s="3" customFormat="1" customHeight="1" spans="1:20">
      <c r="A98" s="84">
        <v>6</v>
      </c>
      <c r="B98" s="177" t="s">
        <v>3712</v>
      </c>
      <c r="C98" s="167" t="s">
        <v>165</v>
      </c>
      <c r="D98" s="167" t="s">
        <v>3713</v>
      </c>
      <c r="E98" s="11">
        <v>18720196269</v>
      </c>
      <c r="F98" s="167" t="s">
        <v>278</v>
      </c>
      <c r="G98" s="167" t="s">
        <v>28</v>
      </c>
      <c r="H98" s="11">
        <v>202103001</v>
      </c>
      <c r="I98" s="167" t="s">
        <v>585</v>
      </c>
      <c r="J98" s="167" t="s">
        <v>367</v>
      </c>
      <c r="K98" s="167" t="s">
        <v>2686</v>
      </c>
      <c r="L98" s="167" t="s">
        <v>160</v>
      </c>
      <c r="M98" s="167" t="s">
        <v>3039</v>
      </c>
      <c r="N98" s="167" t="s">
        <v>3715</v>
      </c>
      <c r="O98" s="167" t="s">
        <v>3716</v>
      </c>
      <c r="P98" s="12" t="str">
        <f>_xlfn.DISPIMG("ID_059DAEED1F3E457C93C0A1610046F2A5",1)</f>
        <v>=DISPIMG("ID_059DAEED1F3E457C93C0A1610046F2A5",1)</v>
      </c>
      <c r="Q98" s="11" t="s">
        <v>3717</v>
      </c>
      <c r="R98" s="11">
        <v>473</v>
      </c>
      <c r="S98" s="17" t="s">
        <v>4416</v>
      </c>
      <c r="T98" s="18" t="s">
        <v>40</v>
      </c>
    </row>
    <row r="99" s="3" customFormat="1" customHeight="1" spans="1:20">
      <c r="A99" s="84">
        <v>7</v>
      </c>
      <c r="B99" s="177" t="s">
        <v>3720</v>
      </c>
      <c r="C99" s="167" t="s">
        <v>165</v>
      </c>
      <c r="D99" s="167" t="s">
        <v>3721</v>
      </c>
      <c r="E99" s="11">
        <v>15970603423</v>
      </c>
      <c r="F99" s="167" t="s">
        <v>278</v>
      </c>
      <c r="G99" s="167" t="s">
        <v>28</v>
      </c>
      <c r="H99" s="11">
        <v>202103001</v>
      </c>
      <c r="I99" s="167" t="s">
        <v>157</v>
      </c>
      <c r="J99" s="167" t="s">
        <v>178</v>
      </c>
      <c r="K99" s="167" t="s">
        <v>960</v>
      </c>
      <c r="L99" s="167" t="s">
        <v>170</v>
      </c>
      <c r="M99" s="167" t="s">
        <v>180</v>
      </c>
      <c r="N99" s="167" t="s">
        <v>340</v>
      </c>
      <c r="O99" s="167" t="s">
        <v>3723</v>
      </c>
      <c r="P99" s="12" t="str">
        <f>_xlfn.DISPIMG("ID_38A4C94876C044A5A6F3E884E1CD36B4",1)</f>
        <v>=DISPIMG("ID_38A4C94876C044A5A6F3E884E1CD36B4",1)</v>
      </c>
      <c r="Q99" s="11" t="s">
        <v>3724</v>
      </c>
      <c r="R99" s="11">
        <v>474</v>
      </c>
      <c r="S99" s="17" t="s">
        <v>4418</v>
      </c>
      <c r="T99" s="18" t="s">
        <v>40</v>
      </c>
    </row>
    <row r="100" s="3" customFormat="1" customHeight="1" spans="1:20">
      <c r="A100" s="84">
        <v>8</v>
      </c>
      <c r="B100" s="177" t="s">
        <v>4237</v>
      </c>
      <c r="C100" s="167" t="s">
        <v>165</v>
      </c>
      <c r="D100" s="167" t="s">
        <v>4238</v>
      </c>
      <c r="E100" s="11">
        <v>15170274665</v>
      </c>
      <c r="F100" s="167" t="s">
        <v>278</v>
      </c>
      <c r="G100" s="167" t="s">
        <v>28</v>
      </c>
      <c r="H100" s="11">
        <v>202103001</v>
      </c>
      <c r="I100" s="167" t="s">
        <v>585</v>
      </c>
      <c r="J100" s="167" t="s">
        <v>367</v>
      </c>
      <c r="K100" s="167" t="s">
        <v>280</v>
      </c>
      <c r="L100" s="167" t="s">
        <v>170</v>
      </c>
      <c r="M100" s="167" t="s">
        <v>368</v>
      </c>
      <c r="N100" s="167" t="s">
        <v>376</v>
      </c>
      <c r="O100" s="167" t="s">
        <v>4240</v>
      </c>
      <c r="P100" s="12" t="str">
        <f>_xlfn.DISPIMG("ID_7116E6EB313E4CDBB6AEC2C13A4D6810",1)</f>
        <v>=DISPIMG("ID_7116E6EB313E4CDBB6AEC2C13A4D6810",1)</v>
      </c>
      <c r="Q100" s="11" t="s">
        <v>4241</v>
      </c>
      <c r="R100" s="11">
        <v>542</v>
      </c>
      <c r="S100" s="17" t="s">
        <v>4419</v>
      </c>
      <c r="T100" s="18" t="s">
        <v>40</v>
      </c>
    </row>
    <row r="101" s="3" customFormat="1" customHeight="1" spans="1:20">
      <c r="A101" s="84">
        <v>9</v>
      </c>
      <c r="B101" s="177" t="s">
        <v>4259</v>
      </c>
      <c r="C101" s="167" t="s">
        <v>165</v>
      </c>
      <c r="D101" s="167" t="s">
        <v>4260</v>
      </c>
      <c r="E101" s="11">
        <v>15270817874</v>
      </c>
      <c r="F101" s="167" t="s">
        <v>278</v>
      </c>
      <c r="G101" s="167" t="s">
        <v>28</v>
      </c>
      <c r="H101" s="11">
        <v>202103001</v>
      </c>
      <c r="I101" s="167" t="s">
        <v>279</v>
      </c>
      <c r="J101" s="167" t="s">
        <v>339</v>
      </c>
      <c r="K101" s="167" t="s">
        <v>280</v>
      </c>
      <c r="L101" s="167" t="s">
        <v>170</v>
      </c>
      <c r="M101" s="167" t="s">
        <v>368</v>
      </c>
      <c r="N101" s="167" t="s">
        <v>4262</v>
      </c>
      <c r="O101" s="167" t="s">
        <v>4263</v>
      </c>
      <c r="P101" s="12" t="str">
        <f>_xlfn.DISPIMG("ID_7ED866D6DEDB4511B970FE38712BEDF5",1)</f>
        <v>=DISPIMG("ID_7ED866D6DEDB4511B970FE38712BEDF5",1)</v>
      </c>
      <c r="Q101" s="11" t="s">
        <v>4264</v>
      </c>
      <c r="R101" s="20">
        <v>545</v>
      </c>
      <c r="S101" s="17" t="s">
        <v>4421</v>
      </c>
      <c r="T101" s="18" t="s">
        <v>40</v>
      </c>
    </row>
    <row r="102" s="3" customFormat="1" customHeight="1" spans="1:20">
      <c r="A102" s="84">
        <v>10</v>
      </c>
      <c r="B102" s="177" t="s">
        <v>175</v>
      </c>
      <c r="C102" s="167" t="s">
        <v>165</v>
      </c>
      <c r="D102" s="167" t="s">
        <v>176</v>
      </c>
      <c r="E102" s="11">
        <v>18046603817</v>
      </c>
      <c r="F102" s="167" t="s">
        <v>156</v>
      </c>
      <c r="G102" s="167" t="s">
        <v>14</v>
      </c>
      <c r="H102" s="11">
        <v>202102001</v>
      </c>
      <c r="I102" s="167" t="s">
        <v>157</v>
      </c>
      <c r="J102" s="167" t="s">
        <v>178</v>
      </c>
      <c r="K102" s="167" t="s">
        <v>179</v>
      </c>
      <c r="L102" s="167" t="s">
        <v>170</v>
      </c>
      <c r="M102" s="167" t="s">
        <v>180</v>
      </c>
      <c r="N102" s="167" t="s">
        <v>14</v>
      </c>
      <c r="O102" s="11">
        <v>0</v>
      </c>
      <c r="P102" s="12" t="str">
        <f>_xlfn.DISPIMG("ID_BD43028E6BB24443B06241FE37DC179A",1)</f>
        <v>=DISPIMG("ID_BD43028E6BB24443B06241FE37DC179A",1)</v>
      </c>
      <c r="Q102" s="11" t="s">
        <v>181</v>
      </c>
      <c r="R102" s="11">
        <v>4</v>
      </c>
      <c r="S102" s="17" t="s">
        <v>4422</v>
      </c>
      <c r="T102" s="18" t="s">
        <v>40</v>
      </c>
    </row>
    <row r="103" s="3" customFormat="1" customHeight="1" spans="1:20">
      <c r="A103" s="84">
        <v>11</v>
      </c>
      <c r="B103" s="177" t="s">
        <v>345</v>
      </c>
      <c r="C103" s="167" t="s">
        <v>165</v>
      </c>
      <c r="D103" s="167" t="s">
        <v>346</v>
      </c>
      <c r="E103" s="11">
        <v>15179246525</v>
      </c>
      <c r="F103" s="167" t="s">
        <v>156</v>
      </c>
      <c r="G103" s="167" t="s">
        <v>14</v>
      </c>
      <c r="H103" s="11">
        <v>202102001</v>
      </c>
      <c r="I103" s="167" t="s">
        <v>279</v>
      </c>
      <c r="J103" s="167" t="s">
        <v>158</v>
      </c>
      <c r="K103" s="167" t="s">
        <v>348</v>
      </c>
      <c r="L103" s="167" t="s">
        <v>170</v>
      </c>
      <c r="M103" s="167" t="s">
        <v>349</v>
      </c>
      <c r="N103" s="167" t="s">
        <v>350</v>
      </c>
      <c r="O103" s="167" t="s">
        <v>351</v>
      </c>
      <c r="P103" s="12" t="str">
        <f>_xlfn.DISPIMG("ID_0FE66397D3464536A23D26C93FD62495",1)</f>
        <v>=DISPIMG("ID_0FE66397D3464536A23D26C93FD62495",1)</v>
      </c>
      <c r="Q103" s="11" t="s">
        <v>352</v>
      </c>
      <c r="R103" s="20">
        <v>23</v>
      </c>
      <c r="S103" s="17" t="s">
        <v>4424</v>
      </c>
      <c r="T103" s="18" t="s">
        <v>40</v>
      </c>
    </row>
    <row r="104" s="3" customFormat="1" customHeight="1" spans="1:20">
      <c r="A104" s="84">
        <v>12</v>
      </c>
      <c r="B104" s="177" t="s">
        <v>364</v>
      </c>
      <c r="C104" s="167" t="s">
        <v>153</v>
      </c>
      <c r="D104" s="167" t="s">
        <v>365</v>
      </c>
      <c r="E104" s="11">
        <v>15879225309</v>
      </c>
      <c r="F104" s="167" t="s">
        <v>156</v>
      </c>
      <c r="G104" s="167" t="s">
        <v>14</v>
      </c>
      <c r="H104" s="11">
        <v>202102001</v>
      </c>
      <c r="I104" s="167" t="s">
        <v>157</v>
      </c>
      <c r="J104" s="167" t="s">
        <v>367</v>
      </c>
      <c r="K104" s="167" t="s">
        <v>348</v>
      </c>
      <c r="L104" s="167" t="s">
        <v>170</v>
      </c>
      <c r="M104" s="167" t="s">
        <v>368</v>
      </c>
      <c r="N104" s="167" t="s">
        <v>14</v>
      </c>
      <c r="O104" s="167" t="s">
        <v>369</v>
      </c>
      <c r="P104" s="12" t="str">
        <f>_xlfn.DISPIMG("ID_08B1C5991BF641D590EC606BAB378CA1",1)</f>
        <v>=DISPIMG("ID_08B1C5991BF641D590EC606BAB378CA1",1)</v>
      </c>
      <c r="Q104" s="11" t="s">
        <v>370</v>
      </c>
      <c r="R104" s="11">
        <v>25</v>
      </c>
      <c r="S104" s="17" t="s">
        <v>4425</v>
      </c>
      <c r="T104" s="18" t="s">
        <v>40</v>
      </c>
    </row>
    <row r="105" s="3" customFormat="1" customHeight="1" spans="1:20">
      <c r="A105" s="84">
        <v>13</v>
      </c>
      <c r="B105" s="177" t="s">
        <v>451</v>
      </c>
      <c r="C105" s="167" t="s">
        <v>165</v>
      </c>
      <c r="D105" s="167" t="s">
        <v>452</v>
      </c>
      <c r="E105" s="11">
        <v>15870856801</v>
      </c>
      <c r="F105" s="167" t="s">
        <v>156</v>
      </c>
      <c r="G105" s="167" t="s">
        <v>14</v>
      </c>
      <c r="H105" s="11">
        <v>202102001</v>
      </c>
      <c r="I105" s="167" t="s">
        <v>157</v>
      </c>
      <c r="J105" s="167" t="s">
        <v>158</v>
      </c>
      <c r="K105" s="167" t="s">
        <v>454</v>
      </c>
      <c r="L105" s="167" t="s">
        <v>170</v>
      </c>
      <c r="M105" s="167" t="s">
        <v>455</v>
      </c>
      <c r="N105" s="167" t="s">
        <v>14</v>
      </c>
      <c r="O105" s="11">
        <v>0</v>
      </c>
      <c r="P105" s="12" t="str">
        <f>_xlfn.DISPIMG("ID_B55181394FEF4B858E10F092AB43BFBB",1)</f>
        <v>=DISPIMG("ID_B55181394FEF4B858E10F092AB43BFBB",1)</v>
      </c>
      <c r="Q105" s="11" t="s">
        <v>456</v>
      </c>
      <c r="R105" s="11">
        <v>35</v>
      </c>
      <c r="S105" s="17" t="s">
        <v>4407</v>
      </c>
      <c r="T105" s="18" t="s">
        <v>40</v>
      </c>
    </row>
    <row r="106" s="3" customFormat="1" customHeight="1" spans="1:20">
      <c r="A106" s="84">
        <v>14</v>
      </c>
      <c r="B106" s="177" t="s">
        <v>529</v>
      </c>
      <c r="C106" s="167" t="s">
        <v>165</v>
      </c>
      <c r="D106" s="167" t="s">
        <v>530</v>
      </c>
      <c r="E106" s="11">
        <v>13870852168</v>
      </c>
      <c r="F106" s="167" t="s">
        <v>156</v>
      </c>
      <c r="G106" s="167" t="s">
        <v>14</v>
      </c>
      <c r="H106" s="11">
        <v>202102001</v>
      </c>
      <c r="I106" s="167" t="s">
        <v>157</v>
      </c>
      <c r="J106" s="167" t="s">
        <v>532</v>
      </c>
      <c r="K106" s="167" t="s">
        <v>533</v>
      </c>
      <c r="L106" s="167" t="s">
        <v>160</v>
      </c>
      <c r="M106" s="167" t="s">
        <v>516</v>
      </c>
      <c r="N106" s="167" t="s">
        <v>14</v>
      </c>
      <c r="O106" s="11">
        <v>0</v>
      </c>
      <c r="P106" s="12" t="str">
        <f>_xlfn.DISPIMG("ID_DE54808A64424090BF3B2071C574D915",1)</f>
        <v>=DISPIMG("ID_DE54808A64424090BF3B2071C574D915",1)</v>
      </c>
      <c r="Q106" s="11" t="s">
        <v>534</v>
      </c>
      <c r="R106" s="11">
        <v>45</v>
      </c>
      <c r="S106" s="17" t="s">
        <v>4408</v>
      </c>
      <c r="T106" s="18" t="s">
        <v>40</v>
      </c>
    </row>
    <row r="107" s="3" customFormat="1" customHeight="1" spans="1:20">
      <c r="A107" s="84"/>
      <c r="B107" s="20"/>
      <c r="C107" s="11"/>
      <c r="D107" s="11"/>
      <c r="E107" s="11"/>
      <c r="F107" s="11"/>
      <c r="G107" s="11"/>
      <c r="H107" s="11"/>
      <c r="I107" s="11"/>
      <c r="J107" s="11"/>
      <c r="K107" s="11"/>
      <c r="L107" s="11"/>
      <c r="M107" s="11"/>
      <c r="N107" s="11"/>
      <c r="O107" s="11"/>
      <c r="P107" s="12"/>
      <c r="Q107" s="11"/>
      <c r="R107" s="11"/>
      <c r="S107" s="17"/>
      <c r="T107" s="18"/>
    </row>
    <row r="108" s="3" customFormat="1" customHeight="1" spans="1:20">
      <c r="A108" s="84"/>
      <c r="B108" s="20"/>
      <c r="C108" s="11"/>
      <c r="D108" s="11"/>
      <c r="E108" s="11"/>
      <c r="F108" s="11"/>
      <c r="G108" s="11"/>
      <c r="H108" s="11"/>
      <c r="I108" s="11"/>
      <c r="J108" s="11"/>
      <c r="K108" s="11"/>
      <c r="L108" s="11"/>
      <c r="M108" s="11"/>
      <c r="N108" s="11"/>
      <c r="O108" s="11"/>
      <c r="P108" s="12"/>
      <c r="Q108" s="11"/>
      <c r="R108" s="11"/>
      <c r="S108" s="17"/>
      <c r="T108" s="18"/>
    </row>
    <row r="109" s="3" customFormat="1" customHeight="1" spans="1:20">
      <c r="A109" s="84"/>
      <c r="B109" s="20"/>
      <c r="C109" s="11"/>
      <c r="D109" s="11"/>
      <c r="E109" s="11"/>
      <c r="F109" s="11"/>
      <c r="G109" s="11"/>
      <c r="H109" s="11"/>
      <c r="I109" s="11"/>
      <c r="J109" s="11"/>
      <c r="K109" s="11"/>
      <c r="L109" s="11"/>
      <c r="M109" s="11"/>
      <c r="N109" s="11"/>
      <c r="O109" s="11"/>
      <c r="P109" s="12"/>
      <c r="Q109" s="11"/>
      <c r="R109" s="11"/>
      <c r="S109" s="17"/>
      <c r="T109" s="18"/>
    </row>
    <row r="110" s="3" customFormat="1" customHeight="1" spans="1:20">
      <c r="A110" s="84"/>
      <c r="B110" s="20"/>
      <c r="C110" s="11"/>
      <c r="D110" s="11"/>
      <c r="E110" s="11"/>
      <c r="F110" s="11"/>
      <c r="G110" s="11"/>
      <c r="H110" s="11"/>
      <c r="I110" s="11"/>
      <c r="J110" s="11"/>
      <c r="K110" s="11"/>
      <c r="L110" s="11"/>
      <c r="M110" s="11"/>
      <c r="N110" s="11"/>
      <c r="O110" s="11"/>
      <c r="P110" s="12"/>
      <c r="Q110" s="11"/>
      <c r="R110" s="11"/>
      <c r="S110" s="17"/>
      <c r="T110" s="18"/>
    </row>
    <row r="111" s="3" customFormat="1" customHeight="1" spans="1:20">
      <c r="A111" s="84"/>
      <c r="B111" s="20"/>
      <c r="C111" s="11"/>
      <c r="D111" s="11"/>
      <c r="E111" s="11"/>
      <c r="F111" s="11"/>
      <c r="G111" s="11"/>
      <c r="H111" s="11"/>
      <c r="I111" s="11"/>
      <c r="J111" s="11"/>
      <c r="K111" s="11"/>
      <c r="L111" s="11"/>
      <c r="M111" s="11"/>
      <c r="N111" s="11"/>
      <c r="O111" s="11"/>
      <c r="P111" s="12"/>
      <c r="Q111" s="11"/>
      <c r="R111" s="11"/>
      <c r="S111" s="17"/>
      <c r="T111" s="18"/>
    </row>
    <row r="112" s="3" customFormat="1" customHeight="1" spans="1:20">
      <c r="A112" s="84"/>
      <c r="B112" s="20"/>
      <c r="C112" s="11"/>
      <c r="D112" s="11"/>
      <c r="E112" s="11"/>
      <c r="F112" s="11"/>
      <c r="G112" s="11"/>
      <c r="H112" s="11"/>
      <c r="I112" s="11"/>
      <c r="J112" s="11"/>
      <c r="K112" s="11"/>
      <c r="L112" s="11"/>
      <c r="M112" s="11"/>
      <c r="N112" s="11"/>
      <c r="O112" s="11"/>
      <c r="P112" s="12"/>
      <c r="Q112" s="11"/>
      <c r="R112" s="11"/>
      <c r="S112" s="17"/>
      <c r="T112" s="18"/>
    </row>
    <row r="113" s="3" customFormat="1" customHeight="1" spans="1:20">
      <c r="A113" s="84"/>
      <c r="B113" s="20"/>
      <c r="C113" s="11"/>
      <c r="D113" s="11"/>
      <c r="E113" s="11"/>
      <c r="F113" s="11"/>
      <c r="G113" s="11"/>
      <c r="H113" s="11"/>
      <c r="I113" s="11"/>
      <c r="J113" s="11"/>
      <c r="K113" s="11"/>
      <c r="L113" s="11"/>
      <c r="M113" s="11"/>
      <c r="N113" s="11"/>
      <c r="O113" s="11"/>
      <c r="P113" s="12"/>
      <c r="Q113" s="11"/>
      <c r="R113" s="11"/>
      <c r="S113" s="17"/>
      <c r="T113" s="18"/>
    </row>
    <row r="114" s="3" customFormat="1" customHeight="1" spans="1:20">
      <c r="A114" s="84"/>
      <c r="B114" s="20"/>
      <c r="C114" s="11"/>
      <c r="D114" s="11"/>
      <c r="E114" s="11"/>
      <c r="F114" s="11"/>
      <c r="G114" s="11"/>
      <c r="H114" s="11"/>
      <c r="I114" s="11"/>
      <c r="J114" s="11"/>
      <c r="K114" s="11"/>
      <c r="L114" s="11"/>
      <c r="M114" s="11"/>
      <c r="N114" s="11"/>
      <c r="O114" s="11"/>
      <c r="P114" s="12"/>
      <c r="Q114" s="11"/>
      <c r="R114" s="11"/>
      <c r="S114" s="17"/>
      <c r="T114" s="18"/>
    </row>
    <row r="115" s="3" customFormat="1" customHeight="1" spans="1:20">
      <c r="A115" s="84"/>
      <c r="B115" s="20"/>
      <c r="C115" s="11"/>
      <c r="D115" s="11"/>
      <c r="E115" s="11"/>
      <c r="F115" s="11"/>
      <c r="G115" s="11"/>
      <c r="H115" s="11"/>
      <c r="I115" s="11"/>
      <c r="J115" s="11"/>
      <c r="K115" s="11"/>
      <c r="L115" s="11"/>
      <c r="M115" s="11"/>
      <c r="N115" s="11"/>
      <c r="O115" s="11"/>
      <c r="P115" s="12"/>
      <c r="Q115" s="11"/>
      <c r="R115" s="11"/>
      <c r="S115" s="17"/>
      <c r="T115" s="18"/>
    </row>
    <row r="116" s="3" customFormat="1" customHeight="1" spans="1:20">
      <c r="A116" s="84"/>
      <c r="B116" s="20"/>
      <c r="C116" s="11"/>
      <c r="D116" s="11"/>
      <c r="E116" s="11"/>
      <c r="F116" s="11"/>
      <c r="G116" s="11"/>
      <c r="H116" s="11"/>
      <c r="I116" s="11"/>
      <c r="J116" s="11"/>
      <c r="K116" s="11"/>
      <c r="L116" s="11"/>
      <c r="M116" s="11"/>
      <c r="N116" s="11"/>
      <c r="O116" s="11"/>
      <c r="P116" s="12"/>
      <c r="Q116" s="11"/>
      <c r="R116" s="11"/>
      <c r="S116" s="17"/>
      <c r="T116" s="18"/>
    </row>
    <row r="117" s="3" customFormat="1" customHeight="1" spans="1:20">
      <c r="A117" s="84"/>
      <c r="B117" s="20"/>
      <c r="C117" s="11"/>
      <c r="D117" s="11"/>
      <c r="E117" s="11"/>
      <c r="F117" s="11"/>
      <c r="G117" s="11"/>
      <c r="H117" s="11"/>
      <c r="I117" s="11"/>
      <c r="J117" s="11"/>
      <c r="K117" s="11"/>
      <c r="L117" s="11"/>
      <c r="M117" s="11"/>
      <c r="N117" s="11"/>
      <c r="O117" s="11"/>
      <c r="P117" s="12"/>
      <c r="Q117" s="11"/>
      <c r="R117" s="11"/>
      <c r="S117" s="17"/>
      <c r="T117" s="18"/>
    </row>
    <row r="118" s="3" customFormat="1" customHeight="1" spans="1:20">
      <c r="A118" s="84"/>
      <c r="B118" s="20"/>
      <c r="C118" s="11"/>
      <c r="D118" s="11"/>
      <c r="E118" s="11"/>
      <c r="F118" s="11"/>
      <c r="G118" s="11"/>
      <c r="H118" s="11"/>
      <c r="I118" s="11"/>
      <c r="J118" s="11"/>
      <c r="K118" s="11"/>
      <c r="L118" s="11"/>
      <c r="M118" s="11"/>
      <c r="N118" s="11"/>
      <c r="O118" s="11"/>
      <c r="P118" s="12"/>
      <c r="Q118" s="11"/>
      <c r="R118" s="11"/>
      <c r="S118" s="17"/>
      <c r="T118" s="18"/>
    </row>
    <row r="119" s="3" customFormat="1" customHeight="1" spans="1:20">
      <c r="A119" s="84"/>
      <c r="B119" s="20"/>
      <c r="C119" s="11"/>
      <c r="D119" s="11"/>
      <c r="E119" s="11"/>
      <c r="F119" s="11"/>
      <c r="G119" s="11"/>
      <c r="H119" s="11"/>
      <c r="I119" s="11"/>
      <c r="J119" s="11"/>
      <c r="K119" s="11"/>
      <c r="L119" s="11"/>
      <c r="M119" s="11"/>
      <c r="N119" s="11"/>
      <c r="O119" s="11"/>
      <c r="P119" s="12"/>
      <c r="Q119" s="11"/>
      <c r="R119" s="11"/>
      <c r="S119" s="17"/>
      <c r="T119" s="18"/>
    </row>
    <row r="120" s="3" customFormat="1" customHeight="1" spans="1:20">
      <c r="A120" s="84"/>
      <c r="B120" s="20"/>
      <c r="C120" s="11"/>
      <c r="D120" s="11"/>
      <c r="E120" s="11"/>
      <c r="F120" s="11"/>
      <c r="G120" s="11"/>
      <c r="H120" s="11"/>
      <c r="I120" s="11"/>
      <c r="J120" s="11"/>
      <c r="K120" s="11"/>
      <c r="L120" s="11"/>
      <c r="M120" s="11"/>
      <c r="N120" s="11"/>
      <c r="O120" s="11"/>
      <c r="P120" s="12"/>
      <c r="Q120" s="11"/>
      <c r="R120" s="11"/>
      <c r="S120" s="17"/>
      <c r="T120" s="18"/>
    </row>
    <row r="121" s="3" customFormat="1" customHeight="1" spans="1:20">
      <c r="A121" s="84"/>
      <c r="B121" s="20"/>
      <c r="C121" s="11"/>
      <c r="D121" s="11"/>
      <c r="E121" s="11"/>
      <c r="F121" s="11"/>
      <c r="G121" s="11"/>
      <c r="H121" s="11"/>
      <c r="I121" s="11"/>
      <c r="J121" s="11"/>
      <c r="K121" s="11"/>
      <c r="L121" s="11"/>
      <c r="M121" s="11"/>
      <c r="N121" s="11"/>
      <c r="O121" s="11"/>
      <c r="P121" s="12"/>
      <c r="Q121" s="11"/>
      <c r="R121" s="11"/>
      <c r="S121" s="17"/>
      <c r="T121" s="18"/>
    </row>
    <row r="122" s="3" customFormat="1" customHeight="1" spans="1:20">
      <c r="A122" s="84"/>
      <c r="B122" s="20"/>
      <c r="C122" s="11"/>
      <c r="D122" s="11"/>
      <c r="E122" s="11"/>
      <c r="F122" s="11"/>
      <c r="G122" s="11"/>
      <c r="H122" s="11"/>
      <c r="I122" s="11"/>
      <c r="J122" s="11"/>
      <c r="K122" s="11"/>
      <c r="L122" s="11"/>
      <c r="M122" s="11"/>
      <c r="N122" s="11"/>
      <c r="O122" s="11"/>
      <c r="P122" s="12"/>
      <c r="Q122" s="11"/>
      <c r="R122" s="11"/>
      <c r="S122" s="17"/>
      <c r="T122" s="18"/>
    </row>
    <row r="123" s="3" customFormat="1" customHeight="1" spans="1:20">
      <c r="A123" s="84">
        <v>1</v>
      </c>
      <c r="B123" s="177" t="s">
        <v>635</v>
      </c>
      <c r="C123" s="167" t="s">
        <v>165</v>
      </c>
      <c r="D123" s="167" t="s">
        <v>636</v>
      </c>
      <c r="E123" s="11">
        <v>15070232391</v>
      </c>
      <c r="F123" s="167" t="s">
        <v>156</v>
      </c>
      <c r="G123" s="167" t="s">
        <v>14</v>
      </c>
      <c r="H123" s="11">
        <v>202102001</v>
      </c>
      <c r="I123" s="167" t="s">
        <v>279</v>
      </c>
      <c r="J123" s="167" t="s">
        <v>158</v>
      </c>
      <c r="K123" s="167" t="s">
        <v>348</v>
      </c>
      <c r="L123" s="167" t="s">
        <v>170</v>
      </c>
      <c r="M123" s="167" t="s">
        <v>548</v>
      </c>
      <c r="N123" s="167" t="s">
        <v>638</v>
      </c>
      <c r="O123" s="167" t="s">
        <v>639</v>
      </c>
      <c r="P123" s="12" t="str">
        <f>_xlfn.DISPIMG("ID_89E406E2AE894B018BFF7E7198130BCA",1)</f>
        <v>=DISPIMG("ID_89E406E2AE894B018BFF7E7198130BCA",1)</v>
      </c>
      <c r="Q123" s="11" t="s">
        <v>640</v>
      </c>
      <c r="R123" s="11">
        <v>58</v>
      </c>
      <c r="S123" s="17" t="s">
        <v>4413</v>
      </c>
      <c r="T123" s="18" t="s">
        <v>43</v>
      </c>
    </row>
    <row r="124" s="3" customFormat="1" customHeight="1" spans="1:20">
      <c r="A124" s="84">
        <v>2</v>
      </c>
      <c r="B124" s="177" t="s">
        <v>643</v>
      </c>
      <c r="C124" s="167" t="s">
        <v>165</v>
      </c>
      <c r="D124" s="167" t="s">
        <v>644</v>
      </c>
      <c r="E124" s="11">
        <v>17808826021</v>
      </c>
      <c r="F124" s="167" t="s">
        <v>156</v>
      </c>
      <c r="G124" s="167" t="s">
        <v>14</v>
      </c>
      <c r="H124" s="11">
        <v>202102001</v>
      </c>
      <c r="I124" s="167" t="s">
        <v>157</v>
      </c>
      <c r="J124" s="167" t="s">
        <v>646</v>
      </c>
      <c r="K124" s="167" t="s">
        <v>454</v>
      </c>
      <c r="L124" s="167" t="s">
        <v>160</v>
      </c>
      <c r="M124" s="167" t="s">
        <v>224</v>
      </c>
      <c r="N124" s="167" t="s">
        <v>14</v>
      </c>
      <c r="O124" s="167" t="s">
        <v>647</v>
      </c>
      <c r="P124" s="12" t="str">
        <f>_xlfn.DISPIMG("ID_905C387E694F4B30B6CB8B8291B01F38",1)</f>
        <v>=DISPIMG("ID_905C387E694F4B30B6CB8B8291B01F38",1)</v>
      </c>
      <c r="Q124" s="11" t="s">
        <v>648</v>
      </c>
      <c r="R124" s="11">
        <v>59</v>
      </c>
      <c r="S124" s="17" t="s">
        <v>4414</v>
      </c>
      <c r="T124" s="18" t="s">
        <v>43</v>
      </c>
    </row>
    <row r="125" s="3" customFormat="1" customHeight="1" spans="1:20">
      <c r="A125" s="84">
        <v>3</v>
      </c>
      <c r="B125" s="177" t="s">
        <v>651</v>
      </c>
      <c r="C125" s="167" t="s">
        <v>165</v>
      </c>
      <c r="D125" s="167" t="s">
        <v>652</v>
      </c>
      <c r="E125" s="11">
        <v>13677913381</v>
      </c>
      <c r="F125" s="167" t="s">
        <v>156</v>
      </c>
      <c r="G125" s="167" t="s">
        <v>14</v>
      </c>
      <c r="H125" s="11">
        <v>202102001</v>
      </c>
      <c r="I125" s="167" t="s">
        <v>279</v>
      </c>
      <c r="J125" s="167" t="s">
        <v>339</v>
      </c>
      <c r="K125" s="167" t="s">
        <v>348</v>
      </c>
      <c r="L125" s="167" t="s">
        <v>170</v>
      </c>
      <c r="M125" s="167" t="s">
        <v>171</v>
      </c>
      <c r="N125" s="167" t="s">
        <v>654</v>
      </c>
      <c r="O125" s="167" t="s">
        <v>655</v>
      </c>
      <c r="P125" s="12" t="str">
        <f>_xlfn.DISPIMG("ID_F245B8B6D20E4BBA8409FA8C63902E06",1)</f>
        <v>=DISPIMG("ID_F245B8B6D20E4BBA8409FA8C63902E06",1)</v>
      </c>
      <c r="Q125" s="11" t="s">
        <v>656</v>
      </c>
      <c r="R125" s="11">
        <v>60</v>
      </c>
      <c r="S125" s="17" t="s">
        <v>4417</v>
      </c>
      <c r="T125" s="18" t="s">
        <v>43</v>
      </c>
    </row>
    <row r="126" s="3" customFormat="1" customHeight="1" spans="1:20">
      <c r="A126" s="84">
        <v>4</v>
      </c>
      <c r="B126" s="177" t="s">
        <v>687</v>
      </c>
      <c r="C126" s="167" t="s">
        <v>153</v>
      </c>
      <c r="D126" s="167" t="s">
        <v>688</v>
      </c>
      <c r="E126" s="11">
        <v>18370106328</v>
      </c>
      <c r="F126" s="167" t="s">
        <v>156</v>
      </c>
      <c r="G126" s="167" t="s">
        <v>14</v>
      </c>
      <c r="H126" s="11">
        <v>202102001</v>
      </c>
      <c r="I126" s="167" t="s">
        <v>279</v>
      </c>
      <c r="J126" s="167" t="s">
        <v>158</v>
      </c>
      <c r="K126" s="167" t="s">
        <v>348</v>
      </c>
      <c r="L126" s="167" t="s">
        <v>170</v>
      </c>
      <c r="M126" s="167" t="s">
        <v>281</v>
      </c>
      <c r="N126" s="167" t="s">
        <v>689</v>
      </c>
      <c r="O126" s="167" t="s">
        <v>690</v>
      </c>
      <c r="P126" s="12" t="str">
        <f>_xlfn.DISPIMG("ID_54204C01855F423A99B7E1E3FD940E61",1)</f>
        <v>=DISPIMG("ID_54204C01855F423A99B7E1E3FD940E61",1)</v>
      </c>
      <c r="Q126" s="11" t="s">
        <v>691</v>
      </c>
      <c r="R126" s="11">
        <v>64</v>
      </c>
      <c r="S126" s="17" t="s">
        <v>4420</v>
      </c>
      <c r="T126" s="18" t="s">
        <v>43</v>
      </c>
    </row>
    <row r="127" s="5" customFormat="1" customHeight="1" spans="1:20">
      <c r="A127" s="84">
        <v>5</v>
      </c>
      <c r="B127" s="177" t="s">
        <v>738</v>
      </c>
      <c r="C127" s="167" t="s">
        <v>165</v>
      </c>
      <c r="D127" s="167" t="s">
        <v>739</v>
      </c>
      <c r="E127" s="11">
        <v>15279225160</v>
      </c>
      <c r="F127" s="167" t="s">
        <v>156</v>
      </c>
      <c r="G127" s="167" t="s">
        <v>14</v>
      </c>
      <c r="H127" s="11">
        <v>202102001</v>
      </c>
      <c r="I127" s="167" t="s">
        <v>279</v>
      </c>
      <c r="J127" s="167" t="s">
        <v>576</v>
      </c>
      <c r="K127" s="167" t="s">
        <v>348</v>
      </c>
      <c r="L127" s="167" t="s">
        <v>170</v>
      </c>
      <c r="M127" s="167" t="s">
        <v>224</v>
      </c>
      <c r="N127" s="167" t="s">
        <v>741</v>
      </c>
      <c r="O127" s="167" t="s">
        <v>742</v>
      </c>
      <c r="P127" s="12" t="str">
        <f>_xlfn.DISPIMG("ID_05F523224C924653A8F56CD5737A4E8C",1)</f>
        <v>=DISPIMG("ID_05F523224C924653A8F56CD5737A4E8C",1)</v>
      </c>
      <c r="Q127" s="11" t="s">
        <v>743</v>
      </c>
      <c r="R127" s="11">
        <v>70</v>
      </c>
      <c r="S127" s="17" t="s">
        <v>4423</v>
      </c>
      <c r="T127" s="18" t="s">
        <v>43</v>
      </c>
    </row>
    <row r="128" s="3" customFormat="1" customHeight="1" spans="1:20">
      <c r="A128" s="84">
        <v>6</v>
      </c>
      <c r="B128" s="177" t="s">
        <v>916</v>
      </c>
      <c r="C128" s="167" t="s">
        <v>165</v>
      </c>
      <c r="D128" s="167" t="s">
        <v>917</v>
      </c>
      <c r="E128" s="11">
        <v>15070951954</v>
      </c>
      <c r="F128" s="167" t="s">
        <v>156</v>
      </c>
      <c r="G128" s="167" t="s">
        <v>14</v>
      </c>
      <c r="H128" s="11">
        <v>202102001</v>
      </c>
      <c r="I128" s="167" t="s">
        <v>157</v>
      </c>
      <c r="J128" s="167" t="s">
        <v>233</v>
      </c>
      <c r="K128" s="167" t="s">
        <v>454</v>
      </c>
      <c r="L128" s="167" t="s">
        <v>160</v>
      </c>
      <c r="M128" s="167" t="s">
        <v>919</v>
      </c>
      <c r="N128" s="167" t="s">
        <v>14</v>
      </c>
      <c r="O128" s="167" t="s">
        <v>920</v>
      </c>
      <c r="P128" s="12" t="str">
        <f>_xlfn.DISPIMG("ID_ADE94A403A29454787C6186CC5AA20B8",1)</f>
        <v>=DISPIMG("ID_ADE94A403A29454787C6186CC5AA20B8",1)</v>
      </c>
      <c r="Q128" s="11" t="s">
        <v>921</v>
      </c>
      <c r="R128" s="11">
        <v>92</v>
      </c>
      <c r="S128" s="17" t="s">
        <v>4426</v>
      </c>
      <c r="T128" s="18" t="s">
        <v>43</v>
      </c>
    </row>
    <row r="129" s="3" customFormat="1" customHeight="1" spans="1:20">
      <c r="A129" s="84">
        <v>7</v>
      </c>
      <c r="B129" s="177" t="s">
        <v>1102</v>
      </c>
      <c r="C129" s="167" t="s">
        <v>165</v>
      </c>
      <c r="D129" s="167" t="s">
        <v>1103</v>
      </c>
      <c r="E129" s="11">
        <v>18890061239</v>
      </c>
      <c r="F129" s="167" t="s">
        <v>156</v>
      </c>
      <c r="G129" s="167" t="s">
        <v>14</v>
      </c>
      <c r="H129" s="11">
        <v>202102001</v>
      </c>
      <c r="I129" s="167" t="s">
        <v>157</v>
      </c>
      <c r="J129" s="167" t="s">
        <v>1105</v>
      </c>
      <c r="K129" s="167" t="s">
        <v>454</v>
      </c>
      <c r="L129" s="167" t="s">
        <v>160</v>
      </c>
      <c r="M129" s="167" t="s">
        <v>161</v>
      </c>
      <c r="N129" s="167" t="s">
        <v>14</v>
      </c>
      <c r="O129" s="11">
        <v>0</v>
      </c>
      <c r="P129" s="12" t="str">
        <f>_xlfn.DISPIMG("ID_85B66E0F069149898E44BCE57E5EBF40",1)</f>
        <v>=DISPIMG("ID_85B66E0F069149898E44BCE57E5EBF40",1)</v>
      </c>
      <c r="Q129" s="11" t="s">
        <v>1106</v>
      </c>
      <c r="R129" s="11">
        <v>115</v>
      </c>
      <c r="S129" s="17" t="s">
        <v>4427</v>
      </c>
      <c r="T129" s="18" t="s">
        <v>43</v>
      </c>
    </row>
    <row r="130" s="3" customFormat="1" customHeight="1" spans="1:20">
      <c r="A130" s="84">
        <v>8</v>
      </c>
      <c r="B130" s="177" t="s">
        <v>1255</v>
      </c>
      <c r="C130" s="167" t="s">
        <v>165</v>
      </c>
      <c r="D130" s="167" t="s">
        <v>1256</v>
      </c>
      <c r="E130" s="11">
        <v>18370224457</v>
      </c>
      <c r="F130" s="167" t="s">
        <v>506</v>
      </c>
      <c r="G130" s="167" t="s">
        <v>14</v>
      </c>
      <c r="H130" s="11">
        <v>202102014</v>
      </c>
      <c r="I130" s="167" t="s">
        <v>279</v>
      </c>
      <c r="J130" s="167" t="s">
        <v>1258</v>
      </c>
      <c r="K130" s="167" t="s">
        <v>348</v>
      </c>
      <c r="L130" s="167" t="s">
        <v>170</v>
      </c>
      <c r="M130" s="167" t="s">
        <v>161</v>
      </c>
      <c r="N130" s="167" t="s">
        <v>121</v>
      </c>
      <c r="O130" s="167" t="s">
        <v>1259</v>
      </c>
      <c r="P130" s="12" t="str">
        <f>_xlfn.DISPIMG("ID_AF9D4A23BC36463DA48841C24B1BEB6F",1)</f>
        <v>=DISPIMG("ID_AF9D4A23BC36463DA48841C24B1BEB6F",1)</v>
      </c>
      <c r="Q130" s="11" t="s">
        <v>1260</v>
      </c>
      <c r="R130" s="11">
        <v>134</v>
      </c>
      <c r="S130" s="17" t="s">
        <v>4428</v>
      </c>
      <c r="T130" s="18" t="s">
        <v>43</v>
      </c>
    </row>
    <row r="131" s="3" customFormat="1" customHeight="1" spans="1:20">
      <c r="A131" s="84">
        <v>9</v>
      </c>
      <c r="B131" s="177" t="s">
        <v>1350</v>
      </c>
      <c r="C131" s="167" t="s">
        <v>165</v>
      </c>
      <c r="D131" s="167" t="s">
        <v>1351</v>
      </c>
      <c r="E131" s="11">
        <v>13767415091</v>
      </c>
      <c r="F131" s="167" t="s">
        <v>156</v>
      </c>
      <c r="G131" s="167" t="s">
        <v>14</v>
      </c>
      <c r="H131" s="11">
        <v>202102001</v>
      </c>
      <c r="I131" s="167" t="s">
        <v>157</v>
      </c>
      <c r="J131" s="167" t="s">
        <v>827</v>
      </c>
      <c r="K131" s="167" t="s">
        <v>223</v>
      </c>
      <c r="L131" s="167" t="s">
        <v>170</v>
      </c>
      <c r="M131" s="167" t="s">
        <v>306</v>
      </c>
      <c r="N131" s="167" t="s">
        <v>1353</v>
      </c>
      <c r="O131" s="11">
        <v>0</v>
      </c>
      <c r="P131" s="12" t="str">
        <f>_xlfn.DISPIMG("ID_7AB2E23FEFF940D9992E8955A95BEDD5",1)</f>
        <v>=DISPIMG("ID_7AB2E23FEFF940D9992E8955A95BEDD5",1)</v>
      </c>
      <c r="Q131" s="11" t="s">
        <v>1354</v>
      </c>
      <c r="R131" s="11">
        <v>147</v>
      </c>
      <c r="S131" s="17" t="s">
        <v>4429</v>
      </c>
      <c r="T131" s="18" t="s">
        <v>43</v>
      </c>
    </row>
    <row r="132" s="3" customFormat="1" customHeight="1" spans="1:20">
      <c r="A132" s="84">
        <v>10</v>
      </c>
      <c r="B132" s="177" t="s">
        <v>1380</v>
      </c>
      <c r="C132" s="167" t="s">
        <v>165</v>
      </c>
      <c r="D132" s="167" t="s">
        <v>1381</v>
      </c>
      <c r="E132" s="11">
        <v>15279288135</v>
      </c>
      <c r="F132" s="167" t="s">
        <v>156</v>
      </c>
      <c r="G132" s="167" t="s">
        <v>14</v>
      </c>
      <c r="H132" s="11">
        <v>202102001</v>
      </c>
      <c r="I132" s="167" t="s">
        <v>279</v>
      </c>
      <c r="J132" s="167" t="s">
        <v>339</v>
      </c>
      <c r="K132" s="167" t="s">
        <v>348</v>
      </c>
      <c r="L132" s="167" t="s">
        <v>170</v>
      </c>
      <c r="M132" s="167" t="s">
        <v>368</v>
      </c>
      <c r="N132" s="167" t="s">
        <v>350</v>
      </c>
      <c r="O132" s="167" t="s">
        <v>1383</v>
      </c>
      <c r="P132" s="12" t="str">
        <f>_xlfn.DISPIMG("ID_05A4371881E64A5ABCF18AC5C0DCA23F",1)</f>
        <v>=DISPIMG("ID_05A4371881E64A5ABCF18AC5C0DCA23F",1)</v>
      </c>
      <c r="Q132" s="11" t="s">
        <v>1384</v>
      </c>
      <c r="R132" s="11">
        <v>151</v>
      </c>
      <c r="S132" s="17" t="s">
        <v>4430</v>
      </c>
      <c r="T132" s="18" t="s">
        <v>43</v>
      </c>
    </row>
    <row r="133" s="3" customFormat="1" customHeight="1" spans="1:20">
      <c r="A133" s="84">
        <v>11</v>
      </c>
      <c r="B133" s="177" t="s">
        <v>1496</v>
      </c>
      <c r="C133" s="167" t="s">
        <v>165</v>
      </c>
      <c r="D133" s="167" t="s">
        <v>1497</v>
      </c>
      <c r="E133" s="11">
        <v>18770916920</v>
      </c>
      <c r="F133" s="167" t="s">
        <v>156</v>
      </c>
      <c r="G133" s="167" t="s">
        <v>14</v>
      </c>
      <c r="H133" s="11">
        <v>202102001</v>
      </c>
      <c r="I133" s="167" t="s">
        <v>157</v>
      </c>
      <c r="J133" s="167" t="s">
        <v>876</v>
      </c>
      <c r="K133" s="167" t="s">
        <v>1499</v>
      </c>
      <c r="L133" s="167" t="s">
        <v>160</v>
      </c>
      <c r="M133" s="167" t="s">
        <v>396</v>
      </c>
      <c r="N133" s="167" t="s">
        <v>14</v>
      </c>
      <c r="O133" s="11">
        <v>0</v>
      </c>
      <c r="P133" s="12" t="str">
        <f>_xlfn.DISPIMG("ID_F699C2D8D57643CC8A99CF3C2C6B152A",1)</f>
        <v>=DISPIMG("ID_F699C2D8D57643CC8A99CF3C2C6B152A",1)</v>
      </c>
      <c r="Q133" s="11" t="s">
        <v>1500</v>
      </c>
      <c r="R133" s="11">
        <v>166</v>
      </c>
      <c r="S133" s="17" t="s">
        <v>4431</v>
      </c>
      <c r="T133" s="18" t="s">
        <v>43</v>
      </c>
    </row>
    <row r="134" s="3" customFormat="1" customHeight="1" spans="1:20">
      <c r="A134" s="84">
        <v>12</v>
      </c>
      <c r="B134" s="177" t="s">
        <v>1542</v>
      </c>
      <c r="C134" s="167" t="s">
        <v>153</v>
      </c>
      <c r="D134" s="167" t="s">
        <v>1543</v>
      </c>
      <c r="E134" s="11">
        <v>15270866526</v>
      </c>
      <c r="F134" s="167" t="s">
        <v>156</v>
      </c>
      <c r="G134" s="167" t="s">
        <v>14</v>
      </c>
      <c r="H134" s="11">
        <v>202102001</v>
      </c>
      <c r="I134" s="167" t="s">
        <v>157</v>
      </c>
      <c r="J134" s="167" t="s">
        <v>1545</v>
      </c>
      <c r="K134" s="167" t="s">
        <v>1546</v>
      </c>
      <c r="L134" s="167" t="s">
        <v>170</v>
      </c>
      <c r="M134" s="167" t="s">
        <v>235</v>
      </c>
      <c r="N134" s="167" t="s">
        <v>1547</v>
      </c>
      <c r="O134" s="167" t="s">
        <v>1548</v>
      </c>
      <c r="P134" s="12" t="str">
        <f>_xlfn.DISPIMG("ID_08EA3F14C88D463E8A5342E5A111BC99",1)</f>
        <v>=DISPIMG("ID_08EA3F14C88D463E8A5342E5A111BC99",1)</v>
      </c>
      <c r="Q134" s="11" t="s">
        <v>1549</v>
      </c>
      <c r="R134" s="11">
        <v>172</v>
      </c>
      <c r="S134" s="17" t="s">
        <v>4432</v>
      </c>
      <c r="T134" s="18" t="s">
        <v>43</v>
      </c>
    </row>
    <row r="135" s="3" customFormat="1" customHeight="1" spans="1:20">
      <c r="A135" s="84">
        <v>13</v>
      </c>
      <c r="B135" s="177" t="s">
        <v>1697</v>
      </c>
      <c r="C135" s="167" t="s">
        <v>165</v>
      </c>
      <c r="D135" s="167" t="s">
        <v>1698</v>
      </c>
      <c r="E135" s="11">
        <v>13732925421</v>
      </c>
      <c r="F135" s="167" t="s">
        <v>156</v>
      </c>
      <c r="G135" s="167" t="s">
        <v>14</v>
      </c>
      <c r="H135" s="11">
        <v>202102001</v>
      </c>
      <c r="I135" s="167" t="s">
        <v>157</v>
      </c>
      <c r="J135" s="167" t="s">
        <v>1654</v>
      </c>
      <c r="K135" s="167" t="s">
        <v>1700</v>
      </c>
      <c r="L135" s="167" t="s">
        <v>160</v>
      </c>
      <c r="M135" s="167" t="s">
        <v>235</v>
      </c>
      <c r="N135" s="167" t="s">
        <v>1701</v>
      </c>
      <c r="O135" s="167" t="s">
        <v>1702</v>
      </c>
      <c r="P135" s="12" t="str">
        <f>_xlfn.DISPIMG("ID_9C3AAF7BA09C4626832FC4C49E6F802D",1)</f>
        <v>=DISPIMG("ID_9C3AAF7BA09C4626832FC4C49E6F802D",1)</v>
      </c>
      <c r="Q135" s="11" t="s">
        <v>1703</v>
      </c>
      <c r="R135" s="11">
        <v>192</v>
      </c>
      <c r="S135" s="17" t="s">
        <v>4433</v>
      </c>
      <c r="T135" s="18" t="s">
        <v>43</v>
      </c>
    </row>
    <row r="136" s="3" customFormat="1" customHeight="1" spans="1:20">
      <c r="A136" s="84">
        <v>14</v>
      </c>
      <c r="B136" s="177" t="s">
        <v>1723</v>
      </c>
      <c r="C136" s="167" t="s">
        <v>165</v>
      </c>
      <c r="D136" s="167" t="s">
        <v>1724</v>
      </c>
      <c r="E136" s="11">
        <v>13697028942</v>
      </c>
      <c r="F136" s="167" t="s">
        <v>156</v>
      </c>
      <c r="G136" s="167" t="s">
        <v>14</v>
      </c>
      <c r="H136" s="11">
        <v>202102001</v>
      </c>
      <c r="I136" s="167" t="s">
        <v>157</v>
      </c>
      <c r="J136" s="167" t="s">
        <v>827</v>
      </c>
      <c r="K136" s="167" t="s">
        <v>454</v>
      </c>
      <c r="L136" s="167" t="s">
        <v>170</v>
      </c>
      <c r="M136" s="167" t="s">
        <v>261</v>
      </c>
      <c r="N136" s="167" t="s">
        <v>26</v>
      </c>
      <c r="O136" s="11">
        <v>0</v>
      </c>
      <c r="P136" s="12" t="str">
        <f>_xlfn.DISPIMG("ID_9F3C5B09040D438283C530134A5BD84D",1)</f>
        <v>=DISPIMG("ID_9F3C5B09040D438283C530134A5BD84D",1)</v>
      </c>
      <c r="Q136" s="11" t="s">
        <v>1726</v>
      </c>
      <c r="R136" s="11">
        <v>195</v>
      </c>
      <c r="S136" s="17" t="s">
        <v>4434</v>
      </c>
      <c r="T136" s="18" t="s">
        <v>43</v>
      </c>
    </row>
    <row r="137" s="3" customFormat="1" customHeight="1" spans="1:20">
      <c r="A137" s="84">
        <v>15</v>
      </c>
      <c r="B137" s="177" t="s">
        <v>1828</v>
      </c>
      <c r="C137" s="167" t="s">
        <v>165</v>
      </c>
      <c r="D137" s="167" t="s">
        <v>1829</v>
      </c>
      <c r="E137" s="11">
        <v>18797851564</v>
      </c>
      <c r="F137" s="167" t="s">
        <v>156</v>
      </c>
      <c r="G137" s="167" t="s">
        <v>14</v>
      </c>
      <c r="H137" s="11">
        <v>202102001</v>
      </c>
      <c r="I137" s="167" t="s">
        <v>157</v>
      </c>
      <c r="J137" s="167" t="s">
        <v>1831</v>
      </c>
      <c r="K137" s="167" t="s">
        <v>1832</v>
      </c>
      <c r="L137" s="167" t="s">
        <v>160</v>
      </c>
      <c r="M137" s="167" t="s">
        <v>171</v>
      </c>
      <c r="N137" s="167" t="s">
        <v>14</v>
      </c>
      <c r="O137" s="167" t="s">
        <v>1833</v>
      </c>
      <c r="P137" s="12" t="str">
        <f>_xlfn.DISPIMG("ID_9C01FBB9DB4A4DB19EA599EA9C699E26",1)</f>
        <v>=DISPIMG("ID_9C01FBB9DB4A4DB19EA599EA9C699E26",1)</v>
      </c>
      <c r="Q137" s="11" t="s">
        <v>1834</v>
      </c>
      <c r="R137" s="11">
        <v>209</v>
      </c>
      <c r="S137" s="17" t="s">
        <v>4435</v>
      </c>
      <c r="T137" s="18" t="s">
        <v>43</v>
      </c>
    </row>
    <row r="138" s="3" customFormat="1" customHeight="1" spans="1:20">
      <c r="A138" s="84">
        <v>16</v>
      </c>
      <c r="B138" s="177" t="s">
        <v>1939</v>
      </c>
      <c r="C138" s="167" t="s">
        <v>165</v>
      </c>
      <c r="D138" s="167" t="s">
        <v>1940</v>
      </c>
      <c r="E138" s="11">
        <v>15727538228</v>
      </c>
      <c r="F138" s="167" t="s">
        <v>156</v>
      </c>
      <c r="G138" s="167" t="s">
        <v>14</v>
      </c>
      <c r="H138" s="11">
        <v>202102001</v>
      </c>
      <c r="I138" s="167" t="s">
        <v>157</v>
      </c>
      <c r="J138" s="167" t="s">
        <v>233</v>
      </c>
      <c r="K138" s="167" t="s">
        <v>454</v>
      </c>
      <c r="L138" s="167" t="s">
        <v>170</v>
      </c>
      <c r="M138" s="167" t="s">
        <v>1942</v>
      </c>
      <c r="N138" s="167" t="s">
        <v>498</v>
      </c>
      <c r="O138" s="167" t="s">
        <v>1943</v>
      </c>
      <c r="P138" s="12" t="str">
        <f>_xlfn.DISPIMG("ID_1C58977D34D3459483FD1AF3B2109430",1)</f>
        <v>=DISPIMG("ID_1C58977D34D3459483FD1AF3B2109430",1)</v>
      </c>
      <c r="Q138" s="11" t="s">
        <v>1944</v>
      </c>
      <c r="R138" s="11">
        <v>224</v>
      </c>
      <c r="S138" s="17" t="s">
        <v>4436</v>
      </c>
      <c r="T138" s="18" t="s">
        <v>43</v>
      </c>
    </row>
    <row r="139" s="3" customFormat="1" customHeight="1" spans="1:20">
      <c r="A139" s="84">
        <v>17</v>
      </c>
      <c r="B139" s="177" t="s">
        <v>1947</v>
      </c>
      <c r="C139" s="167" t="s">
        <v>165</v>
      </c>
      <c r="D139" s="167" t="s">
        <v>1948</v>
      </c>
      <c r="E139" s="11">
        <v>15070578947</v>
      </c>
      <c r="F139" s="167" t="s">
        <v>156</v>
      </c>
      <c r="G139" s="167" t="s">
        <v>14</v>
      </c>
      <c r="H139" s="11">
        <v>202102001</v>
      </c>
      <c r="I139" s="167" t="s">
        <v>279</v>
      </c>
      <c r="J139" s="167" t="s">
        <v>1523</v>
      </c>
      <c r="K139" s="167" t="s">
        <v>1950</v>
      </c>
      <c r="L139" s="167" t="s">
        <v>170</v>
      </c>
      <c r="M139" s="167" t="s">
        <v>396</v>
      </c>
      <c r="N139" s="167" t="s">
        <v>14</v>
      </c>
      <c r="O139" s="167" t="s">
        <v>1951</v>
      </c>
      <c r="P139" s="12" t="str">
        <f>_xlfn.DISPIMG("ID_86A99051306F46439DFFA2E8604105B2",1)</f>
        <v>=DISPIMG("ID_86A99051306F46439DFFA2E8604105B2",1)</v>
      </c>
      <c r="Q139" s="11" t="s">
        <v>1952</v>
      </c>
      <c r="R139" s="11">
        <v>225</v>
      </c>
      <c r="S139" s="17" t="s">
        <v>4437</v>
      </c>
      <c r="T139" s="18" t="s">
        <v>43</v>
      </c>
    </row>
    <row r="140" s="3" customFormat="1" customHeight="1" spans="1:20">
      <c r="A140" s="84">
        <v>18</v>
      </c>
      <c r="B140" s="177" t="s">
        <v>1955</v>
      </c>
      <c r="C140" s="167" t="s">
        <v>165</v>
      </c>
      <c r="D140" s="167" t="s">
        <v>1956</v>
      </c>
      <c r="E140" s="11">
        <v>13687028289</v>
      </c>
      <c r="F140" s="167" t="s">
        <v>156</v>
      </c>
      <c r="G140" s="167" t="s">
        <v>14</v>
      </c>
      <c r="H140" s="11">
        <v>202102001</v>
      </c>
      <c r="I140" s="167" t="s">
        <v>279</v>
      </c>
      <c r="J140" s="167" t="s">
        <v>339</v>
      </c>
      <c r="K140" s="167" t="s">
        <v>348</v>
      </c>
      <c r="L140" s="167" t="s">
        <v>170</v>
      </c>
      <c r="M140" s="167" t="s">
        <v>180</v>
      </c>
      <c r="N140" s="167" t="s">
        <v>638</v>
      </c>
      <c r="O140" s="167" t="s">
        <v>1958</v>
      </c>
      <c r="P140" s="12" t="str">
        <f>_xlfn.DISPIMG("ID_2D011236909B4AB48CEACAF4EB3A9013",1)</f>
        <v>=DISPIMG("ID_2D011236909B4AB48CEACAF4EB3A9013",1)</v>
      </c>
      <c r="Q140" s="11" t="s">
        <v>1959</v>
      </c>
      <c r="R140" s="11">
        <v>226</v>
      </c>
      <c r="S140" s="17" t="s">
        <v>4438</v>
      </c>
      <c r="T140" s="18" t="s">
        <v>43</v>
      </c>
    </row>
    <row r="141" s="3" customFormat="1" customHeight="1" spans="1:20">
      <c r="A141" s="84">
        <v>19</v>
      </c>
      <c r="B141" s="177" t="s">
        <v>1962</v>
      </c>
      <c r="C141" s="167" t="s">
        <v>165</v>
      </c>
      <c r="D141" s="167" t="s">
        <v>1963</v>
      </c>
      <c r="E141" s="11">
        <v>18279199773</v>
      </c>
      <c r="F141" s="167" t="s">
        <v>156</v>
      </c>
      <c r="G141" s="167" t="s">
        <v>14</v>
      </c>
      <c r="H141" s="11">
        <v>202102001</v>
      </c>
      <c r="I141" s="167" t="s">
        <v>157</v>
      </c>
      <c r="J141" s="167" t="s">
        <v>1121</v>
      </c>
      <c r="K141" s="167" t="s">
        <v>813</v>
      </c>
      <c r="L141" s="167" t="s">
        <v>160</v>
      </c>
      <c r="M141" s="167" t="s">
        <v>199</v>
      </c>
      <c r="N141" s="167" t="s">
        <v>14</v>
      </c>
      <c r="O141" s="167" t="s">
        <v>1965</v>
      </c>
      <c r="P141" s="12" t="str">
        <f>_xlfn.DISPIMG("ID_978F05F9424741AE81F8E8335A7E991E",1)</f>
        <v>=DISPIMG("ID_978F05F9424741AE81F8E8335A7E991E",1)</v>
      </c>
      <c r="Q141" s="11" t="s">
        <v>1966</v>
      </c>
      <c r="R141" s="11">
        <v>227</v>
      </c>
      <c r="S141" s="17" t="s">
        <v>4439</v>
      </c>
      <c r="T141" s="18" t="s">
        <v>43</v>
      </c>
    </row>
    <row r="142" s="3" customFormat="1" customHeight="1" spans="1:20">
      <c r="A142" s="84">
        <v>20</v>
      </c>
      <c r="B142" s="177" t="s">
        <v>1983</v>
      </c>
      <c r="C142" s="167" t="s">
        <v>165</v>
      </c>
      <c r="D142" s="167" t="s">
        <v>1984</v>
      </c>
      <c r="E142" s="11">
        <v>15070924105</v>
      </c>
      <c r="F142" s="167" t="s">
        <v>156</v>
      </c>
      <c r="G142" s="167" t="s">
        <v>14</v>
      </c>
      <c r="H142" s="11">
        <v>202102001</v>
      </c>
      <c r="I142" s="167" t="s">
        <v>279</v>
      </c>
      <c r="J142" s="167" t="s">
        <v>515</v>
      </c>
      <c r="K142" s="167" t="s">
        <v>223</v>
      </c>
      <c r="L142" s="167" t="s">
        <v>170</v>
      </c>
      <c r="M142" s="167" t="s">
        <v>224</v>
      </c>
      <c r="N142" s="167" t="s">
        <v>14</v>
      </c>
      <c r="O142" s="11">
        <v>0</v>
      </c>
      <c r="P142" s="12" t="str">
        <f>_xlfn.DISPIMG("ID_88D6D1C166864D0C988B38CB94A18A2D",1)</f>
        <v>=DISPIMG("ID_88D6D1C166864D0C988B38CB94A18A2D",1)</v>
      </c>
      <c r="Q142" s="11" t="s">
        <v>1986</v>
      </c>
      <c r="R142" s="11">
        <v>230</v>
      </c>
      <c r="S142" s="17" t="s">
        <v>4440</v>
      </c>
      <c r="T142" s="18" t="s">
        <v>43</v>
      </c>
    </row>
    <row r="143" s="3" customFormat="1" customHeight="1" spans="1:20">
      <c r="A143" s="84">
        <v>21</v>
      </c>
      <c r="B143" s="177" t="s">
        <v>1989</v>
      </c>
      <c r="C143" s="167" t="s">
        <v>165</v>
      </c>
      <c r="D143" s="167" t="s">
        <v>1990</v>
      </c>
      <c r="E143" s="11">
        <v>18720291086</v>
      </c>
      <c r="F143" s="167" t="s">
        <v>156</v>
      </c>
      <c r="G143" s="167" t="s">
        <v>14</v>
      </c>
      <c r="H143" s="11">
        <v>202102001</v>
      </c>
      <c r="I143" s="167" t="s">
        <v>279</v>
      </c>
      <c r="J143" s="167" t="s">
        <v>367</v>
      </c>
      <c r="K143" s="167" t="s">
        <v>348</v>
      </c>
      <c r="L143" s="167" t="s">
        <v>170</v>
      </c>
      <c r="M143" s="167" t="s">
        <v>180</v>
      </c>
      <c r="N143" s="167" t="s">
        <v>1992</v>
      </c>
      <c r="O143" s="167" t="s">
        <v>1993</v>
      </c>
      <c r="P143" s="12" t="str">
        <f>_xlfn.DISPIMG("ID_08685AD380B84575A97C010891A129EA",1)</f>
        <v>=DISPIMG("ID_08685AD380B84575A97C010891A129EA",1)</v>
      </c>
      <c r="Q143" s="11" t="s">
        <v>1994</v>
      </c>
      <c r="R143" s="11">
        <v>231</v>
      </c>
      <c r="S143" s="17" t="s">
        <v>4441</v>
      </c>
      <c r="T143" s="18" t="s">
        <v>43</v>
      </c>
    </row>
    <row r="144" s="3" customFormat="1" customHeight="1" spans="1:20">
      <c r="A144" s="84">
        <v>22</v>
      </c>
      <c r="B144" s="177" t="s">
        <v>2028</v>
      </c>
      <c r="C144" s="167" t="s">
        <v>165</v>
      </c>
      <c r="D144" s="167" t="s">
        <v>2029</v>
      </c>
      <c r="E144" s="11">
        <v>18379220348</v>
      </c>
      <c r="F144" s="167" t="s">
        <v>156</v>
      </c>
      <c r="G144" s="167" t="s">
        <v>14</v>
      </c>
      <c r="H144" s="11">
        <v>202102001</v>
      </c>
      <c r="I144" s="167" t="s">
        <v>157</v>
      </c>
      <c r="J144" s="167" t="s">
        <v>158</v>
      </c>
      <c r="K144" s="167" t="s">
        <v>1546</v>
      </c>
      <c r="L144" s="167" t="s">
        <v>170</v>
      </c>
      <c r="M144" s="167" t="s">
        <v>161</v>
      </c>
      <c r="N144" s="167" t="s">
        <v>2031</v>
      </c>
      <c r="O144" s="167" t="s">
        <v>2032</v>
      </c>
      <c r="P144" s="12" t="str">
        <f>_xlfn.DISPIMG("ID_23D2336FF3CB4EA6B1558E965302CC98",1)</f>
        <v>=DISPIMG("ID_23D2336FF3CB4EA6B1558E965302CC98",1)</v>
      </c>
      <c r="Q144" s="11" t="s">
        <v>2033</v>
      </c>
      <c r="R144" s="11">
        <v>236</v>
      </c>
      <c r="S144" s="17" t="s">
        <v>4442</v>
      </c>
      <c r="T144" s="18" t="s">
        <v>43</v>
      </c>
    </row>
    <row r="145" s="3" customFormat="1" customHeight="1" spans="1:20">
      <c r="A145" s="84">
        <v>23</v>
      </c>
      <c r="B145" s="177" t="s">
        <v>2053</v>
      </c>
      <c r="C145" s="167" t="s">
        <v>165</v>
      </c>
      <c r="D145" s="167" t="s">
        <v>2054</v>
      </c>
      <c r="E145" s="11">
        <v>15079910015</v>
      </c>
      <c r="F145" s="167" t="s">
        <v>156</v>
      </c>
      <c r="G145" s="167" t="s">
        <v>14</v>
      </c>
      <c r="H145" s="11">
        <v>202102001</v>
      </c>
      <c r="I145" s="167" t="s">
        <v>279</v>
      </c>
      <c r="J145" s="167" t="s">
        <v>1424</v>
      </c>
      <c r="K145" s="167" t="s">
        <v>348</v>
      </c>
      <c r="L145" s="167" t="s">
        <v>170</v>
      </c>
      <c r="M145" s="167" t="s">
        <v>199</v>
      </c>
      <c r="N145" s="167" t="s">
        <v>14</v>
      </c>
      <c r="O145" s="167" t="s">
        <v>2056</v>
      </c>
      <c r="P145" s="12" t="str">
        <f>_xlfn.DISPIMG("ID_4A26FAD7BD014883BE19E7EBABEADF70",1)</f>
        <v>=DISPIMG("ID_4A26FAD7BD014883BE19E7EBABEADF70",1)</v>
      </c>
      <c r="Q145" s="11" t="s">
        <v>2057</v>
      </c>
      <c r="R145" s="11">
        <v>239</v>
      </c>
      <c r="S145" s="17" t="s">
        <v>4443</v>
      </c>
      <c r="T145" s="18" t="s">
        <v>43</v>
      </c>
    </row>
    <row r="146" s="3" customFormat="1" customHeight="1" spans="1:20">
      <c r="A146" s="84">
        <v>24</v>
      </c>
      <c r="B146" s="177" t="s">
        <v>2165</v>
      </c>
      <c r="C146" s="167" t="s">
        <v>165</v>
      </c>
      <c r="D146" s="167" t="s">
        <v>2166</v>
      </c>
      <c r="E146" s="11">
        <v>15270256109</v>
      </c>
      <c r="F146" s="167" t="s">
        <v>156</v>
      </c>
      <c r="G146" s="167" t="s">
        <v>14</v>
      </c>
      <c r="H146" s="11">
        <v>202102001</v>
      </c>
      <c r="I146" s="167" t="s">
        <v>279</v>
      </c>
      <c r="J146" s="167" t="s">
        <v>158</v>
      </c>
      <c r="K146" s="167" t="s">
        <v>348</v>
      </c>
      <c r="L146" s="167" t="s">
        <v>170</v>
      </c>
      <c r="M146" s="167" t="s">
        <v>306</v>
      </c>
      <c r="N146" s="167" t="s">
        <v>638</v>
      </c>
      <c r="O146" s="167" t="s">
        <v>2168</v>
      </c>
      <c r="P146" s="12" t="str">
        <f>_xlfn.DISPIMG("ID_3CABC7DA53ED4401B09BC2C27086B239",1)</f>
        <v>=DISPIMG("ID_3CABC7DA53ED4401B09BC2C27086B239",1)</v>
      </c>
      <c r="Q146" s="11" t="s">
        <v>2169</v>
      </c>
      <c r="R146" s="11">
        <v>254</v>
      </c>
      <c r="S146" s="17" t="s">
        <v>4444</v>
      </c>
      <c r="T146" s="18" t="s">
        <v>43</v>
      </c>
    </row>
    <row r="147" s="3" customFormat="1" customHeight="1" spans="1:20">
      <c r="A147" s="84">
        <v>25</v>
      </c>
      <c r="B147" s="177" t="s">
        <v>2218</v>
      </c>
      <c r="C147" s="167" t="s">
        <v>165</v>
      </c>
      <c r="D147" s="167" t="s">
        <v>2219</v>
      </c>
      <c r="E147" s="11">
        <v>15179156312</v>
      </c>
      <c r="F147" s="167" t="s">
        <v>156</v>
      </c>
      <c r="G147" s="167" t="s">
        <v>14</v>
      </c>
      <c r="H147" s="11">
        <v>202102001</v>
      </c>
      <c r="I147" s="167" t="s">
        <v>157</v>
      </c>
      <c r="J147" s="167" t="s">
        <v>233</v>
      </c>
      <c r="K147" s="167" t="s">
        <v>1195</v>
      </c>
      <c r="L147" s="167" t="s">
        <v>160</v>
      </c>
      <c r="M147" s="167" t="s">
        <v>2221</v>
      </c>
      <c r="N147" s="167" t="s">
        <v>638</v>
      </c>
      <c r="O147" s="167" t="s">
        <v>2222</v>
      </c>
      <c r="P147" s="12" t="str">
        <f>_xlfn.DISPIMG("ID_D4DBACC4389B49D6B9C508C515595D5D",1)</f>
        <v>=DISPIMG("ID_D4DBACC4389B49D6B9C508C515595D5D",1)</v>
      </c>
      <c r="Q147" s="11" t="s">
        <v>2223</v>
      </c>
      <c r="R147" s="11">
        <v>261</v>
      </c>
      <c r="S147" s="17" t="s">
        <v>4445</v>
      </c>
      <c r="T147" s="18" t="s">
        <v>43</v>
      </c>
    </row>
    <row r="148" s="3" customFormat="1" customHeight="1" spans="1:20">
      <c r="A148" s="84">
        <v>26</v>
      </c>
      <c r="B148" s="177" t="s">
        <v>2400</v>
      </c>
      <c r="C148" s="167" t="s">
        <v>165</v>
      </c>
      <c r="D148" s="167" t="s">
        <v>2401</v>
      </c>
      <c r="E148" s="11">
        <v>18879267195</v>
      </c>
      <c r="F148" s="167" t="s">
        <v>156</v>
      </c>
      <c r="G148" s="167" t="s">
        <v>14</v>
      </c>
      <c r="H148" s="11">
        <v>202102001</v>
      </c>
      <c r="I148" s="167" t="s">
        <v>279</v>
      </c>
      <c r="J148" s="167" t="s">
        <v>339</v>
      </c>
      <c r="K148" s="167" t="s">
        <v>348</v>
      </c>
      <c r="L148" s="167" t="s">
        <v>170</v>
      </c>
      <c r="M148" s="167" t="s">
        <v>180</v>
      </c>
      <c r="N148" s="167" t="s">
        <v>14</v>
      </c>
      <c r="O148" s="167" t="s">
        <v>2403</v>
      </c>
      <c r="P148" s="12" t="str">
        <f>_xlfn.DISPIMG("ID_FE029F69B78E439BA992D666A5ADF87E",1)</f>
        <v>=DISPIMG("ID_FE029F69B78E439BA992D666A5ADF87E",1)</v>
      </c>
      <c r="Q148" s="11" t="s">
        <v>2404</v>
      </c>
      <c r="R148" s="11">
        <v>285</v>
      </c>
      <c r="S148" s="17" t="s">
        <v>4446</v>
      </c>
      <c r="T148" s="18" t="s">
        <v>43</v>
      </c>
    </row>
    <row r="149" s="3" customFormat="1" customHeight="1" spans="1:20">
      <c r="A149" s="84">
        <v>27</v>
      </c>
      <c r="B149" s="177" t="s">
        <v>2430</v>
      </c>
      <c r="C149" s="167" t="s">
        <v>165</v>
      </c>
      <c r="D149" s="167" t="s">
        <v>2431</v>
      </c>
      <c r="E149" s="11">
        <v>18379086106</v>
      </c>
      <c r="F149" s="167" t="s">
        <v>156</v>
      </c>
      <c r="G149" s="167" t="s">
        <v>14</v>
      </c>
      <c r="H149" s="11">
        <v>202102001</v>
      </c>
      <c r="I149" s="167" t="s">
        <v>279</v>
      </c>
      <c r="J149" s="167" t="s">
        <v>178</v>
      </c>
      <c r="K149" s="167" t="s">
        <v>348</v>
      </c>
      <c r="L149" s="167" t="s">
        <v>170</v>
      </c>
      <c r="M149" s="167" t="s">
        <v>396</v>
      </c>
      <c r="N149" s="167" t="s">
        <v>14</v>
      </c>
      <c r="O149" s="167" t="s">
        <v>2433</v>
      </c>
      <c r="P149" s="12" t="str">
        <f>_xlfn.DISPIMG("ID_490114996A5646149508AE2796C7FCA8",1)</f>
        <v>=DISPIMG("ID_490114996A5646149508AE2796C7FCA8",1)</v>
      </c>
      <c r="Q149" s="11" t="s">
        <v>2434</v>
      </c>
      <c r="R149" s="11">
        <v>289</v>
      </c>
      <c r="S149" s="17" t="s">
        <v>4447</v>
      </c>
      <c r="T149" s="18" t="s">
        <v>43</v>
      </c>
    </row>
    <row r="150" s="3" customFormat="1" customHeight="1" spans="1:20">
      <c r="A150" s="84">
        <v>28</v>
      </c>
      <c r="B150" s="177" t="s">
        <v>2452</v>
      </c>
      <c r="C150" s="167" t="s">
        <v>165</v>
      </c>
      <c r="D150" s="167" t="s">
        <v>2453</v>
      </c>
      <c r="E150" s="11">
        <v>18720955003</v>
      </c>
      <c r="F150" s="167" t="s">
        <v>156</v>
      </c>
      <c r="G150" s="167" t="s">
        <v>14</v>
      </c>
      <c r="H150" s="11">
        <v>202102001</v>
      </c>
      <c r="I150" s="167" t="s">
        <v>157</v>
      </c>
      <c r="J150" s="167" t="s">
        <v>197</v>
      </c>
      <c r="K150" s="167" t="s">
        <v>454</v>
      </c>
      <c r="L150" s="167" t="s">
        <v>160</v>
      </c>
      <c r="M150" s="167" t="s">
        <v>216</v>
      </c>
      <c r="N150" s="167" t="s">
        <v>14</v>
      </c>
      <c r="O150" s="167" t="s">
        <v>2455</v>
      </c>
      <c r="P150" s="12" t="str">
        <f>_xlfn.DISPIMG("ID_FC7219DD86F84BE1856628C95CBE9A35",1)</f>
        <v>=DISPIMG("ID_FC7219DD86F84BE1856628C95CBE9A35",1)</v>
      </c>
      <c r="Q150" s="11" t="s">
        <v>2456</v>
      </c>
      <c r="R150" s="11">
        <v>292</v>
      </c>
      <c r="S150" s="17" t="s">
        <v>4448</v>
      </c>
      <c r="T150" s="18" t="s">
        <v>43</v>
      </c>
    </row>
    <row r="151" s="3" customFormat="1" customHeight="1" spans="1:20">
      <c r="A151" s="84">
        <v>29</v>
      </c>
      <c r="B151" s="177" t="s">
        <v>2466</v>
      </c>
      <c r="C151" s="167" t="s">
        <v>165</v>
      </c>
      <c r="D151" s="167" t="s">
        <v>2467</v>
      </c>
      <c r="E151" s="11">
        <v>18296295635</v>
      </c>
      <c r="F151" s="167" t="s">
        <v>156</v>
      </c>
      <c r="G151" s="167" t="s">
        <v>14</v>
      </c>
      <c r="H151" s="11">
        <v>202102001</v>
      </c>
      <c r="I151" s="167" t="s">
        <v>279</v>
      </c>
      <c r="J151" s="167" t="s">
        <v>233</v>
      </c>
      <c r="K151" s="167" t="s">
        <v>348</v>
      </c>
      <c r="L151" s="167" t="s">
        <v>170</v>
      </c>
      <c r="M151" s="167" t="s">
        <v>368</v>
      </c>
      <c r="N151" s="167" t="s">
        <v>14</v>
      </c>
      <c r="O151" s="167" t="s">
        <v>2469</v>
      </c>
      <c r="P151" s="12" t="str">
        <f>_xlfn.DISPIMG("ID_F16EE101B40044CF89D1DFEEC618BA53",1)</f>
        <v>=DISPIMG("ID_F16EE101B40044CF89D1DFEEC618BA53",1)</v>
      </c>
      <c r="Q151" s="11" t="s">
        <v>2470</v>
      </c>
      <c r="R151" s="11">
        <v>294</v>
      </c>
      <c r="S151" s="17" t="s">
        <v>4449</v>
      </c>
      <c r="T151" s="18" t="s">
        <v>43</v>
      </c>
    </row>
    <row r="152" s="3" customFormat="1" customHeight="1" spans="1:20">
      <c r="A152" s="84">
        <v>30</v>
      </c>
      <c r="B152" s="177" t="s">
        <v>2562</v>
      </c>
      <c r="C152" s="167" t="s">
        <v>165</v>
      </c>
      <c r="D152" s="167" t="s">
        <v>2563</v>
      </c>
      <c r="E152" s="11">
        <v>18279531380</v>
      </c>
      <c r="F152" s="167" t="s">
        <v>156</v>
      </c>
      <c r="G152" s="167" t="s">
        <v>14</v>
      </c>
      <c r="H152" s="11">
        <v>202102001</v>
      </c>
      <c r="I152" s="167" t="s">
        <v>705</v>
      </c>
      <c r="J152" s="167" t="s">
        <v>2565</v>
      </c>
      <c r="K152" s="167" t="s">
        <v>790</v>
      </c>
      <c r="L152" s="167" t="s">
        <v>160</v>
      </c>
      <c r="M152" s="167" t="s">
        <v>455</v>
      </c>
      <c r="N152" s="167" t="s">
        <v>14</v>
      </c>
      <c r="O152" s="167" t="s">
        <v>2566</v>
      </c>
      <c r="P152" s="12" t="str">
        <f>_xlfn.DISPIMG("ID_DA928F2BE2B24AF3ABF5D40BAC268946",1)</f>
        <v>=DISPIMG("ID_DA928F2BE2B24AF3ABF5D40BAC268946",1)</v>
      </c>
      <c r="Q152" s="11" t="s">
        <v>2567</v>
      </c>
      <c r="R152" s="11">
        <v>307</v>
      </c>
      <c r="S152" s="17" t="s">
        <v>4450</v>
      </c>
      <c r="T152" s="18" t="s">
        <v>43</v>
      </c>
    </row>
    <row r="153" s="3" customFormat="1" customHeight="1" spans="1:20">
      <c r="A153" s="84">
        <v>1</v>
      </c>
      <c r="B153" s="177" t="s">
        <v>2635</v>
      </c>
      <c r="C153" s="167" t="s">
        <v>165</v>
      </c>
      <c r="D153" s="167" t="s">
        <v>2636</v>
      </c>
      <c r="E153" s="11">
        <v>15170208662</v>
      </c>
      <c r="F153" s="167" t="s">
        <v>156</v>
      </c>
      <c r="G153" s="167" t="s">
        <v>14</v>
      </c>
      <c r="H153" s="11">
        <v>202102001</v>
      </c>
      <c r="I153" s="167" t="s">
        <v>157</v>
      </c>
      <c r="J153" s="167" t="s">
        <v>233</v>
      </c>
      <c r="K153" s="167" t="s">
        <v>454</v>
      </c>
      <c r="L153" s="167" t="s">
        <v>170</v>
      </c>
      <c r="M153" s="167" t="s">
        <v>349</v>
      </c>
      <c r="N153" s="167" t="s">
        <v>2638</v>
      </c>
      <c r="O153" s="167" t="s">
        <v>2639</v>
      </c>
      <c r="P153" s="12" t="str">
        <f>_xlfn.DISPIMG("ID_E1D95DAB49404461BEFC75E6320DFECC",1)</f>
        <v>=DISPIMG("ID_E1D95DAB49404461BEFC75E6320DFECC",1)</v>
      </c>
      <c r="Q153" s="11" t="s">
        <v>2640</v>
      </c>
      <c r="R153" s="11">
        <v>317</v>
      </c>
      <c r="S153" s="17" t="s">
        <v>4451</v>
      </c>
      <c r="T153" s="18" t="s">
        <v>45</v>
      </c>
    </row>
    <row r="154" s="3" customFormat="1" customHeight="1" spans="1:20">
      <c r="A154" s="84">
        <v>2</v>
      </c>
      <c r="B154" s="177" t="s">
        <v>2659</v>
      </c>
      <c r="C154" s="167" t="s">
        <v>165</v>
      </c>
      <c r="D154" s="167" t="s">
        <v>2660</v>
      </c>
      <c r="E154" s="11">
        <v>13627065761</v>
      </c>
      <c r="F154" s="167" t="s">
        <v>156</v>
      </c>
      <c r="G154" s="167" t="s">
        <v>14</v>
      </c>
      <c r="H154" s="11">
        <v>202102001</v>
      </c>
      <c r="I154" s="167" t="s">
        <v>157</v>
      </c>
      <c r="J154" s="167" t="s">
        <v>269</v>
      </c>
      <c r="K154" s="167" t="s">
        <v>454</v>
      </c>
      <c r="L154" s="167" t="s">
        <v>170</v>
      </c>
      <c r="M154" s="167" t="s">
        <v>161</v>
      </c>
      <c r="N154" s="167" t="s">
        <v>26</v>
      </c>
      <c r="O154" s="167" t="s">
        <v>2662</v>
      </c>
      <c r="P154" s="12" t="str">
        <f>_xlfn.DISPIMG("ID_4750BE615CAB4B2790251BC514AE2277",1)</f>
        <v>=DISPIMG("ID_4750BE615CAB4B2790251BC514AE2277",1)</v>
      </c>
      <c r="Q154" s="11" t="s">
        <v>2663</v>
      </c>
      <c r="R154" s="11">
        <v>320</v>
      </c>
      <c r="S154" s="17" t="s">
        <v>4452</v>
      </c>
      <c r="T154" s="18" t="s">
        <v>45</v>
      </c>
    </row>
    <row r="155" s="3" customFormat="1" customHeight="1" spans="1:20">
      <c r="A155" s="84">
        <v>3</v>
      </c>
      <c r="B155" s="177" t="s">
        <v>2726</v>
      </c>
      <c r="C155" s="167" t="s">
        <v>165</v>
      </c>
      <c r="D155" s="167" t="s">
        <v>2727</v>
      </c>
      <c r="E155" s="11">
        <v>18770822590</v>
      </c>
      <c r="F155" s="167" t="s">
        <v>156</v>
      </c>
      <c r="G155" s="167" t="s">
        <v>14</v>
      </c>
      <c r="H155" s="11">
        <v>202102001</v>
      </c>
      <c r="I155" s="167" t="s">
        <v>157</v>
      </c>
      <c r="J155" s="167" t="s">
        <v>233</v>
      </c>
      <c r="K155" s="167" t="s">
        <v>1570</v>
      </c>
      <c r="L155" s="167" t="s">
        <v>160</v>
      </c>
      <c r="M155" s="167" t="s">
        <v>252</v>
      </c>
      <c r="N155" s="167" t="s">
        <v>26</v>
      </c>
      <c r="O155" s="167" t="s">
        <v>2728</v>
      </c>
      <c r="P155" s="12" t="str">
        <f>_xlfn.DISPIMG("ID_BA1DF7BF960547A0983F8DB11C878B07",1)</f>
        <v>=DISPIMG("ID_BA1DF7BF960547A0983F8DB11C878B07",1)</v>
      </c>
      <c r="Q155" s="11" t="s">
        <v>2729</v>
      </c>
      <c r="R155" s="11">
        <v>329</v>
      </c>
      <c r="S155" s="17" t="s">
        <v>4453</v>
      </c>
      <c r="T155" s="18" t="s">
        <v>45</v>
      </c>
    </row>
    <row r="156" s="3" customFormat="1" customHeight="1" spans="1:20">
      <c r="A156" s="84">
        <v>4</v>
      </c>
      <c r="B156" s="177" t="s">
        <v>2767</v>
      </c>
      <c r="C156" s="167" t="s">
        <v>165</v>
      </c>
      <c r="D156" s="167" t="s">
        <v>2768</v>
      </c>
      <c r="E156" s="11">
        <v>18270257502</v>
      </c>
      <c r="F156" s="167" t="s">
        <v>506</v>
      </c>
      <c r="G156" s="167" t="s">
        <v>14</v>
      </c>
      <c r="H156" s="11">
        <v>202102014</v>
      </c>
      <c r="I156" s="167" t="s">
        <v>279</v>
      </c>
      <c r="J156" s="167" t="s">
        <v>367</v>
      </c>
      <c r="K156" s="167" t="s">
        <v>1878</v>
      </c>
      <c r="L156" s="167" t="s">
        <v>170</v>
      </c>
      <c r="M156" s="167" t="s">
        <v>161</v>
      </c>
      <c r="N156" s="167" t="s">
        <v>14</v>
      </c>
      <c r="O156" s="167" t="s">
        <v>2770</v>
      </c>
      <c r="P156" s="12" t="str">
        <f>_xlfn.DISPIMG("ID_599781AB8A9B405FA1C45AEDC9F43F4B",1)</f>
        <v>=DISPIMG("ID_599781AB8A9B405FA1C45AEDC9F43F4B",1)</v>
      </c>
      <c r="Q156" s="11" t="s">
        <v>2771</v>
      </c>
      <c r="R156" s="11">
        <v>335</v>
      </c>
      <c r="S156" s="17" t="s">
        <v>4454</v>
      </c>
      <c r="T156" s="18" t="s">
        <v>45</v>
      </c>
    </row>
    <row r="157" s="3" customFormat="1" customHeight="1" spans="1:20">
      <c r="A157" s="84">
        <v>5</v>
      </c>
      <c r="B157" s="177" t="s">
        <v>2991</v>
      </c>
      <c r="C157" s="167" t="s">
        <v>165</v>
      </c>
      <c r="D157" s="167" t="s">
        <v>2992</v>
      </c>
      <c r="E157" s="11">
        <v>18720220590</v>
      </c>
      <c r="F157" s="167" t="s">
        <v>156</v>
      </c>
      <c r="G157" s="167" t="s">
        <v>14</v>
      </c>
      <c r="H157" s="11">
        <v>202102001</v>
      </c>
      <c r="I157" s="167" t="s">
        <v>157</v>
      </c>
      <c r="J157" s="167" t="s">
        <v>611</v>
      </c>
      <c r="K157" s="167" t="s">
        <v>179</v>
      </c>
      <c r="L157" s="167" t="s">
        <v>160</v>
      </c>
      <c r="M157" s="167" t="s">
        <v>216</v>
      </c>
      <c r="N157" s="167" t="s">
        <v>14</v>
      </c>
      <c r="O157" s="11">
        <v>0</v>
      </c>
      <c r="P157" s="12" t="str">
        <f>_xlfn.DISPIMG("ID_AFAEC7F47E5847F688912010DE531FF7",1)</f>
        <v>=DISPIMG("ID_AFAEC7F47E5847F688912010DE531FF7",1)</v>
      </c>
      <c r="Q157" s="11" t="s">
        <v>2994</v>
      </c>
      <c r="R157" s="11">
        <v>368</v>
      </c>
      <c r="S157" s="17" t="s">
        <v>4455</v>
      </c>
      <c r="T157" s="18" t="s">
        <v>45</v>
      </c>
    </row>
    <row r="158" s="3" customFormat="1" customHeight="1" spans="1:20">
      <c r="A158" s="84">
        <v>6</v>
      </c>
      <c r="B158" s="177" t="s">
        <v>3036</v>
      </c>
      <c r="C158" s="167" t="s">
        <v>165</v>
      </c>
      <c r="D158" s="167" t="s">
        <v>3037</v>
      </c>
      <c r="E158" s="11">
        <v>13755268380</v>
      </c>
      <c r="F158" s="167" t="s">
        <v>156</v>
      </c>
      <c r="G158" s="167" t="s">
        <v>14</v>
      </c>
      <c r="H158" s="11">
        <v>202102001</v>
      </c>
      <c r="I158" s="167" t="s">
        <v>279</v>
      </c>
      <c r="J158" s="167" t="s">
        <v>1674</v>
      </c>
      <c r="K158" s="167" t="s">
        <v>348</v>
      </c>
      <c r="L158" s="167" t="s">
        <v>170</v>
      </c>
      <c r="M158" s="167" t="s">
        <v>3039</v>
      </c>
      <c r="N158" s="167" t="s">
        <v>2395</v>
      </c>
      <c r="O158" s="167" t="s">
        <v>3040</v>
      </c>
      <c r="P158" s="12" t="str">
        <f>_xlfn.DISPIMG("ID_BCD8D492551D473299BE1D3404EC1A74",1)</f>
        <v>=DISPIMG("ID_BCD8D492551D473299BE1D3404EC1A74",1)</v>
      </c>
      <c r="Q158" s="11" t="s">
        <v>3041</v>
      </c>
      <c r="R158" s="11">
        <v>375</v>
      </c>
      <c r="S158" s="17" t="s">
        <v>4456</v>
      </c>
      <c r="T158" s="18" t="s">
        <v>45</v>
      </c>
    </row>
    <row r="159" s="3" customFormat="1" customHeight="1" spans="1:20">
      <c r="A159" s="84">
        <v>7</v>
      </c>
      <c r="B159" s="177" t="s">
        <v>3058</v>
      </c>
      <c r="C159" s="167" t="s">
        <v>165</v>
      </c>
      <c r="D159" s="167" t="s">
        <v>3059</v>
      </c>
      <c r="E159" s="11">
        <v>18616047542</v>
      </c>
      <c r="F159" s="167" t="s">
        <v>156</v>
      </c>
      <c r="G159" s="167" t="s">
        <v>14</v>
      </c>
      <c r="H159" s="11">
        <v>202102001</v>
      </c>
      <c r="I159" s="167" t="s">
        <v>157</v>
      </c>
      <c r="J159" s="167" t="s">
        <v>233</v>
      </c>
      <c r="K159" s="167" t="s">
        <v>1489</v>
      </c>
      <c r="L159" s="167" t="s">
        <v>170</v>
      </c>
      <c r="M159" s="167" t="s">
        <v>3061</v>
      </c>
      <c r="N159" s="167" t="s">
        <v>3062</v>
      </c>
      <c r="O159" s="167" t="s">
        <v>3063</v>
      </c>
      <c r="P159" s="12" t="str">
        <f>_xlfn.DISPIMG("ID_0F24A07024DD4EC28C638A81C28E0099",1)</f>
        <v>=DISPIMG("ID_0F24A07024DD4EC28C638A81C28E0099",1)</v>
      </c>
      <c r="Q159" s="11" t="s">
        <v>3064</v>
      </c>
      <c r="R159" s="11">
        <v>378</v>
      </c>
      <c r="S159" s="17" t="s">
        <v>4457</v>
      </c>
      <c r="T159" s="18" t="s">
        <v>45</v>
      </c>
    </row>
    <row r="160" s="3" customFormat="1" customHeight="1" spans="1:20">
      <c r="A160" s="84">
        <v>8</v>
      </c>
      <c r="B160" s="177" t="s">
        <v>3067</v>
      </c>
      <c r="C160" s="167" t="s">
        <v>165</v>
      </c>
      <c r="D160" s="167" t="s">
        <v>3068</v>
      </c>
      <c r="E160" s="11">
        <v>18070525525</v>
      </c>
      <c r="F160" s="167" t="s">
        <v>156</v>
      </c>
      <c r="G160" s="167" t="s">
        <v>14</v>
      </c>
      <c r="H160" s="11">
        <v>202102001</v>
      </c>
      <c r="I160" s="167" t="s">
        <v>157</v>
      </c>
      <c r="J160" s="167" t="s">
        <v>3070</v>
      </c>
      <c r="K160" s="167" t="s">
        <v>454</v>
      </c>
      <c r="L160" s="167" t="s">
        <v>170</v>
      </c>
      <c r="M160" s="167" t="s">
        <v>577</v>
      </c>
      <c r="N160" s="167" t="s">
        <v>1579</v>
      </c>
      <c r="O160" s="167" t="s">
        <v>3071</v>
      </c>
      <c r="P160" s="12" t="str">
        <f>_xlfn.DISPIMG("ID_2CCF9645E24E4A3B81BAE72B8AED314D",1)</f>
        <v>=DISPIMG("ID_2CCF9645E24E4A3B81BAE72B8AED314D",1)</v>
      </c>
      <c r="Q160" s="11" t="s">
        <v>3072</v>
      </c>
      <c r="R160" s="11">
        <v>379</v>
      </c>
      <c r="S160" s="17" t="s">
        <v>4458</v>
      </c>
      <c r="T160" s="18" t="s">
        <v>45</v>
      </c>
    </row>
    <row r="161" s="3" customFormat="1" customHeight="1" spans="1:20">
      <c r="A161" s="84">
        <v>9</v>
      </c>
      <c r="B161" s="177" t="s">
        <v>3166</v>
      </c>
      <c r="C161" s="167" t="s">
        <v>165</v>
      </c>
      <c r="D161" s="167" t="s">
        <v>3167</v>
      </c>
      <c r="E161" s="11">
        <v>18797976473</v>
      </c>
      <c r="F161" s="167" t="s">
        <v>156</v>
      </c>
      <c r="G161" s="167" t="s">
        <v>14</v>
      </c>
      <c r="H161" s="11">
        <v>202102001</v>
      </c>
      <c r="I161" s="167" t="s">
        <v>157</v>
      </c>
      <c r="J161" s="167" t="s">
        <v>158</v>
      </c>
      <c r="K161" s="167" t="s">
        <v>395</v>
      </c>
      <c r="L161" s="167" t="s">
        <v>160</v>
      </c>
      <c r="M161" s="167" t="s">
        <v>587</v>
      </c>
      <c r="N161" s="167" t="s">
        <v>14</v>
      </c>
      <c r="O161" s="11">
        <v>0</v>
      </c>
      <c r="P161" s="12" t="str">
        <f>_xlfn.DISPIMG("ID_F2E559AD12664A6E81B51441D537B134",1)</f>
        <v>=DISPIMG("ID_F2E559AD12664A6E81B51441D537B134",1)</v>
      </c>
      <c r="Q161" s="11" t="s">
        <v>3169</v>
      </c>
      <c r="R161" s="11">
        <v>393</v>
      </c>
      <c r="S161" s="17" t="s">
        <v>4459</v>
      </c>
      <c r="T161" s="18" t="s">
        <v>45</v>
      </c>
    </row>
    <row r="162" s="3" customFormat="1" customHeight="1" spans="1:20">
      <c r="A162" s="84">
        <v>10</v>
      </c>
      <c r="B162" s="177" t="s">
        <v>3268</v>
      </c>
      <c r="C162" s="167" t="s">
        <v>165</v>
      </c>
      <c r="D162" s="167" t="s">
        <v>3269</v>
      </c>
      <c r="E162" s="11">
        <v>18770914454</v>
      </c>
      <c r="F162" s="167" t="s">
        <v>156</v>
      </c>
      <c r="G162" s="167" t="s">
        <v>14</v>
      </c>
      <c r="H162" s="11">
        <v>202102001</v>
      </c>
      <c r="I162" s="167" t="s">
        <v>279</v>
      </c>
      <c r="J162" s="167" t="s">
        <v>178</v>
      </c>
      <c r="K162" s="167" t="s">
        <v>348</v>
      </c>
      <c r="L162" s="167" t="s">
        <v>170</v>
      </c>
      <c r="M162" s="167" t="s">
        <v>216</v>
      </c>
      <c r="N162" s="167" t="s">
        <v>638</v>
      </c>
      <c r="O162" s="167" t="s">
        <v>3271</v>
      </c>
      <c r="P162" s="12" t="str">
        <f>_xlfn.DISPIMG("ID_A7E75D79E714426086202D465053808C",1)</f>
        <v>=DISPIMG("ID_A7E75D79E714426086202D465053808C",1)</v>
      </c>
      <c r="Q162" s="11" t="s">
        <v>3272</v>
      </c>
      <c r="R162" s="11">
        <v>408</v>
      </c>
      <c r="S162" s="17" t="s">
        <v>4460</v>
      </c>
      <c r="T162" s="18" t="s">
        <v>45</v>
      </c>
    </row>
    <row r="163" s="3" customFormat="1" customHeight="1" spans="1:20">
      <c r="A163" s="84">
        <v>11</v>
      </c>
      <c r="B163" s="177" t="s">
        <v>3283</v>
      </c>
      <c r="C163" s="167" t="s">
        <v>165</v>
      </c>
      <c r="D163" s="167" t="s">
        <v>3284</v>
      </c>
      <c r="E163" s="11">
        <v>18970283911</v>
      </c>
      <c r="F163" s="167" t="s">
        <v>156</v>
      </c>
      <c r="G163" s="167" t="s">
        <v>14</v>
      </c>
      <c r="H163" s="11">
        <v>202102001</v>
      </c>
      <c r="I163" s="167" t="s">
        <v>157</v>
      </c>
      <c r="J163" s="167" t="s">
        <v>178</v>
      </c>
      <c r="K163" s="167" t="s">
        <v>3286</v>
      </c>
      <c r="L163" s="167" t="s">
        <v>170</v>
      </c>
      <c r="M163" s="167" t="s">
        <v>199</v>
      </c>
      <c r="N163" s="167" t="s">
        <v>14</v>
      </c>
      <c r="O163" s="167" t="s">
        <v>3287</v>
      </c>
      <c r="P163" s="12" t="str">
        <f>_xlfn.DISPIMG("ID_CEC6054CEEDC4B7EB64CEFDE8D077DB1",1)</f>
        <v>=DISPIMG("ID_CEC6054CEEDC4B7EB64CEFDE8D077DB1",1)</v>
      </c>
      <c r="Q163" s="11" t="s">
        <v>3288</v>
      </c>
      <c r="R163" s="11">
        <v>410</v>
      </c>
      <c r="S163" s="17" t="s">
        <v>4461</v>
      </c>
      <c r="T163" s="18" t="s">
        <v>45</v>
      </c>
    </row>
    <row r="164" s="3" customFormat="1" customHeight="1" spans="1:20">
      <c r="A164" s="84">
        <v>12</v>
      </c>
      <c r="B164" s="177" t="s">
        <v>3374</v>
      </c>
      <c r="C164" s="167" t="s">
        <v>165</v>
      </c>
      <c r="D164" s="167" t="s">
        <v>3375</v>
      </c>
      <c r="E164" s="11">
        <v>18879135233</v>
      </c>
      <c r="F164" s="167" t="s">
        <v>156</v>
      </c>
      <c r="G164" s="167" t="s">
        <v>14</v>
      </c>
      <c r="H164" s="11">
        <v>202102001</v>
      </c>
      <c r="I164" s="167" t="s">
        <v>279</v>
      </c>
      <c r="J164" s="167" t="s">
        <v>339</v>
      </c>
      <c r="K164" s="167" t="s">
        <v>1950</v>
      </c>
      <c r="L164" s="167" t="s">
        <v>170</v>
      </c>
      <c r="M164" s="167" t="s">
        <v>216</v>
      </c>
      <c r="N164" s="167" t="s">
        <v>350</v>
      </c>
      <c r="O164" s="167" t="s">
        <v>3377</v>
      </c>
      <c r="P164" s="12" t="str">
        <f>_xlfn.DISPIMG("ID_A4F86B02E8AC4C77B083B94B4997B486",1)</f>
        <v>=DISPIMG("ID_A4F86B02E8AC4C77B083B94B4997B486",1)</v>
      </c>
      <c r="Q164" s="11" t="s">
        <v>3378</v>
      </c>
      <c r="R164" s="11">
        <v>425</v>
      </c>
      <c r="S164" s="17" t="s">
        <v>4462</v>
      </c>
      <c r="T164" s="18" t="s">
        <v>45</v>
      </c>
    </row>
    <row r="165" s="3" customFormat="1" customHeight="1" spans="1:20">
      <c r="A165" s="84">
        <v>13</v>
      </c>
      <c r="B165" s="177" t="s">
        <v>3381</v>
      </c>
      <c r="C165" s="167" t="s">
        <v>165</v>
      </c>
      <c r="D165" s="167" t="s">
        <v>3382</v>
      </c>
      <c r="E165" s="11">
        <v>15070017489</v>
      </c>
      <c r="F165" s="167" t="s">
        <v>156</v>
      </c>
      <c r="G165" s="167" t="s">
        <v>14</v>
      </c>
      <c r="H165" s="11">
        <v>202102001</v>
      </c>
      <c r="I165" s="167" t="s">
        <v>157</v>
      </c>
      <c r="J165" s="167" t="s">
        <v>1121</v>
      </c>
      <c r="K165" s="167" t="s">
        <v>1832</v>
      </c>
      <c r="L165" s="167" t="s">
        <v>160</v>
      </c>
      <c r="M165" s="167" t="s">
        <v>199</v>
      </c>
      <c r="N165" s="167" t="s">
        <v>14</v>
      </c>
      <c r="O165" s="11">
        <v>0</v>
      </c>
      <c r="P165" s="12" t="str">
        <f>_xlfn.DISPIMG("ID_755EB9C887424753BE38DCDA04F5D53F",1)</f>
        <v>=DISPIMG("ID_755EB9C887424753BE38DCDA04F5D53F",1)</v>
      </c>
      <c r="Q165" s="11" t="s">
        <v>3384</v>
      </c>
      <c r="R165" s="11">
        <v>426</v>
      </c>
      <c r="S165" s="17" t="s">
        <v>4463</v>
      </c>
      <c r="T165" s="18" t="s">
        <v>45</v>
      </c>
    </row>
    <row r="166" s="3" customFormat="1" customHeight="1" spans="1:20">
      <c r="A166" s="84">
        <v>14</v>
      </c>
      <c r="B166" s="177" t="s">
        <v>3436</v>
      </c>
      <c r="C166" s="167" t="s">
        <v>165</v>
      </c>
      <c r="D166" s="167" t="s">
        <v>3437</v>
      </c>
      <c r="E166" s="11">
        <v>15396816962</v>
      </c>
      <c r="F166" s="167" t="s">
        <v>156</v>
      </c>
      <c r="G166" s="167" t="s">
        <v>14</v>
      </c>
      <c r="H166" s="11">
        <v>202102001</v>
      </c>
      <c r="I166" s="167" t="s">
        <v>279</v>
      </c>
      <c r="J166" s="167" t="s">
        <v>367</v>
      </c>
      <c r="K166" s="167" t="s">
        <v>348</v>
      </c>
      <c r="L166" s="167" t="s">
        <v>170</v>
      </c>
      <c r="M166" s="167" t="s">
        <v>180</v>
      </c>
      <c r="N166" s="167" t="s">
        <v>638</v>
      </c>
      <c r="O166" s="167" t="s">
        <v>3439</v>
      </c>
      <c r="P166" s="12" t="str">
        <f>_xlfn.DISPIMG("ID_82244367FBEE45C5B0219468F4CFBAF4",1)</f>
        <v>=DISPIMG("ID_82244367FBEE45C5B0219468F4CFBAF4",1)</v>
      </c>
      <c r="Q166" s="11" t="s">
        <v>3440</v>
      </c>
      <c r="R166" s="11">
        <v>434</v>
      </c>
      <c r="S166" s="17" t="s">
        <v>4464</v>
      </c>
      <c r="T166" s="18" t="s">
        <v>45</v>
      </c>
    </row>
    <row r="167" s="3" customFormat="1" customHeight="1" spans="1:20">
      <c r="A167" s="84">
        <v>15</v>
      </c>
      <c r="B167" s="177" t="s">
        <v>3494</v>
      </c>
      <c r="C167" s="167" t="s">
        <v>165</v>
      </c>
      <c r="D167" s="167" t="s">
        <v>3495</v>
      </c>
      <c r="E167" s="11">
        <v>18000225971</v>
      </c>
      <c r="F167" s="167" t="s">
        <v>156</v>
      </c>
      <c r="G167" s="167" t="s">
        <v>14</v>
      </c>
      <c r="H167" s="11">
        <v>202102001</v>
      </c>
      <c r="I167" s="167" t="s">
        <v>157</v>
      </c>
      <c r="J167" s="167" t="s">
        <v>158</v>
      </c>
      <c r="K167" s="167" t="s">
        <v>348</v>
      </c>
      <c r="L167" s="167" t="s">
        <v>170</v>
      </c>
      <c r="M167" s="167" t="s">
        <v>349</v>
      </c>
      <c r="N167" s="167" t="s">
        <v>689</v>
      </c>
      <c r="O167" s="167" t="s">
        <v>3496</v>
      </c>
      <c r="P167" s="12" t="str">
        <f>_xlfn.DISPIMG("ID_92399A40D7B44F3B89AA85711A99D812",1)</f>
        <v>=DISPIMG("ID_92399A40D7B44F3B89AA85711A99D812",1)</v>
      </c>
      <c r="Q167" s="11" t="s">
        <v>3497</v>
      </c>
      <c r="R167" s="11">
        <v>442</v>
      </c>
      <c r="S167" s="17" t="s">
        <v>4465</v>
      </c>
      <c r="T167" s="18" t="s">
        <v>45</v>
      </c>
    </row>
    <row r="168" s="4" customFormat="1" customHeight="1" spans="1:20">
      <c r="A168" s="84">
        <v>16</v>
      </c>
      <c r="B168" s="177" t="s">
        <v>3500</v>
      </c>
      <c r="C168" s="167" t="s">
        <v>165</v>
      </c>
      <c r="D168" s="167" t="s">
        <v>3501</v>
      </c>
      <c r="E168" s="11">
        <v>15070192175</v>
      </c>
      <c r="F168" s="167" t="s">
        <v>156</v>
      </c>
      <c r="G168" s="167" t="s">
        <v>14</v>
      </c>
      <c r="H168" s="11">
        <v>202102001</v>
      </c>
      <c r="I168" s="167" t="s">
        <v>279</v>
      </c>
      <c r="J168" s="167" t="s">
        <v>1545</v>
      </c>
      <c r="K168" s="167" t="s">
        <v>348</v>
      </c>
      <c r="L168" s="167" t="s">
        <v>170</v>
      </c>
      <c r="M168" s="167" t="s">
        <v>577</v>
      </c>
      <c r="N168" s="167" t="s">
        <v>638</v>
      </c>
      <c r="O168" s="167" t="s">
        <v>3503</v>
      </c>
      <c r="P168" s="12" t="str">
        <f>_xlfn.DISPIMG("ID_582DA32893494A1CB2F261C9DF30C5FF",1)</f>
        <v>=DISPIMG("ID_582DA32893494A1CB2F261C9DF30C5FF",1)</v>
      </c>
      <c r="Q168" s="11" t="s">
        <v>3504</v>
      </c>
      <c r="R168" s="11">
        <v>443</v>
      </c>
      <c r="S168" s="17" t="s">
        <v>4466</v>
      </c>
      <c r="T168" s="18" t="s">
        <v>45</v>
      </c>
    </row>
    <row r="169" s="3" customFormat="1" customHeight="1" spans="1:20">
      <c r="A169" s="84">
        <v>17</v>
      </c>
      <c r="B169" s="177" t="s">
        <v>3602</v>
      </c>
      <c r="C169" s="167" t="s">
        <v>165</v>
      </c>
      <c r="D169" s="167" t="s">
        <v>3603</v>
      </c>
      <c r="E169" s="11">
        <v>18507927596</v>
      </c>
      <c r="F169" s="167" t="s">
        <v>156</v>
      </c>
      <c r="G169" s="167" t="s">
        <v>14</v>
      </c>
      <c r="H169" s="11">
        <v>202102001</v>
      </c>
      <c r="I169" s="167" t="s">
        <v>279</v>
      </c>
      <c r="J169" s="167" t="s">
        <v>158</v>
      </c>
      <c r="K169" s="167" t="s">
        <v>348</v>
      </c>
      <c r="L169" s="167" t="s">
        <v>170</v>
      </c>
      <c r="M169" s="167" t="s">
        <v>281</v>
      </c>
      <c r="N169" s="167" t="s">
        <v>14</v>
      </c>
      <c r="O169" s="167" t="s">
        <v>3604</v>
      </c>
      <c r="P169" s="12" t="str">
        <f>_xlfn.DISPIMG("ID_ADF263347E1B436A9E9869CDB170C299",1)</f>
        <v>=DISPIMG("ID_ADF263347E1B436A9E9869CDB170C299",1)</v>
      </c>
      <c r="Q169" s="11" t="s">
        <v>3605</v>
      </c>
      <c r="R169" s="11">
        <v>458</v>
      </c>
      <c r="S169" s="17" t="s">
        <v>4467</v>
      </c>
      <c r="T169" s="18" t="s">
        <v>45</v>
      </c>
    </row>
    <row r="170" s="3" customFormat="1" customHeight="1" spans="1:20">
      <c r="A170" s="84">
        <v>18</v>
      </c>
      <c r="B170" s="177" t="s">
        <v>3705</v>
      </c>
      <c r="C170" s="167" t="s">
        <v>165</v>
      </c>
      <c r="D170" s="167" t="s">
        <v>3706</v>
      </c>
      <c r="E170" s="11">
        <v>15079123471</v>
      </c>
      <c r="F170" s="167" t="s">
        <v>156</v>
      </c>
      <c r="G170" s="167" t="s">
        <v>14</v>
      </c>
      <c r="H170" s="11">
        <v>202102011</v>
      </c>
      <c r="I170" s="167" t="s">
        <v>157</v>
      </c>
      <c r="J170" s="167" t="s">
        <v>233</v>
      </c>
      <c r="K170" s="167" t="s">
        <v>3708</v>
      </c>
      <c r="L170" s="167" t="s">
        <v>170</v>
      </c>
      <c r="M170" s="167" t="s">
        <v>216</v>
      </c>
      <c r="N170" s="167" t="s">
        <v>14</v>
      </c>
      <c r="O170" s="167" t="s">
        <v>3709</v>
      </c>
      <c r="P170" s="12" t="str">
        <f>_xlfn.DISPIMG("ID_BF7D6285C9C043E7887E7AA2FA4C62A7",1)</f>
        <v>=DISPIMG("ID_BF7D6285C9C043E7887E7AA2FA4C62A7",1)</v>
      </c>
      <c r="Q170" s="11" t="s">
        <v>3710</v>
      </c>
      <c r="R170" s="20">
        <v>472</v>
      </c>
      <c r="S170" s="17" t="s">
        <v>4468</v>
      </c>
      <c r="T170" s="18" t="s">
        <v>45</v>
      </c>
    </row>
    <row r="171" s="3" customFormat="1" customHeight="1" spans="1:20">
      <c r="A171" s="84">
        <v>19</v>
      </c>
      <c r="B171" s="177" t="s">
        <v>3773</v>
      </c>
      <c r="C171" s="167" t="s">
        <v>165</v>
      </c>
      <c r="D171" s="167" t="s">
        <v>3774</v>
      </c>
      <c r="E171" s="11">
        <v>15083553694</v>
      </c>
      <c r="F171" s="167" t="s">
        <v>156</v>
      </c>
      <c r="G171" s="167" t="s">
        <v>14</v>
      </c>
      <c r="H171" s="11">
        <v>202102001</v>
      </c>
      <c r="I171" s="167" t="s">
        <v>279</v>
      </c>
      <c r="J171" s="167" t="s">
        <v>178</v>
      </c>
      <c r="K171" s="167" t="s">
        <v>348</v>
      </c>
      <c r="L171" s="167" t="s">
        <v>170</v>
      </c>
      <c r="M171" s="167" t="s">
        <v>180</v>
      </c>
      <c r="N171" s="167" t="s">
        <v>14</v>
      </c>
      <c r="O171" s="167" t="s">
        <v>3776</v>
      </c>
      <c r="P171" s="12" t="str">
        <f>_xlfn.DISPIMG("ID_CF1C1431032D4C21956EAEFBC2630095",1)</f>
        <v>=DISPIMG("ID_CF1C1431032D4C21956EAEFBC2630095",1)</v>
      </c>
      <c r="Q171" s="11" t="s">
        <v>3777</v>
      </c>
      <c r="R171" s="20">
        <v>481</v>
      </c>
      <c r="S171" s="17" t="s">
        <v>4469</v>
      </c>
      <c r="T171" s="18" t="s">
        <v>45</v>
      </c>
    </row>
    <row r="172" s="3" customFormat="1" customHeight="1" spans="1:20">
      <c r="A172" s="84">
        <v>20</v>
      </c>
      <c r="B172" s="177" t="s">
        <v>3858</v>
      </c>
      <c r="C172" s="167" t="s">
        <v>165</v>
      </c>
      <c r="D172" s="167" t="s">
        <v>3859</v>
      </c>
      <c r="E172" s="11">
        <v>15374225748</v>
      </c>
      <c r="F172" s="167" t="s">
        <v>156</v>
      </c>
      <c r="G172" s="167" t="s">
        <v>14</v>
      </c>
      <c r="H172" s="11">
        <v>202102001</v>
      </c>
      <c r="I172" s="167" t="s">
        <v>279</v>
      </c>
      <c r="J172" s="167" t="s">
        <v>3861</v>
      </c>
      <c r="K172" s="167" t="s">
        <v>298</v>
      </c>
      <c r="L172" s="167" t="s">
        <v>160</v>
      </c>
      <c r="M172" s="167" t="s">
        <v>805</v>
      </c>
      <c r="N172" s="167" t="s">
        <v>121</v>
      </c>
      <c r="O172" s="11">
        <v>0</v>
      </c>
      <c r="P172" s="12" t="str">
        <f>_xlfn.DISPIMG("ID_8CF8C6C0A559454996AB6FB606BDA1DD",1)</f>
        <v>=DISPIMG("ID_8CF8C6C0A559454996AB6FB606BDA1DD",1)</v>
      </c>
      <c r="Q172" s="11" t="s">
        <v>3862</v>
      </c>
      <c r="R172" s="20">
        <v>492</v>
      </c>
      <c r="S172" s="17" t="s">
        <v>4470</v>
      </c>
      <c r="T172" s="18" t="s">
        <v>45</v>
      </c>
    </row>
    <row r="173" s="3" customFormat="1" customHeight="1" spans="1:20">
      <c r="A173" s="84">
        <v>21</v>
      </c>
      <c r="B173" s="177" t="s">
        <v>3881</v>
      </c>
      <c r="C173" s="167" t="s">
        <v>165</v>
      </c>
      <c r="D173" s="167" t="s">
        <v>3882</v>
      </c>
      <c r="E173" s="11">
        <v>18770914505</v>
      </c>
      <c r="F173" s="167" t="s">
        <v>156</v>
      </c>
      <c r="G173" s="167" t="s">
        <v>14</v>
      </c>
      <c r="H173" s="11">
        <v>202102001</v>
      </c>
      <c r="I173" s="167" t="s">
        <v>279</v>
      </c>
      <c r="J173" s="167" t="s">
        <v>178</v>
      </c>
      <c r="K173" s="167" t="s">
        <v>348</v>
      </c>
      <c r="L173" s="167" t="s">
        <v>170</v>
      </c>
      <c r="M173" s="167" t="s">
        <v>281</v>
      </c>
      <c r="N173" s="167" t="s">
        <v>498</v>
      </c>
      <c r="O173" s="167" t="s">
        <v>3884</v>
      </c>
      <c r="P173" s="12" t="str">
        <f>_xlfn.DISPIMG("ID_3C6B462D1CF047DC951D0874F80418DC",1)</f>
        <v>=DISPIMG("ID_3C6B462D1CF047DC951D0874F80418DC",1)</v>
      </c>
      <c r="Q173" s="11" t="s">
        <v>3885</v>
      </c>
      <c r="R173" s="20">
        <v>495</v>
      </c>
      <c r="S173" s="17" t="s">
        <v>4471</v>
      </c>
      <c r="T173" s="18" t="s">
        <v>45</v>
      </c>
    </row>
    <row r="174" s="3" customFormat="1" customHeight="1" spans="1:20">
      <c r="A174" s="84">
        <v>22</v>
      </c>
      <c r="B174" s="177" t="s">
        <v>3888</v>
      </c>
      <c r="C174" s="167" t="s">
        <v>165</v>
      </c>
      <c r="D174" s="167" t="s">
        <v>3889</v>
      </c>
      <c r="E174" s="11">
        <v>15949598955</v>
      </c>
      <c r="F174" s="167" t="s">
        <v>156</v>
      </c>
      <c r="G174" s="167" t="s">
        <v>14</v>
      </c>
      <c r="H174" s="11">
        <v>202102001</v>
      </c>
      <c r="I174" s="167" t="s">
        <v>279</v>
      </c>
      <c r="J174" s="167" t="s">
        <v>367</v>
      </c>
      <c r="K174" s="167" t="s">
        <v>348</v>
      </c>
      <c r="L174" s="167" t="s">
        <v>170</v>
      </c>
      <c r="M174" s="167" t="s">
        <v>587</v>
      </c>
      <c r="N174" s="167" t="s">
        <v>14</v>
      </c>
      <c r="O174" s="167" t="s">
        <v>3891</v>
      </c>
      <c r="P174" s="12" t="str">
        <f>_xlfn.DISPIMG("ID_2410E866E9B946F380BB65E1492A0355",1)</f>
        <v>=DISPIMG("ID_2410E866E9B946F380BB65E1492A0355",1)</v>
      </c>
      <c r="Q174" s="11" t="s">
        <v>3892</v>
      </c>
      <c r="R174" s="20">
        <v>496</v>
      </c>
      <c r="S174" s="17" t="s">
        <v>4472</v>
      </c>
      <c r="T174" s="18" t="s">
        <v>45</v>
      </c>
    </row>
    <row r="175" s="3" customFormat="1" customHeight="1" spans="1:20">
      <c r="A175" s="84">
        <v>23</v>
      </c>
      <c r="B175" s="177" t="s">
        <v>3910</v>
      </c>
      <c r="C175" s="167" t="s">
        <v>165</v>
      </c>
      <c r="D175" s="167" t="s">
        <v>3911</v>
      </c>
      <c r="E175" s="11">
        <v>13627096197</v>
      </c>
      <c r="F175" s="167" t="s">
        <v>156</v>
      </c>
      <c r="G175" s="167" t="s">
        <v>14</v>
      </c>
      <c r="H175" s="11">
        <v>202102001</v>
      </c>
      <c r="I175" s="167" t="s">
        <v>157</v>
      </c>
      <c r="J175" s="167" t="s">
        <v>233</v>
      </c>
      <c r="K175" s="167" t="s">
        <v>454</v>
      </c>
      <c r="L175" s="167" t="s">
        <v>170</v>
      </c>
      <c r="M175" s="167" t="s">
        <v>516</v>
      </c>
      <c r="N175" s="167" t="s">
        <v>3913</v>
      </c>
      <c r="O175" s="167" t="s">
        <v>3914</v>
      </c>
      <c r="P175" s="12" t="str">
        <f>_xlfn.DISPIMG("ID_2CCA277749F14624BD11838DCC078340",1)</f>
        <v>=DISPIMG("ID_2CCA277749F14624BD11838DCC078340",1)</v>
      </c>
      <c r="Q175" s="11" t="s">
        <v>3915</v>
      </c>
      <c r="R175" s="20">
        <v>499</v>
      </c>
      <c r="S175" s="17" t="s">
        <v>4473</v>
      </c>
      <c r="T175" s="18" t="s">
        <v>45</v>
      </c>
    </row>
    <row r="176" s="3" customFormat="1" customHeight="1" spans="1:20">
      <c r="A176" s="84">
        <v>24</v>
      </c>
      <c r="B176" s="177" t="s">
        <v>3931</v>
      </c>
      <c r="C176" s="167" t="s">
        <v>165</v>
      </c>
      <c r="D176" s="167" t="s">
        <v>3932</v>
      </c>
      <c r="E176" s="11">
        <v>13064153607</v>
      </c>
      <c r="F176" s="167" t="s">
        <v>156</v>
      </c>
      <c r="G176" s="167" t="s">
        <v>14</v>
      </c>
      <c r="H176" s="11">
        <v>202102001</v>
      </c>
      <c r="I176" s="167" t="s">
        <v>279</v>
      </c>
      <c r="J176" s="167" t="s">
        <v>3934</v>
      </c>
      <c r="K176" s="167" t="s">
        <v>348</v>
      </c>
      <c r="L176" s="167" t="s">
        <v>170</v>
      </c>
      <c r="M176" s="167" t="s">
        <v>349</v>
      </c>
      <c r="N176" s="167" t="s">
        <v>3935</v>
      </c>
      <c r="O176" s="167" t="s">
        <v>3936</v>
      </c>
      <c r="P176" s="12" t="str">
        <f>_xlfn.DISPIMG("ID_FD6A12B7DDFB4497A1625AEB18B6C93E",1)</f>
        <v>=DISPIMG("ID_FD6A12B7DDFB4497A1625AEB18B6C93E",1)</v>
      </c>
      <c r="Q176" s="11" t="s">
        <v>3937</v>
      </c>
      <c r="R176" s="20">
        <v>502</v>
      </c>
      <c r="S176" s="17" t="s">
        <v>4474</v>
      </c>
      <c r="T176" s="18" t="s">
        <v>45</v>
      </c>
    </row>
    <row r="177" s="3" customFormat="1" customHeight="1" spans="1:20">
      <c r="A177" s="84">
        <v>25</v>
      </c>
      <c r="B177" s="177" t="s">
        <v>4036</v>
      </c>
      <c r="C177" s="167" t="s">
        <v>165</v>
      </c>
      <c r="D177" s="167" t="s">
        <v>4037</v>
      </c>
      <c r="E177" s="11">
        <v>13755593629</v>
      </c>
      <c r="F177" s="167" t="s">
        <v>156</v>
      </c>
      <c r="G177" s="167" t="s">
        <v>14</v>
      </c>
      <c r="H177" s="11">
        <v>202102001</v>
      </c>
      <c r="I177" s="167" t="s">
        <v>279</v>
      </c>
      <c r="J177" s="167" t="s">
        <v>1545</v>
      </c>
      <c r="K177" s="167" t="s">
        <v>348</v>
      </c>
      <c r="L177" s="167" t="s">
        <v>170</v>
      </c>
      <c r="M177" s="167" t="s">
        <v>216</v>
      </c>
      <c r="N177" s="167" t="s">
        <v>14</v>
      </c>
      <c r="O177" s="167" t="s">
        <v>4039</v>
      </c>
      <c r="P177" s="12" t="str">
        <f>_xlfn.DISPIMG("ID_25A2772C2A4349D4AAD4F2B8F942612C",1)</f>
        <v>=DISPIMG("ID_25A2772C2A4349D4AAD4F2B8F942612C",1)</v>
      </c>
      <c r="Q177" s="11" t="s">
        <v>4040</v>
      </c>
      <c r="R177" s="20">
        <v>516</v>
      </c>
      <c r="S177" s="17" t="s">
        <v>4475</v>
      </c>
      <c r="T177" s="18" t="s">
        <v>45</v>
      </c>
    </row>
    <row r="178" s="3" customFormat="1" customHeight="1" spans="1:20">
      <c r="A178" s="84">
        <v>26</v>
      </c>
      <c r="B178" s="177" t="s">
        <v>4082</v>
      </c>
      <c r="C178" s="167" t="s">
        <v>165</v>
      </c>
      <c r="D178" s="167" t="s">
        <v>4083</v>
      </c>
      <c r="E178" s="11">
        <v>17352963741</v>
      </c>
      <c r="F178" s="167" t="s">
        <v>506</v>
      </c>
      <c r="G178" s="167" t="s">
        <v>14</v>
      </c>
      <c r="H178" s="11">
        <v>202102014</v>
      </c>
      <c r="I178" s="167" t="s">
        <v>157</v>
      </c>
      <c r="J178" s="167" t="s">
        <v>178</v>
      </c>
      <c r="K178" s="167" t="s">
        <v>348</v>
      </c>
      <c r="L178" s="167" t="s">
        <v>170</v>
      </c>
      <c r="M178" s="167" t="s">
        <v>548</v>
      </c>
      <c r="N178" s="167" t="s">
        <v>4084</v>
      </c>
      <c r="O178" s="167" t="s">
        <v>4085</v>
      </c>
      <c r="P178" s="12" t="str">
        <f>_xlfn.DISPIMG("ID_C5311387C2FF404D8FA717D4979E175B",1)</f>
        <v>=DISPIMG("ID_C5311387C2FF404D8FA717D4979E175B",1)</v>
      </c>
      <c r="Q178" s="11" t="s">
        <v>4086</v>
      </c>
      <c r="R178" s="20">
        <v>522</v>
      </c>
      <c r="S178" s="17" t="s">
        <v>4476</v>
      </c>
      <c r="T178" s="18" t="s">
        <v>45</v>
      </c>
    </row>
    <row r="179" s="4" customFormat="1" customHeight="1" spans="1:20">
      <c r="A179" s="84">
        <v>27</v>
      </c>
      <c r="B179" s="178" t="s">
        <v>4103</v>
      </c>
      <c r="C179" s="164" t="s">
        <v>165</v>
      </c>
      <c r="D179" s="164" t="s">
        <v>4104</v>
      </c>
      <c r="E179" s="22">
        <v>15270173371</v>
      </c>
      <c r="F179" s="164" t="s">
        <v>384</v>
      </c>
      <c r="G179" s="164" t="s">
        <v>14</v>
      </c>
      <c r="H179" s="22">
        <v>202102001</v>
      </c>
      <c r="I179" s="164" t="s">
        <v>157</v>
      </c>
      <c r="J179" s="164" t="s">
        <v>233</v>
      </c>
      <c r="K179" s="164" t="s">
        <v>454</v>
      </c>
      <c r="L179" s="164" t="s">
        <v>170</v>
      </c>
      <c r="M179" s="164" t="s">
        <v>4106</v>
      </c>
      <c r="N179" s="164" t="s">
        <v>14</v>
      </c>
      <c r="O179" s="164" t="s">
        <v>4107</v>
      </c>
      <c r="P179" s="23" t="str">
        <f>_xlfn.DISPIMG("ID_EDE9A315C64A4BE2AC2F986557EA53FC",1)</f>
        <v>=DISPIMG("ID_EDE9A315C64A4BE2AC2F986557EA53FC",1)</v>
      </c>
      <c r="Q179" s="22" t="s">
        <v>4108</v>
      </c>
      <c r="R179" s="24">
        <v>525</v>
      </c>
      <c r="S179" s="17" t="s">
        <v>4477</v>
      </c>
      <c r="T179" s="18" t="s">
        <v>45</v>
      </c>
    </row>
    <row r="180" s="3" customFormat="1" customHeight="1" spans="1:20">
      <c r="A180" s="84">
        <v>28</v>
      </c>
      <c r="B180" s="177" t="s">
        <v>4177</v>
      </c>
      <c r="C180" s="167" t="s">
        <v>165</v>
      </c>
      <c r="D180" s="167" t="s">
        <v>4178</v>
      </c>
      <c r="E180" s="11">
        <v>18759251284</v>
      </c>
      <c r="F180" s="167" t="s">
        <v>156</v>
      </c>
      <c r="G180" s="167" t="s">
        <v>14</v>
      </c>
      <c r="H180" s="11">
        <v>202102001</v>
      </c>
      <c r="I180" s="167" t="s">
        <v>157</v>
      </c>
      <c r="J180" s="167" t="s">
        <v>2363</v>
      </c>
      <c r="K180" s="167" t="s">
        <v>454</v>
      </c>
      <c r="L180" s="167" t="s">
        <v>170</v>
      </c>
      <c r="M180" s="167" t="s">
        <v>455</v>
      </c>
      <c r="N180" s="167" t="s">
        <v>26</v>
      </c>
      <c r="O180" s="167" t="s">
        <v>4180</v>
      </c>
      <c r="P180" s="12" t="str">
        <f>_xlfn.DISPIMG("ID_E9338F1098B64D83A2AE0E9576D18B92",1)</f>
        <v>=DISPIMG("ID_E9338F1098B64D83A2AE0E9576D18B92",1)</v>
      </c>
      <c r="Q180" s="11" t="s">
        <v>4181</v>
      </c>
      <c r="R180" s="20">
        <v>534</v>
      </c>
      <c r="S180" s="17" t="s">
        <v>4478</v>
      </c>
      <c r="T180" s="18" t="s">
        <v>45</v>
      </c>
    </row>
    <row r="181" s="3" customFormat="1" customHeight="1" spans="1:20">
      <c r="A181" s="84">
        <v>29</v>
      </c>
      <c r="B181" s="177" t="s">
        <v>4214</v>
      </c>
      <c r="C181" s="167" t="s">
        <v>165</v>
      </c>
      <c r="D181" s="167" t="s">
        <v>4215</v>
      </c>
      <c r="E181" s="11">
        <v>19979263918</v>
      </c>
      <c r="F181" s="167" t="s">
        <v>156</v>
      </c>
      <c r="G181" s="167" t="s">
        <v>14</v>
      </c>
      <c r="H181" s="11">
        <v>202102001</v>
      </c>
      <c r="I181" s="167" t="s">
        <v>157</v>
      </c>
      <c r="J181" s="167" t="s">
        <v>412</v>
      </c>
      <c r="K181" s="167" t="s">
        <v>4217</v>
      </c>
      <c r="L181" s="167" t="s">
        <v>160</v>
      </c>
      <c r="M181" s="167" t="s">
        <v>180</v>
      </c>
      <c r="N181" s="167" t="s">
        <v>26</v>
      </c>
      <c r="O181" s="167" t="s">
        <v>4218</v>
      </c>
      <c r="P181" s="12" t="str">
        <f>_xlfn.DISPIMG("ID_458825B7ED724C7B8EAA7308C4517BC8",1)</f>
        <v>=DISPIMG("ID_458825B7ED724C7B8EAA7308C4517BC8",1)</v>
      </c>
      <c r="Q181" s="11" t="s">
        <v>4219</v>
      </c>
      <c r="R181" s="20">
        <v>539</v>
      </c>
      <c r="S181" s="17" t="s">
        <v>4479</v>
      </c>
      <c r="T181" s="18" t="s">
        <v>45</v>
      </c>
    </row>
    <row r="182" s="3" customFormat="1" customHeight="1" spans="1:20">
      <c r="A182" s="84">
        <v>30</v>
      </c>
      <c r="B182" s="177" t="s">
        <v>4308</v>
      </c>
      <c r="C182" s="167" t="s">
        <v>165</v>
      </c>
      <c r="D182" s="167" t="s">
        <v>4309</v>
      </c>
      <c r="E182" s="11">
        <v>17770159034</v>
      </c>
      <c r="F182" s="167" t="s">
        <v>156</v>
      </c>
      <c r="G182" s="167" t="s">
        <v>14</v>
      </c>
      <c r="H182" s="11">
        <v>202102001</v>
      </c>
      <c r="I182" s="167" t="s">
        <v>279</v>
      </c>
      <c r="J182" s="167" t="s">
        <v>1237</v>
      </c>
      <c r="K182" s="167" t="s">
        <v>348</v>
      </c>
      <c r="L182" s="167" t="s">
        <v>170</v>
      </c>
      <c r="M182" s="167" t="s">
        <v>180</v>
      </c>
      <c r="N182" s="167" t="s">
        <v>2395</v>
      </c>
      <c r="O182" s="167" t="s">
        <v>4310</v>
      </c>
      <c r="P182" s="12" t="str">
        <f>_xlfn.DISPIMG("ID_E6307ECF32B442B8A8FC80EADAF6E26D",1)</f>
        <v>=DISPIMG("ID_E6307ECF32B442B8A8FC80EADAF6E26D",1)</v>
      </c>
      <c r="Q182" s="11" t="s">
        <v>4311</v>
      </c>
      <c r="R182" s="20">
        <v>552</v>
      </c>
      <c r="S182" s="17" t="s">
        <v>4480</v>
      </c>
      <c r="T182" s="18" t="s">
        <v>45</v>
      </c>
    </row>
    <row r="183" s="3" customFormat="1" customHeight="1" spans="1:20">
      <c r="A183" s="84">
        <v>1</v>
      </c>
      <c r="B183" s="177" t="s">
        <v>494</v>
      </c>
      <c r="C183" s="167" t="s">
        <v>165</v>
      </c>
      <c r="D183" s="167" t="s">
        <v>495</v>
      </c>
      <c r="E183" s="11">
        <v>13662204471</v>
      </c>
      <c r="F183" s="167" t="s">
        <v>156</v>
      </c>
      <c r="G183" s="167" t="s">
        <v>8</v>
      </c>
      <c r="H183" s="11">
        <v>202102002</v>
      </c>
      <c r="I183" s="167" t="s">
        <v>279</v>
      </c>
      <c r="J183" s="167" t="s">
        <v>158</v>
      </c>
      <c r="K183" s="167" t="s">
        <v>497</v>
      </c>
      <c r="L183" s="167" t="s">
        <v>170</v>
      </c>
      <c r="M183" s="167" t="s">
        <v>180</v>
      </c>
      <c r="N183" s="167" t="s">
        <v>498</v>
      </c>
      <c r="O183" s="167" t="s">
        <v>499</v>
      </c>
      <c r="P183" s="12" t="str">
        <f>_xlfn.DISPIMG("ID_83DE97F5DD9E4626804875394FE0FC9C",1)</f>
        <v>=DISPIMG("ID_83DE97F5DD9E4626804875394FE0FC9C",1)</v>
      </c>
      <c r="Q183" s="11" t="s">
        <v>500</v>
      </c>
      <c r="R183" s="11">
        <v>41</v>
      </c>
      <c r="S183" s="17" t="s">
        <v>4481</v>
      </c>
      <c r="T183" s="18" t="s">
        <v>46</v>
      </c>
    </row>
    <row r="184" s="3" customFormat="1" customHeight="1" spans="1:20">
      <c r="A184" s="84">
        <v>2</v>
      </c>
      <c r="B184" s="177" t="s">
        <v>565</v>
      </c>
      <c r="C184" s="167" t="s">
        <v>165</v>
      </c>
      <c r="D184" s="167" t="s">
        <v>566</v>
      </c>
      <c r="E184" s="11">
        <v>13184588975</v>
      </c>
      <c r="F184" s="167" t="s">
        <v>156</v>
      </c>
      <c r="G184" s="167" t="s">
        <v>8</v>
      </c>
      <c r="H184" s="11">
        <v>202102002</v>
      </c>
      <c r="I184" s="167" t="s">
        <v>279</v>
      </c>
      <c r="J184" s="167" t="s">
        <v>178</v>
      </c>
      <c r="K184" s="167" t="s">
        <v>497</v>
      </c>
      <c r="L184" s="167" t="s">
        <v>170</v>
      </c>
      <c r="M184" s="167" t="s">
        <v>368</v>
      </c>
      <c r="N184" s="167" t="s">
        <v>568</v>
      </c>
      <c r="O184" s="167" t="s">
        <v>569</v>
      </c>
      <c r="P184" s="12" t="str">
        <f>_xlfn.DISPIMG("ID_937169E203CF4CFF91192737B547BFCD",1)</f>
        <v>=DISPIMG("ID_937169E203CF4CFF91192737B547BFCD",1)</v>
      </c>
      <c r="Q184" s="11" t="s">
        <v>570</v>
      </c>
      <c r="R184" s="11">
        <v>49</v>
      </c>
      <c r="S184" s="17" t="s">
        <v>4482</v>
      </c>
      <c r="T184" s="18" t="s">
        <v>46</v>
      </c>
    </row>
    <row r="185" s="3" customFormat="1" customHeight="1" spans="1:20">
      <c r="A185" s="84">
        <v>3</v>
      </c>
      <c r="B185" s="177" t="s">
        <v>668</v>
      </c>
      <c r="C185" s="167" t="s">
        <v>165</v>
      </c>
      <c r="D185" s="167" t="s">
        <v>669</v>
      </c>
      <c r="E185" s="11">
        <v>19970219155</v>
      </c>
      <c r="F185" s="167" t="s">
        <v>156</v>
      </c>
      <c r="G185" s="167" t="s">
        <v>8</v>
      </c>
      <c r="H185" s="11">
        <v>202102002</v>
      </c>
      <c r="I185" s="167" t="s">
        <v>279</v>
      </c>
      <c r="J185" s="167" t="s">
        <v>671</v>
      </c>
      <c r="K185" s="167" t="s">
        <v>672</v>
      </c>
      <c r="L185" s="167" t="s">
        <v>160</v>
      </c>
      <c r="M185" s="167" t="s">
        <v>673</v>
      </c>
      <c r="N185" s="167" t="s">
        <v>674</v>
      </c>
      <c r="O185" s="167" t="s">
        <v>675</v>
      </c>
      <c r="P185" s="12" t="str">
        <f>_xlfn.DISPIMG("ID_350951056247403B99D5F5C96BCE4CA8",1)</f>
        <v>=DISPIMG("ID_350951056247403B99D5F5C96BCE4CA8",1)</v>
      </c>
      <c r="Q185" s="11" t="s">
        <v>676</v>
      </c>
      <c r="R185" s="11">
        <v>62</v>
      </c>
      <c r="S185" s="17" t="s">
        <v>4483</v>
      </c>
      <c r="T185" s="18" t="s">
        <v>46</v>
      </c>
    </row>
    <row r="186" s="3" customFormat="1" customHeight="1" spans="1:20">
      <c r="A186" s="84">
        <v>4</v>
      </c>
      <c r="B186" s="177" t="s">
        <v>779</v>
      </c>
      <c r="C186" s="167" t="s">
        <v>165</v>
      </c>
      <c r="D186" s="167" t="s">
        <v>780</v>
      </c>
      <c r="E186" s="11">
        <v>18379173946</v>
      </c>
      <c r="F186" s="167" t="s">
        <v>506</v>
      </c>
      <c r="G186" s="167" t="s">
        <v>8</v>
      </c>
      <c r="H186" s="11">
        <v>202102015</v>
      </c>
      <c r="I186" s="167" t="s">
        <v>279</v>
      </c>
      <c r="J186" s="167" t="s">
        <v>662</v>
      </c>
      <c r="K186" s="167" t="s">
        <v>497</v>
      </c>
      <c r="L186" s="167" t="s">
        <v>170</v>
      </c>
      <c r="M186" s="167" t="s">
        <v>171</v>
      </c>
      <c r="N186" s="167" t="s">
        <v>568</v>
      </c>
      <c r="O186" s="167" t="s">
        <v>782</v>
      </c>
      <c r="P186" s="12" t="str">
        <f>_xlfn.DISPIMG("ID_F2E1FDE086E6423DAF30A93C1D5DA4A4",1)</f>
        <v>=DISPIMG("ID_F2E1FDE086E6423DAF30A93C1D5DA4A4",1)</v>
      </c>
      <c r="Q186" s="11" t="s">
        <v>783</v>
      </c>
      <c r="R186" s="11">
        <v>75</v>
      </c>
      <c r="S186" s="17" t="s">
        <v>4484</v>
      </c>
      <c r="T186" s="18" t="s">
        <v>46</v>
      </c>
    </row>
    <row r="187" s="3" customFormat="1" customHeight="1" spans="1:20">
      <c r="A187" s="84">
        <v>5</v>
      </c>
      <c r="B187" s="177" t="s">
        <v>810</v>
      </c>
      <c r="C187" s="167" t="s">
        <v>165</v>
      </c>
      <c r="D187" s="167" t="s">
        <v>811</v>
      </c>
      <c r="E187" s="11">
        <v>13767213363</v>
      </c>
      <c r="F187" s="167" t="s">
        <v>156</v>
      </c>
      <c r="G187" s="167" t="s">
        <v>8</v>
      </c>
      <c r="H187" s="11">
        <v>202102002</v>
      </c>
      <c r="I187" s="167" t="s">
        <v>157</v>
      </c>
      <c r="J187" s="167" t="s">
        <v>158</v>
      </c>
      <c r="K187" s="167" t="s">
        <v>813</v>
      </c>
      <c r="L187" s="167" t="s">
        <v>160</v>
      </c>
      <c r="M187" s="167" t="s">
        <v>161</v>
      </c>
      <c r="N187" s="167" t="s">
        <v>8</v>
      </c>
      <c r="O187" s="11">
        <v>0</v>
      </c>
      <c r="P187" s="12" t="str">
        <f>_xlfn.DISPIMG("ID_5528F9D8BCB3449AB737B926D9AAB949",1)</f>
        <v>=DISPIMG("ID_5528F9D8BCB3449AB737B926D9AAB949",1)</v>
      </c>
      <c r="Q187" s="11" t="s">
        <v>814</v>
      </c>
      <c r="R187" s="11">
        <v>79</v>
      </c>
      <c r="S187" s="17" t="s">
        <v>4485</v>
      </c>
      <c r="T187" s="18" t="s">
        <v>46</v>
      </c>
    </row>
    <row r="188" s="3" customFormat="1" customHeight="1" spans="1:20">
      <c r="A188" s="84">
        <v>6</v>
      </c>
      <c r="B188" s="177" t="s">
        <v>864</v>
      </c>
      <c r="C188" s="167" t="s">
        <v>165</v>
      </c>
      <c r="D188" s="167" t="s">
        <v>865</v>
      </c>
      <c r="E188" s="11">
        <v>18958190827</v>
      </c>
      <c r="F188" s="167" t="s">
        <v>156</v>
      </c>
      <c r="G188" s="167" t="s">
        <v>8</v>
      </c>
      <c r="H188" s="11">
        <v>202102002</v>
      </c>
      <c r="I188" s="167" t="s">
        <v>157</v>
      </c>
      <c r="J188" s="167" t="s">
        <v>867</v>
      </c>
      <c r="K188" s="167" t="s">
        <v>868</v>
      </c>
      <c r="L188" s="167" t="s">
        <v>160</v>
      </c>
      <c r="M188" s="167" t="s">
        <v>548</v>
      </c>
      <c r="N188" s="167" t="s">
        <v>8</v>
      </c>
      <c r="O188" s="167" t="s">
        <v>869</v>
      </c>
      <c r="P188" s="12" t="str">
        <f>_xlfn.DISPIMG("ID_019B47D80B6342B48EC2873E3CE82AE8",1)</f>
        <v>=DISPIMG("ID_019B47D80B6342B48EC2873E3CE82AE8",1)</v>
      </c>
      <c r="Q188" s="11" t="s">
        <v>870</v>
      </c>
      <c r="R188" s="11">
        <v>86</v>
      </c>
      <c r="S188" s="17" t="s">
        <v>4486</v>
      </c>
      <c r="T188" s="18" t="s">
        <v>46</v>
      </c>
    </row>
    <row r="189" s="3" customFormat="1" customHeight="1" spans="1:20">
      <c r="A189" s="84">
        <v>7</v>
      </c>
      <c r="B189" s="177" t="s">
        <v>941</v>
      </c>
      <c r="C189" s="167" t="s">
        <v>165</v>
      </c>
      <c r="D189" s="167" t="s">
        <v>942</v>
      </c>
      <c r="E189" s="11">
        <v>18379646602</v>
      </c>
      <c r="F189" s="167" t="s">
        <v>156</v>
      </c>
      <c r="G189" s="167" t="s">
        <v>8</v>
      </c>
      <c r="H189" s="11">
        <v>202102002</v>
      </c>
      <c r="I189" s="167" t="s">
        <v>157</v>
      </c>
      <c r="J189" s="167" t="s">
        <v>269</v>
      </c>
      <c r="K189" s="167" t="s">
        <v>944</v>
      </c>
      <c r="L189" s="167" t="s">
        <v>170</v>
      </c>
      <c r="M189" s="167" t="s">
        <v>261</v>
      </c>
      <c r="N189" s="167" t="s">
        <v>945</v>
      </c>
      <c r="O189" s="11">
        <v>0</v>
      </c>
      <c r="P189" s="12" t="str">
        <f>_xlfn.DISPIMG("ID_BCCBED5385A54C5D88278A56BF2ABF99",1)</f>
        <v>=DISPIMG("ID_BCCBED5385A54C5D88278A56BF2ABF99",1)</v>
      </c>
      <c r="Q189" s="11" t="s">
        <v>946</v>
      </c>
      <c r="R189" s="11">
        <v>95</v>
      </c>
      <c r="S189" s="17" t="s">
        <v>4487</v>
      </c>
      <c r="T189" s="18" t="s">
        <v>46</v>
      </c>
    </row>
    <row r="190" s="4" customFormat="1" customHeight="1" spans="1:20">
      <c r="A190" s="84">
        <v>8</v>
      </c>
      <c r="B190" s="177" t="s">
        <v>983</v>
      </c>
      <c r="C190" s="167" t="s">
        <v>165</v>
      </c>
      <c r="D190" s="167" t="s">
        <v>984</v>
      </c>
      <c r="E190" s="11">
        <v>18170988745</v>
      </c>
      <c r="F190" s="167" t="s">
        <v>156</v>
      </c>
      <c r="G190" s="167" t="s">
        <v>8</v>
      </c>
      <c r="H190" s="11">
        <v>202102002</v>
      </c>
      <c r="I190" s="167" t="s">
        <v>157</v>
      </c>
      <c r="J190" s="167" t="s">
        <v>986</v>
      </c>
      <c r="K190" s="167" t="s">
        <v>987</v>
      </c>
      <c r="L190" s="167" t="s">
        <v>160</v>
      </c>
      <c r="M190" s="167" t="s">
        <v>988</v>
      </c>
      <c r="N190" s="167" t="s">
        <v>989</v>
      </c>
      <c r="O190" s="167" t="s">
        <v>990</v>
      </c>
      <c r="P190" s="12" t="str">
        <f>_xlfn.DISPIMG("ID_21AE3772EA6B45FAA68CF356346534B7",1)</f>
        <v>=DISPIMG("ID_21AE3772EA6B45FAA68CF356346534B7",1)</v>
      </c>
      <c r="Q190" s="11" t="s">
        <v>991</v>
      </c>
      <c r="R190" s="11">
        <v>100</v>
      </c>
      <c r="S190" s="17" t="s">
        <v>4488</v>
      </c>
      <c r="T190" s="18" t="s">
        <v>46</v>
      </c>
    </row>
    <row r="191" s="3" customFormat="1" customHeight="1" spans="1:20">
      <c r="A191" s="84">
        <v>9</v>
      </c>
      <c r="B191" s="177" t="s">
        <v>1002</v>
      </c>
      <c r="C191" s="167" t="s">
        <v>165</v>
      </c>
      <c r="D191" s="167" t="s">
        <v>1003</v>
      </c>
      <c r="E191" s="11">
        <v>16607008286</v>
      </c>
      <c r="F191" s="167" t="s">
        <v>156</v>
      </c>
      <c r="G191" s="167" t="s">
        <v>8</v>
      </c>
      <c r="H191" s="11">
        <v>202102002</v>
      </c>
      <c r="I191" s="167" t="s">
        <v>157</v>
      </c>
      <c r="J191" s="167" t="s">
        <v>233</v>
      </c>
      <c r="K191" s="167" t="s">
        <v>1005</v>
      </c>
      <c r="L191" s="167" t="s">
        <v>170</v>
      </c>
      <c r="M191" s="167" t="s">
        <v>180</v>
      </c>
      <c r="N191" s="167" t="s">
        <v>8</v>
      </c>
      <c r="O191" s="167" t="s">
        <v>1006</v>
      </c>
      <c r="P191" s="12" t="str">
        <f>_xlfn.DISPIMG("ID_AB18BB501DAF4CA0AB480E453554BF60",1)</f>
        <v>=DISPIMG("ID_AB18BB501DAF4CA0AB480E453554BF60",1)</v>
      </c>
      <c r="Q191" s="11" t="s">
        <v>1007</v>
      </c>
      <c r="R191" s="11">
        <v>102</v>
      </c>
      <c r="S191" s="17" t="s">
        <v>4489</v>
      </c>
      <c r="T191" s="18" t="s">
        <v>46</v>
      </c>
    </row>
    <row r="192" s="5" customFormat="1" customHeight="1" spans="1:20">
      <c r="A192" s="84">
        <v>10</v>
      </c>
      <c r="B192" s="177" t="s">
        <v>1127</v>
      </c>
      <c r="C192" s="167" t="s">
        <v>153</v>
      </c>
      <c r="D192" s="167" t="s">
        <v>1128</v>
      </c>
      <c r="E192" s="11">
        <v>13698023687</v>
      </c>
      <c r="F192" s="167" t="s">
        <v>156</v>
      </c>
      <c r="G192" s="167" t="s">
        <v>8</v>
      </c>
      <c r="H192" s="11">
        <v>202102002</v>
      </c>
      <c r="I192" s="167" t="s">
        <v>157</v>
      </c>
      <c r="J192" s="167" t="s">
        <v>158</v>
      </c>
      <c r="K192" s="167" t="s">
        <v>270</v>
      </c>
      <c r="L192" s="167" t="s">
        <v>170</v>
      </c>
      <c r="M192" s="167" t="s">
        <v>548</v>
      </c>
      <c r="N192" s="167" t="s">
        <v>1130</v>
      </c>
      <c r="O192" s="167" t="s">
        <v>1131</v>
      </c>
      <c r="P192" s="12" t="str">
        <f>_xlfn.DISPIMG("ID_2ABFF7AF1BF04D95953E32E5250DE953",1)</f>
        <v>=DISPIMG("ID_2ABFF7AF1BF04D95953E32E5250DE953",1)</v>
      </c>
      <c r="Q192" s="11" t="s">
        <v>1132</v>
      </c>
      <c r="R192" s="11">
        <v>118</v>
      </c>
      <c r="S192" s="17" t="s">
        <v>4490</v>
      </c>
      <c r="T192" s="18" t="s">
        <v>46</v>
      </c>
    </row>
    <row r="193" s="3" customFormat="1" customHeight="1" spans="1:20">
      <c r="A193" s="84">
        <v>11</v>
      </c>
      <c r="B193" s="177" t="s">
        <v>1200</v>
      </c>
      <c r="C193" s="167" t="s">
        <v>165</v>
      </c>
      <c r="D193" s="167" t="s">
        <v>1201</v>
      </c>
      <c r="E193" s="11">
        <v>15270186776</v>
      </c>
      <c r="F193" s="167" t="s">
        <v>156</v>
      </c>
      <c r="G193" s="167" t="s">
        <v>8</v>
      </c>
      <c r="H193" s="11">
        <v>202102002</v>
      </c>
      <c r="I193" s="167" t="s">
        <v>157</v>
      </c>
      <c r="J193" s="167" t="s">
        <v>1203</v>
      </c>
      <c r="K193" s="167" t="s">
        <v>1204</v>
      </c>
      <c r="L193" s="167" t="s">
        <v>160</v>
      </c>
      <c r="M193" s="167" t="s">
        <v>1089</v>
      </c>
      <c r="N193" s="167" t="s">
        <v>1205</v>
      </c>
      <c r="O193" s="167" t="s">
        <v>1206</v>
      </c>
      <c r="P193" s="12" t="str">
        <f>_xlfn.DISPIMG("ID_0C966700704E44E6A4C50F763206BC81",1)</f>
        <v>=DISPIMG("ID_0C966700704E44E6A4C50F763206BC81",1)</v>
      </c>
      <c r="Q193" s="11" t="s">
        <v>1207</v>
      </c>
      <c r="R193" s="11">
        <v>127</v>
      </c>
      <c r="S193" s="17" t="s">
        <v>4491</v>
      </c>
      <c r="T193" s="18" t="s">
        <v>46</v>
      </c>
    </row>
    <row r="194" s="3" customFormat="1" customHeight="1" spans="1:20">
      <c r="A194" s="84">
        <v>12</v>
      </c>
      <c r="B194" s="177" t="s">
        <v>1262</v>
      </c>
      <c r="C194" s="167" t="s">
        <v>165</v>
      </c>
      <c r="D194" s="167" t="s">
        <v>1263</v>
      </c>
      <c r="E194" s="11">
        <v>18897926715</v>
      </c>
      <c r="F194" s="167" t="s">
        <v>156</v>
      </c>
      <c r="G194" s="167" t="s">
        <v>8</v>
      </c>
      <c r="H194" s="11">
        <v>202102002</v>
      </c>
      <c r="I194" s="167" t="s">
        <v>157</v>
      </c>
      <c r="J194" s="167" t="s">
        <v>1265</v>
      </c>
      <c r="K194" s="167" t="s">
        <v>813</v>
      </c>
      <c r="L194" s="167" t="s">
        <v>160</v>
      </c>
      <c r="M194" s="167" t="s">
        <v>199</v>
      </c>
      <c r="N194" s="167" t="s">
        <v>1266</v>
      </c>
      <c r="O194" s="11">
        <v>0</v>
      </c>
      <c r="P194" s="12" t="str">
        <f>_xlfn.DISPIMG("ID_5DC2209F39824089B70DAE46CB942DD1",1)</f>
        <v>=DISPIMG("ID_5DC2209F39824089B70DAE46CB942DD1",1)</v>
      </c>
      <c r="Q194" s="11" t="s">
        <v>1267</v>
      </c>
      <c r="R194" s="11">
        <v>135</v>
      </c>
      <c r="S194" s="17" t="s">
        <v>4492</v>
      </c>
      <c r="T194" s="18" t="s">
        <v>46</v>
      </c>
    </row>
    <row r="195" s="3" customFormat="1" customHeight="1" spans="1:20">
      <c r="A195" s="84">
        <v>13</v>
      </c>
      <c r="B195" s="177" t="s">
        <v>1318</v>
      </c>
      <c r="C195" s="167" t="s">
        <v>165</v>
      </c>
      <c r="D195" s="167" t="s">
        <v>1319</v>
      </c>
      <c r="E195" s="11">
        <v>18270633854</v>
      </c>
      <c r="F195" s="167" t="s">
        <v>156</v>
      </c>
      <c r="G195" s="167" t="s">
        <v>8</v>
      </c>
      <c r="H195" s="11">
        <v>202102002</v>
      </c>
      <c r="I195" s="167" t="s">
        <v>157</v>
      </c>
      <c r="J195" s="167" t="s">
        <v>1258</v>
      </c>
      <c r="K195" s="167" t="s">
        <v>1321</v>
      </c>
      <c r="L195" s="167" t="s">
        <v>160</v>
      </c>
      <c r="M195" s="167" t="s">
        <v>516</v>
      </c>
      <c r="N195" s="167" t="s">
        <v>1322</v>
      </c>
      <c r="O195" s="167" t="s">
        <v>1323</v>
      </c>
      <c r="P195" s="12" t="str">
        <f>_xlfn.DISPIMG("ID_D86A3E1B243D4E47B731958FB3B82FC3",1)</f>
        <v>=DISPIMG("ID_D86A3E1B243D4E47B731958FB3B82FC3",1)</v>
      </c>
      <c r="Q195" s="11" t="s">
        <v>1324</v>
      </c>
      <c r="R195" s="11">
        <v>143</v>
      </c>
      <c r="S195" s="17" t="s">
        <v>4493</v>
      </c>
      <c r="T195" s="18" t="s">
        <v>46</v>
      </c>
    </row>
    <row r="196" s="3" customFormat="1" customHeight="1" spans="1:20">
      <c r="A196" s="84">
        <v>14</v>
      </c>
      <c r="B196" s="177" t="s">
        <v>1471</v>
      </c>
      <c r="C196" s="167" t="s">
        <v>165</v>
      </c>
      <c r="D196" s="167" t="s">
        <v>1472</v>
      </c>
      <c r="E196" s="11">
        <v>13687036753</v>
      </c>
      <c r="F196" s="167" t="s">
        <v>156</v>
      </c>
      <c r="G196" s="167" t="s">
        <v>8</v>
      </c>
      <c r="H196" s="11">
        <v>202102002</v>
      </c>
      <c r="I196" s="167" t="s">
        <v>157</v>
      </c>
      <c r="J196" s="167" t="s">
        <v>269</v>
      </c>
      <c r="K196" s="167" t="s">
        <v>1204</v>
      </c>
      <c r="L196" s="167" t="s">
        <v>160</v>
      </c>
      <c r="M196" s="167" t="s">
        <v>171</v>
      </c>
      <c r="N196" s="167" t="s">
        <v>20</v>
      </c>
      <c r="O196" s="167" t="s">
        <v>1474</v>
      </c>
      <c r="P196" s="12" t="str">
        <f>_xlfn.DISPIMG("ID_282C99EDDFB743068B1F4514F99C7126",1)</f>
        <v>=DISPIMG("ID_282C99EDDFB743068B1F4514F99C7126",1)</v>
      </c>
      <c r="Q196" s="11" t="s">
        <v>1475</v>
      </c>
      <c r="R196" s="11">
        <v>163</v>
      </c>
      <c r="S196" s="17" t="s">
        <v>4494</v>
      </c>
      <c r="T196" s="18" t="s">
        <v>46</v>
      </c>
    </row>
    <row r="197" s="3" customFormat="1" customHeight="1" spans="1:20">
      <c r="A197" s="84">
        <v>15</v>
      </c>
      <c r="B197" s="177" t="s">
        <v>1613</v>
      </c>
      <c r="C197" s="167" t="s">
        <v>165</v>
      </c>
      <c r="D197" s="167" t="s">
        <v>1614</v>
      </c>
      <c r="E197" s="11">
        <v>18296280573</v>
      </c>
      <c r="F197" s="167" t="s">
        <v>156</v>
      </c>
      <c r="G197" s="167" t="s">
        <v>8</v>
      </c>
      <c r="H197" s="11">
        <v>202102002</v>
      </c>
      <c r="I197" s="167" t="s">
        <v>157</v>
      </c>
      <c r="J197" s="167" t="s">
        <v>233</v>
      </c>
      <c r="K197" s="167" t="s">
        <v>1616</v>
      </c>
      <c r="L197" s="167" t="s">
        <v>170</v>
      </c>
      <c r="M197" s="167" t="s">
        <v>235</v>
      </c>
      <c r="N197" s="167" t="s">
        <v>1617</v>
      </c>
      <c r="O197" s="167" t="s">
        <v>1618</v>
      </c>
      <c r="P197" s="12" t="str">
        <f>_xlfn.DISPIMG("ID_2062AD8B56DF4C85BF68D2846493F2B2",1)</f>
        <v>=DISPIMG("ID_2062AD8B56DF4C85BF68D2846493F2B2",1)</v>
      </c>
      <c r="Q197" s="11" t="s">
        <v>1619</v>
      </c>
      <c r="R197" s="11">
        <v>181</v>
      </c>
      <c r="S197" s="17" t="s">
        <v>4495</v>
      </c>
      <c r="T197" s="18" t="s">
        <v>46</v>
      </c>
    </row>
    <row r="198" s="3" customFormat="1" customHeight="1" spans="1:20">
      <c r="A198" s="84">
        <v>16</v>
      </c>
      <c r="B198" s="177" t="s">
        <v>1766</v>
      </c>
      <c r="C198" s="167" t="s">
        <v>165</v>
      </c>
      <c r="D198" s="167" t="s">
        <v>1767</v>
      </c>
      <c r="E198" s="11">
        <v>18370038373</v>
      </c>
      <c r="F198" s="167" t="s">
        <v>156</v>
      </c>
      <c r="G198" s="167" t="s">
        <v>8</v>
      </c>
      <c r="H198" s="11">
        <v>202102002</v>
      </c>
      <c r="I198" s="167" t="s">
        <v>157</v>
      </c>
      <c r="J198" s="167" t="s">
        <v>269</v>
      </c>
      <c r="K198" s="167" t="s">
        <v>813</v>
      </c>
      <c r="L198" s="167" t="s">
        <v>160</v>
      </c>
      <c r="M198" s="167" t="s">
        <v>180</v>
      </c>
      <c r="N198" s="167" t="s">
        <v>8</v>
      </c>
      <c r="O198" s="167" t="s">
        <v>1769</v>
      </c>
      <c r="P198" s="12" t="str">
        <f>_xlfn.DISPIMG("ID_DCEB7245249347F4A2C197E5AB7C6C11",1)</f>
        <v>=DISPIMG("ID_DCEB7245249347F4A2C197E5AB7C6C11",1)</v>
      </c>
      <c r="Q198" s="11" t="s">
        <v>1770</v>
      </c>
      <c r="R198" s="11">
        <v>201</v>
      </c>
      <c r="S198" s="17" t="s">
        <v>4496</v>
      </c>
      <c r="T198" s="18" t="s">
        <v>46</v>
      </c>
    </row>
    <row r="199" s="3" customFormat="1" customHeight="1" spans="1:20">
      <c r="A199" s="84">
        <v>17</v>
      </c>
      <c r="B199" s="177" t="s">
        <v>1837</v>
      </c>
      <c r="C199" s="167" t="s">
        <v>165</v>
      </c>
      <c r="D199" s="167" t="s">
        <v>1838</v>
      </c>
      <c r="E199" s="11">
        <v>13480509971</v>
      </c>
      <c r="F199" s="167" t="s">
        <v>156</v>
      </c>
      <c r="G199" s="167" t="s">
        <v>8</v>
      </c>
      <c r="H199" s="11">
        <v>202102002</v>
      </c>
      <c r="I199" s="167" t="s">
        <v>157</v>
      </c>
      <c r="J199" s="167" t="s">
        <v>540</v>
      </c>
      <c r="K199" s="167" t="s">
        <v>1840</v>
      </c>
      <c r="L199" s="167" t="s">
        <v>160</v>
      </c>
      <c r="M199" s="167" t="s">
        <v>587</v>
      </c>
      <c r="N199" s="167" t="s">
        <v>1841</v>
      </c>
      <c r="O199" s="167" t="s">
        <v>1842</v>
      </c>
      <c r="P199" s="12" t="str">
        <f>_xlfn.DISPIMG("ID_0F8BA8686B8D4F92BF1EF6F4CB55E695",1)</f>
        <v>=DISPIMG("ID_0F8BA8686B8D4F92BF1EF6F4CB55E695",1)</v>
      </c>
      <c r="Q199" s="11" t="s">
        <v>1843</v>
      </c>
      <c r="R199" s="11">
        <v>210</v>
      </c>
      <c r="S199" s="17" t="s">
        <v>4497</v>
      </c>
      <c r="T199" s="18" t="s">
        <v>46</v>
      </c>
    </row>
    <row r="200" s="3" customFormat="1" customHeight="1" spans="1:20">
      <c r="A200" s="84">
        <v>18</v>
      </c>
      <c r="B200" s="177" t="s">
        <v>1904</v>
      </c>
      <c r="C200" s="167" t="s">
        <v>165</v>
      </c>
      <c r="D200" s="167" t="s">
        <v>1905</v>
      </c>
      <c r="E200" s="11">
        <v>15070412978</v>
      </c>
      <c r="F200" s="167" t="s">
        <v>156</v>
      </c>
      <c r="G200" s="167" t="s">
        <v>8</v>
      </c>
      <c r="H200" s="11">
        <v>202102002</v>
      </c>
      <c r="I200" s="167" t="s">
        <v>157</v>
      </c>
      <c r="J200" s="167" t="s">
        <v>233</v>
      </c>
      <c r="K200" s="167" t="s">
        <v>454</v>
      </c>
      <c r="L200" s="167" t="s">
        <v>170</v>
      </c>
      <c r="M200" s="167" t="s">
        <v>1907</v>
      </c>
      <c r="N200" s="167" t="s">
        <v>8</v>
      </c>
      <c r="O200" s="167" t="s">
        <v>1908</v>
      </c>
      <c r="P200" s="12" t="str">
        <f>_xlfn.DISPIMG("ID_02D14B5C83BE4DBBBCAAA0B55D7FE392",1)</f>
        <v>=DISPIMG("ID_02D14B5C83BE4DBBBCAAA0B55D7FE392",1)</v>
      </c>
      <c r="Q200" s="11" t="s">
        <v>1909</v>
      </c>
      <c r="R200" s="11">
        <v>219</v>
      </c>
      <c r="S200" s="17" t="s">
        <v>4498</v>
      </c>
      <c r="T200" s="18" t="s">
        <v>46</v>
      </c>
    </row>
    <row r="201" s="3" customFormat="1" customHeight="1" spans="1:20">
      <c r="A201" s="84">
        <v>19</v>
      </c>
      <c r="B201" s="177" t="s">
        <v>1977</v>
      </c>
      <c r="C201" s="167" t="s">
        <v>165</v>
      </c>
      <c r="D201" s="167" t="s">
        <v>1978</v>
      </c>
      <c r="E201" s="11">
        <v>15070907830</v>
      </c>
      <c r="F201" s="167" t="s">
        <v>156</v>
      </c>
      <c r="G201" s="167" t="s">
        <v>8</v>
      </c>
      <c r="H201" s="11">
        <v>202102002</v>
      </c>
      <c r="I201" s="167" t="s">
        <v>157</v>
      </c>
      <c r="J201" s="167" t="s">
        <v>827</v>
      </c>
      <c r="K201" s="167" t="s">
        <v>243</v>
      </c>
      <c r="L201" s="167" t="s">
        <v>160</v>
      </c>
      <c r="M201" s="167" t="s">
        <v>161</v>
      </c>
      <c r="N201" s="167" t="s">
        <v>8</v>
      </c>
      <c r="O201" s="167" t="s">
        <v>1979</v>
      </c>
      <c r="P201" s="12" t="str">
        <f>_xlfn.DISPIMG("ID_4F2775F35FF241D1A9320534AD0F9FD6",1)</f>
        <v>=DISPIMG("ID_4F2775F35FF241D1A9320534AD0F9FD6",1)</v>
      </c>
      <c r="Q201" s="11" t="s">
        <v>1980</v>
      </c>
      <c r="R201" s="11">
        <v>229</v>
      </c>
      <c r="S201" s="17" t="s">
        <v>4499</v>
      </c>
      <c r="T201" s="18" t="s">
        <v>46</v>
      </c>
    </row>
    <row r="202" s="3" customFormat="1" customHeight="1" spans="1:20">
      <c r="A202" s="84">
        <v>20</v>
      </c>
      <c r="B202" s="177" t="s">
        <v>2076</v>
      </c>
      <c r="C202" s="167" t="s">
        <v>153</v>
      </c>
      <c r="D202" s="167" t="s">
        <v>2077</v>
      </c>
      <c r="E202" s="11">
        <v>19951510515</v>
      </c>
      <c r="F202" s="167" t="s">
        <v>156</v>
      </c>
      <c r="G202" s="167" t="s">
        <v>8</v>
      </c>
      <c r="H202" s="11">
        <v>202102002</v>
      </c>
      <c r="I202" s="167" t="s">
        <v>279</v>
      </c>
      <c r="J202" s="167" t="s">
        <v>507</v>
      </c>
      <c r="K202" s="167" t="s">
        <v>497</v>
      </c>
      <c r="L202" s="167" t="s">
        <v>170</v>
      </c>
      <c r="M202" s="167" t="s">
        <v>224</v>
      </c>
      <c r="N202" s="167" t="s">
        <v>989</v>
      </c>
      <c r="O202" s="167" t="s">
        <v>2079</v>
      </c>
      <c r="P202" s="12" t="str">
        <f>_xlfn.DISPIMG("ID_55D50712BDA742E9BE089E9AEF5CFD56",1)</f>
        <v>=DISPIMG("ID_55D50712BDA742E9BE089E9AEF5CFD56",1)</v>
      </c>
      <c r="Q202" s="11" t="s">
        <v>2080</v>
      </c>
      <c r="R202" s="11">
        <v>242</v>
      </c>
      <c r="S202" s="17" t="s">
        <v>4500</v>
      </c>
      <c r="T202" s="18" t="s">
        <v>46</v>
      </c>
    </row>
    <row r="203" s="3" customFormat="1" customHeight="1" spans="1:20">
      <c r="A203" s="84">
        <v>21</v>
      </c>
      <c r="B203" s="177" t="s">
        <v>2126</v>
      </c>
      <c r="C203" s="167" t="s">
        <v>165</v>
      </c>
      <c r="D203" s="167" t="s">
        <v>2127</v>
      </c>
      <c r="E203" s="11">
        <v>18370269701</v>
      </c>
      <c r="F203" s="167" t="s">
        <v>156</v>
      </c>
      <c r="G203" s="167" t="s">
        <v>8</v>
      </c>
      <c r="H203" s="11">
        <v>202102002</v>
      </c>
      <c r="I203" s="167" t="s">
        <v>157</v>
      </c>
      <c r="J203" s="167" t="s">
        <v>789</v>
      </c>
      <c r="K203" s="167" t="s">
        <v>2129</v>
      </c>
      <c r="L203" s="167" t="s">
        <v>160</v>
      </c>
      <c r="M203" s="167" t="s">
        <v>252</v>
      </c>
      <c r="N203" s="167" t="s">
        <v>20</v>
      </c>
      <c r="O203" s="11">
        <v>0</v>
      </c>
      <c r="P203" s="12" t="str">
        <f>_xlfn.DISPIMG("ID_03579C230E4B4D1F94606FFA97C412A2",1)</f>
        <v>=DISPIMG("ID_03579C230E4B4D1F94606FFA97C412A2",1)</v>
      </c>
      <c r="Q203" s="11" t="s">
        <v>2130</v>
      </c>
      <c r="R203" s="11">
        <v>249</v>
      </c>
      <c r="S203" s="17" t="s">
        <v>4501</v>
      </c>
      <c r="T203" s="18" t="s">
        <v>46</v>
      </c>
    </row>
    <row r="204" s="3" customFormat="1" customHeight="1" spans="1:20">
      <c r="A204" s="84">
        <v>22</v>
      </c>
      <c r="B204" s="177" t="s">
        <v>2133</v>
      </c>
      <c r="C204" s="167" t="s">
        <v>165</v>
      </c>
      <c r="D204" s="167" t="s">
        <v>2134</v>
      </c>
      <c r="E204" s="11">
        <v>15079264291</v>
      </c>
      <c r="F204" s="167" t="s">
        <v>156</v>
      </c>
      <c r="G204" s="167" t="s">
        <v>8</v>
      </c>
      <c r="H204" s="11">
        <v>202102002</v>
      </c>
      <c r="I204" s="167" t="s">
        <v>157</v>
      </c>
      <c r="J204" s="167" t="s">
        <v>876</v>
      </c>
      <c r="K204" s="167" t="s">
        <v>270</v>
      </c>
      <c r="L204" s="167" t="s">
        <v>170</v>
      </c>
      <c r="M204" s="167" t="s">
        <v>455</v>
      </c>
      <c r="N204" s="167" t="s">
        <v>20</v>
      </c>
      <c r="O204" s="167" t="s">
        <v>2136</v>
      </c>
      <c r="P204" s="12" t="str">
        <f>_xlfn.DISPIMG("ID_96FF4E1240E04D98ACBC33F8D3EE9C8F",1)</f>
        <v>=DISPIMG("ID_96FF4E1240E04D98ACBC33F8D3EE9C8F",1)</v>
      </c>
      <c r="Q204" s="11" t="s">
        <v>2137</v>
      </c>
      <c r="R204" s="11">
        <v>250</v>
      </c>
      <c r="S204" s="17" t="s">
        <v>4502</v>
      </c>
      <c r="T204" s="18" t="s">
        <v>46</v>
      </c>
    </row>
    <row r="205" s="3" customFormat="1" customHeight="1" spans="1:20">
      <c r="A205" s="84">
        <v>23</v>
      </c>
      <c r="B205" s="177" t="s">
        <v>2194</v>
      </c>
      <c r="C205" s="167" t="s">
        <v>165</v>
      </c>
      <c r="D205" s="167" t="s">
        <v>2195</v>
      </c>
      <c r="E205" s="11">
        <v>13617094078</v>
      </c>
      <c r="F205" s="167" t="s">
        <v>156</v>
      </c>
      <c r="G205" s="167" t="s">
        <v>8</v>
      </c>
      <c r="H205" s="11">
        <v>202102002</v>
      </c>
      <c r="I205" s="167" t="s">
        <v>157</v>
      </c>
      <c r="J205" s="167" t="s">
        <v>2197</v>
      </c>
      <c r="K205" s="167" t="s">
        <v>2198</v>
      </c>
      <c r="L205" s="167" t="s">
        <v>160</v>
      </c>
      <c r="M205" s="167" t="s">
        <v>281</v>
      </c>
      <c r="N205" s="167" t="s">
        <v>8</v>
      </c>
      <c r="O205" s="167" t="s">
        <v>2199</v>
      </c>
      <c r="P205" s="12" t="str">
        <f>_xlfn.DISPIMG("ID_C169A98BEF614A41ADF43CA619535221",1)</f>
        <v>=DISPIMG("ID_C169A98BEF614A41ADF43CA619535221",1)</v>
      </c>
      <c r="Q205" s="11" t="s">
        <v>2200</v>
      </c>
      <c r="R205" s="11">
        <v>258</v>
      </c>
      <c r="S205" s="17" t="s">
        <v>4503</v>
      </c>
      <c r="T205" s="18" t="s">
        <v>46</v>
      </c>
    </row>
    <row r="206" s="3" customFormat="1" customHeight="1" spans="1:20">
      <c r="A206" s="84">
        <v>24</v>
      </c>
      <c r="B206" s="177" t="s">
        <v>2309</v>
      </c>
      <c r="C206" s="167" t="s">
        <v>165</v>
      </c>
      <c r="D206" s="167" t="s">
        <v>2310</v>
      </c>
      <c r="E206" s="11">
        <v>15279968703</v>
      </c>
      <c r="F206" s="167" t="s">
        <v>156</v>
      </c>
      <c r="G206" s="167" t="s">
        <v>8</v>
      </c>
      <c r="H206" s="11">
        <v>202102002</v>
      </c>
      <c r="I206" s="167" t="s">
        <v>279</v>
      </c>
      <c r="J206" s="167" t="s">
        <v>1424</v>
      </c>
      <c r="K206" s="167" t="s">
        <v>497</v>
      </c>
      <c r="L206" s="167" t="s">
        <v>170</v>
      </c>
      <c r="M206" s="167" t="s">
        <v>180</v>
      </c>
      <c r="N206" s="167" t="s">
        <v>8</v>
      </c>
      <c r="O206" s="167" t="s">
        <v>2312</v>
      </c>
      <c r="P206" s="12" t="str">
        <f>_xlfn.DISPIMG("ID_987FF0FA37F44BD9A4B0BCCB3CF13E1D",1)</f>
        <v>=DISPIMG("ID_987FF0FA37F44BD9A4B0BCCB3CF13E1D",1)</v>
      </c>
      <c r="Q206" s="11" t="s">
        <v>2313</v>
      </c>
      <c r="R206" s="11">
        <v>273</v>
      </c>
      <c r="S206" s="17" t="s">
        <v>4504</v>
      </c>
      <c r="T206" s="18" t="s">
        <v>46</v>
      </c>
    </row>
    <row r="207" s="3" customFormat="1" customHeight="1" spans="1:20">
      <c r="A207" s="84">
        <v>25</v>
      </c>
      <c r="B207" s="177" t="s">
        <v>2337</v>
      </c>
      <c r="C207" s="167" t="s">
        <v>165</v>
      </c>
      <c r="D207" s="167" t="s">
        <v>2338</v>
      </c>
      <c r="E207" s="11">
        <v>15779252368</v>
      </c>
      <c r="F207" s="167" t="s">
        <v>156</v>
      </c>
      <c r="G207" s="167" t="s">
        <v>8</v>
      </c>
      <c r="H207" s="11">
        <v>202102002</v>
      </c>
      <c r="I207" s="167" t="s">
        <v>157</v>
      </c>
      <c r="J207" s="167" t="s">
        <v>2340</v>
      </c>
      <c r="K207" s="167" t="s">
        <v>270</v>
      </c>
      <c r="L207" s="167" t="s">
        <v>170</v>
      </c>
      <c r="M207" s="167" t="s">
        <v>548</v>
      </c>
      <c r="N207" s="167" t="s">
        <v>1322</v>
      </c>
      <c r="O207" s="167" t="s">
        <v>2341</v>
      </c>
      <c r="P207" s="12" t="str">
        <f>_xlfn.DISPIMG("ID_590DFB2A64AB463E915AA57C80368398",1)</f>
        <v>=DISPIMG("ID_590DFB2A64AB463E915AA57C80368398",1)</v>
      </c>
      <c r="Q207" s="11" t="s">
        <v>2342</v>
      </c>
      <c r="R207" s="11">
        <v>277</v>
      </c>
      <c r="S207" s="17" t="s">
        <v>4505</v>
      </c>
      <c r="T207" s="18" t="s">
        <v>46</v>
      </c>
    </row>
    <row r="208" s="3" customFormat="1" customHeight="1" spans="1:20">
      <c r="A208" s="84">
        <v>26</v>
      </c>
      <c r="B208" s="177" t="s">
        <v>2345</v>
      </c>
      <c r="C208" s="167" t="s">
        <v>153</v>
      </c>
      <c r="D208" s="167" t="s">
        <v>2346</v>
      </c>
      <c r="E208" s="11">
        <v>15267177470</v>
      </c>
      <c r="F208" s="167" t="s">
        <v>156</v>
      </c>
      <c r="G208" s="167" t="s">
        <v>8</v>
      </c>
      <c r="H208" s="11">
        <v>202102002</v>
      </c>
      <c r="I208" s="167" t="s">
        <v>279</v>
      </c>
      <c r="J208" s="167" t="s">
        <v>2348</v>
      </c>
      <c r="K208" s="167" t="s">
        <v>1950</v>
      </c>
      <c r="L208" s="167" t="s">
        <v>170</v>
      </c>
      <c r="M208" s="167" t="s">
        <v>2047</v>
      </c>
      <c r="N208" s="167" t="s">
        <v>2349</v>
      </c>
      <c r="O208" s="167" t="s">
        <v>2350</v>
      </c>
      <c r="P208" s="12" t="str">
        <f>_xlfn.DISPIMG("ID_5E2BE4A32E0C443299D86A217DB8E55F",1)</f>
        <v>=DISPIMG("ID_5E2BE4A32E0C443299D86A217DB8E55F",1)</v>
      </c>
      <c r="Q208" s="11" t="s">
        <v>2351</v>
      </c>
      <c r="R208" s="11">
        <v>278</v>
      </c>
      <c r="S208" s="17" t="s">
        <v>4506</v>
      </c>
      <c r="T208" s="18" t="s">
        <v>46</v>
      </c>
    </row>
    <row r="209" s="3" customFormat="1" customHeight="1" spans="1:20">
      <c r="A209" s="84">
        <v>27</v>
      </c>
      <c r="B209" s="177" t="s">
        <v>2376</v>
      </c>
      <c r="C209" s="167" t="s">
        <v>165</v>
      </c>
      <c r="D209" s="167" t="s">
        <v>2377</v>
      </c>
      <c r="E209" s="11">
        <v>15779112128</v>
      </c>
      <c r="F209" s="167" t="s">
        <v>156</v>
      </c>
      <c r="G209" s="167" t="s">
        <v>8</v>
      </c>
      <c r="H209" s="11">
        <v>202102002</v>
      </c>
      <c r="I209" s="167" t="s">
        <v>157</v>
      </c>
      <c r="J209" s="167" t="s">
        <v>603</v>
      </c>
      <c r="K209" s="167" t="s">
        <v>2379</v>
      </c>
      <c r="L209" s="167" t="s">
        <v>160</v>
      </c>
      <c r="M209" s="167" t="s">
        <v>180</v>
      </c>
      <c r="N209" s="167" t="s">
        <v>8</v>
      </c>
      <c r="O209" s="167" t="s">
        <v>2380</v>
      </c>
      <c r="P209" s="12" t="str">
        <f>_xlfn.DISPIMG("ID_9499CE74334F4664AC42AD98401CDCF8",1)</f>
        <v>=DISPIMG("ID_9499CE74334F4664AC42AD98401CDCF8",1)</v>
      </c>
      <c r="Q209" s="11" t="s">
        <v>2381</v>
      </c>
      <c r="R209" s="11">
        <v>282</v>
      </c>
      <c r="S209" s="17" t="s">
        <v>4507</v>
      </c>
      <c r="T209" s="18" t="s">
        <v>46</v>
      </c>
    </row>
    <row r="210" s="3" customFormat="1" customHeight="1" spans="1:20">
      <c r="A210" s="84">
        <v>28</v>
      </c>
      <c r="B210" s="177" t="s">
        <v>2391</v>
      </c>
      <c r="C210" s="167" t="s">
        <v>165</v>
      </c>
      <c r="D210" s="167" t="s">
        <v>2392</v>
      </c>
      <c r="E210" s="11">
        <v>18779160835</v>
      </c>
      <c r="F210" s="167" t="s">
        <v>156</v>
      </c>
      <c r="G210" s="167" t="s">
        <v>8</v>
      </c>
      <c r="H210" s="11">
        <v>202102002</v>
      </c>
      <c r="I210" s="167" t="s">
        <v>157</v>
      </c>
      <c r="J210" s="167" t="s">
        <v>385</v>
      </c>
      <c r="K210" s="167" t="s">
        <v>2394</v>
      </c>
      <c r="L210" s="167" t="s">
        <v>160</v>
      </c>
      <c r="M210" s="167" t="s">
        <v>306</v>
      </c>
      <c r="N210" s="167" t="s">
        <v>2395</v>
      </c>
      <c r="O210" s="167" t="s">
        <v>2396</v>
      </c>
      <c r="P210" s="12" t="str">
        <f>_xlfn.DISPIMG("ID_E59FBD148CC0458789196A3F7371E3AC",1)</f>
        <v>=DISPIMG("ID_E59FBD148CC0458789196A3F7371E3AC",1)</v>
      </c>
      <c r="Q210" s="11" t="s">
        <v>2397</v>
      </c>
      <c r="R210" s="11">
        <v>284</v>
      </c>
      <c r="S210" s="17" t="s">
        <v>4508</v>
      </c>
      <c r="T210" s="18" t="s">
        <v>46</v>
      </c>
    </row>
    <row r="211" s="3" customFormat="1" customHeight="1" spans="1:20">
      <c r="A211" s="84">
        <v>29</v>
      </c>
      <c r="B211" s="177" t="s">
        <v>2437</v>
      </c>
      <c r="C211" s="167" t="s">
        <v>165</v>
      </c>
      <c r="D211" s="167" t="s">
        <v>2438</v>
      </c>
      <c r="E211" s="11">
        <v>13657919316</v>
      </c>
      <c r="F211" s="167" t="s">
        <v>156</v>
      </c>
      <c r="G211" s="167" t="s">
        <v>8</v>
      </c>
      <c r="H211" s="11">
        <v>202102002</v>
      </c>
      <c r="I211" s="167" t="s">
        <v>705</v>
      </c>
      <c r="J211" s="167" t="s">
        <v>2440</v>
      </c>
      <c r="K211" s="167" t="s">
        <v>2441</v>
      </c>
      <c r="L211" s="167" t="s">
        <v>160</v>
      </c>
      <c r="M211" s="167" t="s">
        <v>189</v>
      </c>
      <c r="N211" s="167" t="s">
        <v>8</v>
      </c>
      <c r="O211" s="11">
        <v>0</v>
      </c>
      <c r="P211" s="12" t="str">
        <f>_xlfn.DISPIMG("ID_840140DEA4BE4280A385428CC67C44E3",1)</f>
        <v>=DISPIMG("ID_840140DEA4BE4280A385428CC67C44E3",1)</v>
      </c>
      <c r="Q211" s="11" t="s">
        <v>2442</v>
      </c>
      <c r="R211" s="11">
        <v>290</v>
      </c>
      <c r="S211" s="17" t="s">
        <v>4509</v>
      </c>
      <c r="T211" s="18" t="s">
        <v>46</v>
      </c>
    </row>
    <row r="212" s="3" customFormat="1" customHeight="1" spans="1:20">
      <c r="A212" s="84">
        <v>30</v>
      </c>
      <c r="B212" s="177" t="s">
        <v>2473</v>
      </c>
      <c r="C212" s="167" t="s">
        <v>153</v>
      </c>
      <c r="D212" s="167" t="s">
        <v>2474</v>
      </c>
      <c r="E212" s="11">
        <v>18079290506</v>
      </c>
      <c r="F212" s="167" t="s">
        <v>156</v>
      </c>
      <c r="G212" s="167" t="s">
        <v>8</v>
      </c>
      <c r="H212" s="11">
        <v>202102002</v>
      </c>
      <c r="I212" s="167" t="s">
        <v>157</v>
      </c>
      <c r="J212" s="167" t="s">
        <v>935</v>
      </c>
      <c r="K212" s="167" t="s">
        <v>270</v>
      </c>
      <c r="L212" s="167" t="s">
        <v>170</v>
      </c>
      <c r="M212" s="167" t="s">
        <v>281</v>
      </c>
      <c r="N212" s="167" t="s">
        <v>1322</v>
      </c>
      <c r="O212" s="167" t="s">
        <v>2476</v>
      </c>
      <c r="P212" s="12" t="str">
        <f>_xlfn.DISPIMG("ID_DDCFE953EBFD4779B7FAA3122A1B85C5",1)</f>
        <v>=DISPIMG("ID_DDCFE953EBFD4779B7FAA3122A1B85C5",1)</v>
      </c>
      <c r="Q212" s="11" t="s">
        <v>2477</v>
      </c>
      <c r="R212" s="11">
        <v>295</v>
      </c>
      <c r="S212" s="17" t="s">
        <v>4510</v>
      </c>
      <c r="T212" s="18" t="s">
        <v>46</v>
      </c>
    </row>
    <row r="213" s="3" customFormat="1" customHeight="1" spans="1:20">
      <c r="A213" s="84">
        <v>1</v>
      </c>
      <c r="B213" s="177" t="s">
        <v>2480</v>
      </c>
      <c r="C213" s="167" t="s">
        <v>165</v>
      </c>
      <c r="D213" s="167" t="s">
        <v>2481</v>
      </c>
      <c r="E213" s="11">
        <v>15179240952</v>
      </c>
      <c r="F213" s="167" t="s">
        <v>156</v>
      </c>
      <c r="G213" s="167" t="s">
        <v>8</v>
      </c>
      <c r="H213" s="11">
        <v>202102002</v>
      </c>
      <c r="I213" s="167" t="s">
        <v>157</v>
      </c>
      <c r="J213" s="167" t="s">
        <v>2483</v>
      </c>
      <c r="K213" s="167" t="s">
        <v>2379</v>
      </c>
      <c r="L213" s="167" t="s">
        <v>160</v>
      </c>
      <c r="M213" s="167" t="s">
        <v>199</v>
      </c>
      <c r="N213" s="167" t="s">
        <v>8</v>
      </c>
      <c r="O213" s="167" t="s">
        <v>2484</v>
      </c>
      <c r="P213" s="12" t="str">
        <f>_xlfn.DISPIMG("ID_6EB4CC10A54B4F2AAD1518F1F500F570",1)</f>
        <v>=DISPIMG("ID_6EB4CC10A54B4F2AAD1518F1F500F570",1)</v>
      </c>
      <c r="Q213" s="11" t="s">
        <v>2485</v>
      </c>
      <c r="R213" s="11">
        <v>296</v>
      </c>
      <c r="S213" s="17" t="s">
        <v>4511</v>
      </c>
      <c r="T213" s="18" t="s">
        <v>48</v>
      </c>
    </row>
    <row r="214" s="3" customFormat="1" customHeight="1" spans="1:20">
      <c r="A214" s="84">
        <v>2</v>
      </c>
      <c r="B214" s="177" t="s">
        <v>2556</v>
      </c>
      <c r="C214" s="167" t="s">
        <v>165</v>
      </c>
      <c r="D214" s="167" t="s">
        <v>2557</v>
      </c>
      <c r="E214" s="11">
        <v>15770775780</v>
      </c>
      <c r="F214" s="167" t="s">
        <v>156</v>
      </c>
      <c r="G214" s="167" t="s">
        <v>8</v>
      </c>
      <c r="H214" s="11">
        <v>202102002</v>
      </c>
      <c r="I214" s="167" t="s">
        <v>157</v>
      </c>
      <c r="J214" s="167" t="s">
        <v>1413</v>
      </c>
      <c r="K214" s="167" t="s">
        <v>169</v>
      </c>
      <c r="L214" s="167" t="s">
        <v>170</v>
      </c>
      <c r="M214" s="167" t="s">
        <v>235</v>
      </c>
      <c r="N214" s="167" t="s">
        <v>8</v>
      </c>
      <c r="O214" s="11">
        <v>0</v>
      </c>
      <c r="P214" s="12" t="str">
        <f>_xlfn.DISPIMG("ID_BF27FE8641A74810A1152D199B9359D9",1)</f>
        <v>=DISPIMG("ID_BF27FE8641A74810A1152D199B9359D9",1)</v>
      </c>
      <c r="Q214" s="11" t="s">
        <v>2559</v>
      </c>
      <c r="R214" s="11">
        <v>306</v>
      </c>
      <c r="S214" s="17" t="s">
        <v>4512</v>
      </c>
      <c r="T214" s="18" t="s">
        <v>48</v>
      </c>
    </row>
    <row r="215" s="3" customFormat="1" customHeight="1" spans="1:20">
      <c r="A215" s="84">
        <v>3</v>
      </c>
      <c r="B215" s="177" t="s">
        <v>2839</v>
      </c>
      <c r="C215" s="167" t="s">
        <v>165</v>
      </c>
      <c r="D215" s="167" t="s">
        <v>2840</v>
      </c>
      <c r="E215" s="11">
        <v>15979055139</v>
      </c>
      <c r="F215" s="167" t="s">
        <v>156</v>
      </c>
      <c r="G215" s="167" t="s">
        <v>8</v>
      </c>
      <c r="H215" s="11">
        <v>202102002</v>
      </c>
      <c r="I215" s="167" t="s">
        <v>157</v>
      </c>
      <c r="J215" s="167" t="s">
        <v>827</v>
      </c>
      <c r="K215" s="167" t="s">
        <v>270</v>
      </c>
      <c r="L215" s="167" t="s">
        <v>170</v>
      </c>
      <c r="M215" s="167" t="s">
        <v>587</v>
      </c>
      <c r="N215" s="167" t="s">
        <v>2842</v>
      </c>
      <c r="O215" s="167" t="s">
        <v>2843</v>
      </c>
      <c r="P215" s="12" t="str">
        <f>_xlfn.DISPIMG("ID_D0E61411E52441859AFE69B7874CA20C",1)</f>
        <v>=DISPIMG("ID_D0E61411E52441859AFE69B7874CA20C",1)</v>
      </c>
      <c r="Q215" s="11" t="s">
        <v>2844</v>
      </c>
      <c r="R215" s="11">
        <v>345</v>
      </c>
      <c r="S215" s="17" t="s">
        <v>4513</v>
      </c>
      <c r="T215" s="18" t="s">
        <v>48</v>
      </c>
    </row>
    <row r="216" s="3" customFormat="1" customHeight="1" spans="1:20">
      <c r="A216" s="84">
        <v>4</v>
      </c>
      <c r="B216" s="177" t="s">
        <v>2847</v>
      </c>
      <c r="C216" s="167" t="s">
        <v>165</v>
      </c>
      <c r="D216" s="167" t="s">
        <v>2848</v>
      </c>
      <c r="E216" s="11">
        <v>18720087898</v>
      </c>
      <c r="F216" s="167" t="s">
        <v>156</v>
      </c>
      <c r="G216" s="167" t="s">
        <v>8</v>
      </c>
      <c r="H216" s="11">
        <v>202102002</v>
      </c>
      <c r="I216" s="167" t="s">
        <v>157</v>
      </c>
      <c r="J216" s="167" t="s">
        <v>1654</v>
      </c>
      <c r="K216" s="167" t="s">
        <v>813</v>
      </c>
      <c r="L216" s="167" t="s">
        <v>160</v>
      </c>
      <c r="M216" s="167" t="s">
        <v>516</v>
      </c>
      <c r="N216" s="167" t="s">
        <v>8</v>
      </c>
      <c r="O216" s="167" t="s">
        <v>2850</v>
      </c>
      <c r="P216" s="12" t="str">
        <f>_xlfn.DISPIMG("ID_B4574457B7EA4998BCE46939492C25E1",1)</f>
        <v>=DISPIMG("ID_B4574457B7EA4998BCE46939492C25E1",1)</v>
      </c>
      <c r="Q216" s="11" t="s">
        <v>2851</v>
      </c>
      <c r="R216" s="11">
        <v>346</v>
      </c>
      <c r="S216" s="17" t="s">
        <v>4514</v>
      </c>
      <c r="T216" s="18" t="s">
        <v>48</v>
      </c>
    </row>
    <row r="217" s="3" customFormat="1" customHeight="1" spans="1:20">
      <c r="A217" s="84">
        <v>5</v>
      </c>
      <c r="B217" s="177" t="s">
        <v>2180</v>
      </c>
      <c r="C217" s="167" t="s">
        <v>153</v>
      </c>
      <c r="D217" s="167" t="s">
        <v>2181</v>
      </c>
      <c r="E217" s="11">
        <v>18779219080</v>
      </c>
      <c r="F217" s="167" t="s">
        <v>506</v>
      </c>
      <c r="G217" s="167" t="s">
        <v>8</v>
      </c>
      <c r="H217" s="11">
        <v>202102015</v>
      </c>
      <c r="I217" s="167" t="s">
        <v>279</v>
      </c>
      <c r="J217" s="167" t="s">
        <v>158</v>
      </c>
      <c r="K217" s="167" t="s">
        <v>497</v>
      </c>
      <c r="L217" s="167" t="s">
        <v>170</v>
      </c>
      <c r="M217" s="167" t="s">
        <v>919</v>
      </c>
      <c r="N217" s="167" t="s">
        <v>2183</v>
      </c>
      <c r="O217" s="167" t="s">
        <v>2184</v>
      </c>
      <c r="P217" s="12" t="str">
        <f>_xlfn.DISPIMG("ID_59BF2512FDA845A780519BF3EE363C98",1)</f>
        <v>=DISPIMG("ID_59BF2512FDA845A780519BF3EE363C98",1)</v>
      </c>
      <c r="Q217" s="11" t="s">
        <v>2185</v>
      </c>
      <c r="R217" s="11">
        <v>358</v>
      </c>
      <c r="S217" s="17" t="s">
        <v>4515</v>
      </c>
      <c r="T217" s="18" t="s">
        <v>48</v>
      </c>
    </row>
    <row r="218" s="3" customFormat="1" customHeight="1" spans="1:20">
      <c r="A218" s="84">
        <v>6</v>
      </c>
      <c r="B218" s="177" t="s">
        <v>2947</v>
      </c>
      <c r="C218" s="167" t="s">
        <v>165</v>
      </c>
      <c r="D218" s="167" t="s">
        <v>2948</v>
      </c>
      <c r="E218" s="11">
        <v>17370852983</v>
      </c>
      <c r="F218" s="167" t="s">
        <v>156</v>
      </c>
      <c r="G218" s="167" t="s">
        <v>8</v>
      </c>
      <c r="H218" s="11">
        <v>202102002</v>
      </c>
      <c r="I218" s="167" t="s">
        <v>157</v>
      </c>
      <c r="J218" s="167" t="s">
        <v>611</v>
      </c>
      <c r="K218" s="167" t="s">
        <v>1832</v>
      </c>
      <c r="L218" s="167" t="s">
        <v>160</v>
      </c>
      <c r="M218" s="167" t="s">
        <v>306</v>
      </c>
      <c r="N218" s="167" t="s">
        <v>2950</v>
      </c>
      <c r="O218" s="167" t="s">
        <v>2951</v>
      </c>
      <c r="P218" s="12" t="str">
        <f>_xlfn.DISPIMG("ID_53C3410979BA49538F1410917AAC183C",1)</f>
        <v>=DISPIMG("ID_53C3410979BA49538F1410917AAC183C",1)</v>
      </c>
      <c r="Q218" s="11" t="s">
        <v>2952</v>
      </c>
      <c r="R218" s="11">
        <v>362</v>
      </c>
      <c r="S218" s="17" t="s">
        <v>4516</v>
      </c>
      <c r="T218" s="18" t="s">
        <v>48</v>
      </c>
    </row>
    <row r="219" s="3" customFormat="1" customHeight="1" spans="1:20">
      <c r="A219" s="84">
        <v>7</v>
      </c>
      <c r="B219" s="177" t="s">
        <v>2983</v>
      </c>
      <c r="C219" s="167" t="s">
        <v>165</v>
      </c>
      <c r="D219" s="167" t="s">
        <v>2984</v>
      </c>
      <c r="E219" s="11">
        <v>13699860392</v>
      </c>
      <c r="F219" s="167" t="s">
        <v>156</v>
      </c>
      <c r="G219" s="167" t="s">
        <v>8</v>
      </c>
      <c r="H219" s="11">
        <v>202102002</v>
      </c>
      <c r="I219" s="167" t="s">
        <v>157</v>
      </c>
      <c r="J219" s="167" t="s">
        <v>187</v>
      </c>
      <c r="K219" s="167" t="s">
        <v>2986</v>
      </c>
      <c r="L219" s="167" t="s">
        <v>160</v>
      </c>
      <c r="M219" s="167" t="s">
        <v>516</v>
      </c>
      <c r="N219" s="167" t="s">
        <v>20</v>
      </c>
      <c r="O219" s="167" t="s">
        <v>2987</v>
      </c>
      <c r="P219" s="12" t="str">
        <f>_xlfn.DISPIMG("ID_60E91D8703D740D9A8AE531BE158A22D",1)</f>
        <v>=DISPIMG("ID_60E91D8703D740D9A8AE531BE158A22D",1)</v>
      </c>
      <c r="Q219" s="11" t="s">
        <v>2988</v>
      </c>
      <c r="R219" s="11">
        <v>367</v>
      </c>
      <c r="S219" s="17" t="s">
        <v>4517</v>
      </c>
      <c r="T219" s="18" t="s">
        <v>48</v>
      </c>
    </row>
    <row r="220" s="3" customFormat="1" customHeight="1" spans="1:20">
      <c r="A220" s="84">
        <v>8</v>
      </c>
      <c r="B220" s="177" t="s">
        <v>2996</v>
      </c>
      <c r="C220" s="167" t="s">
        <v>165</v>
      </c>
      <c r="D220" s="167" t="s">
        <v>2997</v>
      </c>
      <c r="E220" s="11">
        <v>17379208038</v>
      </c>
      <c r="F220" s="167" t="s">
        <v>156</v>
      </c>
      <c r="G220" s="167" t="s">
        <v>8</v>
      </c>
      <c r="H220" s="11">
        <v>202102002</v>
      </c>
      <c r="I220" s="167" t="s">
        <v>157</v>
      </c>
      <c r="J220" s="167" t="s">
        <v>437</v>
      </c>
      <c r="K220" s="167" t="s">
        <v>1481</v>
      </c>
      <c r="L220" s="167" t="s">
        <v>160</v>
      </c>
      <c r="M220" s="167" t="s">
        <v>281</v>
      </c>
      <c r="N220" s="167" t="s">
        <v>8</v>
      </c>
      <c r="O220" s="11">
        <v>0</v>
      </c>
      <c r="P220" s="12" t="str">
        <f>_xlfn.DISPIMG("ID_A119020A43A6495588BAFB55CB082F01",1)</f>
        <v>=DISPIMG("ID_A119020A43A6495588BAFB55CB082F01",1)</v>
      </c>
      <c r="Q220" s="11" t="s">
        <v>2999</v>
      </c>
      <c r="R220" s="11">
        <v>369</v>
      </c>
      <c r="S220" s="17" t="s">
        <v>4518</v>
      </c>
      <c r="T220" s="18" t="s">
        <v>48</v>
      </c>
    </row>
    <row r="221" s="3" customFormat="1" customHeight="1" spans="1:20">
      <c r="A221" s="84">
        <v>9</v>
      </c>
      <c r="B221" s="177" t="s">
        <v>3075</v>
      </c>
      <c r="C221" s="167" t="s">
        <v>165</v>
      </c>
      <c r="D221" s="167" t="s">
        <v>3076</v>
      </c>
      <c r="E221" s="11">
        <v>13122383919</v>
      </c>
      <c r="F221" s="167" t="s">
        <v>156</v>
      </c>
      <c r="G221" s="167" t="s">
        <v>8</v>
      </c>
      <c r="H221" s="11">
        <v>202102002</v>
      </c>
      <c r="I221" s="167" t="s">
        <v>157</v>
      </c>
      <c r="J221" s="167" t="s">
        <v>3078</v>
      </c>
      <c r="K221" s="167" t="s">
        <v>3079</v>
      </c>
      <c r="L221" s="167" t="s">
        <v>160</v>
      </c>
      <c r="M221" s="167" t="s">
        <v>252</v>
      </c>
      <c r="N221" s="167" t="s">
        <v>8</v>
      </c>
      <c r="O221" s="11">
        <v>0</v>
      </c>
      <c r="P221" s="12" t="str">
        <f>_xlfn.DISPIMG("ID_0C5BA3A4E8B245D6AB6AE82F368BFF6A",1)</f>
        <v>=DISPIMG("ID_0C5BA3A4E8B245D6AB6AE82F368BFF6A",1)</v>
      </c>
      <c r="Q221" s="11" t="s">
        <v>3080</v>
      </c>
      <c r="R221" s="11">
        <v>380</v>
      </c>
      <c r="S221" s="17" t="s">
        <v>4519</v>
      </c>
      <c r="T221" s="18" t="s">
        <v>48</v>
      </c>
    </row>
    <row r="222" s="3" customFormat="1" customHeight="1" spans="1:20">
      <c r="A222" s="84">
        <v>10</v>
      </c>
      <c r="B222" s="177" t="s">
        <v>3083</v>
      </c>
      <c r="C222" s="167" t="s">
        <v>165</v>
      </c>
      <c r="D222" s="167" t="s">
        <v>3084</v>
      </c>
      <c r="E222" s="11">
        <v>15070231776</v>
      </c>
      <c r="F222" s="167" t="s">
        <v>156</v>
      </c>
      <c r="G222" s="167" t="s">
        <v>8</v>
      </c>
      <c r="H222" s="11">
        <v>202102002</v>
      </c>
      <c r="I222" s="167" t="s">
        <v>157</v>
      </c>
      <c r="J222" s="167" t="s">
        <v>3086</v>
      </c>
      <c r="K222" s="167" t="s">
        <v>3087</v>
      </c>
      <c r="L222" s="167" t="s">
        <v>160</v>
      </c>
      <c r="M222" s="167" t="s">
        <v>455</v>
      </c>
      <c r="N222" s="167" t="s">
        <v>8</v>
      </c>
      <c r="O222" s="11">
        <v>0</v>
      </c>
      <c r="P222" s="12" t="str">
        <f>_xlfn.DISPIMG("ID_FE0A8F210AE74D2ABEA83714575A775F",1)</f>
        <v>=DISPIMG("ID_FE0A8F210AE74D2ABEA83714575A775F",1)</v>
      </c>
      <c r="Q222" s="11" t="s">
        <v>3088</v>
      </c>
      <c r="R222" s="20">
        <v>381</v>
      </c>
      <c r="S222" s="17" t="s">
        <v>4520</v>
      </c>
      <c r="T222" s="18" t="s">
        <v>48</v>
      </c>
    </row>
    <row r="223" s="3" customFormat="1" customHeight="1" spans="1:20">
      <c r="A223" s="84">
        <v>11</v>
      </c>
      <c r="B223" s="177" t="s">
        <v>3226</v>
      </c>
      <c r="C223" s="167" t="s">
        <v>165</v>
      </c>
      <c r="D223" s="167" t="s">
        <v>3227</v>
      </c>
      <c r="E223" s="11">
        <v>18279226554</v>
      </c>
      <c r="F223" s="167" t="s">
        <v>156</v>
      </c>
      <c r="G223" s="167" t="s">
        <v>8</v>
      </c>
      <c r="H223" s="11">
        <v>202102002</v>
      </c>
      <c r="I223" s="167" t="s">
        <v>157</v>
      </c>
      <c r="J223" s="167" t="s">
        <v>3229</v>
      </c>
      <c r="K223" s="167" t="s">
        <v>1832</v>
      </c>
      <c r="L223" s="167" t="s">
        <v>160</v>
      </c>
      <c r="M223" s="167" t="s">
        <v>235</v>
      </c>
      <c r="N223" s="167" t="s">
        <v>3230</v>
      </c>
      <c r="O223" s="11">
        <v>0</v>
      </c>
      <c r="P223" s="12" t="str">
        <f>_xlfn.DISPIMG("ID_E38CE29681DB4326A5DB290E49AD4AFC",1)</f>
        <v>=DISPIMG("ID_E38CE29681DB4326A5DB290E49AD4AFC",1)</v>
      </c>
      <c r="Q223" s="11" t="s">
        <v>3231</v>
      </c>
      <c r="R223" s="11">
        <v>402</v>
      </c>
      <c r="S223" s="17" t="s">
        <v>4522</v>
      </c>
      <c r="T223" s="18" t="s">
        <v>48</v>
      </c>
    </row>
    <row r="224" s="3" customFormat="1" customHeight="1" spans="1:20">
      <c r="A224" s="84">
        <v>12</v>
      </c>
      <c r="B224" s="177" t="s">
        <v>3416</v>
      </c>
      <c r="C224" s="167" t="s">
        <v>165</v>
      </c>
      <c r="D224" s="167" t="s">
        <v>3417</v>
      </c>
      <c r="E224" s="11">
        <v>15179885806</v>
      </c>
      <c r="F224" s="167" t="s">
        <v>156</v>
      </c>
      <c r="G224" s="167" t="s">
        <v>8</v>
      </c>
      <c r="H224" s="11">
        <v>202102002</v>
      </c>
      <c r="I224" s="167" t="s">
        <v>157</v>
      </c>
      <c r="J224" s="167" t="s">
        <v>242</v>
      </c>
      <c r="K224" s="167" t="s">
        <v>3087</v>
      </c>
      <c r="L224" s="167" t="s">
        <v>160</v>
      </c>
      <c r="M224" s="167" t="s">
        <v>180</v>
      </c>
      <c r="N224" s="167" t="s">
        <v>3418</v>
      </c>
      <c r="O224" s="167" t="s">
        <v>3419</v>
      </c>
      <c r="P224" s="12" t="str">
        <f>_xlfn.DISPIMG("ID_7663A71771F44500AC5AF2DBC8366CB5",1)</f>
        <v>=DISPIMG("ID_7663A71771F44500AC5AF2DBC8366CB5",1)</v>
      </c>
      <c r="Q224" s="11" t="s">
        <v>3420</v>
      </c>
      <c r="R224" s="11">
        <v>431</v>
      </c>
      <c r="S224" s="17" t="s">
        <v>4523</v>
      </c>
      <c r="T224" s="18" t="s">
        <v>48</v>
      </c>
    </row>
    <row r="225" s="3" customFormat="1" customHeight="1" spans="1:20">
      <c r="A225" s="84">
        <v>13</v>
      </c>
      <c r="B225" s="177" t="s">
        <v>3594</v>
      </c>
      <c r="C225" s="167" t="s">
        <v>165</v>
      </c>
      <c r="D225" s="167" t="s">
        <v>3595</v>
      </c>
      <c r="E225" s="11">
        <v>13635983416</v>
      </c>
      <c r="F225" s="167" t="s">
        <v>156</v>
      </c>
      <c r="G225" s="167" t="s">
        <v>8</v>
      </c>
      <c r="H225" s="11">
        <v>202102002</v>
      </c>
      <c r="I225" s="167" t="s">
        <v>279</v>
      </c>
      <c r="J225" s="167" t="s">
        <v>3597</v>
      </c>
      <c r="K225" s="167" t="s">
        <v>497</v>
      </c>
      <c r="L225" s="167" t="s">
        <v>170</v>
      </c>
      <c r="M225" s="167" t="s">
        <v>189</v>
      </c>
      <c r="N225" s="167" t="s">
        <v>989</v>
      </c>
      <c r="O225" s="167" t="s">
        <v>3598</v>
      </c>
      <c r="P225" s="12" t="str">
        <f>_xlfn.DISPIMG("ID_DB80027A676342B6B8178A0E756378C3",1)</f>
        <v>=DISPIMG("ID_DB80027A676342B6B8178A0E756378C3",1)</v>
      </c>
      <c r="Q225" s="11" t="s">
        <v>3599</v>
      </c>
      <c r="R225" s="11">
        <v>457</v>
      </c>
      <c r="S225" s="17" t="s">
        <v>4524</v>
      </c>
      <c r="T225" s="18" t="s">
        <v>48</v>
      </c>
    </row>
    <row r="226" s="4" customFormat="1" customHeight="1" spans="1:20">
      <c r="A226" s="84">
        <v>14</v>
      </c>
      <c r="B226" s="177" t="s">
        <v>1027</v>
      </c>
      <c r="C226" s="167" t="s">
        <v>165</v>
      </c>
      <c r="D226" s="167" t="s">
        <v>3692</v>
      </c>
      <c r="E226" s="11">
        <v>15779259710</v>
      </c>
      <c r="F226" s="167" t="s">
        <v>156</v>
      </c>
      <c r="G226" s="167" t="s">
        <v>8</v>
      </c>
      <c r="H226" s="11">
        <v>202102002</v>
      </c>
      <c r="I226" s="167" t="s">
        <v>279</v>
      </c>
      <c r="J226" s="167" t="s">
        <v>3694</v>
      </c>
      <c r="K226" s="167" t="s">
        <v>497</v>
      </c>
      <c r="L226" s="167" t="s">
        <v>170</v>
      </c>
      <c r="M226" s="167" t="s">
        <v>180</v>
      </c>
      <c r="N226" s="167" t="s">
        <v>8</v>
      </c>
      <c r="O226" s="167" t="s">
        <v>3695</v>
      </c>
      <c r="P226" s="12" t="str">
        <f>_xlfn.DISPIMG("ID_57DB6C2F5BCD45498E344599D2C7D1D8",1)</f>
        <v>=DISPIMG("ID_57DB6C2F5BCD45498E344599D2C7D1D8",1)</v>
      </c>
      <c r="Q226" s="11" t="s">
        <v>3696</v>
      </c>
      <c r="R226" s="20">
        <v>470</v>
      </c>
      <c r="S226" s="17" t="s">
        <v>4525</v>
      </c>
      <c r="T226" s="18" t="s">
        <v>48</v>
      </c>
    </row>
    <row r="227" s="3" customFormat="1" customHeight="1" spans="1:20">
      <c r="A227" s="84">
        <v>15</v>
      </c>
      <c r="B227" s="177" t="s">
        <v>3734</v>
      </c>
      <c r="C227" s="167" t="s">
        <v>165</v>
      </c>
      <c r="D227" s="167" t="s">
        <v>3735</v>
      </c>
      <c r="E227" s="11">
        <v>15070233072</v>
      </c>
      <c r="F227" s="167" t="s">
        <v>156</v>
      </c>
      <c r="G227" s="167" t="s">
        <v>8</v>
      </c>
      <c r="H227" s="11">
        <v>202102002</v>
      </c>
      <c r="I227" s="167" t="s">
        <v>157</v>
      </c>
      <c r="J227" s="167" t="s">
        <v>3737</v>
      </c>
      <c r="K227" s="167" t="s">
        <v>3738</v>
      </c>
      <c r="L227" s="167" t="s">
        <v>160</v>
      </c>
      <c r="M227" s="167" t="s">
        <v>171</v>
      </c>
      <c r="N227" s="167" t="s">
        <v>8</v>
      </c>
      <c r="O227" s="167" t="s">
        <v>3739</v>
      </c>
      <c r="P227" s="12" t="str">
        <f>_xlfn.DISPIMG("ID_B7F470084B4940CBBF67BF60A043E6F0",1)</f>
        <v>=DISPIMG("ID_B7F470084B4940CBBF67BF60A043E6F0",1)</v>
      </c>
      <c r="Q227" s="11" t="s">
        <v>3740</v>
      </c>
      <c r="R227" s="11">
        <v>476</v>
      </c>
      <c r="S227" s="17" t="s">
        <v>4527</v>
      </c>
      <c r="T227" s="18" t="s">
        <v>48</v>
      </c>
    </row>
    <row r="228" s="3" customFormat="1" customHeight="1" spans="1:20">
      <c r="A228" s="84">
        <v>16</v>
      </c>
      <c r="B228" s="177" t="s">
        <v>3766</v>
      </c>
      <c r="C228" s="167" t="s">
        <v>165</v>
      </c>
      <c r="D228" s="167" t="s">
        <v>3767</v>
      </c>
      <c r="E228" s="11">
        <v>18079224740</v>
      </c>
      <c r="F228" s="167" t="s">
        <v>156</v>
      </c>
      <c r="G228" s="167" t="s">
        <v>8</v>
      </c>
      <c r="H228" s="11">
        <v>202102002</v>
      </c>
      <c r="I228" s="167" t="s">
        <v>157</v>
      </c>
      <c r="J228" s="167" t="s">
        <v>233</v>
      </c>
      <c r="K228" s="167" t="s">
        <v>3769</v>
      </c>
      <c r="L228" s="167" t="s">
        <v>160</v>
      </c>
      <c r="M228" s="167" t="s">
        <v>1089</v>
      </c>
      <c r="N228" s="167" t="s">
        <v>8</v>
      </c>
      <c r="O228" s="11">
        <v>0</v>
      </c>
      <c r="P228" s="12" t="str">
        <f>_xlfn.DISPIMG("ID_2E7FF83B7D12427491B1BA1300A2CD7A",1)</f>
        <v>=DISPIMG("ID_2E7FF83B7D12427491B1BA1300A2CD7A",1)</v>
      </c>
      <c r="Q228" s="11" t="s">
        <v>3770</v>
      </c>
      <c r="R228" s="11">
        <v>480</v>
      </c>
      <c r="S228" s="17" t="s">
        <v>4528</v>
      </c>
      <c r="T228" s="18" t="s">
        <v>48</v>
      </c>
    </row>
    <row r="229" s="3" customFormat="1" customHeight="1" spans="1:20">
      <c r="A229" s="84">
        <v>17</v>
      </c>
      <c r="B229" s="177" t="s">
        <v>3811</v>
      </c>
      <c r="C229" s="167" t="s">
        <v>165</v>
      </c>
      <c r="D229" s="167" t="s">
        <v>3812</v>
      </c>
      <c r="E229" s="11">
        <v>18970830560</v>
      </c>
      <c r="F229" s="167" t="s">
        <v>156</v>
      </c>
      <c r="G229" s="167" t="s">
        <v>8</v>
      </c>
      <c r="H229" s="11">
        <v>202102002</v>
      </c>
      <c r="I229" s="167" t="s">
        <v>157</v>
      </c>
      <c r="J229" s="167" t="s">
        <v>2483</v>
      </c>
      <c r="K229" s="167" t="s">
        <v>1832</v>
      </c>
      <c r="L229" s="167" t="s">
        <v>160</v>
      </c>
      <c r="M229" s="167" t="s">
        <v>349</v>
      </c>
      <c r="N229" s="167" t="s">
        <v>8</v>
      </c>
      <c r="O229" s="11">
        <v>0</v>
      </c>
      <c r="P229" s="12" t="str">
        <f>_xlfn.DISPIMG("ID_E15E0A7D91AC4C3983241BCD063880D6",1)</f>
        <v>=DISPIMG("ID_E15E0A7D91AC4C3983241BCD063880D6",1)</v>
      </c>
      <c r="Q229" s="11" t="s">
        <v>3814</v>
      </c>
      <c r="R229" s="11">
        <v>486</v>
      </c>
      <c r="S229" s="17" t="s">
        <v>4529</v>
      </c>
      <c r="T229" s="18" t="s">
        <v>48</v>
      </c>
    </row>
    <row r="230" s="3" customFormat="1" customHeight="1" spans="1:20">
      <c r="A230" s="84">
        <v>18</v>
      </c>
      <c r="B230" s="177" t="s">
        <v>3850</v>
      </c>
      <c r="C230" s="167" t="s">
        <v>165</v>
      </c>
      <c r="D230" s="167" t="s">
        <v>3851</v>
      </c>
      <c r="E230" s="11">
        <v>15797695028</v>
      </c>
      <c r="F230" s="167" t="s">
        <v>156</v>
      </c>
      <c r="G230" s="167" t="s">
        <v>8</v>
      </c>
      <c r="H230" s="11">
        <v>202102002</v>
      </c>
      <c r="I230" s="167" t="s">
        <v>157</v>
      </c>
      <c r="J230" s="167" t="s">
        <v>233</v>
      </c>
      <c r="K230" s="167" t="s">
        <v>3853</v>
      </c>
      <c r="L230" s="167" t="s">
        <v>160</v>
      </c>
      <c r="M230" s="167" t="s">
        <v>235</v>
      </c>
      <c r="N230" s="167" t="s">
        <v>3854</v>
      </c>
      <c r="O230" s="11">
        <v>0</v>
      </c>
      <c r="P230" s="12" t="str">
        <f>_xlfn.DISPIMG("ID_84872379004C4F22BC15C75702A4DBC9",1)</f>
        <v>=DISPIMG("ID_84872379004C4F22BC15C75702A4DBC9",1)</v>
      </c>
      <c r="Q230" s="11" t="s">
        <v>3855</v>
      </c>
      <c r="R230" s="20">
        <v>491</v>
      </c>
      <c r="S230" s="17" t="s">
        <v>4530</v>
      </c>
      <c r="T230" s="18" t="s">
        <v>48</v>
      </c>
    </row>
    <row r="231" s="3" customFormat="1" customHeight="1" spans="1:20">
      <c r="A231" s="84">
        <v>19</v>
      </c>
      <c r="B231" s="177" t="s">
        <v>3865</v>
      </c>
      <c r="C231" s="167" t="s">
        <v>165</v>
      </c>
      <c r="D231" s="167" t="s">
        <v>3866</v>
      </c>
      <c r="E231" s="11">
        <v>18879267212</v>
      </c>
      <c r="F231" s="167" t="s">
        <v>156</v>
      </c>
      <c r="G231" s="167" t="s">
        <v>8</v>
      </c>
      <c r="H231" s="11">
        <v>202102002</v>
      </c>
      <c r="I231" s="167" t="s">
        <v>157</v>
      </c>
      <c r="J231" s="167" t="s">
        <v>827</v>
      </c>
      <c r="K231" s="167" t="s">
        <v>270</v>
      </c>
      <c r="L231" s="167" t="s">
        <v>170</v>
      </c>
      <c r="M231" s="167" t="s">
        <v>171</v>
      </c>
      <c r="N231" s="167" t="s">
        <v>3868</v>
      </c>
      <c r="O231" s="167" t="s">
        <v>3869</v>
      </c>
      <c r="P231" s="12" t="str">
        <f>_xlfn.DISPIMG("ID_60BA691C89BB46A3A629500DC48B1B82",1)</f>
        <v>=DISPIMG("ID_60BA691C89BB46A3A629500DC48B1B82",1)</v>
      </c>
      <c r="Q231" s="11" t="s">
        <v>3870</v>
      </c>
      <c r="R231" s="20">
        <v>493</v>
      </c>
      <c r="S231" s="17" t="s">
        <v>4532</v>
      </c>
      <c r="T231" s="18" t="s">
        <v>48</v>
      </c>
    </row>
    <row r="232" s="3" customFormat="1" customHeight="1" spans="1:20">
      <c r="A232" s="84">
        <v>20</v>
      </c>
      <c r="B232" s="177" t="s">
        <v>3904</v>
      </c>
      <c r="C232" s="167" t="s">
        <v>153</v>
      </c>
      <c r="D232" s="167" t="s">
        <v>3905</v>
      </c>
      <c r="E232" s="11">
        <v>15007027769</v>
      </c>
      <c r="F232" s="167" t="s">
        <v>156</v>
      </c>
      <c r="G232" s="167" t="s">
        <v>8</v>
      </c>
      <c r="H232" s="11">
        <v>202102002</v>
      </c>
      <c r="I232" s="167" t="s">
        <v>157</v>
      </c>
      <c r="J232" s="167" t="s">
        <v>158</v>
      </c>
      <c r="K232" s="167" t="s">
        <v>1481</v>
      </c>
      <c r="L232" s="167" t="s">
        <v>160</v>
      </c>
      <c r="M232" s="167" t="s">
        <v>216</v>
      </c>
      <c r="N232" s="167" t="s">
        <v>8</v>
      </c>
      <c r="O232" s="11">
        <v>0</v>
      </c>
      <c r="P232" s="12" t="str">
        <f>_xlfn.DISPIMG("ID_9F8C123E434549AABE94648B98FC4902",1)</f>
        <v>=DISPIMG("ID_9F8C123E434549AABE94648B98FC4902",1)</v>
      </c>
      <c r="Q232" s="11" t="s">
        <v>3907</v>
      </c>
      <c r="R232" s="20">
        <v>498</v>
      </c>
      <c r="S232" s="17" t="s">
        <v>4533</v>
      </c>
      <c r="T232" s="18" t="s">
        <v>48</v>
      </c>
    </row>
    <row r="233" s="3" customFormat="1" customHeight="1" spans="1:20">
      <c r="A233" s="84">
        <v>21</v>
      </c>
      <c r="B233" s="177" t="s">
        <v>3924</v>
      </c>
      <c r="C233" s="167" t="s">
        <v>165</v>
      </c>
      <c r="D233" s="167" t="s">
        <v>3925</v>
      </c>
      <c r="E233" s="11">
        <v>15797691720</v>
      </c>
      <c r="F233" s="167" t="s">
        <v>156</v>
      </c>
      <c r="G233" s="167" t="s">
        <v>8</v>
      </c>
      <c r="H233" s="11">
        <v>202102002</v>
      </c>
      <c r="I233" s="167" t="s">
        <v>157</v>
      </c>
      <c r="J233" s="167" t="s">
        <v>603</v>
      </c>
      <c r="K233" s="167" t="s">
        <v>2379</v>
      </c>
      <c r="L233" s="167" t="s">
        <v>160</v>
      </c>
      <c r="M233" s="167" t="s">
        <v>306</v>
      </c>
      <c r="N233" s="167" t="s">
        <v>989</v>
      </c>
      <c r="O233" s="167" t="s">
        <v>3927</v>
      </c>
      <c r="P233" s="12" t="str">
        <f>_xlfn.DISPIMG("ID_514B3145E6BD4A2498C42CFECAEF98E2",1)</f>
        <v>=DISPIMG("ID_514B3145E6BD4A2498C42CFECAEF98E2",1)</v>
      </c>
      <c r="Q233" s="11" t="s">
        <v>3928</v>
      </c>
      <c r="R233" s="20">
        <v>501</v>
      </c>
      <c r="S233" s="17" t="s">
        <v>4534</v>
      </c>
      <c r="T233" s="18" t="s">
        <v>48</v>
      </c>
    </row>
    <row r="234" s="3" customFormat="1" customHeight="1" spans="1:20">
      <c r="A234" s="84">
        <v>22</v>
      </c>
      <c r="B234" s="177" t="s">
        <v>3948</v>
      </c>
      <c r="C234" s="167" t="s">
        <v>165</v>
      </c>
      <c r="D234" s="167" t="s">
        <v>3949</v>
      </c>
      <c r="E234" s="11">
        <v>13803563575</v>
      </c>
      <c r="F234" s="167" t="s">
        <v>156</v>
      </c>
      <c r="G234" s="167" t="s">
        <v>8</v>
      </c>
      <c r="H234" s="11">
        <v>202102002</v>
      </c>
      <c r="I234" s="167" t="s">
        <v>279</v>
      </c>
      <c r="J234" s="167" t="s">
        <v>158</v>
      </c>
      <c r="K234" s="167" t="s">
        <v>497</v>
      </c>
      <c r="L234" s="167" t="s">
        <v>170</v>
      </c>
      <c r="M234" s="167" t="s">
        <v>180</v>
      </c>
      <c r="N234" s="167" t="s">
        <v>3230</v>
      </c>
      <c r="O234" s="167" t="s">
        <v>3951</v>
      </c>
      <c r="P234" s="12" t="str">
        <f>_xlfn.DISPIMG("ID_997BB006A29449FB8D35751C6152A872",1)</f>
        <v>=DISPIMG("ID_997BB006A29449FB8D35751C6152A872",1)</v>
      </c>
      <c r="Q234" s="11" t="s">
        <v>3952</v>
      </c>
      <c r="R234" s="11">
        <v>504</v>
      </c>
      <c r="S234" s="17" t="s">
        <v>4535</v>
      </c>
      <c r="T234" s="18" t="s">
        <v>48</v>
      </c>
    </row>
    <row r="235" s="3" customFormat="1" customHeight="1" spans="1:20">
      <c r="A235" s="84">
        <v>23</v>
      </c>
      <c r="B235" s="177" t="s">
        <v>4043</v>
      </c>
      <c r="C235" s="167" t="s">
        <v>165</v>
      </c>
      <c r="D235" s="167" t="s">
        <v>4044</v>
      </c>
      <c r="E235" s="11">
        <v>18046771974</v>
      </c>
      <c r="F235" s="167" t="s">
        <v>156</v>
      </c>
      <c r="G235" s="167" t="s">
        <v>8</v>
      </c>
      <c r="H235" s="11">
        <v>202102002</v>
      </c>
      <c r="I235" s="167" t="s">
        <v>157</v>
      </c>
      <c r="J235" s="167" t="s">
        <v>1368</v>
      </c>
      <c r="K235" s="167" t="s">
        <v>4046</v>
      </c>
      <c r="L235" s="167" t="s">
        <v>170</v>
      </c>
      <c r="M235" s="167" t="s">
        <v>281</v>
      </c>
      <c r="N235" s="167" t="s">
        <v>20</v>
      </c>
      <c r="O235" s="167" t="s">
        <v>4047</v>
      </c>
      <c r="P235" s="12" t="str">
        <f>_xlfn.DISPIMG("ID_5DC4628448F54176A5FF91EC25B128F5",1)</f>
        <v>=DISPIMG("ID_5DC4628448F54176A5FF91EC25B128F5",1)</v>
      </c>
      <c r="Q235" s="11" t="s">
        <v>4048</v>
      </c>
      <c r="R235" s="20">
        <v>517</v>
      </c>
      <c r="S235" s="17" t="s">
        <v>4536</v>
      </c>
      <c r="T235" s="18" t="s">
        <v>48</v>
      </c>
    </row>
    <row r="236" s="3" customFormat="1" customHeight="1" spans="1:20">
      <c r="A236" s="84">
        <v>24</v>
      </c>
      <c r="B236" s="177" t="s">
        <v>4089</v>
      </c>
      <c r="C236" s="167" t="s">
        <v>165</v>
      </c>
      <c r="D236" s="167" t="s">
        <v>4090</v>
      </c>
      <c r="E236" s="11">
        <v>15979951702</v>
      </c>
      <c r="F236" s="167" t="s">
        <v>156</v>
      </c>
      <c r="G236" s="167" t="s">
        <v>8</v>
      </c>
      <c r="H236" s="11">
        <v>202102002</v>
      </c>
      <c r="I236" s="167" t="s">
        <v>157</v>
      </c>
      <c r="J236" s="167" t="s">
        <v>385</v>
      </c>
      <c r="K236" s="167" t="s">
        <v>270</v>
      </c>
      <c r="L236" s="167" t="s">
        <v>170</v>
      </c>
      <c r="M236" s="167" t="s">
        <v>161</v>
      </c>
      <c r="N236" s="167" t="s">
        <v>20</v>
      </c>
      <c r="O236" s="167" t="s">
        <v>4092</v>
      </c>
      <c r="P236" s="12" t="str">
        <f>_xlfn.DISPIMG("ID_9B43E41106094708AAB8E2C3D51BAF21",1)</f>
        <v>=DISPIMG("ID_9B43E41106094708AAB8E2C3D51BAF21",1)</v>
      </c>
      <c r="Q236" s="11" t="s">
        <v>4093</v>
      </c>
      <c r="R236" s="20">
        <v>523</v>
      </c>
      <c r="S236" s="17" t="s">
        <v>4537</v>
      </c>
      <c r="T236" s="18" t="s">
        <v>48</v>
      </c>
    </row>
    <row r="237" s="3" customFormat="1" customHeight="1" spans="1:20">
      <c r="A237" s="84">
        <v>25</v>
      </c>
      <c r="B237" s="177" t="s">
        <v>4191</v>
      </c>
      <c r="C237" s="167" t="s">
        <v>153</v>
      </c>
      <c r="D237" s="167" t="s">
        <v>4192</v>
      </c>
      <c r="E237" s="11">
        <v>15979988511</v>
      </c>
      <c r="F237" s="167" t="s">
        <v>156</v>
      </c>
      <c r="G237" s="167" t="s">
        <v>8</v>
      </c>
      <c r="H237" s="11">
        <v>202102002</v>
      </c>
      <c r="I237" s="167" t="s">
        <v>157</v>
      </c>
      <c r="J237" s="167" t="s">
        <v>789</v>
      </c>
      <c r="K237" s="167" t="s">
        <v>270</v>
      </c>
      <c r="L237" s="167" t="s">
        <v>160</v>
      </c>
      <c r="M237" s="167" t="s">
        <v>180</v>
      </c>
      <c r="N237" s="167" t="s">
        <v>8</v>
      </c>
      <c r="O237" s="167" t="s">
        <v>4194</v>
      </c>
      <c r="P237" s="12" t="str">
        <f>_xlfn.DISPIMG("ID_0D01E0F1A35045CF8FA47A6F17C3312E",1)</f>
        <v>=DISPIMG("ID_0D01E0F1A35045CF8FA47A6F17C3312E",1)</v>
      </c>
      <c r="Q237" s="11" t="s">
        <v>4195</v>
      </c>
      <c r="R237" s="20">
        <v>536</v>
      </c>
      <c r="S237" s="17" t="s">
        <v>4538</v>
      </c>
      <c r="T237" s="18" t="s">
        <v>48</v>
      </c>
    </row>
    <row r="238" s="3" customFormat="1" customHeight="1" spans="1:20">
      <c r="A238" s="84">
        <v>26</v>
      </c>
      <c r="B238" s="177" t="s">
        <v>4230</v>
      </c>
      <c r="C238" s="167" t="s">
        <v>165</v>
      </c>
      <c r="D238" s="167" t="s">
        <v>4231</v>
      </c>
      <c r="E238" s="11">
        <v>15797679627</v>
      </c>
      <c r="F238" s="167" t="s">
        <v>156</v>
      </c>
      <c r="G238" s="167" t="s">
        <v>8</v>
      </c>
      <c r="H238" s="11">
        <v>202102002</v>
      </c>
      <c r="I238" s="167" t="s">
        <v>157</v>
      </c>
      <c r="J238" s="167" t="s">
        <v>876</v>
      </c>
      <c r="K238" s="167" t="s">
        <v>1204</v>
      </c>
      <c r="L238" s="167" t="s">
        <v>160</v>
      </c>
      <c r="M238" s="167" t="s">
        <v>171</v>
      </c>
      <c r="N238" s="167" t="s">
        <v>4233</v>
      </c>
      <c r="O238" s="11">
        <v>0</v>
      </c>
      <c r="P238" s="12" t="str">
        <f>_xlfn.DISPIMG("ID_866D1667729041288352BAC0C5E9F611",1)</f>
        <v>=DISPIMG("ID_866D1667729041288352BAC0C5E9F611",1)</v>
      </c>
      <c r="Q238" s="11" t="s">
        <v>4234</v>
      </c>
      <c r="R238" s="20">
        <v>541</v>
      </c>
      <c r="S238" s="17" t="s">
        <v>4531</v>
      </c>
      <c r="T238" s="18" t="s">
        <v>48</v>
      </c>
    </row>
    <row r="239" s="3" customFormat="1" customHeight="1" spans="1:20">
      <c r="A239" s="84">
        <v>27</v>
      </c>
      <c r="B239" s="177" t="s">
        <v>2210</v>
      </c>
      <c r="C239" s="167" t="s">
        <v>165</v>
      </c>
      <c r="D239" s="167" t="s">
        <v>2211</v>
      </c>
      <c r="E239" s="11">
        <v>15770710161</v>
      </c>
      <c r="F239" s="167" t="s">
        <v>384</v>
      </c>
      <c r="G239" s="167" t="s">
        <v>27</v>
      </c>
      <c r="H239" s="11">
        <v>202101016</v>
      </c>
      <c r="I239" s="167" t="s">
        <v>157</v>
      </c>
      <c r="J239" s="167" t="s">
        <v>1413</v>
      </c>
      <c r="K239" s="167" t="s">
        <v>215</v>
      </c>
      <c r="L239" s="167" t="s">
        <v>170</v>
      </c>
      <c r="M239" s="167" t="s">
        <v>171</v>
      </c>
      <c r="N239" s="167" t="s">
        <v>2213</v>
      </c>
      <c r="O239" s="167" t="s">
        <v>2214</v>
      </c>
      <c r="P239" s="12" t="str">
        <f>_xlfn.DISPIMG("ID_0AC7D7DC948D4142BC7E39C07F0EB7F8",1)</f>
        <v>=DISPIMG("ID_0AC7D7DC948D4142BC7E39C07F0EB7F8",1)</v>
      </c>
      <c r="Q239" s="11" t="s">
        <v>2215</v>
      </c>
      <c r="R239" s="11">
        <v>260</v>
      </c>
      <c r="S239" s="17" t="s">
        <v>4540</v>
      </c>
      <c r="T239" s="18" t="s">
        <v>48</v>
      </c>
    </row>
    <row r="240" s="3" customFormat="1" customHeight="1" spans="1:20">
      <c r="A240" s="84">
        <v>28</v>
      </c>
      <c r="B240" s="177" t="s">
        <v>3667</v>
      </c>
      <c r="C240" s="167" t="s">
        <v>153</v>
      </c>
      <c r="D240" s="167" t="s">
        <v>3668</v>
      </c>
      <c r="E240" s="11">
        <v>15604248160</v>
      </c>
      <c r="F240" s="167" t="s">
        <v>384</v>
      </c>
      <c r="G240" s="167" t="s">
        <v>27</v>
      </c>
      <c r="H240" s="11">
        <v>202101016</v>
      </c>
      <c r="I240" s="167" t="s">
        <v>705</v>
      </c>
      <c r="J240" s="167" t="s">
        <v>3670</v>
      </c>
      <c r="K240" s="167" t="s">
        <v>215</v>
      </c>
      <c r="L240" s="167" t="s">
        <v>160</v>
      </c>
      <c r="M240" s="167" t="s">
        <v>910</v>
      </c>
      <c r="N240" s="167" t="s">
        <v>3671</v>
      </c>
      <c r="O240" s="167" t="s">
        <v>3672</v>
      </c>
      <c r="P240" s="12" t="str">
        <f>_xlfn.DISPIMG("ID_FBBE15C9E10944F892C3BCC99A8EDA31",1)</f>
        <v>=DISPIMG("ID_FBBE15C9E10944F892C3BCC99A8EDA31",1)</v>
      </c>
      <c r="Q240" s="11" t="s">
        <v>3673</v>
      </c>
      <c r="R240" s="20">
        <v>467</v>
      </c>
      <c r="S240" s="17" t="s">
        <v>4541</v>
      </c>
      <c r="T240" s="18" t="s">
        <v>48</v>
      </c>
    </row>
    <row r="241" s="3" customFormat="1" customHeight="1" spans="1:20">
      <c r="A241" s="84">
        <v>29</v>
      </c>
      <c r="B241" s="177" t="s">
        <v>425</v>
      </c>
      <c r="C241" s="167" t="s">
        <v>165</v>
      </c>
      <c r="D241" s="167" t="s">
        <v>426</v>
      </c>
      <c r="E241" s="11">
        <v>18720147865</v>
      </c>
      <c r="F241" s="167" t="s">
        <v>297</v>
      </c>
      <c r="G241" s="167" t="s">
        <v>29</v>
      </c>
      <c r="H241" s="11">
        <v>202101008</v>
      </c>
      <c r="I241" s="167" t="s">
        <v>157</v>
      </c>
      <c r="J241" s="167" t="s">
        <v>428</v>
      </c>
      <c r="K241" s="167" t="s">
        <v>429</v>
      </c>
      <c r="L241" s="167" t="s">
        <v>160</v>
      </c>
      <c r="M241" s="167" t="s">
        <v>235</v>
      </c>
      <c r="N241" s="167" t="s">
        <v>430</v>
      </c>
      <c r="O241" s="11">
        <v>0</v>
      </c>
      <c r="P241" s="12" t="str">
        <f>_xlfn.DISPIMG("ID_9C21E529A1D946A49AECBF1B4E991CC9",1)</f>
        <v>=DISPIMG("ID_9C21E529A1D946A49AECBF1B4E991CC9",1)</v>
      </c>
      <c r="Q241" s="11" t="s">
        <v>431</v>
      </c>
      <c r="R241" s="20">
        <v>32</v>
      </c>
      <c r="S241" s="17" t="s">
        <v>4542</v>
      </c>
      <c r="T241" s="18" t="s">
        <v>48</v>
      </c>
    </row>
    <row r="242" s="3" customFormat="1" customHeight="1" spans="1:20">
      <c r="A242" s="84"/>
      <c r="B242" s="20"/>
      <c r="C242" s="11"/>
      <c r="D242" s="11"/>
      <c r="E242" s="11"/>
      <c r="F242" s="11"/>
      <c r="G242" s="11"/>
      <c r="H242" s="11"/>
      <c r="I242" s="11"/>
      <c r="J242" s="11"/>
      <c r="K242" s="11"/>
      <c r="L242" s="11"/>
      <c r="M242" s="11"/>
      <c r="N242" s="11"/>
      <c r="O242" s="11"/>
      <c r="P242" s="12"/>
      <c r="Q242" s="11"/>
      <c r="R242" s="20"/>
      <c r="S242" s="17"/>
      <c r="T242" s="18"/>
    </row>
    <row r="243" s="3" customFormat="1" customHeight="1" spans="1:20">
      <c r="A243" s="84">
        <v>1</v>
      </c>
      <c r="B243" s="177" t="s">
        <v>194</v>
      </c>
      <c r="C243" s="167" t="s">
        <v>165</v>
      </c>
      <c r="D243" s="167" t="s">
        <v>195</v>
      </c>
      <c r="E243" s="11">
        <v>15079132548</v>
      </c>
      <c r="F243" s="167" t="s">
        <v>156</v>
      </c>
      <c r="G243" s="167" t="s">
        <v>13</v>
      </c>
      <c r="H243" s="11">
        <v>202102003</v>
      </c>
      <c r="I243" s="167" t="s">
        <v>157</v>
      </c>
      <c r="J243" s="167" t="s">
        <v>197</v>
      </c>
      <c r="K243" s="167" t="s">
        <v>198</v>
      </c>
      <c r="L243" s="167" t="s">
        <v>160</v>
      </c>
      <c r="M243" s="167" t="s">
        <v>199</v>
      </c>
      <c r="N243" s="167" t="s">
        <v>13</v>
      </c>
      <c r="O243" s="11">
        <v>0</v>
      </c>
      <c r="P243" s="12" t="str">
        <f>_xlfn.DISPIMG("ID_07DCBF9A6CCC43E7BDA66377D7B2A516",1)</f>
        <v>=DISPIMG("ID_07DCBF9A6CCC43E7BDA66377D7B2A516",1)</v>
      </c>
      <c r="Q243" s="11" t="s">
        <v>200</v>
      </c>
      <c r="R243" s="11">
        <v>6</v>
      </c>
      <c r="S243" s="17" t="s">
        <v>4543</v>
      </c>
      <c r="T243" s="18" t="s">
        <v>52</v>
      </c>
    </row>
    <row r="244" s="3" customFormat="1" customHeight="1" spans="1:20">
      <c r="A244" s="84">
        <v>2</v>
      </c>
      <c r="B244" s="177" t="s">
        <v>220</v>
      </c>
      <c r="C244" s="167" t="s">
        <v>165</v>
      </c>
      <c r="D244" s="167" t="s">
        <v>221</v>
      </c>
      <c r="E244" s="11">
        <v>13330102770</v>
      </c>
      <c r="F244" s="167" t="s">
        <v>156</v>
      </c>
      <c r="G244" s="167" t="s">
        <v>13</v>
      </c>
      <c r="H244" s="11">
        <v>202102003</v>
      </c>
      <c r="I244" s="167" t="s">
        <v>157</v>
      </c>
      <c r="J244" s="167" t="s">
        <v>178</v>
      </c>
      <c r="K244" s="167" t="s">
        <v>223</v>
      </c>
      <c r="L244" s="167" t="s">
        <v>170</v>
      </c>
      <c r="M244" s="167" t="s">
        <v>224</v>
      </c>
      <c r="N244" s="167" t="s">
        <v>225</v>
      </c>
      <c r="O244" s="167" t="s">
        <v>226</v>
      </c>
      <c r="P244" s="12" t="str">
        <f>_xlfn.DISPIMG("ID_331C6355B784470AAD84DC8B9EBD3F4C",1)</f>
        <v>=DISPIMG("ID_331C6355B784470AAD84DC8B9EBD3F4C",1)</v>
      </c>
      <c r="Q244" s="11" t="s">
        <v>227</v>
      </c>
      <c r="R244" s="11">
        <v>9</v>
      </c>
      <c r="S244" s="17" t="s">
        <v>4526</v>
      </c>
      <c r="T244" s="18" t="s">
        <v>52</v>
      </c>
    </row>
    <row r="245" s="3" customFormat="1" customHeight="1" spans="1:20">
      <c r="A245" s="84">
        <v>3</v>
      </c>
      <c r="B245" s="177" t="s">
        <v>230</v>
      </c>
      <c r="C245" s="167" t="s">
        <v>165</v>
      </c>
      <c r="D245" s="167" t="s">
        <v>231</v>
      </c>
      <c r="E245" s="11">
        <v>18317923585</v>
      </c>
      <c r="F245" s="167" t="s">
        <v>156</v>
      </c>
      <c r="G245" s="167" t="s">
        <v>13</v>
      </c>
      <c r="H245" s="11">
        <v>202102003</v>
      </c>
      <c r="I245" s="167" t="s">
        <v>157</v>
      </c>
      <c r="J245" s="167" t="s">
        <v>233</v>
      </c>
      <c r="K245" s="167" t="s">
        <v>234</v>
      </c>
      <c r="L245" s="167" t="s">
        <v>170</v>
      </c>
      <c r="M245" s="167" t="s">
        <v>235</v>
      </c>
      <c r="N245" s="167" t="s">
        <v>13</v>
      </c>
      <c r="O245" s="167" t="s">
        <v>236</v>
      </c>
      <c r="P245" s="12" t="str">
        <f>_xlfn.DISPIMG("ID_5F2C40BDD5324AC2917B018DDF4B26D9",1)</f>
        <v>=DISPIMG("ID_5F2C40BDD5324AC2917B018DDF4B26D9",1)</v>
      </c>
      <c r="Q245" s="11" t="s">
        <v>237</v>
      </c>
      <c r="R245" s="11">
        <v>10</v>
      </c>
      <c r="S245" s="17" t="s">
        <v>4545</v>
      </c>
      <c r="T245" s="18" t="s">
        <v>52</v>
      </c>
    </row>
    <row r="246" s="3" customFormat="1" customHeight="1" spans="1:20">
      <c r="A246" s="84">
        <v>4</v>
      </c>
      <c r="B246" s="177" t="s">
        <v>258</v>
      </c>
      <c r="C246" s="167" t="s">
        <v>165</v>
      </c>
      <c r="D246" s="167" t="s">
        <v>259</v>
      </c>
      <c r="E246" s="11">
        <v>15079252433</v>
      </c>
      <c r="F246" s="167" t="s">
        <v>156</v>
      </c>
      <c r="G246" s="167" t="s">
        <v>13</v>
      </c>
      <c r="H246" s="11">
        <v>202102003</v>
      </c>
      <c r="I246" s="167" t="s">
        <v>157</v>
      </c>
      <c r="J246" s="167" t="s">
        <v>158</v>
      </c>
      <c r="K246" s="167" t="s">
        <v>179</v>
      </c>
      <c r="L246" s="167" t="s">
        <v>170</v>
      </c>
      <c r="M246" s="167" t="s">
        <v>261</v>
      </c>
      <c r="N246" s="167" t="s">
        <v>13</v>
      </c>
      <c r="O246" s="11">
        <v>0</v>
      </c>
      <c r="P246" s="12" t="str">
        <f>_xlfn.DISPIMG("ID_6612D67BD9E1456A9FAE3B7BC6ABC79B",1)</f>
        <v>=DISPIMG("ID_6612D67BD9E1456A9FAE3B7BC6ABC79B",1)</v>
      </c>
      <c r="Q246" s="11" t="s">
        <v>262</v>
      </c>
      <c r="R246" s="11">
        <v>13</v>
      </c>
      <c r="S246" s="17" t="s">
        <v>4546</v>
      </c>
      <c r="T246" s="18" t="s">
        <v>52</v>
      </c>
    </row>
    <row r="247" s="3" customFormat="1" customHeight="1" spans="1:20">
      <c r="A247" s="84">
        <v>5</v>
      </c>
      <c r="B247" s="177" t="s">
        <v>302</v>
      </c>
      <c r="C247" s="167" t="s">
        <v>165</v>
      </c>
      <c r="D247" s="167" t="s">
        <v>303</v>
      </c>
      <c r="E247" s="11">
        <v>18270729426</v>
      </c>
      <c r="F247" s="167" t="s">
        <v>156</v>
      </c>
      <c r="G247" s="167" t="s">
        <v>13</v>
      </c>
      <c r="H247" s="11">
        <v>202102003</v>
      </c>
      <c r="I247" s="167" t="s">
        <v>157</v>
      </c>
      <c r="J247" s="167" t="s">
        <v>305</v>
      </c>
      <c r="K247" s="167" t="s">
        <v>179</v>
      </c>
      <c r="L247" s="167" t="s">
        <v>170</v>
      </c>
      <c r="M247" s="167" t="s">
        <v>306</v>
      </c>
      <c r="N247" s="167" t="s">
        <v>307</v>
      </c>
      <c r="O247" s="167" t="s">
        <v>308</v>
      </c>
      <c r="P247" s="12" t="str">
        <f>_xlfn.DISPIMG("ID_BFA65A737AA14FBDAE88EFBDD5E2990B",1)</f>
        <v>=DISPIMG("ID_BFA65A737AA14FBDAE88EFBDD5E2990B",1)</v>
      </c>
      <c r="Q247" s="11" t="s">
        <v>309</v>
      </c>
      <c r="R247" s="11">
        <v>18</v>
      </c>
      <c r="S247" s="17" t="s">
        <v>4539</v>
      </c>
      <c r="T247" s="18" t="s">
        <v>52</v>
      </c>
    </row>
    <row r="248" s="3" customFormat="1" customHeight="1" spans="1:20">
      <c r="A248" s="84">
        <v>6</v>
      </c>
      <c r="B248" s="177" t="s">
        <v>355</v>
      </c>
      <c r="C248" s="167" t="s">
        <v>165</v>
      </c>
      <c r="D248" s="167" t="s">
        <v>356</v>
      </c>
      <c r="E248" s="11">
        <v>18311315751</v>
      </c>
      <c r="F248" s="167" t="s">
        <v>156</v>
      </c>
      <c r="G248" s="167" t="s">
        <v>13</v>
      </c>
      <c r="H248" s="11">
        <v>202102003</v>
      </c>
      <c r="I248" s="167" t="s">
        <v>157</v>
      </c>
      <c r="J248" s="167" t="s">
        <v>358</v>
      </c>
      <c r="K248" s="167" t="s">
        <v>179</v>
      </c>
      <c r="L248" s="167" t="s">
        <v>160</v>
      </c>
      <c r="M248" s="167" t="s">
        <v>306</v>
      </c>
      <c r="N248" s="167" t="s">
        <v>359</v>
      </c>
      <c r="O248" s="167" t="s">
        <v>360</v>
      </c>
      <c r="P248" s="12" t="str">
        <f>_xlfn.DISPIMG("ID_FD9EEFBCD596495DACB8A95ACD5E222F",1)</f>
        <v>=DISPIMG("ID_FD9EEFBCD596495DACB8A95ACD5E222F",1)</v>
      </c>
      <c r="Q248" s="11" t="s">
        <v>361</v>
      </c>
      <c r="R248" s="11">
        <v>24</v>
      </c>
      <c r="S248" s="17" t="s">
        <v>4544</v>
      </c>
      <c r="T248" s="18" t="s">
        <v>52</v>
      </c>
    </row>
    <row r="249" s="3" customFormat="1" customHeight="1" spans="1:20">
      <c r="A249" s="84">
        <v>7</v>
      </c>
      <c r="B249" s="177" t="s">
        <v>434</v>
      </c>
      <c r="C249" s="167" t="s">
        <v>165</v>
      </c>
      <c r="D249" s="167" t="s">
        <v>435</v>
      </c>
      <c r="E249" s="11">
        <v>18707020389</v>
      </c>
      <c r="F249" s="167" t="s">
        <v>156</v>
      </c>
      <c r="G249" s="167" t="s">
        <v>13</v>
      </c>
      <c r="H249" s="11">
        <v>202102003</v>
      </c>
      <c r="I249" s="167" t="s">
        <v>157</v>
      </c>
      <c r="J249" s="167" t="s">
        <v>437</v>
      </c>
      <c r="K249" s="167" t="s">
        <v>179</v>
      </c>
      <c r="L249" s="167" t="s">
        <v>160</v>
      </c>
      <c r="M249" s="167" t="s">
        <v>161</v>
      </c>
      <c r="N249" s="167" t="s">
        <v>13</v>
      </c>
      <c r="O249" s="167" t="s">
        <v>438</v>
      </c>
      <c r="P249" s="12" t="str">
        <f>_xlfn.DISPIMG("ID_A9E5DA8466964C2D98F0B0FFCCE562D8",1)</f>
        <v>=DISPIMG("ID_A9E5DA8466964C2D98F0B0FFCCE562D8",1)</v>
      </c>
      <c r="Q249" s="11" t="s">
        <v>439</v>
      </c>
      <c r="R249" s="11">
        <v>33</v>
      </c>
      <c r="S249" s="17" t="s">
        <v>4521</v>
      </c>
      <c r="T249" s="18" t="s">
        <v>52</v>
      </c>
    </row>
    <row r="250" s="3" customFormat="1" customHeight="1" spans="1:20">
      <c r="A250" s="84">
        <v>8</v>
      </c>
      <c r="B250" s="177" t="s">
        <v>484</v>
      </c>
      <c r="C250" s="167" t="s">
        <v>165</v>
      </c>
      <c r="D250" s="167" t="s">
        <v>485</v>
      </c>
      <c r="E250" s="11">
        <v>15079175289</v>
      </c>
      <c r="F250" s="167" t="s">
        <v>156</v>
      </c>
      <c r="G250" s="167" t="s">
        <v>13</v>
      </c>
      <c r="H250" s="11">
        <v>202102003</v>
      </c>
      <c r="I250" s="167" t="s">
        <v>279</v>
      </c>
      <c r="J250" s="167" t="s">
        <v>178</v>
      </c>
      <c r="K250" s="167" t="s">
        <v>223</v>
      </c>
      <c r="L250" s="167" t="s">
        <v>170</v>
      </c>
      <c r="M250" s="167" t="s">
        <v>180</v>
      </c>
      <c r="N250" s="167" t="s">
        <v>487</v>
      </c>
      <c r="O250" s="167" t="s">
        <v>488</v>
      </c>
      <c r="P250" s="12" t="str">
        <f>_xlfn.DISPIMG("ID_090E35C53BC1424DB22E97EDD7B66993",1)</f>
        <v>=DISPIMG("ID_090E35C53BC1424DB22E97EDD7B66993",1)</v>
      </c>
      <c r="Q250" s="11" t="s">
        <v>489</v>
      </c>
      <c r="R250" s="11">
        <v>39</v>
      </c>
      <c r="S250" s="17" t="s">
        <v>4547</v>
      </c>
      <c r="T250" s="18" t="s">
        <v>52</v>
      </c>
    </row>
    <row r="251" s="3" customFormat="1" customHeight="1" spans="1:20">
      <c r="A251" s="84">
        <v>9</v>
      </c>
      <c r="B251" s="177" t="s">
        <v>503</v>
      </c>
      <c r="C251" s="167" t="s">
        <v>165</v>
      </c>
      <c r="D251" s="167" t="s">
        <v>504</v>
      </c>
      <c r="E251" s="11">
        <v>18279271412</v>
      </c>
      <c r="F251" s="167" t="s">
        <v>506</v>
      </c>
      <c r="G251" s="167" t="s">
        <v>13</v>
      </c>
      <c r="H251" s="11">
        <v>202102016</v>
      </c>
      <c r="I251" s="167" t="s">
        <v>157</v>
      </c>
      <c r="J251" s="167" t="s">
        <v>507</v>
      </c>
      <c r="K251" s="167" t="s">
        <v>298</v>
      </c>
      <c r="L251" s="167" t="s">
        <v>160</v>
      </c>
      <c r="M251" s="167" t="s">
        <v>252</v>
      </c>
      <c r="N251" s="167" t="s">
        <v>13</v>
      </c>
      <c r="O251" s="167" t="s">
        <v>508</v>
      </c>
      <c r="P251" s="12" t="str">
        <f>_xlfn.DISPIMG("ID_40FEE490C2E64411A9F9A70FED108C60",1)</f>
        <v>=DISPIMG("ID_40FEE490C2E64411A9F9A70FED108C60",1)</v>
      </c>
      <c r="Q251" s="11" t="s">
        <v>509</v>
      </c>
      <c r="R251" s="11">
        <v>42</v>
      </c>
      <c r="S251" s="17" t="s">
        <v>4548</v>
      </c>
      <c r="T251" s="18" t="s">
        <v>52</v>
      </c>
    </row>
    <row r="252" s="3" customFormat="1" customHeight="1" spans="1:20">
      <c r="A252" s="84">
        <v>10</v>
      </c>
      <c r="B252" s="177" t="s">
        <v>537</v>
      </c>
      <c r="C252" s="167" t="s">
        <v>165</v>
      </c>
      <c r="D252" s="167" t="s">
        <v>538</v>
      </c>
      <c r="E252" s="11">
        <v>18720218990</v>
      </c>
      <c r="F252" s="167" t="s">
        <v>156</v>
      </c>
      <c r="G252" s="167" t="s">
        <v>13</v>
      </c>
      <c r="H252" s="11">
        <v>202102003</v>
      </c>
      <c r="I252" s="167" t="s">
        <v>157</v>
      </c>
      <c r="J252" s="167" t="s">
        <v>540</v>
      </c>
      <c r="K252" s="167" t="s">
        <v>179</v>
      </c>
      <c r="L252" s="167" t="s">
        <v>160</v>
      </c>
      <c r="M252" s="167" t="s">
        <v>541</v>
      </c>
      <c r="N252" s="167" t="s">
        <v>25</v>
      </c>
      <c r="O252" s="11">
        <v>0</v>
      </c>
      <c r="P252" s="12" t="str">
        <f>_xlfn.DISPIMG("ID_9605826B48E04C21832E1CDFB6E0AF15",1)</f>
        <v>=DISPIMG("ID_9605826B48E04C21832E1CDFB6E0AF15",1)</v>
      </c>
      <c r="Q252" s="11" t="s">
        <v>542</v>
      </c>
      <c r="R252" s="11">
        <v>46</v>
      </c>
      <c r="S252" s="17" t="s">
        <v>4549</v>
      </c>
      <c r="T252" s="18" t="s">
        <v>52</v>
      </c>
    </row>
    <row r="253" s="3" customFormat="1" customHeight="1" spans="1:20">
      <c r="A253" s="84">
        <v>11</v>
      </c>
      <c r="B253" s="177" t="s">
        <v>600</v>
      </c>
      <c r="C253" s="167" t="s">
        <v>165</v>
      </c>
      <c r="D253" s="167" t="s">
        <v>601</v>
      </c>
      <c r="E253" s="11">
        <v>18170238971</v>
      </c>
      <c r="F253" s="167" t="s">
        <v>506</v>
      </c>
      <c r="G253" s="167" t="s">
        <v>13</v>
      </c>
      <c r="H253" s="11">
        <v>202102016</v>
      </c>
      <c r="I253" s="167" t="s">
        <v>157</v>
      </c>
      <c r="J253" s="167" t="s">
        <v>603</v>
      </c>
      <c r="K253" s="167" t="s">
        <v>179</v>
      </c>
      <c r="L253" s="167" t="s">
        <v>160</v>
      </c>
      <c r="M253" s="167" t="s">
        <v>216</v>
      </c>
      <c r="N253" s="167" t="s">
        <v>13</v>
      </c>
      <c r="O253" s="167" t="s">
        <v>604</v>
      </c>
      <c r="P253" s="12" t="str">
        <f>_xlfn.DISPIMG("ID_274A21E15DE94C9DB65D865C0AE50BA3",1)</f>
        <v>=DISPIMG("ID_274A21E15DE94C9DB65D865C0AE50BA3",1)</v>
      </c>
      <c r="Q253" s="11" t="s">
        <v>605</v>
      </c>
      <c r="R253" s="11">
        <v>53</v>
      </c>
      <c r="S253" s="17" t="s">
        <v>4550</v>
      </c>
      <c r="T253" s="18" t="s">
        <v>52</v>
      </c>
    </row>
    <row r="254" s="3" customFormat="1" customHeight="1" spans="1:20">
      <c r="A254" s="84">
        <v>12</v>
      </c>
      <c r="B254" s="177" t="s">
        <v>608</v>
      </c>
      <c r="C254" s="167" t="s">
        <v>165</v>
      </c>
      <c r="D254" s="167" t="s">
        <v>609</v>
      </c>
      <c r="E254" s="11">
        <v>18779299502</v>
      </c>
      <c r="F254" s="167" t="s">
        <v>156</v>
      </c>
      <c r="G254" s="167" t="s">
        <v>13</v>
      </c>
      <c r="H254" s="11">
        <v>202102003</v>
      </c>
      <c r="I254" s="167" t="s">
        <v>157</v>
      </c>
      <c r="J254" s="167" t="s">
        <v>611</v>
      </c>
      <c r="K254" s="167" t="s">
        <v>179</v>
      </c>
      <c r="L254" s="167" t="s">
        <v>160</v>
      </c>
      <c r="M254" s="167" t="s">
        <v>261</v>
      </c>
      <c r="N254" s="167" t="s">
        <v>13</v>
      </c>
      <c r="O254" s="11">
        <v>0</v>
      </c>
      <c r="P254" s="12" t="str">
        <f>_xlfn.DISPIMG("ID_AED44616ADF34083BED4818BEE7F954D",1)</f>
        <v>=DISPIMG("ID_AED44616ADF34083BED4818BEE7F954D",1)</v>
      </c>
      <c r="Q254" s="11" t="s">
        <v>612</v>
      </c>
      <c r="R254" s="11">
        <v>54</v>
      </c>
      <c r="S254" s="17" t="s">
        <v>4551</v>
      </c>
      <c r="T254" s="18" t="s">
        <v>52</v>
      </c>
    </row>
    <row r="255" s="3" customFormat="1" customHeight="1" spans="1:20">
      <c r="A255" s="84">
        <v>13</v>
      </c>
      <c r="B255" s="177" t="s">
        <v>833</v>
      </c>
      <c r="C255" s="167" t="s">
        <v>165</v>
      </c>
      <c r="D255" s="167" t="s">
        <v>834</v>
      </c>
      <c r="E255" s="11">
        <v>13517923087</v>
      </c>
      <c r="F255" s="167" t="s">
        <v>156</v>
      </c>
      <c r="G255" s="167" t="s">
        <v>13</v>
      </c>
      <c r="H255" s="11">
        <v>202102003</v>
      </c>
      <c r="I255" s="167" t="s">
        <v>279</v>
      </c>
      <c r="J255" s="167" t="s">
        <v>339</v>
      </c>
      <c r="K255" s="167" t="s">
        <v>223</v>
      </c>
      <c r="L255" s="167" t="s">
        <v>170</v>
      </c>
      <c r="M255" s="167" t="s">
        <v>224</v>
      </c>
      <c r="N255" s="167" t="s">
        <v>13</v>
      </c>
      <c r="O255" s="167" t="s">
        <v>836</v>
      </c>
      <c r="P255" s="12" t="str">
        <f>_xlfn.DISPIMG("ID_89C7FFEC948F45D4B7C91F290C37CCB6",1)</f>
        <v>=DISPIMG("ID_89C7FFEC948F45D4B7C91F290C37CCB6",1)</v>
      </c>
      <c r="Q255" s="11" t="s">
        <v>837</v>
      </c>
      <c r="R255" s="11">
        <v>82</v>
      </c>
      <c r="S255" s="17" t="s">
        <v>4552</v>
      </c>
      <c r="T255" s="18" t="s">
        <v>52</v>
      </c>
    </row>
    <row r="256" s="3" customFormat="1" customHeight="1" spans="1:20">
      <c r="A256" s="84">
        <v>14</v>
      </c>
      <c r="B256" s="177" t="s">
        <v>994</v>
      </c>
      <c r="C256" s="167" t="s">
        <v>165</v>
      </c>
      <c r="D256" s="167" t="s">
        <v>995</v>
      </c>
      <c r="E256" s="11">
        <v>15079132554</v>
      </c>
      <c r="F256" s="167" t="s">
        <v>156</v>
      </c>
      <c r="G256" s="167" t="s">
        <v>13</v>
      </c>
      <c r="H256" s="11">
        <v>202102003</v>
      </c>
      <c r="I256" s="167" t="s">
        <v>157</v>
      </c>
      <c r="J256" s="167" t="s">
        <v>197</v>
      </c>
      <c r="K256" s="167" t="s">
        <v>179</v>
      </c>
      <c r="L256" s="167" t="s">
        <v>160</v>
      </c>
      <c r="M256" s="167" t="s">
        <v>180</v>
      </c>
      <c r="N256" s="167" t="s">
        <v>997</v>
      </c>
      <c r="O256" s="167" t="s">
        <v>998</v>
      </c>
      <c r="P256" s="12" t="str">
        <f>_xlfn.DISPIMG("ID_10318FA0EB2E4E7ABCD18627E825B2DF",1)</f>
        <v>=DISPIMG("ID_10318FA0EB2E4E7ABCD18627E825B2DF",1)</v>
      </c>
      <c r="Q256" s="11" t="s">
        <v>999</v>
      </c>
      <c r="R256" s="11">
        <v>101</v>
      </c>
      <c r="S256" s="17" t="s">
        <v>4553</v>
      </c>
      <c r="T256" s="18" t="s">
        <v>52</v>
      </c>
    </row>
    <row r="257" s="3" customFormat="1" customHeight="1" spans="1:20">
      <c r="A257" s="84">
        <v>15</v>
      </c>
      <c r="B257" s="177" t="s">
        <v>1018</v>
      </c>
      <c r="C257" s="167" t="s">
        <v>165</v>
      </c>
      <c r="D257" s="167" t="s">
        <v>1019</v>
      </c>
      <c r="E257" s="11">
        <v>18270832760</v>
      </c>
      <c r="F257" s="167" t="s">
        <v>156</v>
      </c>
      <c r="G257" s="167" t="s">
        <v>13</v>
      </c>
      <c r="H257" s="11">
        <v>202102003</v>
      </c>
      <c r="I257" s="167" t="s">
        <v>157</v>
      </c>
      <c r="J257" s="167" t="s">
        <v>827</v>
      </c>
      <c r="K257" s="167" t="s">
        <v>1021</v>
      </c>
      <c r="L257" s="167" t="s">
        <v>160</v>
      </c>
      <c r="M257" s="167" t="s">
        <v>281</v>
      </c>
      <c r="N257" s="167" t="s">
        <v>1022</v>
      </c>
      <c r="O257" s="167" t="s">
        <v>1023</v>
      </c>
      <c r="P257" s="12" t="str">
        <f>_xlfn.DISPIMG("ID_8ABFE7CB3D4544BB889DAF8FFFAF27BC",1)</f>
        <v>=DISPIMG("ID_8ABFE7CB3D4544BB889DAF8FFFAF27BC",1)</v>
      </c>
      <c r="Q257" s="11" t="s">
        <v>1024</v>
      </c>
      <c r="R257" s="11">
        <v>104</v>
      </c>
      <c r="S257" s="17" t="s">
        <v>4554</v>
      </c>
      <c r="T257" s="18" t="s">
        <v>52</v>
      </c>
    </row>
    <row r="258" s="3" customFormat="1" customHeight="1" spans="1:20">
      <c r="A258" s="84">
        <v>16</v>
      </c>
      <c r="B258" s="177" t="s">
        <v>1118</v>
      </c>
      <c r="C258" s="167" t="s">
        <v>165</v>
      </c>
      <c r="D258" s="167" t="s">
        <v>1119</v>
      </c>
      <c r="E258" s="11">
        <v>15170931048</v>
      </c>
      <c r="F258" s="167" t="s">
        <v>156</v>
      </c>
      <c r="G258" s="167" t="s">
        <v>13</v>
      </c>
      <c r="H258" s="11">
        <v>202102003</v>
      </c>
      <c r="I258" s="167" t="s">
        <v>157</v>
      </c>
      <c r="J258" s="167" t="s">
        <v>1121</v>
      </c>
      <c r="K258" s="167" t="s">
        <v>1122</v>
      </c>
      <c r="L258" s="167" t="s">
        <v>160</v>
      </c>
      <c r="M258" s="167" t="s">
        <v>577</v>
      </c>
      <c r="N258" s="167" t="s">
        <v>13</v>
      </c>
      <c r="O258" s="167" t="s">
        <v>1123</v>
      </c>
      <c r="P258" s="12" t="str">
        <f>_xlfn.DISPIMG("ID_FE9003ADDBCE49A4979CC74582466077",1)</f>
        <v>=DISPIMG("ID_FE9003ADDBCE49A4979CC74582466077",1)</v>
      </c>
      <c r="Q258" s="11" t="s">
        <v>1124</v>
      </c>
      <c r="R258" s="11">
        <v>117</v>
      </c>
      <c r="S258" s="17" t="s">
        <v>4555</v>
      </c>
      <c r="T258" s="18" t="s">
        <v>52</v>
      </c>
    </row>
    <row r="259" s="3" customFormat="1" customHeight="1" spans="1:20">
      <c r="A259" s="84">
        <v>17</v>
      </c>
      <c r="B259" s="177" t="s">
        <v>1176</v>
      </c>
      <c r="C259" s="167" t="s">
        <v>165</v>
      </c>
      <c r="D259" s="167" t="s">
        <v>1177</v>
      </c>
      <c r="E259" s="11">
        <v>13782906805</v>
      </c>
      <c r="F259" s="167" t="s">
        <v>156</v>
      </c>
      <c r="G259" s="167" t="s">
        <v>13</v>
      </c>
      <c r="H259" s="11">
        <v>202102003</v>
      </c>
      <c r="I259" s="167" t="s">
        <v>157</v>
      </c>
      <c r="J259" s="167" t="s">
        <v>1179</v>
      </c>
      <c r="K259" s="167" t="s">
        <v>298</v>
      </c>
      <c r="L259" s="167" t="s">
        <v>160</v>
      </c>
      <c r="M259" s="167" t="s">
        <v>171</v>
      </c>
      <c r="N259" s="167" t="s">
        <v>13</v>
      </c>
      <c r="O259" s="167" t="s">
        <v>1180</v>
      </c>
      <c r="P259" s="12" t="str">
        <f>_xlfn.DISPIMG("ID_DB5AD54F043740C8B3AEB4879C927DCC",1)</f>
        <v>=DISPIMG("ID_DB5AD54F043740C8B3AEB4879C927DCC",1)</v>
      </c>
      <c r="Q259" s="11" t="s">
        <v>1181</v>
      </c>
      <c r="R259" s="11">
        <v>124</v>
      </c>
      <c r="S259" s="17" t="s">
        <v>4556</v>
      </c>
      <c r="T259" s="18" t="s">
        <v>52</v>
      </c>
    </row>
    <row r="260" s="3" customFormat="1" customHeight="1" spans="1:20">
      <c r="A260" s="84">
        <v>18</v>
      </c>
      <c r="B260" s="177" t="s">
        <v>1184</v>
      </c>
      <c r="C260" s="167" t="s">
        <v>165</v>
      </c>
      <c r="D260" s="167" t="s">
        <v>1185</v>
      </c>
      <c r="E260" s="11">
        <v>18379170197</v>
      </c>
      <c r="F260" s="167" t="s">
        <v>156</v>
      </c>
      <c r="G260" s="167" t="s">
        <v>13</v>
      </c>
      <c r="H260" s="11">
        <v>202102003</v>
      </c>
      <c r="I260" s="167" t="s">
        <v>157</v>
      </c>
      <c r="J260" s="167" t="s">
        <v>197</v>
      </c>
      <c r="K260" s="167" t="s">
        <v>179</v>
      </c>
      <c r="L260" s="167" t="s">
        <v>160</v>
      </c>
      <c r="M260" s="167" t="s">
        <v>577</v>
      </c>
      <c r="N260" s="167" t="s">
        <v>1187</v>
      </c>
      <c r="O260" s="167" t="s">
        <v>1188</v>
      </c>
      <c r="P260" s="12" t="str">
        <f>_xlfn.DISPIMG("ID_CF1AB7C1F93745BDBA48E23E3B3C5BFF",1)</f>
        <v>=DISPIMG("ID_CF1AB7C1F93745BDBA48E23E3B3C5BFF",1)</v>
      </c>
      <c r="Q260" s="11" t="s">
        <v>1189</v>
      </c>
      <c r="R260" s="11">
        <v>125</v>
      </c>
      <c r="S260" s="17" t="s">
        <v>4557</v>
      </c>
      <c r="T260" s="18" t="s">
        <v>52</v>
      </c>
    </row>
    <row r="261" s="3" customFormat="1" customHeight="1" spans="1:20">
      <c r="A261" s="84">
        <v>19</v>
      </c>
      <c r="B261" s="177" t="s">
        <v>1192</v>
      </c>
      <c r="C261" s="167" t="s">
        <v>165</v>
      </c>
      <c r="D261" s="167" t="s">
        <v>1193</v>
      </c>
      <c r="E261" s="11">
        <v>18079223375</v>
      </c>
      <c r="F261" s="167" t="s">
        <v>156</v>
      </c>
      <c r="G261" s="167" t="s">
        <v>13</v>
      </c>
      <c r="H261" s="11">
        <v>202102003</v>
      </c>
      <c r="I261" s="167" t="s">
        <v>157</v>
      </c>
      <c r="J261" s="167" t="s">
        <v>233</v>
      </c>
      <c r="K261" s="167" t="s">
        <v>1195</v>
      </c>
      <c r="L261" s="167" t="s">
        <v>170</v>
      </c>
      <c r="M261" s="167" t="s">
        <v>587</v>
      </c>
      <c r="N261" s="167" t="s">
        <v>13</v>
      </c>
      <c r="O261" s="167" t="s">
        <v>1196</v>
      </c>
      <c r="P261" s="12" t="str">
        <f>_xlfn.DISPIMG("ID_1776A5AD18184E18978F80ADFFF4A0AF",1)</f>
        <v>=DISPIMG("ID_1776A5AD18184E18978F80ADFFF4A0AF",1)</v>
      </c>
      <c r="Q261" s="11" t="s">
        <v>1197</v>
      </c>
      <c r="R261" s="11">
        <v>126</v>
      </c>
      <c r="S261" s="17" t="s">
        <v>4558</v>
      </c>
      <c r="T261" s="18" t="s">
        <v>52</v>
      </c>
    </row>
    <row r="262" s="3" customFormat="1" customHeight="1" spans="1:20">
      <c r="A262" s="84">
        <v>20</v>
      </c>
      <c r="B262" s="177" t="s">
        <v>1210</v>
      </c>
      <c r="C262" s="167" t="s">
        <v>165</v>
      </c>
      <c r="D262" s="167" t="s">
        <v>1211</v>
      </c>
      <c r="E262" s="11">
        <v>18279901604</v>
      </c>
      <c r="F262" s="167" t="s">
        <v>156</v>
      </c>
      <c r="G262" s="167" t="s">
        <v>13</v>
      </c>
      <c r="H262" s="11">
        <v>202102003</v>
      </c>
      <c r="I262" s="167" t="s">
        <v>157</v>
      </c>
      <c r="J262" s="167" t="s">
        <v>1213</v>
      </c>
      <c r="K262" s="167" t="s">
        <v>1214</v>
      </c>
      <c r="L262" s="167" t="s">
        <v>160</v>
      </c>
      <c r="M262" s="167" t="s">
        <v>252</v>
      </c>
      <c r="N262" s="167" t="s">
        <v>13</v>
      </c>
      <c r="O262" s="11">
        <v>0</v>
      </c>
      <c r="P262" s="12" t="str">
        <f>_xlfn.DISPIMG("ID_FBB70D9010F74144B210C02BDB9CE6A1",1)</f>
        <v>=DISPIMG("ID_FBB70D9010F74144B210C02BDB9CE6A1",1)</v>
      </c>
      <c r="Q262" s="11" t="s">
        <v>1215</v>
      </c>
      <c r="R262" s="11">
        <v>128</v>
      </c>
      <c r="S262" s="17" t="s">
        <v>4559</v>
      </c>
      <c r="T262" s="18" t="s">
        <v>52</v>
      </c>
    </row>
    <row r="263" s="3" customFormat="1" customHeight="1" spans="1:20">
      <c r="A263" s="84">
        <v>21</v>
      </c>
      <c r="B263" s="177" t="s">
        <v>1270</v>
      </c>
      <c r="C263" s="167" t="s">
        <v>153</v>
      </c>
      <c r="D263" s="167" t="s">
        <v>1271</v>
      </c>
      <c r="E263" s="11">
        <v>18879347903</v>
      </c>
      <c r="F263" s="167" t="s">
        <v>156</v>
      </c>
      <c r="G263" s="167" t="s">
        <v>13</v>
      </c>
      <c r="H263" s="11">
        <v>202102003</v>
      </c>
      <c r="I263" s="167" t="s">
        <v>279</v>
      </c>
      <c r="J263" s="167" t="s">
        <v>1273</v>
      </c>
      <c r="K263" s="167" t="s">
        <v>223</v>
      </c>
      <c r="L263" s="167" t="s">
        <v>170</v>
      </c>
      <c r="M263" s="167" t="s">
        <v>548</v>
      </c>
      <c r="N263" s="167" t="s">
        <v>13</v>
      </c>
      <c r="O263" s="167" t="s">
        <v>1274</v>
      </c>
      <c r="P263" s="12" t="str">
        <f>_xlfn.DISPIMG("ID_DF04DBFB481D40418B898CD7AB20784A",1)</f>
        <v>=DISPIMG("ID_DF04DBFB481D40418B898CD7AB20784A",1)</v>
      </c>
      <c r="Q263" s="11" t="s">
        <v>1275</v>
      </c>
      <c r="R263" s="11">
        <v>136</v>
      </c>
      <c r="S263" s="17" t="s">
        <v>4560</v>
      </c>
      <c r="T263" s="18" t="s">
        <v>52</v>
      </c>
    </row>
    <row r="264" s="3" customFormat="1" customHeight="1" spans="1:20">
      <c r="A264" s="84">
        <v>22</v>
      </c>
      <c r="B264" s="177" t="s">
        <v>1311</v>
      </c>
      <c r="C264" s="167" t="s">
        <v>165</v>
      </c>
      <c r="D264" s="167" t="s">
        <v>1312</v>
      </c>
      <c r="E264" s="11">
        <v>13672224425</v>
      </c>
      <c r="F264" s="167" t="s">
        <v>156</v>
      </c>
      <c r="G264" s="167" t="s">
        <v>13</v>
      </c>
      <c r="H264" s="11">
        <v>202102003</v>
      </c>
      <c r="I264" s="167" t="s">
        <v>157</v>
      </c>
      <c r="J264" s="167" t="s">
        <v>697</v>
      </c>
      <c r="K264" s="167" t="s">
        <v>243</v>
      </c>
      <c r="L264" s="167" t="s">
        <v>160</v>
      </c>
      <c r="M264" s="167" t="s">
        <v>368</v>
      </c>
      <c r="N264" s="167" t="s">
        <v>13</v>
      </c>
      <c r="O264" s="167" t="s">
        <v>1314</v>
      </c>
      <c r="P264" s="12" t="str">
        <f>_xlfn.DISPIMG("ID_7D2290FD7009470AB45B6E90DB94AE0B",1)</f>
        <v>=DISPIMG("ID_7D2290FD7009470AB45B6E90DB94AE0B",1)</v>
      </c>
      <c r="Q264" s="11" t="s">
        <v>1315</v>
      </c>
      <c r="R264" s="11">
        <v>142</v>
      </c>
      <c r="S264" s="17" t="s">
        <v>4561</v>
      </c>
      <c r="T264" s="18" t="s">
        <v>52</v>
      </c>
    </row>
    <row r="265" s="3" customFormat="1" customHeight="1" spans="1:20">
      <c r="A265" s="84">
        <v>23</v>
      </c>
      <c r="B265" s="177" t="s">
        <v>1357</v>
      </c>
      <c r="C265" s="167" t="s">
        <v>165</v>
      </c>
      <c r="D265" s="167" t="s">
        <v>1358</v>
      </c>
      <c r="E265" s="11">
        <v>19977181836</v>
      </c>
      <c r="F265" s="167" t="s">
        <v>156</v>
      </c>
      <c r="G265" s="167" t="s">
        <v>13</v>
      </c>
      <c r="H265" s="11">
        <v>202102003</v>
      </c>
      <c r="I265" s="167" t="s">
        <v>157</v>
      </c>
      <c r="J265" s="167" t="s">
        <v>1360</v>
      </c>
      <c r="K265" s="167" t="s">
        <v>223</v>
      </c>
      <c r="L265" s="167" t="s">
        <v>170</v>
      </c>
      <c r="M265" s="167" t="s">
        <v>587</v>
      </c>
      <c r="N265" s="167" t="s">
        <v>1361</v>
      </c>
      <c r="O265" s="167" t="s">
        <v>1362</v>
      </c>
      <c r="P265" s="12" t="str">
        <f>_xlfn.DISPIMG("ID_F234455BC8F04A26B7C1140CBE7FB1F1",1)</f>
        <v>=DISPIMG("ID_F234455BC8F04A26B7C1140CBE7FB1F1",1)</v>
      </c>
      <c r="Q265" s="11" t="s">
        <v>1363</v>
      </c>
      <c r="R265" s="11">
        <v>148</v>
      </c>
      <c r="S265" s="17" t="s">
        <v>4562</v>
      </c>
      <c r="T265" s="18" t="s">
        <v>52</v>
      </c>
    </row>
    <row r="266" s="3" customFormat="1" customHeight="1" spans="1:20">
      <c r="A266" s="84">
        <v>24</v>
      </c>
      <c r="B266" s="177" t="s">
        <v>1463</v>
      </c>
      <c r="C266" s="167" t="s">
        <v>165</v>
      </c>
      <c r="D266" s="167" t="s">
        <v>1464</v>
      </c>
      <c r="E266" s="11">
        <v>18279171935</v>
      </c>
      <c r="F266" s="167" t="s">
        <v>156</v>
      </c>
      <c r="G266" s="167" t="s">
        <v>13</v>
      </c>
      <c r="H266" s="11">
        <v>202102003</v>
      </c>
      <c r="I266" s="167" t="s">
        <v>157</v>
      </c>
      <c r="J266" s="167" t="s">
        <v>1466</v>
      </c>
      <c r="K266" s="167" t="s">
        <v>179</v>
      </c>
      <c r="L266" s="167" t="s">
        <v>160</v>
      </c>
      <c r="M266" s="167" t="s">
        <v>281</v>
      </c>
      <c r="N266" s="167" t="s">
        <v>1467</v>
      </c>
      <c r="O266" s="167" t="s">
        <v>1468</v>
      </c>
      <c r="P266" s="12" t="str">
        <f>_xlfn.DISPIMG("ID_050656778A6D494197B2CC367B7C8BBA",1)</f>
        <v>=DISPIMG("ID_050656778A6D494197B2CC367B7C8BBA",1)</v>
      </c>
      <c r="Q266" s="11" t="s">
        <v>1469</v>
      </c>
      <c r="R266" s="11">
        <v>162</v>
      </c>
      <c r="S266" s="17" t="s">
        <v>4563</v>
      </c>
      <c r="T266" s="18" t="s">
        <v>52</v>
      </c>
    </row>
    <row r="267" s="3" customFormat="1" customHeight="1" spans="1:20">
      <c r="A267" s="84">
        <v>25</v>
      </c>
      <c r="B267" s="177" t="s">
        <v>1477</v>
      </c>
      <c r="C267" s="167" t="s">
        <v>153</v>
      </c>
      <c r="D267" s="167" t="s">
        <v>1478</v>
      </c>
      <c r="E267" s="11">
        <v>15779705216</v>
      </c>
      <c r="F267" s="167" t="s">
        <v>156</v>
      </c>
      <c r="G267" s="167" t="s">
        <v>13</v>
      </c>
      <c r="H267" s="11">
        <v>202102003</v>
      </c>
      <c r="I267" s="167" t="s">
        <v>157</v>
      </c>
      <c r="J267" s="167" t="s">
        <v>1480</v>
      </c>
      <c r="K267" s="167" t="s">
        <v>1481</v>
      </c>
      <c r="L267" s="167" t="s">
        <v>160</v>
      </c>
      <c r="M267" s="167" t="s">
        <v>235</v>
      </c>
      <c r="N267" s="167" t="s">
        <v>13</v>
      </c>
      <c r="O267" s="167" t="s">
        <v>1482</v>
      </c>
      <c r="P267" s="12" t="str">
        <f>_xlfn.DISPIMG("ID_7EA9DB823A764F28A536B4FEC9EB2A2B",1)</f>
        <v>=DISPIMG("ID_7EA9DB823A764F28A536B4FEC9EB2A2B",1)</v>
      </c>
      <c r="Q267" s="11" t="s">
        <v>1483</v>
      </c>
      <c r="R267" s="11">
        <v>164</v>
      </c>
      <c r="S267" s="17" t="s">
        <v>4564</v>
      </c>
      <c r="T267" s="18" t="s">
        <v>52</v>
      </c>
    </row>
    <row r="268" s="3" customFormat="1" customHeight="1" spans="1:20">
      <c r="A268" s="84">
        <v>26</v>
      </c>
      <c r="B268" s="177" t="s">
        <v>1486</v>
      </c>
      <c r="C268" s="167" t="s">
        <v>165</v>
      </c>
      <c r="D268" s="167" t="s">
        <v>1487</v>
      </c>
      <c r="E268" s="11">
        <v>13979859802</v>
      </c>
      <c r="F268" s="167" t="s">
        <v>156</v>
      </c>
      <c r="G268" s="167" t="s">
        <v>13</v>
      </c>
      <c r="H268" s="11">
        <v>202102003</v>
      </c>
      <c r="I268" s="167" t="s">
        <v>157</v>
      </c>
      <c r="J268" s="167" t="s">
        <v>233</v>
      </c>
      <c r="K268" s="167" t="s">
        <v>1489</v>
      </c>
      <c r="L268" s="167" t="s">
        <v>170</v>
      </c>
      <c r="M268" s="167" t="s">
        <v>1490</v>
      </c>
      <c r="N268" s="167" t="s">
        <v>1491</v>
      </c>
      <c r="O268" s="167" t="s">
        <v>1492</v>
      </c>
      <c r="P268" s="12" t="str">
        <f>_xlfn.DISPIMG("ID_8C3008D7D3C74B79A4E1698AF4E9725F",1)</f>
        <v>=DISPIMG("ID_8C3008D7D3C74B79A4E1698AF4E9725F",1)</v>
      </c>
      <c r="Q268" s="11" t="s">
        <v>1493</v>
      </c>
      <c r="R268" s="11">
        <v>165</v>
      </c>
      <c r="S268" s="17" t="s">
        <v>4565</v>
      </c>
      <c r="T268" s="18" t="s">
        <v>52</v>
      </c>
    </row>
    <row r="269" s="3" customFormat="1" customHeight="1" spans="1:20">
      <c r="A269" s="84">
        <v>27</v>
      </c>
      <c r="B269" s="177" t="s">
        <v>1503</v>
      </c>
      <c r="C269" s="167" t="s">
        <v>165</v>
      </c>
      <c r="D269" s="167" t="s">
        <v>1504</v>
      </c>
      <c r="E269" s="11">
        <v>15070911038</v>
      </c>
      <c r="F269" s="167" t="s">
        <v>156</v>
      </c>
      <c r="G269" s="167" t="s">
        <v>13</v>
      </c>
      <c r="H269" s="11">
        <v>202102003</v>
      </c>
      <c r="I269" s="167" t="s">
        <v>157</v>
      </c>
      <c r="J269" s="167" t="s">
        <v>827</v>
      </c>
      <c r="K269" s="167" t="s">
        <v>223</v>
      </c>
      <c r="L269" s="167" t="s">
        <v>170</v>
      </c>
      <c r="M269" s="167" t="s">
        <v>180</v>
      </c>
      <c r="N269" s="167" t="s">
        <v>1506</v>
      </c>
      <c r="O269" s="167" t="s">
        <v>1507</v>
      </c>
      <c r="P269" s="12" t="str">
        <f>_xlfn.DISPIMG("ID_ADCECB4C3BFF4D9FA761F0B3617DDB20",1)</f>
        <v>=DISPIMG("ID_ADCECB4C3BFF4D9FA761F0B3617DDB20",1)</v>
      </c>
      <c r="Q269" s="11" t="s">
        <v>1508</v>
      </c>
      <c r="R269" s="11">
        <v>167</v>
      </c>
      <c r="S269" s="17" t="s">
        <v>4566</v>
      </c>
      <c r="T269" s="18" t="s">
        <v>52</v>
      </c>
    </row>
    <row r="270" s="3" customFormat="1" customHeight="1" spans="1:20">
      <c r="A270" s="84">
        <v>28</v>
      </c>
      <c r="B270" s="177" t="s">
        <v>1528</v>
      </c>
      <c r="C270" s="167" t="s">
        <v>165</v>
      </c>
      <c r="D270" s="167" t="s">
        <v>1529</v>
      </c>
      <c r="E270" s="11">
        <v>13247705960</v>
      </c>
      <c r="F270" s="167" t="s">
        <v>156</v>
      </c>
      <c r="G270" s="167" t="s">
        <v>13</v>
      </c>
      <c r="H270" s="11">
        <v>202102003</v>
      </c>
      <c r="I270" s="167" t="s">
        <v>157</v>
      </c>
      <c r="J270" s="167" t="s">
        <v>385</v>
      </c>
      <c r="K270" s="167" t="s">
        <v>179</v>
      </c>
      <c r="L270" s="167" t="s">
        <v>160</v>
      </c>
      <c r="M270" s="167" t="s">
        <v>548</v>
      </c>
      <c r="N270" s="167" t="s">
        <v>25</v>
      </c>
      <c r="O270" s="167" t="s">
        <v>1531</v>
      </c>
      <c r="P270" s="12" t="str">
        <f>_xlfn.DISPIMG("ID_8A933BECC5A94F3D8B394A9689736C52",1)</f>
        <v>=DISPIMG("ID_8A933BECC5A94F3D8B394A9689736C52",1)</v>
      </c>
      <c r="Q270" s="11" t="s">
        <v>1532</v>
      </c>
      <c r="R270" s="11">
        <v>170</v>
      </c>
      <c r="S270" s="17" t="s">
        <v>4567</v>
      </c>
      <c r="T270" s="18" t="s">
        <v>52</v>
      </c>
    </row>
    <row r="271" s="3" customFormat="1" customHeight="1" spans="1:20">
      <c r="A271" s="84">
        <v>29</v>
      </c>
      <c r="B271" s="177" t="s">
        <v>1643</v>
      </c>
      <c r="C271" s="167" t="s">
        <v>153</v>
      </c>
      <c r="D271" s="167" t="s">
        <v>1644</v>
      </c>
      <c r="E271" s="11">
        <v>18351336229</v>
      </c>
      <c r="F271" s="167" t="s">
        <v>156</v>
      </c>
      <c r="G271" s="167" t="s">
        <v>13</v>
      </c>
      <c r="H271" s="11">
        <v>202102003</v>
      </c>
      <c r="I271" s="167" t="s">
        <v>157</v>
      </c>
      <c r="J271" s="167" t="s">
        <v>1646</v>
      </c>
      <c r="K271" s="167" t="s">
        <v>1647</v>
      </c>
      <c r="L271" s="167" t="s">
        <v>160</v>
      </c>
      <c r="M271" s="167" t="s">
        <v>261</v>
      </c>
      <c r="N271" s="167" t="s">
        <v>1506</v>
      </c>
      <c r="O271" s="11">
        <v>0</v>
      </c>
      <c r="P271" s="12" t="str">
        <f>_xlfn.DISPIMG("ID_B4AD11310DDA4138B05F8034BA3D88DD",1)</f>
        <v>=DISPIMG("ID_B4AD11310DDA4138B05F8034BA3D88DD",1)</v>
      </c>
      <c r="Q271" s="11" t="s">
        <v>1648</v>
      </c>
      <c r="R271" s="11">
        <v>185</v>
      </c>
      <c r="S271" s="17" t="s">
        <v>4568</v>
      </c>
      <c r="T271" s="18" t="s">
        <v>52</v>
      </c>
    </row>
    <row r="272" s="3" customFormat="1" customHeight="1" spans="1:20">
      <c r="A272" s="84">
        <v>30</v>
      </c>
      <c r="B272" s="177" t="s">
        <v>1651</v>
      </c>
      <c r="C272" s="167" t="s">
        <v>165</v>
      </c>
      <c r="D272" s="167" t="s">
        <v>1652</v>
      </c>
      <c r="E272" s="11">
        <v>15870862742</v>
      </c>
      <c r="F272" s="167" t="s">
        <v>156</v>
      </c>
      <c r="G272" s="167" t="s">
        <v>13</v>
      </c>
      <c r="H272" s="11">
        <v>202102003</v>
      </c>
      <c r="I272" s="167" t="s">
        <v>157</v>
      </c>
      <c r="J272" s="167" t="s">
        <v>1654</v>
      </c>
      <c r="K272" s="167" t="s">
        <v>179</v>
      </c>
      <c r="L272" s="167" t="s">
        <v>160</v>
      </c>
      <c r="M272" s="167" t="s">
        <v>235</v>
      </c>
      <c r="N272" s="167" t="s">
        <v>13</v>
      </c>
      <c r="O272" s="11">
        <v>0</v>
      </c>
      <c r="P272" s="12" t="str">
        <f>_xlfn.DISPIMG("ID_3972EE6FED8B40BFAB5CECB7F30981FD",1)</f>
        <v>=DISPIMG("ID_3972EE6FED8B40BFAB5CECB7F30981FD",1)</v>
      </c>
      <c r="Q272" s="11" t="s">
        <v>1655</v>
      </c>
      <c r="R272" s="11">
        <v>186</v>
      </c>
      <c r="S272" s="17" t="s">
        <v>4569</v>
      </c>
      <c r="T272" s="18" t="s">
        <v>52</v>
      </c>
    </row>
    <row r="273" s="3" customFormat="1" customHeight="1" spans="1:20">
      <c r="A273" s="84">
        <v>1</v>
      </c>
      <c r="B273" s="177" t="s">
        <v>1715</v>
      </c>
      <c r="C273" s="167" t="s">
        <v>165</v>
      </c>
      <c r="D273" s="167" t="s">
        <v>1716</v>
      </c>
      <c r="E273" s="11">
        <v>15070075457</v>
      </c>
      <c r="F273" s="167" t="s">
        <v>156</v>
      </c>
      <c r="G273" s="167" t="s">
        <v>13</v>
      </c>
      <c r="H273" s="11">
        <v>202102003</v>
      </c>
      <c r="I273" s="167" t="s">
        <v>157</v>
      </c>
      <c r="J273" s="167" t="s">
        <v>1718</v>
      </c>
      <c r="K273" s="167" t="s">
        <v>1195</v>
      </c>
      <c r="L273" s="167" t="s">
        <v>170</v>
      </c>
      <c r="M273" s="167" t="s">
        <v>281</v>
      </c>
      <c r="N273" s="167" t="s">
        <v>13</v>
      </c>
      <c r="O273" s="167" t="s">
        <v>1719</v>
      </c>
      <c r="P273" s="12" t="str">
        <f>_xlfn.DISPIMG("ID_33BA8978EFEE4AA59909527B43B2E1C1",1)</f>
        <v>=DISPIMG("ID_33BA8978EFEE4AA59909527B43B2E1C1",1)</v>
      </c>
      <c r="Q273" s="11" t="s">
        <v>1720</v>
      </c>
      <c r="R273" s="11">
        <v>194</v>
      </c>
      <c r="S273" s="17" t="s">
        <v>4570</v>
      </c>
      <c r="T273" s="18" t="s">
        <v>54</v>
      </c>
    </row>
    <row r="274" s="3" customFormat="1" customHeight="1" spans="1:20">
      <c r="A274" s="84">
        <v>2</v>
      </c>
      <c r="B274" s="177" t="s">
        <v>1759</v>
      </c>
      <c r="C274" s="167" t="s">
        <v>165</v>
      </c>
      <c r="D274" s="167" t="s">
        <v>1760</v>
      </c>
      <c r="E274" s="11">
        <v>13450834436</v>
      </c>
      <c r="F274" s="167" t="s">
        <v>156</v>
      </c>
      <c r="G274" s="167" t="s">
        <v>13</v>
      </c>
      <c r="H274" s="11">
        <v>202102003</v>
      </c>
      <c r="I274" s="167" t="s">
        <v>279</v>
      </c>
      <c r="J274" s="167" t="s">
        <v>158</v>
      </c>
      <c r="K274" s="167" t="s">
        <v>298</v>
      </c>
      <c r="L274" s="167" t="s">
        <v>160</v>
      </c>
      <c r="M274" s="167" t="s">
        <v>910</v>
      </c>
      <c r="N274" s="167" t="s">
        <v>13</v>
      </c>
      <c r="O274" s="167" t="s">
        <v>1762</v>
      </c>
      <c r="P274" s="12" t="str">
        <f>_xlfn.DISPIMG("ID_6061453C50E94D60AD50D7D119779DE5",1)</f>
        <v>=DISPIMG("ID_6061453C50E94D60AD50D7D119779DE5",1)</v>
      </c>
      <c r="Q274" s="11" t="s">
        <v>1763</v>
      </c>
      <c r="R274" s="11">
        <v>200</v>
      </c>
      <c r="S274" s="17" t="s">
        <v>4571</v>
      </c>
      <c r="T274" s="18" t="s">
        <v>54</v>
      </c>
    </row>
    <row r="275" s="3" customFormat="1" customHeight="1" spans="1:20">
      <c r="A275" s="84">
        <v>3</v>
      </c>
      <c r="B275" s="177" t="s">
        <v>1781</v>
      </c>
      <c r="C275" s="167" t="s">
        <v>165</v>
      </c>
      <c r="D275" s="167" t="s">
        <v>1782</v>
      </c>
      <c r="E275" s="11">
        <v>18379139309</v>
      </c>
      <c r="F275" s="167" t="s">
        <v>156</v>
      </c>
      <c r="G275" s="167" t="s">
        <v>13</v>
      </c>
      <c r="H275" s="11">
        <v>202102003</v>
      </c>
      <c r="I275" s="167" t="s">
        <v>157</v>
      </c>
      <c r="J275" s="167" t="s">
        <v>1784</v>
      </c>
      <c r="K275" s="167" t="s">
        <v>243</v>
      </c>
      <c r="L275" s="167" t="s">
        <v>160</v>
      </c>
      <c r="M275" s="167" t="s">
        <v>516</v>
      </c>
      <c r="N275" s="167" t="s">
        <v>25</v>
      </c>
      <c r="O275" s="167" t="s">
        <v>1785</v>
      </c>
      <c r="P275" s="12" t="str">
        <f>_xlfn.DISPIMG("ID_FAA9DF7D97144F66A8EC0127C6ABD49F",1)</f>
        <v>=DISPIMG("ID_FAA9DF7D97144F66A8EC0127C6ABD49F",1)</v>
      </c>
      <c r="Q275" s="11" t="s">
        <v>1786</v>
      </c>
      <c r="R275" s="11">
        <v>203</v>
      </c>
      <c r="S275" s="17" t="s">
        <v>4572</v>
      </c>
      <c r="T275" s="18" t="s">
        <v>54</v>
      </c>
    </row>
    <row r="276" s="3" customFormat="1" customHeight="1" spans="1:20">
      <c r="A276" s="84">
        <v>4</v>
      </c>
      <c r="B276" s="177" t="s">
        <v>1868</v>
      </c>
      <c r="C276" s="167" t="s">
        <v>165</v>
      </c>
      <c r="D276" s="167" t="s">
        <v>1869</v>
      </c>
      <c r="E276" s="11">
        <v>18270285866</v>
      </c>
      <c r="F276" s="167" t="s">
        <v>156</v>
      </c>
      <c r="G276" s="167" t="s">
        <v>13</v>
      </c>
      <c r="H276" s="11">
        <v>202102003</v>
      </c>
      <c r="I276" s="167" t="s">
        <v>157</v>
      </c>
      <c r="J276" s="167" t="s">
        <v>697</v>
      </c>
      <c r="K276" s="167" t="s">
        <v>179</v>
      </c>
      <c r="L276" s="167" t="s">
        <v>160</v>
      </c>
      <c r="M276" s="167" t="s">
        <v>161</v>
      </c>
      <c r="N276" s="167" t="s">
        <v>13</v>
      </c>
      <c r="O276" s="167" t="s">
        <v>1871</v>
      </c>
      <c r="P276" s="12" t="str">
        <f>_xlfn.DISPIMG("ID_8FA08A92AF314DECB56C8C1E101E9B2E",1)</f>
        <v>=DISPIMG("ID_8FA08A92AF314DECB56C8C1E101E9B2E",1)</v>
      </c>
      <c r="Q276" s="11" t="s">
        <v>1872</v>
      </c>
      <c r="R276" s="11">
        <v>214</v>
      </c>
      <c r="S276" s="17" t="s">
        <v>4573</v>
      </c>
      <c r="T276" s="18" t="s">
        <v>54</v>
      </c>
    </row>
    <row r="277" s="3" customFormat="1" customHeight="1" spans="1:20">
      <c r="A277" s="84">
        <v>5</v>
      </c>
      <c r="B277" s="177" t="s">
        <v>1890</v>
      </c>
      <c r="C277" s="167" t="s">
        <v>165</v>
      </c>
      <c r="D277" s="167" t="s">
        <v>1891</v>
      </c>
      <c r="E277" s="11">
        <v>18770267494</v>
      </c>
      <c r="F277" s="167" t="s">
        <v>156</v>
      </c>
      <c r="G277" s="167" t="s">
        <v>13</v>
      </c>
      <c r="H277" s="11">
        <v>202102003</v>
      </c>
      <c r="I277" s="167" t="s">
        <v>157</v>
      </c>
      <c r="J277" s="167" t="s">
        <v>646</v>
      </c>
      <c r="K277" s="167" t="s">
        <v>179</v>
      </c>
      <c r="L277" s="167" t="s">
        <v>160</v>
      </c>
      <c r="M277" s="167" t="s">
        <v>161</v>
      </c>
      <c r="N277" s="167" t="s">
        <v>25</v>
      </c>
      <c r="O277" s="167" t="s">
        <v>1893</v>
      </c>
      <c r="P277" s="12" t="str">
        <f>_xlfn.DISPIMG("ID_E3FEEF4304AD40319195B6CB72FAB7DA",1)</f>
        <v>=DISPIMG("ID_E3FEEF4304AD40319195B6CB72FAB7DA",1)</v>
      </c>
      <c r="Q277" s="11" t="s">
        <v>1894</v>
      </c>
      <c r="R277" s="11">
        <v>217</v>
      </c>
      <c r="S277" s="17" t="s">
        <v>4574</v>
      </c>
      <c r="T277" s="18" t="s">
        <v>54</v>
      </c>
    </row>
    <row r="278" s="3" customFormat="1" customHeight="1" spans="1:20">
      <c r="A278" s="84">
        <v>6</v>
      </c>
      <c r="B278" s="177" t="s">
        <v>1925</v>
      </c>
      <c r="C278" s="167" t="s">
        <v>165</v>
      </c>
      <c r="D278" s="167" t="s">
        <v>1926</v>
      </c>
      <c r="E278" s="11">
        <v>18000203663</v>
      </c>
      <c r="F278" s="167" t="s">
        <v>156</v>
      </c>
      <c r="G278" s="167" t="s">
        <v>13</v>
      </c>
      <c r="H278" s="11">
        <v>202102003</v>
      </c>
      <c r="I278" s="167" t="s">
        <v>157</v>
      </c>
      <c r="J278" s="167" t="s">
        <v>611</v>
      </c>
      <c r="K278" s="167" t="s">
        <v>179</v>
      </c>
      <c r="L278" s="167" t="s">
        <v>160</v>
      </c>
      <c r="M278" s="167" t="s">
        <v>281</v>
      </c>
      <c r="N278" s="167" t="s">
        <v>13</v>
      </c>
      <c r="O278" s="167" t="s">
        <v>1928</v>
      </c>
      <c r="P278" s="12" t="str">
        <f>_xlfn.DISPIMG("ID_F763BF131F364181A17D865B8B797D97",1)</f>
        <v>=DISPIMG("ID_F763BF131F364181A17D865B8B797D97",1)</v>
      </c>
      <c r="Q278" s="11" t="s">
        <v>1929</v>
      </c>
      <c r="R278" s="11">
        <v>222</v>
      </c>
      <c r="S278" s="17" t="s">
        <v>4575</v>
      </c>
      <c r="T278" s="18" t="s">
        <v>54</v>
      </c>
    </row>
    <row r="279" s="3" customFormat="1" customHeight="1" spans="1:20">
      <c r="A279" s="84">
        <v>7</v>
      </c>
      <c r="B279" s="177" t="s">
        <v>1997</v>
      </c>
      <c r="C279" s="167" t="s">
        <v>165</v>
      </c>
      <c r="D279" s="167" t="s">
        <v>1998</v>
      </c>
      <c r="E279" s="11">
        <v>15270177023</v>
      </c>
      <c r="F279" s="167" t="s">
        <v>156</v>
      </c>
      <c r="G279" s="167" t="s">
        <v>13</v>
      </c>
      <c r="H279" s="11">
        <v>202102003</v>
      </c>
      <c r="I279" s="167" t="s">
        <v>157</v>
      </c>
      <c r="J279" s="167" t="s">
        <v>158</v>
      </c>
      <c r="K279" s="167" t="s">
        <v>2000</v>
      </c>
      <c r="L279" s="167" t="s">
        <v>160</v>
      </c>
      <c r="M279" s="167" t="s">
        <v>161</v>
      </c>
      <c r="N279" s="167" t="s">
        <v>13</v>
      </c>
      <c r="O279" s="11">
        <v>0</v>
      </c>
      <c r="P279" s="12" t="str">
        <f>_xlfn.DISPIMG("ID_08A4D05852A0412E805E12227EDF1C33",1)</f>
        <v>=DISPIMG("ID_08A4D05852A0412E805E12227EDF1C33",1)</v>
      </c>
      <c r="Q279" s="11" t="s">
        <v>2001</v>
      </c>
      <c r="R279" s="11">
        <v>232</v>
      </c>
      <c r="S279" s="17" t="s">
        <v>4576</v>
      </c>
      <c r="T279" s="18" t="s">
        <v>54</v>
      </c>
    </row>
    <row r="280" s="3" customFormat="1" customHeight="1" spans="1:20">
      <c r="A280" s="84">
        <v>8</v>
      </c>
      <c r="B280" s="177" t="s">
        <v>2012</v>
      </c>
      <c r="C280" s="167" t="s">
        <v>165</v>
      </c>
      <c r="D280" s="167" t="s">
        <v>2013</v>
      </c>
      <c r="E280" s="11">
        <v>18970612776</v>
      </c>
      <c r="F280" s="167" t="s">
        <v>156</v>
      </c>
      <c r="G280" s="167" t="s">
        <v>13</v>
      </c>
      <c r="H280" s="11">
        <v>202102003</v>
      </c>
      <c r="I280" s="167" t="s">
        <v>279</v>
      </c>
      <c r="J280" s="167" t="s">
        <v>2015</v>
      </c>
      <c r="K280" s="167" t="s">
        <v>223</v>
      </c>
      <c r="L280" s="167" t="s">
        <v>170</v>
      </c>
      <c r="M280" s="167" t="s">
        <v>216</v>
      </c>
      <c r="N280" s="167" t="s">
        <v>2016</v>
      </c>
      <c r="O280" s="167" t="s">
        <v>2017</v>
      </c>
      <c r="P280" s="12" t="str">
        <f>_xlfn.DISPIMG("ID_DBB8A81F2D854EDC847C805211582887",1)</f>
        <v>=DISPIMG("ID_DBB8A81F2D854EDC847C805211582887",1)</v>
      </c>
      <c r="Q280" s="11" t="s">
        <v>2018</v>
      </c>
      <c r="R280" s="11">
        <v>234</v>
      </c>
      <c r="S280" s="17" t="s">
        <v>4577</v>
      </c>
      <c r="T280" s="18" t="s">
        <v>54</v>
      </c>
    </row>
    <row r="281" s="3" customFormat="1" customHeight="1" spans="1:20">
      <c r="A281" s="84">
        <v>9</v>
      </c>
      <c r="B281" s="177" t="s">
        <v>2020</v>
      </c>
      <c r="C281" s="167" t="s">
        <v>165</v>
      </c>
      <c r="D281" s="167" t="s">
        <v>2021</v>
      </c>
      <c r="E281" s="11">
        <v>13607094902</v>
      </c>
      <c r="F281" s="167" t="s">
        <v>506</v>
      </c>
      <c r="G281" s="167" t="s">
        <v>13</v>
      </c>
      <c r="H281" s="11">
        <v>202102016</v>
      </c>
      <c r="I281" s="167" t="s">
        <v>157</v>
      </c>
      <c r="J281" s="167" t="s">
        <v>2015</v>
      </c>
      <c r="K281" s="167" t="s">
        <v>179</v>
      </c>
      <c r="L281" s="167" t="s">
        <v>170</v>
      </c>
      <c r="M281" s="167" t="s">
        <v>2023</v>
      </c>
      <c r="N281" s="167" t="s">
        <v>13</v>
      </c>
      <c r="O281" s="167" t="s">
        <v>2024</v>
      </c>
      <c r="P281" s="12" t="str">
        <f>_xlfn.DISPIMG("ID_391065F92F2843D5ABEC64E49971BF9B",1)</f>
        <v>=DISPIMG("ID_391065F92F2843D5ABEC64E49971BF9B",1)</v>
      </c>
      <c r="Q281" s="11" t="s">
        <v>2025</v>
      </c>
      <c r="R281" s="11">
        <v>235</v>
      </c>
      <c r="S281" s="17" t="s">
        <v>4578</v>
      </c>
      <c r="T281" s="18" t="s">
        <v>54</v>
      </c>
    </row>
    <row r="282" s="3" customFormat="1" customHeight="1" spans="1:20">
      <c r="A282" s="84">
        <v>10</v>
      </c>
      <c r="B282" s="177" t="s">
        <v>2090</v>
      </c>
      <c r="C282" s="167" t="s">
        <v>153</v>
      </c>
      <c r="D282" s="167" t="s">
        <v>2091</v>
      </c>
      <c r="E282" s="11">
        <v>18079635877</v>
      </c>
      <c r="F282" s="167" t="s">
        <v>156</v>
      </c>
      <c r="G282" s="167" t="s">
        <v>13</v>
      </c>
      <c r="H282" s="11">
        <v>202102003</v>
      </c>
      <c r="I282" s="167" t="s">
        <v>157</v>
      </c>
      <c r="J282" s="167" t="s">
        <v>507</v>
      </c>
      <c r="K282" s="167" t="s">
        <v>2093</v>
      </c>
      <c r="L282" s="167" t="s">
        <v>160</v>
      </c>
      <c r="M282" s="167" t="s">
        <v>281</v>
      </c>
      <c r="N282" s="167" t="s">
        <v>25</v>
      </c>
      <c r="O282" s="167" t="s">
        <v>2094</v>
      </c>
      <c r="P282" s="12" t="str">
        <f>_xlfn.DISPIMG("ID_C4F6E9DAFE344DCCAABCAAE0A2F04564",1)</f>
        <v>=DISPIMG("ID_C4F6E9DAFE344DCCAABCAAE0A2F04564",1)</v>
      </c>
      <c r="Q282" s="11" t="s">
        <v>2095</v>
      </c>
      <c r="R282" s="11">
        <v>244</v>
      </c>
      <c r="S282" s="17" t="s">
        <v>4579</v>
      </c>
      <c r="T282" s="18" t="s">
        <v>54</v>
      </c>
    </row>
    <row r="283" s="3" customFormat="1" customHeight="1" spans="1:20">
      <c r="A283" s="84">
        <v>11</v>
      </c>
      <c r="B283" s="177" t="s">
        <v>2113</v>
      </c>
      <c r="C283" s="167" t="s">
        <v>165</v>
      </c>
      <c r="D283" s="167" t="s">
        <v>2114</v>
      </c>
      <c r="E283" s="11">
        <v>18779262393</v>
      </c>
      <c r="F283" s="167" t="s">
        <v>156</v>
      </c>
      <c r="G283" s="167" t="s">
        <v>13</v>
      </c>
      <c r="H283" s="11">
        <v>202102003</v>
      </c>
      <c r="I283" s="167" t="s">
        <v>157</v>
      </c>
      <c r="J283" s="167" t="s">
        <v>168</v>
      </c>
      <c r="K283" s="167" t="s">
        <v>179</v>
      </c>
      <c r="L283" s="167" t="s">
        <v>170</v>
      </c>
      <c r="M283" s="167" t="s">
        <v>261</v>
      </c>
      <c r="N283" s="167" t="s">
        <v>13</v>
      </c>
      <c r="O283" s="167" t="s">
        <v>2116</v>
      </c>
      <c r="P283" s="12" t="str">
        <f>_xlfn.DISPIMG("ID_FD96452CC72B491AA69A0DC966FE8814",1)</f>
        <v>=DISPIMG("ID_FD96452CC72B491AA69A0DC966FE8814",1)</v>
      </c>
      <c r="Q283" s="11" t="s">
        <v>2117</v>
      </c>
      <c r="R283" s="11">
        <v>247</v>
      </c>
      <c r="S283" s="17" t="s">
        <v>4580</v>
      </c>
      <c r="T283" s="18" t="s">
        <v>54</v>
      </c>
    </row>
    <row r="284" s="3" customFormat="1" customHeight="1" spans="1:20">
      <c r="A284" s="84">
        <v>12</v>
      </c>
      <c r="B284" s="177" t="s">
        <v>2120</v>
      </c>
      <c r="C284" s="167" t="s">
        <v>165</v>
      </c>
      <c r="D284" s="167" t="s">
        <v>2121</v>
      </c>
      <c r="E284" s="11">
        <v>15070693643</v>
      </c>
      <c r="F284" s="167" t="s">
        <v>156</v>
      </c>
      <c r="G284" s="167" t="s">
        <v>13</v>
      </c>
      <c r="H284" s="11">
        <v>202102003</v>
      </c>
      <c r="I284" s="167" t="s">
        <v>157</v>
      </c>
      <c r="J284" s="167" t="s">
        <v>197</v>
      </c>
      <c r="K284" s="167" t="s">
        <v>179</v>
      </c>
      <c r="L284" s="167" t="s">
        <v>160</v>
      </c>
      <c r="M284" s="167" t="s">
        <v>455</v>
      </c>
      <c r="N284" s="167" t="s">
        <v>225</v>
      </c>
      <c r="O284" s="11">
        <v>0</v>
      </c>
      <c r="P284" s="12" t="str">
        <f>_xlfn.DISPIMG("ID_BB45129897024B4183D09C0AA547B197",1)</f>
        <v>=DISPIMG("ID_BB45129897024B4183D09C0AA547B197",1)</v>
      </c>
      <c r="Q284" s="11" t="s">
        <v>2123</v>
      </c>
      <c r="R284" s="11">
        <v>248</v>
      </c>
      <c r="S284" s="17" t="s">
        <v>4581</v>
      </c>
      <c r="T284" s="18" t="s">
        <v>54</v>
      </c>
    </row>
    <row r="285" s="3" customFormat="1" customHeight="1" spans="1:20">
      <c r="A285" s="84">
        <v>13</v>
      </c>
      <c r="B285" s="177" t="s">
        <v>2140</v>
      </c>
      <c r="C285" s="167" t="s">
        <v>165</v>
      </c>
      <c r="D285" s="167" t="s">
        <v>2141</v>
      </c>
      <c r="E285" s="11">
        <v>13576909746</v>
      </c>
      <c r="F285" s="167" t="s">
        <v>156</v>
      </c>
      <c r="G285" s="167" t="s">
        <v>13</v>
      </c>
      <c r="H285" s="11">
        <v>202102003</v>
      </c>
      <c r="I285" s="167" t="s">
        <v>157</v>
      </c>
      <c r="J285" s="167" t="s">
        <v>540</v>
      </c>
      <c r="K285" s="167" t="s">
        <v>298</v>
      </c>
      <c r="L285" s="167" t="s">
        <v>160</v>
      </c>
      <c r="M285" s="167" t="s">
        <v>180</v>
      </c>
      <c r="N285" s="167" t="s">
        <v>13</v>
      </c>
      <c r="O285" s="167" t="s">
        <v>2143</v>
      </c>
      <c r="P285" s="12" t="str">
        <f>_xlfn.DISPIMG("ID_5B22FFE3C77C4E8C9BD243D72EC649E2",1)</f>
        <v>=DISPIMG("ID_5B22FFE3C77C4E8C9BD243D72EC649E2",1)</v>
      </c>
      <c r="Q285" s="11" t="s">
        <v>2144</v>
      </c>
      <c r="R285" s="11">
        <v>251</v>
      </c>
      <c r="S285" s="17" t="s">
        <v>4582</v>
      </c>
      <c r="T285" s="18" t="s">
        <v>54</v>
      </c>
    </row>
    <row r="286" s="3" customFormat="1" customHeight="1" spans="1:20">
      <c r="A286" s="84">
        <v>14</v>
      </c>
      <c r="B286" s="177" t="s">
        <v>2147</v>
      </c>
      <c r="C286" s="167" t="s">
        <v>165</v>
      </c>
      <c r="D286" s="167" t="s">
        <v>2148</v>
      </c>
      <c r="E286" s="11">
        <v>18870849075</v>
      </c>
      <c r="F286" s="167" t="s">
        <v>156</v>
      </c>
      <c r="G286" s="167" t="s">
        <v>13</v>
      </c>
      <c r="H286" s="11">
        <v>202102003</v>
      </c>
      <c r="I286" s="167" t="s">
        <v>157</v>
      </c>
      <c r="J286" s="167" t="s">
        <v>2150</v>
      </c>
      <c r="K286" s="167" t="s">
        <v>1832</v>
      </c>
      <c r="L286" s="167" t="s">
        <v>160</v>
      </c>
      <c r="M286" s="167" t="s">
        <v>2151</v>
      </c>
      <c r="N286" s="167" t="s">
        <v>13</v>
      </c>
      <c r="O286" s="167" t="s">
        <v>2152</v>
      </c>
      <c r="P286" s="12" t="str">
        <f>_xlfn.DISPIMG("ID_AE861B6E26D2460C9E654A52BE43B6F4",1)</f>
        <v>=DISPIMG("ID_AE861B6E26D2460C9E654A52BE43B6F4",1)</v>
      </c>
      <c r="Q286" s="11" t="s">
        <v>2153</v>
      </c>
      <c r="R286" s="11">
        <v>252</v>
      </c>
      <c r="S286" s="17" t="s">
        <v>4583</v>
      </c>
      <c r="T286" s="18" t="s">
        <v>54</v>
      </c>
    </row>
    <row r="287" s="3" customFormat="1" customHeight="1" spans="1:20">
      <c r="A287" s="84">
        <v>15</v>
      </c>
      <c r="B287" s="177" t="s">
        <v>2156</v>
      </c>
      <c r="C287" s="167" t="s">
        <v>165</v>
      </c>
      <c r="D287" s="167" t="s">
        <v>2157</v>
      </c>
      <c r="E287" s="11">
        <v>17707083376</v>
      </c>
      <c r="F287" s="167" t="s">
        <v>156</v>
      </c>
      <c r="G287" s="167" t="s">
        <v>13</v>
      </c>
      <c r="H287" s="11">
        <v>202102003</v>
      </c>
      <c r="I287" s="167" t="s">
        <v>157</v>
      </c>
      <c r="J287" s="167" t="s">
        <v>2159</v>
      </c>
      <c r="K287" s="167" t="s">
        <v>179</v>
      </c>
      <c r="L287" s="167" t="s">
        <v>170</v>
      </c>
      <c r="M287" s="167" t="s">
        <v>2160</v>
      </c>
      <c r="N287" s="167" t="s">
        <v>13</v>
      </c>
      <c r="O287" s="167" t="s">
        <v>2161</v>
      </c>
      <c r="P287" s="12" t="str">
        <f>_xlfn.DISPIMG("ID_40A8AEA41DF44D5AB3229E18DF729A74",1)</f>
        <v>=DISPIMG("ID_40A8AEA41DF44D5AB3229E18DF729A74",1)</v>
      </c>
      <c r="Q287" s="11" t="s">
        <v>2162</v>
      </c>
      <c r="R287" s="11">
        <v>253</v>
      </c>
      <c r="S287" s="17" t="s">
        <v>4584</v>
      </c>
      <c r="T287" s="18" t="s">
        <v>54</v>
      </c>
    </row>
    <row r="288" s="3" customFormat="1" customHeight="1" spans="1:20">
      <c r="A288" s="84">
        <v>16</v>
      </c>
      <c r="B288" s="177" t="s">
        <v>2188</v>
      </c>
      <c r="C288" s="167" t="s">
        <v>165</v>
      </c>
      <c r="D288" s="167" t="s">
        <v>2189</v>
      </c>
      <c r="E288" s="11">
        <v>15297925516</v>
      </c>
      <c r="F288" s="167" t="s">
        <v>156</v>
      </c>
      <c r="G288" s="167" t="s">
        <v>13</v>
      </c>
      <c r="H288" s="11">
        <v>202102003</v>
      </c>
      <c r="I288" s="167" t="s">
        <v>157</v>
      </c>
      <c r="J288" s="167" t="s">
        <v>178</v>
      </c>
      <c r="K288" s="167" t="s">
        <v>179</v>
      </c>
      <c r="L288" s="167" t="s">
        <v>170</v>
      </c>
      <c r="M288" s="167" t="s">
        <v>161</v>
      </c>
      <c r="N288" s="167" t="s">
        <v>25</v>
      </c>
      <c r="O288" s="11">
        <v>0</v>
      </c>
      <c r="P288" s="12" t="str">
        <f>_xlfn.DISPIMG("ID_D5F43AB9EBAD44A4B07E87AF936A6299",1)</f>
        <v>=DISPIMG("ID_D5F43AB9EBAD44A4B07E87AF936A6299",1)</v>
      </c>
      <c r="Q288" s="11" t="s">
        <v>2191</v>
      </c>
      <c r="R288" s="11">
        <v>257</v>
      </c>
      <c r="S288" s="17" t="s">
        <v>4585</v>
      </c>
      <c r="T288" s="18" t="s">
        <v>54</v>
      </c>
    </row>
    <row r="289" s="3" customFormat="1" customHeight="1" spans="1:20">
      <c r="A289" s="84">
        <v>17</v>
      </c>
      <c r="B289" s="177" t="s">
        <v>2203</v>
      </c>
      <c r="C289" s="167" t="s">
        <v>165</v>
      </c>
      <c r="D289" s="167" t="s">
        <v>2204</v>
      </c>
      <c r="E289" s="11">
        <v>18702523558</v>
      </c>
      <c r="F289" s="167" t="s">
        <v>156</v>
      </c>
      <c r="G289" s="167" t="s">
        <v>13</v>
      </c>
      <c r="H289" s="11">
        <v>202102003</v>
      </c>
      <c r="I289" s="167" t="s">
        <v>157</v>
      </c>
      <c r="J289" s="167" t="s">
        <v>646</v>
      </c>
      <c r="K289" s="167" t="s">
        <v>179</v>
      </c>
      <c r="L289" s="167" t="s">
        <v>170</v>
      </c>
      <c r="M289" s="167" t="s">
        <v>368</v>
      </c>
      <c r="N289" s="167" t="s">
        <v>25</v>
      </c>
      <c r="O289" s="167" t="s">
        <v>2206</v>
      </c>
      <c r="P289" s="12" t="str">
        <f>_xlfn.DISPIMG("ID_06812EDB7CE84D14BCAEC56B86A3FB64",1)</f>
        <v>=DISPIMG("ID_06812EDB7CE84D14BCAEC56B86A3FB64",1)</v>
      </c>
      <c r="Q289" s="11" t="s">
        <v>2207</v>
      </c>
      <c r="R289" s="11">
        <v>259</v>
      </c>
      <c r="S289" s="17" t="s">
        <v>4586</v>
      </c>
      <c r="T289" s="18" t="s">
        <v>54</v>
      </c>
    </row>
    <row r="290" s="3" customFormat="1" customHeight="1" spans="1:20">
      <c r="A290" s="84">
        <v>18</v>
      </c>
      <c r="B290" s="177" t="s">
        <v>2256</v>
      </c>
      <c r="C290" s="167" t="s">
        <v>165</v>
      </c>
      <c r="D290" s="167" t="s">
        <v>2257</v>
      </c>
      <c r="E290" s="11">
        <v>18379620695</v>
      </c>
      <c r="F290" s="167" t="s">
        <v>156</v>
      </c>
      <c r="G290" s="167" t="s">
        <v>13</v>
      </c>
      <c r="H290" s="11">
        <v>202102003</v>
      </c>
      <c r="I290" s="167" t="s">
        <v>157</v>
      </c>
      <c r="J290" s="167" t="s">
        <v>2259</v>
      </c>
      <c r="K290" s="167" t="s">
        <v>2260</v>
      </c>
      <c r="L290" s="167" t="s">
        <v>170</v>
      </c>
      <c r="M290" s="167" t="s">
        <v>252</v>
      </c>
      <c r="N290" s="167" t="s">
        <v>13</v>
      </c>
      <c r="O290" s="167" t="s">
        <v>2261</v>
      </c>
      <c r="P290" s="12" t="str">
        <f>_xlfn.DISPIMG("ID_796E86B7DB7B4E23A74B2B041E7E25B9",1)</f>
        <v>=DISPIMG("ID_796E86B7DB7B4E23A74B2B041E7E25B9",1)</v>
      </c>
      <c r="Q290" s="11" t="s">
        <v>2262</v>
      </c>
      <c r="R290" s="11">
        <v>266</v>
      </c>
      <c r="S290" s="17" t="s">
        <v>4587</v>
      </c>
      <c r="T290" s="18" t="s">
        <v>54</v>
      </c>
    </row>
    <row r="291" s="3" customFormat="1" customHeight="1" spans="1:20">
      <c r="A291" s="84">
        <v>19</v>
      </c>
      <c r="B291" s="177" t="s">
        <v>2280</v>
      </c>
      <c r="C291" s="167" t="s">
        <v>153</v>
      </c>
      <c r="D291" s="167" t="s">
        <v>2281</v>
      </c>
      <c r="E291" s="11">
        <v>18679290186</v>
      </c>
      <c r="F291" s="167" t="s">
        <v>156</v>
      </c>
      <c r="G291" s="167" t="s">
        <v>13</v>
      </c>
      <c r="H291" s="11">
        <v>202102003</v>
      </c>
      <c r="I291" s="167" t="s">
        <v>279</v>
      </c>
      <c r="J291" s="167" t="s">
        <v>233</v>
      </c>
      <c r="K291" s="167" t="s">
        <v>223</v>
      </c>
      <c r="L291" s="167" t="s">
        <v>170</v>
      </c>
      <c r="M291" s="167" t="s">
        <v>2283</v>
      </c>
      <c r="N291" s="167" t="s">
        <v>2284</v>
      </c>
      <c r="O291" s="167" t="s">
        <v>2285</v>
      </c>
      <c r="P291" s="12" t="str">
        <f>_xlfn.DISPIMG("ID_89FA20207CD0456DA5278484203F3141",1)</f>
        <v>=DISPIMG("ID_89FA20207CD0456DA5278484203F3141",1)</v>
      </c>
      <c r="Q291" s="11" t="s">
        <v>2286</v>
      </c>
      <c r="R291" s="11">
        <v>269</v>
      </c>
      <c r="S291" s="17" t="s">
        <v>4588</v>
      </c>
      <c r="T291" s="18" t="s">
        <v>54</v>
      </c>
    </row>
    <row r="292" s="3" customFormat="1" customHeight="1" spans="1:20">
      <c r="A292" s="84">
        <v>20</v>
      </c>
      <c r="B292" s="177" t="s">
        <v>2289</v>
      </c>
      <c r="C292" s="167" t="s">
        <v>165</v>
      </c>
      <c r="D292" s="167" t="s">
        <v>2290</v>
      </c>
      <c r="E292" s="11">
        <v>18170815855</v>
      </c>
      <c r="F292" s="167" t="s">
        <v>156</v>
      </c>
      <c r="G292" s="167" t="s">
        <v>13</v>
      </c>
      <c r="H292" s="11">
        <v>202102003</v>
      </c>
      <c r="I292" s="167" t="s">
        <v>157</v>
      </c>
      <c r="J292" s="167" t="s">
        <v>158</v>
      </c>
      <c r="K292" s="167" t="s">
        <v>223</v>
      </c>
      <c r="L292" s="167" t="s">
        <v>170</v>
      </c>
      <c r="M292" s="167" t="s">
        <v>349</v>
      </c>
      <c r="N292" s="167" t="s">
        <v>1692</v>
      </c>
      <c r="O292" s="167" t="s">
        <v>2290</v>
      </c>
      <c r="P292" s="12" t="str">
        <f>_xlfn.DISPIMG("ID_BC3CD3F4A07B4F5DB131E901992815BA",1)</f>
        <v>=DISPIMG("ID_BC3CD3F4A07B4F5DB131E901992815BA",1)</v>
      </c>
      <c r="Q292" s="11" t="s">
        <v>2291</v>
      </c>
      <c r="R292" s="11">
        <v>270</v>
      </c>
      <c r="S292" s="17" t="s">
        <v>4589</v>
      </c>
      <c r="T292" s="18" t="s">
        <v>54</v>
      </c>
    </row>
    <row r="293" s="3" customFormat="1" customHeight="1" spans="1:20">
      <c r="A293" s="84">
        <v>21</v>
      </c>
      <c r="B293" s="177" t="s">
        <v>2303</v>
      </c>
      <c r="C293" s="167" t="s">
        <v>165</v>
      </c>
      <c r="D293" s="167" t="s">
        <v>2304</v>
      </c>
      <c r="E293" s="11">
        <v>18397921329</v>
      </c>
      <c r="F293" s="167" t="s">
        <v>156</v>
      </c>
      <c r="G293" s="167" t="s">
        <v>13</v>
      </c>
      <c r="H293" s="11">
        <v>202102003</v>
      </c>
      <c r="I293" s="167" t="s">
        <v>157</v>
      </c>
      <c r="J293" s="167" t="s">
        <v>233</v>
      </c>
      <c r="K293" s="167" t="s">
        <v>1832</v>
      </c>
      <c r="L293" s="167" t="s">
        <v>160</v>
      </c>
      <c r="M293" s="167" t="s">
        <v>161</v>
      </c>
      <c r="N293" s="167" t="s">
        <v>2284</v>
      </c>
      <c r="O293" s="11">
        <v>0</v>
      </c>
      <c r="P293" s="12" t="str">
        <f>_xlfn.DISPIMG("ID_D3E1E42587914F6EA2229B8441CD1EF2",1)</f>
        <v>=DISPIMG("ID_D3E1E42587914F6EA2229B8441CD1EF2",1)</v>
      </c>
      <c r="Q293" s="11" t="s">
        <v>2306</v>
      </c>
      <c r="R293" s="11">
        <v>272</v>
      </c>
      <c r="S293" s="17" t="s">
        <v>4590</v>
      </c>
      <c r="T293" s="18" t="s">
        <v>54</v>
      </c>
    </row>
    <row r="294" s="3" customFormat="1" customHeight="1" spans="1:20">
      <c r="A294" s="84">
        <v>22</v>
      </c>
      <c r="B294" s="177" t="s">
        <v>2422</v>
      </c>
      <c r="C294" s="167" t="s">
        <v>165</v>
      </c>
      <c r="D294" s="167" t="s">
        <v>2423</v>
      </c>
      <c r="E294" s="11">
        <v>18720291058</v>
      </c>
      <c r="F294" s="167" t="s">
        <v>156</v>
      </c>
      <c r="G294" s="167" t="s">
        <v>13</v>
      </c>
      <c r="H294" s="11">
        <v>202102003</v>
      </c>
      <c r="I294" s="167" t="s">
        <v>157</v>
      </c>
      <c r="J294" s="167" t="s">
        <v>2425</v>
      </c>
      <c r="K294" s="167" t="s">
        <v>395</v>
      </c>
      <c r="L294" s="167" t="s">
        <v>160</v>
      </c>
      <c r="M294" s="167" t="s">
        <v>577</v>
      </c>
      <c r="N294" s="167" t="s">
        <v>324</v>
      </c>
      <c r="O294" s="167" t="s">
        <v>2426</v>
      </c>
      <c r="P294" s="12" t="str">
        <f>_xlfn.DISPIMG("ID_93FC4398D0D24B119D9D1B8E0038C2BD",1)</f>
        <v>=DISPIMG("ID_93FC4398D0D24B119D9D1B8E0038C2BD",1)</v>
      </c>
      <c r="Q294" s="11" t="s">
        <v>2427</v>
      </c>
      <c r="R294" s="11">
        <v>288</v>
      </c>
      <c r="S294" s="17" t="s">
        <v>4591</v>
      </c>
      <c r="T294" s="18" t="s">
        <v>54</v>
      </c>
    </row>
    <row r="295" s="3" customFormat="1" customHeight="1" spans="1:20">
      <c r="A295" s="84">
        <v>23</v>
      </c>
      <c r="B295" s="177" t="s">
        <v>2532</v>
      </c>
      <c r="C295" s="167" t="s">
        <v>165</v>
      </c>
      <c r="D295" s="167" t="s">
        <v>2533</v>
      </c>
      <c r="E295" s="11">
        <v>13687926524</v>
      </c>
      <c r="F295" s="167" t="s">
        <v>156</v>
      </c>
      <c r="G295" s="167" t="s">
        <v>13</v>
      </c>
      <c r="H295" s="11">
        <v>202102003</v>
      </c>
      <c r="I295" s="167" t="s">
        <v>157</v>
      </c>
      <c r="J295" s="167" t="s">
        <v>2535</v>
      </c>
      <c r="K295" s="167" t="s">
        <v>179</v>
      </c>
      <c r="L295" s="167" t="s">
        <v>160</v>
      </c>
      <c r="M295" s="167" t="s">
        <v>161</v>
      </c>
      <c r="N295" s="167" t="s">
        <v>13</v>
      </c>
      <c r="O295" s="11">
        <v>0</v>
      </c>
      <c r="P295" s="12" t="str">
        <f>_xlfn.DISPIMG("ID_B2A378810E7443059EBD825CE991BFE9",1)</f>
        <v>=DISPIMG("ID_B2A378810E7443059EBD825CE991BFE9",1)</v>
      </c>
      <c r="Q295" s="11" t="s">
        <v>2536</v>
      </c>
      <c r="R295" s="11">
        <v>303</v>
      </c>
      <c r="S295" s="17" t="s">
        <v>4592</v>
      </c>
      <c r="T295" s="18" t="s">
        <v>54</v>
      </c>
    </row>
    <row r="296" s="3" customFormat="1" customHeight="1" spans="1:20">
      <c r="A296" s="84">
        <v>24</v>
      </c>
      <c r="B296" s="177" t="s">
        <v>2547</v>
      </c>
      <c r="C296" s="167" t="s">
        <v>165</v>
      </c>
      <c r="D296" s="167" t="s">
        <v>2548</v>
      </c>
      <c r="E296" s="11">
        <v>18779213164</v>
      </c>
      <c r="F296" s="167" t="s">
        <v>156</v>
      </c>
      <c r="G296" s="167" t="s">
        <v>13</v>
      </c>
      <c r="H296" s="11">
        <v>202102003</v>
      </c>
      <c r="I296" s="167" t="s">
        <v>157</v>
      </c>
      <c r="J296" s="167" t="s">
        <v>158</v>
      </c>
      <c r="K296" s="167" t="s">
        <v>179</v>
      </c>
      <c r="L296" s="167" t="s">
        <v>170</v>
      </c>
      <c r="M296" s="167" t="s">
        <v>2550</v>
      </c>
      <c r="N296" s="167" t="s">
        <v>2551</v>
      </c>
      <c r="O296" s="167" t="s">
        <v>2552</v>
      </c>
      <c r="P296" s="12" t="str">
        <f>_xlfn.DISPIMG("ID_4531DA1F574D4F7CA2AF28BAD514AF1A",1)</f>
        <v>=DISPIMG("ID_4531DA1F574D4F7CA2AF28BAD514AF1A",1)</v>
      </c>
      <c r="Q296" s="11" t="s">
        <v>2553</v>
      </c>
      <c r="R296" s="11">
        <v>305</v>
      </c>
      <c r="S296" s="17" t="s">
        <v>4593</v>
      </c>
      <c r="T296" s="18" t="s">
        <v>54</v>
      </c>
    </row>
    <row r="297" s="3" customFormat="1" customHeight="1" spans="1:20">
      <c r="A297" s="84">
        <v>25</v>
      </c>
      <c r="B297" s="177" t="s">
        <v>2578</v>
      </c>
      <c r="C297" s="167" t="s">
        <v>165</v>
      </c>
      <c r="D297" s="167" t="s">
        <v>2579</v>
      </c>
      <c r="E297" s="11">
        <v>13907924069</v>
      </c>
      <c r="F297" s="167" t="s">
        <v>506</v>
      </c>
      <c r="G297" s="167" t="s">
        <v>13</v>
      </c>
      <c r="H297" s="11">
        <v>202102016</v>
      </c>
      <c r="I297" s="167" t="s">
        <v>279</v>
      </c>
      <c r="J297" s="167" t="s">
        <v>1237</v>
      </c>
      <c r="K297" s="167" t="s">
        <v>169</v>
      </c>
      <c r="L297" s="167" t="s">
        <v>170</v>
      </c>
      <c r="M297" s="167" t="s">
        <v>161</v>
      </c>
      <c r="N297" s="167" t="s">
        <v>2284</v>
      </c>
      <c r="O297" s="167" t="s">
        <v>2581</v>
      </c>
      <c r="P297" s="12" t="str">
        <f>_xlfn.DISPIMG("ID_1B69D0009E5944278A43199D519E50CB",1)</f>
        <v>=DISPIMG("ID_1B69D0009E5944278A43199D519E50CB",1)</v>
      </c>
      <c r="Q297" s="11" t="s">
        <v>2582</v>
      </c>
      <c r="R297" s="11">
        <v>309</v>
      </c>
      <c r="S297" s="17" t="s">
        <v>4594</v>
      </c>
      <c r="T297" s="18" t="s">
        <v>54</v>
      </c>
    </row>
    <row r="298" s="3" customFormat="1" customHeight="1" spans="1:20">
      <c r="A298" s="84">
        <v>26</v>
      </c>
      <c r="B298" s="177" t="s">
        <v>2585</v>
      </c>
      <c r="C298" s="167" t="s">
        <v>153</v>
      </c>
      <c r="D298" s="167" t="s">
        <v>2586</v>
      </c>
      <c r="E298" s="11">
        <v>18870098307</v>
      </c>
      <c r="F298" s="167" t="s">
        <v>156</v>
      </c>
      <c r="G298" s="167" t="s">
        <v>13</v>
      </c>
      <c r="H298" s="11">
        <v>202102003</v>
      </c>
      <c r="I298" s="167" t="s">
        <v>157</v>
      </c>
      <c r="J298" s="167" t="s">
        <v>233</v>
      </c>
      <c r="K298" s="167" t="s">
        <v>179</v>
      </c>
      <c r="L298" s="167" t="s">
        <v>160</v>
      </c>
      <c r="M298" s="167" t="s">
        <v>2298</v>
      </c>
      <c r="N298" s="167" t="s">
        <v>1692</v>
      </c>
      <c r="O298" s="167" t="s">
        <v>2588</v>
      </c>
      <c r="P298" s="12" t="str">
        <f>_xlfn.DISPIMG("ID_C226BACFF043492F9C2831E3F2035CBF",1)</f>
        <v>=DISPIMG("ID_C226BACFF043492F9C2831E3F2035CBF",1)</v>
      </c>
      <c r="Q298" s="11" t="s">
        <v>2589</v>
      </c>
      <c r="R298" s="11">
        <v>310</v>
      </c>
      <c r="S298" s="17" t="s">
        <v>4595</v>
      </c>
      <c r="T298" s="18" t="s">
        <v>54</v>
      </c>
    </row>
    <row r="299" s="3" customFormat="1" customHeight="1" spans="1:20">
      <c r="A299" s="84">
        <v>27</v>
      </c>
      <c r="B299" s="177" t="s">
        <v>2592</v>
      </c>
      <c r="C299" s="167" t="s">
        <v>165</v>
      </c>
      <c r="D299" s="167" t="s">
        <v>2593</v>
      </c>
      <c r="E299" s="11">
        <v>15179254283</v>
      </c>
      <c r="F299" s="167" t="s">
        <v>156</v>
      </c>
      <c r="G299" s="167" t="s">
        <v>13</v>
      </c>
      <c r="H299" s="11">
        <v>202102003</v>
      </c>
      <c r="I299" s="167" t="s">
        <v>157</v>
      </c>
      <c r="J299" s="167" t="s">
        <v>269</v>
      </c>
      <c r="K299" s="167" t="s">
        <v>298</v>
      </c>
      <c r="L299" s="167" t="s">
        <v>160</v>
      </c>
      <c r="M299" s="167" t="s">
        <v>161</v>
      </c>
      <c r="N299" s="167" t="s">
        <v>13</v>
      </c>
      <c r="O299" s="167" t="s">
        <v>2595</v>
      </c>
      <c r="P299" s="12" t="str">
        <f>_xlfn.DISPIMG("ID_4B5E37E946EA4E60BDCBA196E50050B9",1)</f>
        <v>=DISPIMG("ID_4B5E37E946EA4E60BDCBA196E50050B9",1)</v>
      </c>
      <c r="Q299" s="11" t="s">
        <v>2596</v>
      </c>
      <c r="R299" s="11">
        <v>311</v>
      </c>
      <c r="S299" s="17" t="s">
        <v>4596</v>
      </c>
      <c r="T299" s="18" t="s">
        <v>54</v>
      </c>
    </row>
    <row r="300" s="3" customFormat="1" customHeight="1" spans="1:20">
      <c r="A300" s="84">
        <v>28</v>
      </c>
      <c r="B300" s="177" t="s">
        <v>2620</v>
      </c>
      <c r="C300" s="167" t="s">
        <v>165</v>
      </c>
      <c r="D300" s="167" t="s">
        <v>2621</v>
      </c>
      <c r="E300" s="11">
        <v>15374326855</v>
      </c>
      <c r="F300" s="167" t="s">
        <v>156</v>
      </c>
      <c r="G300" s="167" t="s">
        <v>13</v>
      </c>
      <c r="H300" s="11">
        <v>202102003</v>
      </c>
      <c r="I300" s="167" t="s">
        <v>279</v>
      </c>
      <c r="J300" s="167" t="s">
        <v>2623</v>
      </c>
      <c r="K300" s="167" t="s">
        <v>223</v>
      </c>
      <c r="L300" s="167" t="s">
        <v>170</v>
      </c>
      <c r="M300" s="167" t="s">
        <v>587</v>
      </c>
      <c r="N300" s="167" t="s">
        <v>487</v>
      </c>
      <c r="O300" s="167" t="s">
        <v>2624</v>
      </c>
      <c r="P300" s="12" t="str">
        <f>_xlfn.DISPIMG("ID_2F48B8B967A44C168C6D69CE2A1FBAF0",1)</f>
        <v>=DISPIMG("ID_2F48B8B967A44C168C6D69CE2A1FBAF0",1)</v>
      </c>
      <c r="Q300" s="11" t="s">
        <v>2625</v>
      </c>
      <c r="R300" s="11">
        <v>315</v>
      </c>
      <c r="S300" s="17" t="s">
        <v>4597</v>
      </c>
      <c r="T300" s="18" t="s">
        <v>54</v>
      </c>
    </row>
    <row r="301" s="3" customFormat="1" customHeight="1" spans="1:20">
      <c r="A301" s="84">
        <v>29</v>
      </c>
      <c r="B301" s="177" t="s">
        <v>2698</v>
      </c>
      <c r="C301" s="167" t="s">
        <v>165</v>
      </c>
      <c r="D301" s="167" t="s">
        <v>2699</v>
      </c>
      <c r="E301" s="11">
        <v>17879865970</v>
      </c>
      <c r="F301" s="167" t="s">
        <v>156</v>
      </c>
      <c r="G301" s="167" t="s">
        <v>13</v>
      </c>
      <c r="H301" s="11">
        <v>202102003</v>
      </c>
      <c r="I301" s="167" t="s">
        <v>157</v>
      </c>
      <c r="J301" s="167" t="s">
        <v>603</v>
      </c>
      <c r="K301" s="167" t="s">
        <v>179</v>
      </c>
      <c r="L301" s="167" t="s">
        <v>160</v>
      </c>
      <c r="M301" s="167" t="s">
        <v>161</v>
      </c>
      <c r="N301" s="167" t="s">
        <v>13</v>
      </c>
      <c r="O301" s="167" t="s">
        <v>2701</v>
      </c>
      <c r="P301" s="12" t="str">
        <f>_xlfn.DISPIMG("ID_F144CD0E4B7B43F08EC41420B132D7BF",1)</f>
        <v>=DISPIMG("ID_F144CD0E4B7B43F08EC41420B132D7BF",1)</v>
      </c>
      <c r="Q301" s="11" t="s">
        <v>2702</v>
      </c>
      <c r="R301" s="11">
        <v>325</v>
      </c>
      <c r="S301" s="17" t="s">
        <v>4598</v>
      </c>
      <c r="T301" s="18" t="s">
        <v>54</v>
      </c>
    </row>
    <row r="302" s="3" customFormat="1" customHeight="1" spans="1:20">
      <c r="A302" s="84">
        <v>30</v>
      </c>
      <c r="B302" s="177" t="s">
        <v>2711</v>
      </c>
      <c r="C302" s="167" t="s">
        <v>165</v>
      </c>
      <c r="D302" s="167" t="s">
        <v>2712</v>
      </c>
      <c r="E302" s="11">
        <v>17722507024</v>
      </c>
      <c r="F302" s="167" t="s">
        <v>156</v>
      </c>
      <c r="G302" s="167" t="s">
        <v>13</v>
      </c>
      <c r="H302" s="11">
        <v>202102003</v>
      </c>
      <c r="I302" s="167" t="s">
        <v>157</v>
      </c>
      <c r="J302" s="167" t="s">
        <v>2714</v>
      </c>
      <c r="K302" s="167" t="s">
        <v>179</v>
      </c>
      <c r="L302" s="167" t="s">
        <v>160</v>
      </c>
      <c r="M302" s="167" t="s">
        <v>216</v>
      </c>
      <c r="N302" s="167" t="s">
        <v>13</v>
      </c>
      <c r="O302" s="11">
        <v>0</v>
      </c>
      <c r="P302" s="12" t="str">
        <f>_xlfn.DISPIMG("ID_8518D0C3018F4000B213F1115E41EEAA",1)</f>
        <v>=DISPIMG("ID_8518D0C3018F4000B213F1115E41EEAA",1)</v>
      </c>
      <c r="Q302" s="11" t="s">
        <v>2715</v>
      </c>
      <c r="R302" s="11">
        <v>327</v>
      </c>
      <c r="S302" s="17" t="s">
        <v>4599</v>
      </c>
      <c r="T302" s="18" t="s">
        <v>54</v>
      </c>
    </row>
    <row r="303" s="3" customFormat="1" customHeight="1" spans="1:20">
      <c r="A303" s="84">
        <v>1</v>
      </c>
      <c r="B303" s="177" t="s">
        <v>2753</v>
      </c>
      <c r="C303" s="167" t="s">
        <v>165</v>
      </c>
      <c r="D303" s="167" t="s">
        <v>2754</v>
      </c>
      <c r="E303" s="11">
        <v>18770057517</v>
      </c>
      <c r="F303" s="167" t="s">
        <v>156</v>
      </c>
      <c r="G303" s="167" t="s">
        <v>13</v>
      </c>
      <c r="H303" s="11">
        <v>202102003</v>
      </c>
      <c r="I303" s="167" t="s">
        <v>157</v>
      </c>
      <c r="J303" s="167" t="s">
        <v>646</v>
      </c>
      <c r="K303" s="167" t="s">
        <v>179</v>
      </c>
      <c r="L303" s="167" t="s">
        <v>160</v>
      </c>
      <c r="M303" s="167" t="s">
        <v>548</v>
      </c>
      <c r="N303" s="167" t="s">
        <v>2284</v>
      </c>
      <c r="O303" s="167" t="s">
        <v>2756</v>
      </c>
      <c r="P303" s="12" t="str">
        <f>_xlfn.DISPIMG("ID_2E6C674524F0427FBB4E2C3FFA53D3DF",1)</f>
        <v>=DISPIMG("ID_2E6C674524F0427FBB4E2C3FFA53D3DF",1)</v>
      </c>
      <c r="Q303" s="11" t="s">
        <v>2757</v>
      </c>
      <c r="R303" s="11">
        <v>333</v>
      </c>
      <c r="S303" s="17" t="s">
        <v>4600</v>
      </c>
      <c r="T303" s="18" t="s">
        <v>55</v>
      </c>
    </row>
    <row r="304" s="3" customFormat="1" customHeight="1" spans="1:20">
      <c r="A304" s="84">
        <v>2</v>
      </c>
      <c r="B304" s="177" t="s">
        <v>2760</v>
      </c>
      <c r="C304" s="167" t="s">
        <v>165</v>
      </c>
      <c r="D304" s="167" t="s">
        <v>2761</v>
      </c>
      <c r="E304" s="11">
        <v>18296291050</v>
      </c>
      <c r="F304" s="167" t="s">
        <v>156</v>
      </c>
      <c r="G304" s="167" t="s">
        <v>13</v>
      </c>
      <c r="H304" s="11">
        <v>202102003</v>
      </c>
      <c r="I304" s="167" t="s">
        <v>157</v>
      </c>
      <c r="J304" s="167" t="s">
        <v>2763</v>
      </c>
      <c r="K304" s="167" t="s">
        <v>179</v>
      </c>
      <c r="L304" s="167" t="s">
        <v>160</v>
      </c>
      <c r="M304" s="167" t="s">
        <v>261</v>
      </c>
      <c r="N304" s="167" t="s">
        <v>487</v>
      </c>
      <c r="O304" s="11">
        <v>0</v>
      </c>
      <c r="P304" s="12" t="str">
        <f>_xlfn.DISPIMG("ID_345E5ECE839B455186CF8C80E701C44C",1)</f>
        <v>=DISPIMG("ID_345E5ECE839B455186CF8C80E701C44C",1)</v>
      </c>
      <c r="Q304" s="11" t="s">
        <v>2764</v>
      </c>
      <c r="R304" s="11">
        <v>334</v>
      </c>
      <c r="S304" s="17" t="s">
        <v>4601</v>
      </c>
      <c r="T304" s="18" t="s">
        <v>55</v>
      </c>
    </row>
    <row r="305" s="3" customFormat="1" customHeight="1" spans="1:20">
      <c r="A305" s="84">
        <v>3</v>
      </c>
      <c r="B305" s="177" t="s">
        <v>2781</v>
      </c>
      <c r="C305" s="167" t="s">
        <v>165</v>
      </c>
      <c r="D305" s="167" t="s">
        <v>2782</v>
      </c>
      <c r="E305" s="11">
        <v>15720953943</v>
      </c>
      <c r="F305" s="167" t="s">
        <v>156</v>
      </c>
      <c r="G305" s="167" t="s">
        <v>13</v>
      </c>
      <c r="H305" s="11">
        <v>202102003</v>
      </c>
      <c r="I305" s="167" t="s">
        <v>279</v>
      </c>
      <c r="J305" s="167" t="s">
        <v>178</v>
      </c>
      <c r="K305" s="167" t="s">
        <v>223</v>
      </c>
      <c r="L305" s="167" t="s">
        <v>170</v>
      </c>
      <c r="M305" s="167" t="s">
        <v>281</v>
      </c>
      <c r="N305" s="167" t="s">
        <v>13</v>
      </c>
      <c r="O305" s="167" t="s">
        <v>2784</v>
      </c>
      <c r="P305" s="12" t="str">
        <f>_xlfn.DISPIMG("ID_88B18CBF153241AE8E07B8EDC59079D6",1)</f>
        <v>=DISPIMG("ID_88B18CBF153241AE8E07B8EDC59079D6",1)</v>
      </c>
      <c r="Q305" s="11" t="s">
        <v>2785</v>
      </c>
      <c r="R305" s="11">
        <v>337</v>
      </c>
      <c r="S305" s="17" t="s">
        <v>4602</v>
      </c>
      <c r="T305" s="18" t="s">
        <v>55</v>
      </c>
    </row>
    <row r="306" s="3" customFormat="1" customHeight="1" spans="1:20">
      <c r="A306" s="84">
        <v>4</v>
      </c>
      <c r="B306" s="177" t="s">
        <v>2788</v>
      </c>
      <c r="C306" s="167" t="s">
        <v>165</v>
      </c>
      <c r="D306" s="167" t="s">
        <v>2789</v>
      </c>
      <c r="E306" s="11">
        <v>15727651558</v>
      </c>
      <c r="F306" s="167" t="s">
        <v>156</v>
      </c>
      <c r="G306" s="167" t="s">
        <v>13</v>
      </c>
      <c r="H306" s="11">
        <v>202102003</v>
      </c>
      <c r="I306" s="167" t="s">
        <v>157</v>
      </c>
      <c r="J306" s="167" t="s">
        <v>827</v>
      </c>
      <c r="K306" s="167" t="s">
        <v>223</v>
      </c>
      <c r="L306" s="167" t="s">
        <v>170</v>
      </c>
      <c r="M306" s="167" t="s">
        <v>306</v>
      </c>
      <c r="N306" s="167" t="s">
        <v>2791</v>
      </c>
      <c r="O306" s="167" t="s">
        <v>2792</v>
      </c>
      <c r="P306" s="12" t="str">
        <f>_xlfn.DISPIMG("ID_5273CD0F4AF44426A565D4F4C926815B",1)</f>
        <v>=DISPIMG("ID_5273CD0F4AF44426A565D4F4C926815B",1)</v>
      </c>
      <c r="Q306" s="11" t="s">
        <v>2793</v>
      </c>
      <c r="R306" s="11">
        <v>338</v>
      </c>
      <c r="S306" s="17" t="s">
        <v>4603</v>
      </c>
      <c r="T306" s="18" t="s">
        <v>55</v>
      </c>
    </row>
    <row r="307" s="3" customFormat="1" customHeight="1" spans="1:20">
      <c r="A307" s="84">
        <v>5</v>
      </c>
      <c r="B307" s="177" t="s">
        <v>2812</v>
      </c>
      <c r="C307" s="167" t="s">
        <v>165</v>
      </c>
      <c r="D307" s="167" t="s">
        <v>2813</v>
      </c>
      <c r="E307" s="11">
        <v>17770890987</v>
      </c>
      <c r="F307" s="167" t="s">
        <v>156</v>
      </c>
      <c r="G307" s="167" t="s">
        <v>13</v>
      </c>
      <c r="H307" s="11">
        <v>202102003</v>
      </c>
      <c r="I307" s="167" t="s">
        <v>157</v>
      </c>
      <c r="J307" s="167" t="s">
        <v>385</v>
      </c>
      <c r="K307" s="167" t="s">
        <v>179</v>
      </c>
      <c r="L307" s="167" t="s">
        <v>170</v>
      </c>
      <c r="M307" s="167" t="s">
        <v>2047</v>
      </c>
      <c r="N307" s="167" t="s">
        <v>1692</v>
      </c>
      <c r="O307" s="167" t="s">
        <v>2815</v>
      </c>
      <c r="P307" s="12" t="str">
        <f>_xlfn.DISPIMG("ID_5757AB93890A4F58A4EA7B46206D2416",1)</f>
        <v>=DISPIMG("ID_5757AB93890A4F58A4EA7B46206D2416",1)</v>
      </c>
      <c r="Q307" s="11" t="s">
        <v>2816</v>
      </c>
      <c r="R307" s="11">
        <v>341</v>
      </c>
      <c r="S307" s="17" t="s">
        <v>4604</v>
      </c>
      <c r="T307" s="18" t="s">
        <v>55</v>
      </c>
    </row>
    <row r="308" s="3" customFormat="1" customHeight="1" spans="1:20">
      <c r="A308" s="84">
        <v>6</v>
      </c>
      <c r="B308" s="177" t="s">
        <v>2819</v>
      </c>
      <c r="C308" s="167" t="s">
        <v>165</v>
      </c>
      <c r="D308" s="167" t="s">
        <v>2820</v>
      </c>
      <c r="E308" s="11">
        <v>18720151872</v>
      </c>
      <c r="F308" s="167" t="s">
        <v>156</v>
      </c>
      <c r="G308" s="167" t="s">
        <v>13</v>
      </c>
      <c r="H308" s="11">
        <v>202102003</v>
      </c>
      <c r="I308" s="167" t="s">
        <v>157</v>
      </c>
      <c r="J308" s="167" t="s">
        <v>269</v>
      </c>
      <c r="K308" s="167" t="s">
        <v>2821</v>
      </c>
      <c r="L308" s="167" t="s">
        <v>170</v>
      </c>
      <c r="M308" s="167" t="s">
        <v>455</v>
      </c>
      <c r="N308" s="167" t="s">
        <v>13</v>
      </c>
      <c r="O308" s="11">
        <v>0</v>
      </c>
      <c r="P308" s="12" t="str">
        <f>_xlfn.DISPIMG("ID_3C9269A8B40D486AA589E83B191F62F8",1)</f>
        <v>=DISPIMG("ID_3C9269A8B40D486AA589E83B191F62F8",1)</v>
      </c>
      <c r="Q308" s="11" t="s">
        <v>2822</v>
      </c>
      <c r="R308" s="11">
        <v>342</v>
      </c>
      <c r="S308" s="17" t="s">
        <v>4605</v>
      </c>
      <c r="T308" s="18" t="s">
        <v>55</v>
      </c>
    </row>
    <row r="309" s="3" customFormat="1" customHeight="1" spans="1:20">
      <c r="A309" s="84">
        <v>7</v>
      </c>
      <c r="B309" s="177" t="s">
        <v>2895</v>
      </c>
      <c r="C309" s="167" t="s">
        <v>165</v>
      </c>
      <c r="D309" s="167" t="s">
        <v>2896</v>
      </c>
      <c r="E309" s="11">
        <v>13667020095</v>
      </c>
      <c r="F309" s="167" t="s">
        <v>156</v>
      </c>
      <c r="G309" s="167" t="s">
        <v>13</v>
      </c>
      <c r="H309" s="11">
        <v>202102003</v>
      </c>
      <c r="I309" s="167" t="s">
        <v>157</v>
      </c>
      <c r="J309" s="167" t="s">
        <v>1413</v>
      </c>
      <c r="K309" s="167" t="s">
        <v>298</v>
      </c>
      <c r="L309" s="167" t="s">
        <v>160</v>
      </c>
      <c r="M309" s="167" t="s">
        <v>455</v>
      </c>
      <c r="N309" s="167" t="s">
        <v>13</v>
      </c>
      <c r="O309" s="11">
        <v>0</v>
      </c>
      <c r="P309" s="12" t="str">
        <f>_xlfn.DISPIMG("ID_C271EED4B7664E51B0603E12A2C5BA93",1)</f>
        <v>=DISPIMG("ID_C271EED4B7664E51B0603E12A2C5BA93",1)</v>
      </c>
      <c r="Q309" s="11" t="s">
        <v>2898</v>
      </c>
      <c r="R309" s="11">
        <v>352</v>
      </c>
      <c r="S309" s="17" t="s">
        <v>4606</v>
      </c>
      <c r="T309" s="18" t="s">
        <v>55</v>
      </c>
    </row>
    <row r="310" s="3" customFormat="1" customHeight="1" spans="1:20">
      <c r="A310" s="84">
        <v>8</v>
      </c>
      <c r="B310" s="177" t="s">
        <v>2901</v>
      </c>
      <c r="C310" s="167" t="s">
        <v>165</v>
      </c>
      <c r="D310" s="167" t="s">
        <v>2902</v>
      </c>
      <c r="E310" s="11">
        <v>18070124707</v>
      </c>
      <c r="F310" s="167" t="s">
        <v>156</v>
      </c>
      <c r="G310" s="167" t="s">
        <v>13</v>
      </c>
      <c r="H310" s="11">
        <v>202102003</v>
      </c>
      <c r="I310" s="167" t="s">
        <v>157</v>
      </c>
      <c r="J310" s="167" t="s">
        <v>2904</v>
      </c>
      <c r="K310" s="167" t="s">
        <v>2379</v>
      </c>
      <c r="L310" s="167" t="s">
        <v>160</v>
      </c>
      <c r="M310" s="167" t="s">
        <v>396</v>
      </c>
      <c r="N310" s="167" t="s">
        <v>13</v>
      </c>
      <c r="O310" s="11">
        <v>0</v>
      </c>
      <c r="P310" s="12" t="str">
        <f>_xlfn.DISPIMG("ID_C611D78CF3534BF4A6063B88C3B55BD9",1)</f>
        <v>=DISPIMG("ID_C611D78CF3534BF4A6063B88C3B55BD9",1)</v>
      </c>
      <c r="Q310" s="11" t="s">
        <v>2905</v>
      </c>
      <c r="R310" s="11">
        <v>353</v>
      </c>
      <c r="S310" s="17" t="s">
        <v>4607</v>
      </c>
      <c r="T310" s="18" t="s">
        <v>55</v>
      </c>
    </row>
    <row r="311" s="6" customFormat="1" customHeight="1" spans="1:20">
      <c r="A311" s="84">
        <v>9</v>
      </c>
      <c r="B311" s="177" t="s">
        <v>2932</v>
      </c>
      <c r="C311" s="167" t="s">
        <v>165</v>
      </c>
      <c r="D311" s="167" t="s">
        <v>2933</v>
      </c>
      <c r="E311" s="11">
        <v>13870255583</v>
      </c>
      <c r="F311" s="167" t="s">
        <v>156</v>
      </c>
      <c r="G311" s="167" t="s">
        <v>13</v>
      </c>
      <c r="H311" s="11">
        <v>202102003</v>
      </c>
      <c r="I311" s="167" t="s">
        <v>157</v>
      </c>
      <c r="J311" s="167" t="s">
        <v>385</v>
      </c>
      <c r="K311" s="167" t="s">
        <v>1832</v>
      </c>
      <c r="L311" s="167" t="s">
        <v>160</v>
      </c>
      <c r="M311" s="167" t="s">
        <v>2935</v>
      </c>
      <c r="N311" s="167" t="s">
        <v>487</v>
      </c>
      <c r="O311" s="167" t="s">
        <v>2936</v>
      </c>
      <c r="P311" s="12" t="str">
        <f>_xlfn.DISPIMG("ID_63C75D62D3BC4F35AC4FD3D224F21D03",1)</f>
        <v>=DISPIMG("ID_63C75D62D3BC4F35AC4FD3D224F21D03",1)</v>
      </c>
      <c r="Q311" s="11" t="s">
        <v>2937</v>
      </c>
      <c r="R311" s="11">
        <v>360</v>
      </c>
      <c r="S311" s="17" t="s">
        <v>4608</v>
      </c>
      <c r="T311" s="18" t="s">
        <v>55</v>
      </c>
    </row>
    <row r="312" s="3" customFormat="1" customHeight="1" spans="1:20">
      <c r="A312" s="84">
        <v>10</v>
      </c>
      <c r="B312" s="177" t="s">
        <v>3008</v>
      </c>
      <c r="C312" s="167" t="s">
        <v>165</v>
      </c>
      <c r="D312" s="167" t="s">
        <v>3009</v>
      </c>
      <c r="E312" s="11">
        <v>15180626109</v>
      </c>
      <c r="F312" s="167" t="s">
        <v>156</v>
      </c>
      <c r="G312" s="167" t="s">
        <v>13</v>
      </c>
      <c r="H312" s="11">
        <v>202102003</v>
      </c>
      <c r="I312" s="167" t="s">
        <v>157</v>
      </c>
      <c r="J312" s="167" t="s">
        <v>197</v>
      </c>
      <c r="K312" s="167" t="s">
        <v>179</v>
      </c>
      <c r="L312" s="167" t="s">
        <v>160</v>
      </c>
      <c r="M312" s="167" t="s">
        <v>261</v>
      </c>
      <c r="N312" s="167" t="s">
        <v>3011</v>
      </c>
      <c r="O312" s="11">
        <v>0</v>
      </c>
      <c r="P312" s="12" t="str">
        <f>_xlfn.DISPIMG("ID_81E01CE746794A43971E9E864E9A0098",1)</f>
        <v>=DISPIMG("ID_81E01CE746794A43971E9E864E9A0098",1)</v>
      </c>
      <c r="Q312" s="11" t="s">
        <v>3012</v>
      </c>
      <c r="R312" s="11">
        <v>371</v>
      </c>
      <c r="S312" s="17" t="s">
        <v>4609</v>
      </c>
      <c r="T312" s="18" t="s">
        <v>55</v>
      </c>
    </row>
    <row r="313" s="3" customFormat="1" customHeight="1" spans="1:20">
      <c r="A313" s="84">
        <v>11</v>
      </c>
      <c r="B313" s="177" t="s">
        <v>3151</v>
      </c>
      <c r="C313" s="167" t="s">
        <v>165</v>
      </c>
      <c r="D313" s="167" t="s">
        <v>3152</v>
      </c>
      <c r="E313" s="11">
        <v>15807046137</v>
      </c>
      <c r="F313" s="167" t="s">
        <v>156</v>
      </c>
      <c r="G313" s="167" t="s">
        <v>13</v>
      </c>
      <c r="H313" s="11">
        <v>202102003</v>
      </c>
      <c r="I313" s="167" t="s">
        <v>157</v>
      </c>
      <c r="J313" s="167" t="s">
        <v>611</v>
      </c>
      <c r="K313" s="167" t="s">
        <v>179</v>
      </c>
      <c r="L313" s="167" t="s">
        <v>160</v>
      </c>
      <c r="M313" s="167" t="s">
        <v>261</v>
      </c>
      <c r="N313" s="167" t="s">
        <v>13</v>
      </c>
      <c r="O313" s="167" t="s">
        <v>3154</v>
      </c>
      <c r="P313" s="12" t="str">
        <f>_xlfn.DISPIMG("ID_677BA8871B344518950747C60527229E",1)</f>
        <v>=DISPIMG("ID_677BA8871B344518950747C60527229E",1)</v>
      </c>
      <c r="Q313" s="11" t="s">
        <v>3155</v>
      </c>
      <c r="R313" s="11">
        <v>390</v>
      </c>
      <c r="S313" s="17" t="s">
        <v>4610</v>
      </c>
      <c r="T313" s="18" t="s">
        <v>55</v>
      </c>
    </row>
    <row r="314" s="3" customFormat="1" customHeight="1" spans="1:20">
      <c r="A314" s="84">
        <v>12</v>
      </c>
      <c r="B314" s="177" t="s">
        <v>3204</v>
      </c>
      <c r="C314" s="167" t="s">
        <v>165</v>
      </c>
      <c r="D314" s="167" t="s">
        <v>3205</v>
      </c>
      <c r="E314" s="11">
        <v>18270304769</v>
      </c>
      <c r="F314" s="167" t="s">
        <v>156</v>
      </c>
      <c r="G314" s="167" t="s">
        <v>13</v>
      </c>
      <c r="H314" s="11">
        <v>202102003</v>
      </c>
      <c r="I314" s="167" t="s">
        <v>279</v>
      </c>
      <c r="J314" s="167" t="s">
        <v>168</v>
      </c>
      <c r="K314" s="167" t="s">
        <v>223</v>
      </c>
      <c r="L314" s="167" t="s">
        <v>170</v>
      </c>
      <c r="M314" s="167" t="s">
        <v>171</v>
      </c>
      <c r="N314" s="167" t="s">
        <v>13</v>
      </c>
      <c r="O314" s="167" t="s">
        <v>3207</v>
      </c>
      <c r="P314" s="12" t="str">
        <f>_xlfn.DISPIMG("ID_51BC672EACDF4F87BCFEE4B4000126C2",1)</f>
        <v>=DISPIMG("ID_51BC672EACDF4F87BCFEE4B4000126C2",1)</v>
      </c>
      <c r="Q314" s="11" t="s">
        <v>3208</v>
      </c>
      <c r="R314" s="11">
        <v>399</v>
      </c>
      <c r="S314" s="17" t="s">
        <v>4611</v>
      </c>
      <c r="T314" s="18" t="s">
        <v>55</v>
      </c>
    </row>
    <row r="315" s="3" customFormat="1" customHeight="1" spans="1:20">
      <c r="A315" s="84">
        <v>13</v>
      </c>
      <c r="B315" s="177" t="s">
        <v>3241</v>
      </c>
      <c r="C315" s="167" t="s">
        <v>165</v>
      </c>
      <c r="D315" s="167" t="s">
        <v>3242</v>
      </c>
      <c r="E315" s="11">
        <v>15390868523</v>
      </c>
      <c r="F315" s="167" t="s">
        <v>156</v>
      </c>
      <c r="G315" s="167" t="s">
        <v>13</v>
      </c>
      <c r="H315" s="11">
        <v>202102003</v>
      </c>
      <c r="I315" s="167" t="s">
        <v>157</v>
      </c>
      <c r="J315" s="167" t="s">
        <v>3244</v>
      </c>
      <c r="K315" s="167" t="s">
        <v>179</v>
      </c>
      <c r="L315" s="167" t="s">
        <v>160</v>
      </c>
      <c r="M315" s="167" t="s">
        <v>161</v>
      </c>
      <c r="N315" s="167" t="s">
        <v>190</v>
      </c>
      <c r="O315" s="11">
        <v>0</v>
      </c>
      <c r="P315" s="12" t="str">
        <f>_xlfn.DISPIMG("ID_AED07D8F3E8D4336A7B785D8FBC52BF4",1)</f>
        <v>=DISPIMG("ID_AED07D8F3E8D4336A7B785D8FBC52BF4",1)</v>
      </c>
      <c r="Q315" s="11" t="s">
        <v>3245</v>
      </c>
      <c r="R315" s="11">
        <v>404</v>
      </c>
      <c r="S315" s="17" t="s">
        <v>4612</v>
      </c>
      <c r="T315" s="18" t="s">
        <v>55</v>
      </c>
    </row>
    <row r="316" s="4" customFormat="1" customHeight="1" spans="1:20">
      <c r="A316" s="84">
        <v>14</v>
      </c>
      <c r="B316" s="177" t="s">
        <v>3255</v>
      </c>
      <c r="C316" s="167" t="s">
        <v>165</v>
      </c>
      <c r="D316" s="167" t="s">
        <v>3256</v>
      </c>
      <c r="E316" s="11">
        <v>18770283607</v>
      </c>
      <c r="F316" s="167" t="s">
        <v>156</v>
      </c>
      <c r="G316" s="167" t="s">
        <v>13</v>
      </c>
      <c r="H316" s="11">
        <v>202102003</v>
      </c>
      <c r="I316" s="167" t="s">
        <v>157</v>
      </c>
      <c r="J316" s="167" t="s">
        <v>611</v>
      </c>
      <c r="K316" s="167" t="s">
        <v>179</v>
      </c>
      <c r="L316" s="167" t="s">
        <v>160</v>
      </c>
      <c r="M316" s="167" t="s">
        <v>577</v>
      </c>
      <c r="N316" s="167" t="s">
        <v>3258</v>
      </c>
      <c r="O316" s="167" t="s">
        <v>3259</v>
      </c>
      <c r="P316" s="12" t="str">
        <f>_xlfn.DISPIMG("ID_9640DE1808F9498F8612547EA44506E8",1)</f>
        <v>=DISPIMG("ID_9640DE1808F9498F8612547EA44506E8",1)</v>
      </c>
      <c r="Q316" s="11" t="s">
        <v>3260</v>
      </c>
      <c r="R316" s="11">
        <v>406</v>
      </c>
      <c r="S316" s="17" t="s">
        <v>4613</v>
      </c>
      <c r="T316" s="18" t="s">
        <v>55</v>
      </c>
    </row>
    <row r="317" s="3" customFormat="1" customHeight="1" spans="1:20">
      <c r="A317" s="84">
        <v>15</v>
      </c>
      <c r="B317" s="177" t="s">
        <v>3314</v>
      </c>
      <c r="C317" s="167" t="s">
        <v>165</v>
      </c>
      <c r="D317" s="167" t="s">
        <v>3315</v>
      </c>
      <c r="E317" s="11">
        <v>18070403284</v>
      </c>
      <c r="F317" s="167" t="s">
        <v>156</v>
      </c>
      <c r="G317" s="167" t="s">
        <v>13</v>
      </c>
      <c r="H317" s="11">
        <v>202102003</v>
      </c>
      <c r="I317" s="167" t="s">
        <v>157</v>
      </c>
      <c r="J317" s="167" t="s">
        <v>385</v>
      </c>
      <c r="K317" s="167" t="s">
        <v>2821</v>
      </c>
      <c r="L317" s="167" t="s">
        <v>170</v>
      </c>
      <c r="M317" s="167" t="s">
        <v>281</v>
      </c>
      <c r="N317" s="167" t="s">
        <v>25</v>
      </c>
      <c r="O317" s="167" t="s">
        <v>3317</v>
      </c>
      <c r="P317" s="12" t="str">
        <f>_xlfn.DISPIMG("ID_395A3D0BD71445EA85EA2ACA292A2801",1)</f>
        <v>=DISPIMG("ID_395A3D0BD71445EA85EA2ACA292A2801",1)</v>
      </c>
      <c r="Q317" s="11" t="s">
        <v>3318</v>
      </c>
      <c r="R317" s="11">
        <v>416</v>
      </c>
      <c r="S317" s="17" t="s">
        <v>4614</v>
      </c>
      <c r="T317" s="18" t="s">
        <v>55</v>
      </c>
    </row>
    <row r="318" s="3" customFormat="1" customHeight="1" spans="1:20">
      <c r="A318" s="84">
        <v>16</v>
      </c>
      <c r="B318" s="177" t="s">
        <v>3351</v>
      </c>
      <c r="C318" s="167" t="s">
        <v>165</v>
      </c>
      <c r="D318" s="167" t="s">
        <v>3352</v>
      </c>
      <c r="E318" s="11">
        <v>18720295129</v>
      </c>
      <c r="F318" s="167" t="s">
        <v>156</v>
      </c>
      <c r="G318" s="167" t="s">
        <v>13</v>
      </c>
      <c r="H318" s="11">
        <v>202102003</v>
      </c>
      <c r="I318" s="167" t="s">
        <v>279</v>
      </c>
      <c r="J318" s="167" t="s">
        <v>158</v>
      </c>
      <c r="K318" s="167" t="s">
        <v>223</v>
      </c>
      <c r="L318" s="167" t="s">
        <v>170</v>
      </c>
      <c r="M318" s="167" t="s">
        <v>180</v>
      </c>
      <c r="N318" s="167" t="s">
        <v>3354</v>
      </c>
      <c r="O318" s="167" t="s">
        <v>3355</v>
      </c>
      <c r="P318" s="12" t="str">
        <f>_xlfn.DISPIMG("ID_74A8F2037BB844E7BAC2F04950084CD2",1)</f>
        <v>=DISPIMG("ID_74A8F2037BB844E7BAC2F04950084CD2",1)</v>
      </c>
      <c r="Q318" s="11" t="s">
        <v>3356</v>
      </c>
      <c r="R318" s="11">
        <v>422</v>
      </c>
      <c r="S318" s="17" t="s">
        <v>4615</v>
      </c>
      <c r="T318" s="18" t="s">
        <v>55</v>
      </c>
    </row>
    <row r="319" s="3" customFormat="1" customHeight="1" spans="1:20">
      <c r="A319" s="84">
        <v>17</v>
      </c>
      <c r="B319" s="177" t="s">
        <v>3409</v>
      </c>
      <c r="C319" s="167" t="s">
        <v>165</v>
      </c>
      <c r="D319" s="167" t="s">
        <v>3410</v>
      </c>
      <c r="E319" s="11">
        <v>15079270221</v>
      </c>
      <c r="F319" s="167" t="s">
        <v>156</v>
      </c>
      <c r="G319" s="167" t="s">
        <v>13</v>
      </c>
      <c r="H319" s="11">
        <v>202102003</v>
      </c>
      <c r="I319" s="167" t="s">
        <v>157</v>
      </c>
      <c r="J319" s="167" t="s">
        <v>158</v>
      </c>
      <c r="K319" s="167" t="s">
        <v>298</v>
      </c>
      <c r="L319" s="167" t="s">
        <v>160</v>
      </c>
      <c r="M319" s="167" t="s">
        <v>306</v>
      </c>
      <c r="N319" s="167" t="s">
        <v>13</v>
      </c>
      <c r="O319" s="167" t="s">
        <v>3412</v>
      </c>
      <c r="P319" s="12" t="str">
        <f>_xlfn.DISPIMG("ID_36F8A707A81B40EC83CC116E77C5C07D",1)</f>
        <v>=DISPIMG("ID_36F8A707A81B40EC83CC116E77C5C07D",1)</v>
      </c>
      <c r="Q319" s="11" t="s">
        <v>3413</v>
      </c>
      <c r="R319" s="11">
        <v>430</v>
      </c>
      <c r="S319" s="17" t="s">
        <v>4616</v>
      </c>
      <c r="T319" s="18" t="s">
        <v>55</v>
      </c>
    </row>
    <row r="320" s="3" customFormat="1" customHeight="1" spans="1:20">
      <c r="A320" s="84">
        <v>18</v>
      </c>
      <c r="B320" s="177" t="s">
        <v>3458</v>
      </c>
      <c r="C320" s="167" t="s">
        <v>165</v>
      </c>
      <c r="D320" s="167" t="s">
        <v>3459</v>
      </c>
      <c r="E320" s="11">
        <v>18207577354</v>
      </c>
      <c r="F320" s="167" t="s">
        <v>156</v>
      </c>
      <c r="G320" s="167" t="s">
        <v>13</v>
      </c>
      <c r="H320" s="11">
        <v>202102003</v>
      </c>
      <c r="I320" s="167" t="s">
        <v>157</v>
      </c>
      <c r="J320" s="167" t="s">
        <v>385</v>
      </c>
      <c r="K320" s="167" t="s">
        <v>3461</v>
      </c>
      <c r="L320" s="167" t="s">
        <v>160</v>
      </c>
      <c r="M320" s="167" t="s">
        <v>368</v>
      </c>
      <c r="N320" s="167" t="s">
        <v>3011</v>
      </c>
      <c r="O320" s="167" t="s">
        <v>3462</v>
      </c>
      <c r="P320" s="12" t="str">
        <f>_xlfn.DISPIMG("ID_D2C4D691F93F4717949BB5BBCD3994DD",1)</f>
        <v>=DISPIMG("ID_D2C4D691F93F4717949BB5BBCD3994DD",1)</v>
      </c>
      <c r="Q320" s="11" t="s">
        <v>3463</v>
      </c>
      <c r="R320" s="11">
        <v>437</v>
      </c>
      <c r="S320" s="17" t="s">
        <v>4617</v>
      </c>
      <c r="T320" s="18" t="s">
        <v>55</v>
      </c>
    </row>
    <row r="321" s="3" customFormat="1" customHeight="1" spans="1:20">
      <c r="A321" s="84">
        <v>19</v>
      </c>
      <c r="B321" s="177" t="s">
        <v>3481</v>
      </c>
      <c r="C321" s="167" t="s">
        <v>153</v>
      </c>
      <c r="D321" s="167" t="s">
        <v>3482</v>
      </c>
      <c r="E321" s="11">
        <v>13119548929</v>
      </c>
      <c r="F321" s="167" t="s">
        <v>506</v>
      </c>
      <c r="G321" s="167" t="s">
        <v>13</v>
      </c>
      <c r="H321" s="11">
        <v>202102016</v>
      </c>
      <c r="I321" s="167" t="s">
        <v>157</v>
      </c>
      <c r="J321" s="167" t="s">
        <v>1112</v>
      </c>
      <c r="K321" s="167" t="s">
        <v>3484</v>
      </c>
      <c r="L321" s="167" t="s">
        <v>160</v>
      </c>
      <c r="M321" s="167" t="s">
        <v>216</v>
      </c>
      <c r="N321" s="167" t="s">
        <v>2284</v>
      </c>
      <c r="O321" s="167" t="s">
        <v>3485</v>
      </c>
      <c r="P321" s="12" t="str">
        <f>_xlfn.DISPIMG("ID_9C9702A9D71D49F4A0D4283BE0B57A8D",1)</f>
        <v>=DISPIMG("ID_9C9702A9D71D49F4A0D4283BE0B57A8D",1)</v>
      </c>
      <c r="Q321" s="11" t="s">
        <v>3486</v>
      </c>
      <c r="R321" s="11">
        <v>440</v>
      </c>
      <c r="S321" s="17" t="s">
        <v>4618</v>
      </c>
      <c r="T321" s="18" t="s">
        <v>55</v>
      </c>
    </row>
    <row r="322" s="3" customFormat="1" customHeight="1" spans="1:20">
      <c r="A322" s="84">
        <v>20</v>
      </c>
      <c r="B322" s="177" t="s">
        <v>3647</v>
      </c>
      <c r="C322" s="167" t="s">
        <v>165</v>
      </c>
      <c r="D322" s="167" t="s">
        <v>3648</v>
      </c>
      <c r="E322" s="11">
        <v>19914728112</v>
      </c>
      <c r="F322" s="167" t="s">
        <v>156</v>
      </c>
      <c r="G322" s="167" t="s">
        <v>13</v>
      </c>
      <c r="H322" s="11">
        <v>202102003</v>
      </c>
      <c r="I322" s="167" t="s">
        <v>705</v>
      </c>
      <c r="J322" s="167" t="s">
        <v>1413</v>
      </c>
      <c r="K322" s="167" t="s">
        <v>3650</v>
      </c>
      <c r="L322" s="167" t="s">
        <v>170</v>
      </c>
      <c r="M322" s="167" t="s">
        <v>455</v>
      </c>
      <c r="N322" s="167" t="s">
        <v>3651</v>
      </c>
      <c r="O322" s="11">
        <v>0</v>
      </c>
      <c r="P322" s="12" t="str">
        <f>_xlfn.DISPIMG("ID_5D17E050202348DFAA14EEF8D985F66D",1)</f>
        <v>=DISPIMG("ID_5D17E050202348DFAA14EEF8D985F66D",1)</v>
      </c>
      <c r="Q322" s="11" t="s">
        <v>3652</v>
      </c>
      <c r="R322" s="11">
        <v>464</v>
      </c>
      <c r="S322" s="17" t="s">
        <v>4619</v>
      </c>
      <c r="T322" s="18" t="s">
        <v>55</v>
      </c>
    </row>
    <row r="323" s="3" customFormat="1" customHeight="1" spans="1:20">
      <c r="A323" s="84">
        <v>21</v>
      </c>
      <c r="B323" s="177" t="s">
        <v>3804</v>
      </c>
      <c r="C323" s="167" t="s">
        <v>165</v>
      </c>
      <c r="D323" s="167" t="s">
        <v>3805</v>
      </c>
      <c r="E323" s="11">
        <v>18859568610</v>
      </c>
      <c r="F323" s="167" t="s">
        <v>156</v>
      </c>
      <c r="G323" s="167" t="s">
        <v>13</v>
      </c>
      <c r="H323" s="11">
        <v>202102003</v>
      </c>
      <c r="I323" s="167" t="s">
        <v>157</v>
      </c>
      <c r="J323" s="167" t="s">
        <v>2943</v>
      </c>
      <c r="K323" s="167" t="s">
        <v>179</v>
      </c>
      <c r="L323" s="167" t="s">
        <v>160</v>
      </c>
      <c r="M323" s="167" t="s">
        <v>235</v>
      </c>
      <c r="N323" s="167" t="s">
        <v>1187</v>
      </c>
      <c r="O323" s="167" t="s">
        <v>3807</v>
      </c>
      <c r="P323" s="12" t="str">
        <f>_xlfn.DISPIMG("ID_958C237DE20E4119882FD97115456597",1)</f>
        <v>=DISPIMG("ID_958C237DE20E4119882FD97115456597",1)</v>
      </c>
      <c r="Q323" s="11" t="s">
        <v>3808</v>
      </c>
      <c r="R323" s="20">
        <v>485</v>
      </c>
      <c r="S323" s="17" t="s">
        <v>4620</v>
      </c>
      <c r="T323" s="18" t="s">
        <v>55</v>
      </c>
    </row>
    <row r="324" s="3" customFormat="1" customHeight="1" spans="1:20">
      <c r="A324" s="84">
        <v>22</v>
      </c>
      <c r="B324" s="177" t="s">
        <v>3826</v>
      </c>
      <c r="C324" s="167" t="s">
        <v>165</v>
      </c>
      <c r="D324" s="167" t="s">
        <v>3827</v>
      </c>
      <c r="E324" s="11">
        <v>18379207307</v>
      </c>
      <c r="F324" s="167" t="s">
        <v>156</v>
      </c>
      <c r="G324" s="167" t="s">
        <v>13</v>
      </c>
      <c r="H324" s="11">
        <v>202102003</v>
      </c>
      <c r="I324" s="167" t="s">
        <v>279</v>
      </c>
      <c r="J324" s="167" t="s">
        <v>158</v>
      </c>
      <c r="K324" s="167" t="s">
        <v>223</v>
      </c>
      <c r="L324" s="167" t="s">
        <v>170</v>
      </c>
      <c r="M324" s="167" t="s">
        <v>180</v>
      </c>
      <c r="N324" s="167" t="s">
        <v>487</v>
      </c>
      <c r="O324" s="167" t="s">
        <v>3829</v>
      </c>
      <c r="P324" s="12" t="str">
        <f>_xlfn.DISPIMG("ID_0F27C17184DB40E4ADCCEAF2E242F8D5",1)</f>
        <v>=DISPIMG("ID_0F27C17184DB40E4ADCCEAF2E242F8D5",1)</v>
      </c>
      <c r="Q324" s="11" t="s">
        <v>3830</v>
      </c>
      <c r="R324" s="20">
        <v>488</v>
      </c>
      <c r="S324" s="17" t="s">
        <v>4621</v>
      </c>
      <c r="T324" s="18" t="s">
        <v>55</v>
      </c>
    </row>
    <row r="325" s="3" customFormat="1" customHeight="1" spans="1:20">
      <c r="A325" s="84">
        <v>23</v>
      </c>
      <c r="B325" s="177" t="s">
        <v>3970</v>
      </c>
      <c r="C325" s="167" t="s">
        <v>165</v>
      </c>
      <c r="D325" s="167" t="s">
        <v>3971</v>
      </c>
      <c r="E325" s="11">
        <v>18279298177</v>
      </c>
      <c r="F325" s="167" t="s">
        <v>156</v>
      </c>
      <c r="G325" s="167" t="s">
        <v>13</v>
      </c>
      <c r="H325" s="11">
        <v>202102003</v>
      </c>
      <c r="I325" s="167" t="s">
        <v>157</v>
      </c>
      <c r="J325" s="167" t="s">
        <v>233</v>
      </c>
      <c r="K325" s="167" t="s">
        <v>3973</v>
      </c>
      <c r="L325" s="167" t="s">
        <v>160</v>
      </c>
      <c r="M325" s="167" t="s">
        <v>161</v>
      </c>
      <c r="N325" s="167" t="s">
        <v>25</v>
      </c>
      <c r="O325" s="167" t="s">
        <v>3974</v>
      </c>
      <c r="P325" s="12" t="str">
        <f>_xlfn.DISPIMG("ID_B1F0BA2C377444B08B7692E1B53E42C5",1)</f>
        <v>=DISPIMG("ID_B1F0BA2C377444B08B7692E1B53E42C5",1)</v>
      </c>
      <c r="Q325" s="11" t="s">
        <v>3975</v>
      </c>
      <c r="R325" s="20">
        <v>507</v>
      </c>
      <c r="S325" s="17" t="s">
        <v>4622</v>
      </c>
      <c r="T325" s="18" t="s">
        <v>55</v>
      </c>
    </row>
    <row r="326" s="3" customFormat="1" customHeight="1" spans="1:20">
      <c r="A326" s="84">
        <v>24</v>
      </c>
      <c r="B326" s="177" t="s">
        <v>3991</v>
      </c>
      <c r="C326" s="167" t="s">
        <v>165</v>
      </c>
      <c r="D326" s="167" t="s">
        <v>3992</v>
      </c>
      <c r="E326" s="11">
        <v>15779276924</v>
      </c>
      <c r="F326" s="167" t="s">
        <v>156</v>
      </c>
      <c r="G326" s="167" t="s">
        <v>13</v>
      </c>
      <c r="H326" s="11">
        <v>202102003</v>
      </c>
      <c r="I326" s="167" t="s">
        <v>157</v>
      </c>
      <c r="J326" s="167" t="s">
        <v>158</v>
      </c>
      <c r="K326" s="167" t="s">
        <v>298</v>
      </c>
      <c r="L326" s="167" t="s">
        <v>160</v>
      </c>
      <c r="M326" s="167" t="s">
        <v>171</v>
      </c>
      <c r="N326" s="167" t="s">
        <v>1692</v>
      </c>
      <c r="O326" s="167" t="s">
        <v>3994</v>
      </c>
      <c r="P326" s="12" t="str">
        <f>_xlfn.DISPIMG("ID_78A88502741143D5850B496E71BE5DA0",1)</f>
        <v>=DISPIMG("ID_78A88502741143D5850B496E71BE5DA0",1)</v>
      </c>
      <c r="Q326" s="11" t="s">
        <v>3995</v>
      </c>
      <c r="R326" s="20">
        <v>510</v>
      </c>
      <c r="S326" s="17" t="s">
        <v>4623</v>
      </c>
      <c r="T326" s="18" t="s">
        <v>55</v>
      </c>
    </row>
    <row r="327" s="3" customFormat="1" customHeight="1" spans="1:20">
      <c r="A327" s="84">
        <v>25</v>
      </c>
      <c r="B327" s="177" t="s">
        <v>4013</v>
      </c>
      <c r="C327" s="167" t="s">
        <v>165</v>
      </c>
      <c r="D327" s="167" t="s">
        <v>4014</v>
      </c>
      <c r="E327" s="11">
        <v>18870236365</v>
      </c>
      <c r="F327" s="167" t="s">
        <v>156</v>
      </c>
      <c r="G327" s="167" t="s">
        <v>13</v>
      </c>
      <c r="H327" s="11">
        <v>202102003</v>
      </c>
      <c r="I327" s="167" t="s">
        <v>279</v>
      </c>
      <c r="J327" s="167" t="s">
        <v>158</v>
      </c>
      <c r="K327" s="167" t="s">
        <v>223</v>
      </c>
      <c r="L327" s="167" t="s">
        <v>170</v>
      </c>
      <c r="M327" s="167" t="s">
        <v>306</v>
      </c>
      <c r="N327" s="167" t="s">
        <v>4016</v>
      </c>
      <c r="O327" s="167" t="s">
        <v>4017</v>
      </c>
      <c r="P327" s="12" t="str">
        <f>_xlfn.DISPIMG("ID_4B6C2F7765194334A42FC9F1088827FE",1)</f>
        <v>=DISPIMG("ID_4B6C2F7765194334A42FC9F1088827FE",1)</v>
      </c>
      <c r="Q327" s="11" t="s">
        <v>4018</v>
      </c>
      <c r="R327" s="20">
        <v>513</v>
      </c>
      <c r="S327" s="17" t="s">
        <v>4624</v>
      </c>
      <c r="T327" s="18" t="s">
        <v>55</v>
      </c>
    </row>
    <row r="328" s="3" customFormat="1" customHeight="1" spans="1:20">
      <c r="A328" s="84">
        <v>26</v>
      </c>
      <c r="B328" s="177" t="s">
        <v>4021</v>
      </c>
      <c r="C328" s="167" t="s">
        <v>165</v>
      </c>
      <c r="D328" s="167" t="s">
        <v>4022</v>
      </c>
      <c r="E328" s="11">
        <v>15870639139</v>
      </c>
      <c r="F328" s="167" t="s">
        <v>156</v>
      </c>
      <c r="G328" s="167" t="s">
        <v>13</v>
      </c>
      <c r="H328" s="11">
        <v>202102003</v>
      </c>
      <c r="I328" s="167" t="s">
        <v>157</v>
      </c>
      <c r="J328" s="167" t="s">
        <v>1413</v>
      </c>
      <c r="K328" s="167" t="s">
        <v>1122</v>
      </c>
      <c r="L328" s="167" t="s">
        <v>160</v>
      </c>
      <c r="M328" s="167" t="s">
        <v>235</v>
      </c>
      <c r="N328" s="167" t="s">
        <v>487</v>
      </c>
      <c r="O328" s="167" t="s">
        <v>4024</v>
      </c>
      <c r="P328" s="12" t="str">
        <f>_xlfn.DISPIMG("ID_678965A481D64CEABA15E59CA2B84698",1)</f>
        <v>=DISPIMG("ID_678965A481D64CEABA15E59CA2B84698",1)</v>
      </c>
      <c r="Q328" s="11" t="s">
        <v>4025</v>
      </c>
      <c r="R328" s="20">
        <v>514</v>
      </c>
      <c r="S328" s="17" t="s">
        <v>4625</v>
      </c>
      <c r="T328" s="18" t="s">
        <v>55</v>
      </c>
    </row>
    <row r="329" s="3" customFormat="1" customHeight="1" spans="1:20">
      <c r="A329" s="84">
        <v>27</v>
      </c>
      <c r="B329" s="177" t="s">
        <v>4065</v>
      </c>
      <c r="C329" s="167" t="s">
        <v>165</v>
      </c>
      <c r="D329" s="167" t="s">
        <v>4066</v>
      </c>
      <c r="E329" s="11">
        <v>15797987795</v>
      </c>
      <c r="F329" s="167" t="s">
        <v>506</v>
      </c>
      <c r="G329" s="167" t="s">
        <v>13</v>
      </c>
      <c r="H329" s="11">
        <v>202102016</v>
      </c>
      <c r="I329" s="167" t="s">
        <v>279</v>
      </c>
      <c r="J329" s="167" t="s">
        <v>158</v>
      </c>
      <c r="K329" s="167" t="s">
        <v>223</v>
      </c>
      <c r="L329" s="167" t="s">
        <v>170</v>
      </c>
      <c r="M329" s="167" t="s">
        <v>368</v>
      </c>
      <c r="N329" s="167" t="s">
        <v>4068</v>
      </c>
      <c r="O329" s="167" t="s">
        <v>4069</v>
      </c>
      <c r="P329" s="12" t="str">
        <f>_xlfn.DISPIMG("ID_699B420D06BD4D209FB40A52E07C758F",1)</f>
        <v>=DISPIMG("ID_699B420D06BD4D209FB40A52E07C758F",1)</v>
      </c>
      <c r="Q329" s="11" t="s">
        <v>4070</v>
      </c>
      <c r="R329" s="11">
        <v>520</v>
      </c>
      <c r="S329" s="17" t="s">
        <v>4626</v>
      </c>
      <c r="T329" s="18" t="s">
        <v>55</v>
      </c>
    </row>
    <row r="330" s="3" customFormat="1" customHeight="1" spans="1:20">
      <c r="A330" s="84">
        <v>28</v>
      </c>
      <c r="B330" s="177" t="s">
        <v>4096</v>
      </c>
      <c r="C330" s="167" t="s">
        <v>165</v>
      </c>
      <c r="D330" s="167" t="s">
        <v>4097</v>
      </c>
      <c r="E330" s="11">
        <v>18279205166</v>
      </c>
      <c r="F330" s="167" t="s">
        <v>506</v>
      </c>
      <c r="G330" s="167" t="s">
        <v>13</v>
      </c>
      <c r="H330" s="11">
        <v>202102016</v>
      </c>
      <c r="I330" s="167" t="s">
        <v>157</v>
      </c>
      <c r="J330" s="167" t="s">
        <v>1121</v>
      </c>
      <c r="K330" s="167" t="s">
        <v>179</v>
      </c>
      <c r="L330" s="167" t="s">
        <v>160</v>
      </c>
      <c r="M330" s="167" t="s">
        <v>199</v>
      </c>
      <c r="N330" s="167" t="s">
        <v>13</v>
      </c>
      <c r="O330" s="167" t="s">
        <v>4099</v>
      </c>
      <c r="P330" s="12" t="str">
        <f>_xlfn.DISPIMG("ID_AF2EA5B71B5B4904B17F83B386FDD8B5",1)</f>
        <v>=DISPIMG("ID_AF2EA5B71B5B4904B17F83B386FDD8B5",1)</v>
      </c>
      <c r="Q330" s="11" t="s">
        <v>4100</v>
      </c>
      <c r="R330" s="11">
        <v>524</v>
      </c>
      <c r="S330" s="17" t="s">
        <v>4627</v>
      </c>
      <c r="T330" s="18" t="s">
        <v>55</v>
      </c>
    </row>
    <row r="331" s="3" customFormat="1" customHeight="1" spans="1:20">
      <c r="A331" s="84">
        <v>29</v>
      </c>
      <c r="B331" s="177" t="s">
        <v>4120</v>
      </c>
      <c r="C331" s="167" t="s">
        <v>153</v>
      </c>
      <c r="D331" s="167" t="s">
        <v>4121</v>
      </c>
      <c r="E331" s="11">
        <v>15070281790</v>
      </c>
      <c r="F331" s="167" t="s">
        <v>506</v>
      </c>
      <c r="G331" s="167" t="s">
        <v>13</v>
      </c>
      <c r="H331" s="11">
        <v>202102016</v>
      </c>
      <c r="I331" s="167" t="s">
        <v>157</v>
      </c>
      <c r="J331" s="167" t="s">
        <v>269</v>
      </c>
      <c r="K331" s="167" t="s">
        <v>179</v>
      </c>
      <c r="L331" s="167" t="s">
        <v>170</v>
      </c>
      <c r="M331" s="167" t="s">
        <v>3039</v>
      </c>
      <c r="N331" s="167" t="s">
        <v>307</v>
      </c>
      <c r="O331" s="167" t="s">
        <v>4123</v>
      </c>
      <c r="P331" s="12" t="str">
        <f>_xlfn.DISPIMG("ID_E27C6548F4194D02B9DC397724E0FA4F",1)</f>
        <v>=DISPIMG("ID_E27C6548F4194D02B9DC397724E0FA4F",1)</v>
      </c>
      <c r="Q331" s="11" t="s">
        <v>4124</v>
      </c>
      <c r="R331" s="11">
        <v>527</v>
      </c>
      <c r="S331" s="17" t="s">
        <v>4628</v>
      </c>
      <c r="T331" s="18" t="s">
        <v>55</v>
      </c>
    </row>
    <row r="332" s="3" customFormat="1" customHeight="1" spans="1:20">
      <c r="A332" s="84">
        <v>30</v>
      </c>
      <c r="B332" s="177" t="s">
        <v>4169</v>
      </c>
      <c r="C332" s="167" t="s">
        <v>165</v>
      </c>
      <c r="D332" s="167" t="s">
        <v>4170</v>
      </c>
      <c r="E332" s="11">
        <v>13970241382</v>
      </c>
      <c r="F332" s="167" t="s">
        <v>156</v>
      </c>
      <c r="G332" s="167" t="s">
        <v>13</v>
      </c>
      <c r="H332" s="11">
        <v>202102003</v>
      </c>
      <c r="I332" s="167" t="s">
        <v>157</v>
      </c>
      <c r="J332" s="167" t="s">
        <v>233</v>
      </c>
      <c r="K332" s="167" t="s">
        <v>4172</v>
      </c>
      <c r="L332" s="167" t="s">
        <v>170</v>
      </c>
      <c r="M332" s="167" t="s">
        <v>161</v>
      </c>
      <c r="N332" s="167" t="s">
        <v>4173</v>
      </c>
      <c r="O332" s="11">
        <v>0</v>
      </c>
      <c r="P332" s="12" t="str">
        <f>_xlfn.DISPIMG("ID_5B6CA2E5A2044344BC4069C94E27DF22",1)</f>
        <v>=DISPIMG("ID_5B6CA2E5A2044344BC4069C94E27DF22",1)</v>
      </c>
      <c r="Q332" s="11" t="s">
        <v>4174</v>
      </c>
      <c r="R332" s="20">
        <v>533</v>
      </c>
      <c r="S332" s="17" t="s">
        <v>4629</v>
      </c>
      <c r="T332" s="18" t="s">
        <v>55</v>
      </c>
    </row>
    <row r="333" s="3" customFormat="1" customHeight="1" spans="1:20">
      <c r="A333" s="84">
        <v>1</v>
      </c>
      <c r="B333" s="177" t="s">
        <v>4244</v>
      </c>
      <c r="C333" s="167" t="s">
        <v>165</v>
      </c>
      <c r="D333" s="167" t="s">
        <v>4245</v>
      </c>
      <c r="E333" s="11">
        <v>18296230426</v>
      </c>
      <c r="F333" s="167" t="s">
        <v>156</v>
      </c>
      <c r="G333" s="167" t="s">
        <v>13</v>
      </c>
      <c r="H333" s="11">
        <v>202102003</v>
      </c>
      <c r="I333" s="167" t="s">
        <v>157</v>
      </c>
      <c r="J333" s="167" t="s">
        <v>646</v>
      </c>
      <c r="K333" s="167" t="s">
        <v>179</v>
      </c>
      <c r="L333" s="167" t="s">
        <v>160</v>
      </c>
      <c r="M333" s="167" t="s">
        <v>180</v>
      </c>
      <c r="N333" s="167" t="s">
        <v>25</v>
      </c>
      <c r="O333" s="167" t="s">
        <v>4247</v>
      </c>
      <c r="P333" s="12" t="str">
        <f>_xlfn.DISPIMG("ID_36DA19808F4346CB8F6359485B7E0248",1)</f>
        <v>=DISPIMG("ID_36DA19808F4346CB8F6359485B7E0248",1)</v>
      </c>
      <c r="Q333" s="11" t="s">
        <v>4248</v>
      </c>
      <c r="R333" s="20">
        <v>543</v>
      </c>
      <c r="S333" s="17" t="s">
        <v>4630</v>
      </c>
      <c r="T333" s="18" t="s">
        <v>56</v>
      </c>
    </row>
    <row r="334" s="3" customFormat="1" customHeight="1" spans="1:20">
      <c r="A334" s="84">
        <v>2</v>
      </c>
      <c r="B334" s="177" t="s">
        <v>4273</v>
      </c>
      <c r="C334" s="167" t="s">
        <v>165</v>
      </c>
      <c r="D334" s="167" t="s">
        <v>4274</v>
      </c>
      <c r="E334" s="11">
        <v>18317912297</v>
      </c>
      <c r="F334" s="167" t="s">
        <v>156</v>
      </c>
      <c r="G334" s="167" t="s">
        <v>13</v>
      </c>
      <c r="H334" s="11">
        <v>202102003</v>
      </c>
      <c r="I334" s="167" t="s">
        <v>157</v>
      </c>
      <c r="J334" s="167" t="s">
        <v>1513</v>
      </c>
      <c r="K334" s="167" t="s">
        <v>1331</v>
      </c>
      <c r="L334" s="167" t="s">
        <v>160</v>
      </c>
      <c r="M334" s="167" t="s">
        <v>368</v>
      </c>
      <c r="N334" s="167" t="s">
        <v>13</v>
      </c>
      <c r="O334" s="167" t="s">
        <v>4276</v>
      </c>
      <c r="P334" s="12" t="str">
        <f>_xlfn.DISPIMG("ID_BFA48D3AEAE641428A104A2BB93F50F8",1)</f>
        <v>=DISPIMG("ID_BFA48D3AEAE641428A104A2BB93F50F8",1)</v>
      </c>
      <c r="Q334" s="11" t="s">
        <v>4277</v>
      </c>
      <c r="R334" s="20">
        <v>547</v>
      </c>
      <c r="S334" s="17" t="s">
        <v>4631</v>
      </c>
      <c r="T334" s="18" t="s">
        <v>56</v>
      </c>
    </row>
    <row r="335" s="3" customFormat="1" customHeight="1" spans="1:20">
      <c r="A335" s="84">
        <v>3</v>
      </c>
      <c r="B335" s="177" t="s">
        <v>4280</v>
      </c>
      <c r="C335" s="167" t="s">
        <v>165</v>
      </c>
      <c r="D335" s="167" t="s">
        <v>4281</v>
      </c>
      <c r="E335" s="11">
        <v>15949551660</v>
      </c>
      <c r="F335" s="167" t="s">
        <v>156</v>
      </c>
      <c r="G335" s="167" t="s">
        <v>13</v>
      </c>
      <c r="H335" s="11">
        <v>202102003</v>
      </c>
      <c r="I335" s="167" t="s">
        <v>157</v>
      </c>
      <c r="J335" s="167" t="s">
        <v>158</v>
      </c>
      <c r="K335" s="167" t="s">
        <v>298</v>
      </c>
      <c r="L335" s="167" t="s">
        <v>160</v>
      </c>
      <c r="M335" s="167" t="s">
        <v>252</v>
      </c>
      <c r="N335" s="167" t="s">
        <v>13</v>
      </c>
      <c r="O335" s="167" t="s">
        <v>4283</v>
      </c>
      <c r="P335" s="12" t="str">
        <f>_xlfn.DISPIMG("ID_0A7C024448EB4671A840FBA92AB35983",1)</f>
        <v>=DISPIMG("ID_0A7C024448EB4671A840FBA92AB35983",1)</v>
      </c>
      <c r="Q335" s="11" t="s">
        <v>4284</v>
      </c>
      <c r="R335" s="11">
        <v>548</v>
      </c>
      <c r="S335" s="17" t="s">
        <v>4632</v>
      </c>
      <c r="T335" s="18" t="s">
        <v>56</v>
      </c>
    </row>
    <row r="336" s="3" customFormat="1" customHeight="1" spans="1:20">
      <c r="A336" s="84">
        <v>4</v>
      </c>
      <c r="B336" s="177" t="s">
        <v>4287</v>
      </c>
      <c r="C336" s="167" t="s">
        <v>165</v>
      </c>
      <c r="D336" s="167" t="s">
        <v>4288</v>
      </c>
      <c r="E336" s="11">
        <v>15067121965</v>
      </c>
      <c r="F336" s="167" t="s">
        <v>156</v>
      </c>
      <c r="G336" s="167" t="s">
        <v>13</v>
      </c>
      <c r="H336" s="11">
        <v>202102003</v>
      </c>
      <c r="I336" s="167" t="s">
        <v>279</v>
      </c>
      <c r="J336" s="167" t="s">
        <v>4290</v>
      </c>
      <c r="K336" s="167" t="s">
        <v>4291</v>
      </c>
      <c r="L336" s="167" t="s">
        <v>170</v>
      </c>
      <c r="M336" s="167" t="s">
        <v>224</v>
      </c>
      <c r="N336" s="167" t="s">
        <v>1398</v>
      </c>
      <c r="O336" s="11">
        <v>0</v>
      </c>
      <c r="P336" s="12" t="str">
        <f>_xlfn.DISPIMG("ID_722A9A1419ED4209B5078EB200B4615A",1)</f>
        <v>=DISPIMG("ID_722A9A1419ED4209B5078EB200B4615A",1)</v>
      </c>
      <c r="Q336" s="11" t="s">
        <v>4292</v>
      </c>
      <c r="R336" s="11">
        <v>549</v>
      </c>
      <c r="S336" s="17" t="s">
        <v>4633</v>
      </c>
      <c r="T336" s="18" t="s">
        <v>56</v>
      </c>
    </row>
    <row r="337" s="3" customFormat="1" customHeight="1" spans="1:20">
      <c r="A337" s="84">
        <v>5</v>
      </c>
      <c r="B337" s="177" t="s">
        <v>4295</v>
      </c>
      <c r="C337" s="167" t="s">
        <v>165</v>
      </c>
      <c r="D337" s="167" t="s">
        <v>4296</v>
      </c>
      <c r="E337" s="11">
        <v>18174018729</v>
      </c>
      <c r="F337" s="167" t="s">
        <v>156</v>
      </c>
      <c r="G337" s="167" t="s">
        <v>13</v>
      </c>
      <c r="H337" s="11">
        <v>202102003</v>
      </c>
      <c r="I337" s="167" t="s">
        <v>157</v>
      </c>
      <c r="J337" s="167" t="s">
        <v>3054</v>
      </c>
      <c r="K337" s="167" t="s">
        <v>4298</v>
      </c>
      <c r="L337" s="167" t="s">
        <v>160</v>
      </c>
      <c r="M337" s="167" t="s">
        <v>261</v>
      </c>
      <c r="N337" s="167" t="s">
        <v>13</v>
      </c>
      <c r="O337" s="11">
        <v>0</v>
      </c>
      <c r="P337" s="12" t="str">
        <f>_xlfn.DISPIMG("ID_AB63EA744ECF442183CACE9AA5A6EA85",1)</f>
        <v>=DISPIMG("ID_AB63EA744ECF442183CACE9AA5A6EA85",1)</v>
      </c>
      <c r="Q337" s="11" t="s">
        <v>4299</v>
      </c>
      <c r="R337" s="20">
        <v>550</v>
      </c>
      <c r="S337" s="17" t="s">
        <v>4634</v>
      </c>
      <c r="T337" s="18" t="s">
        <v>56</v>
      </c>
    </row>
    <row r="338" s="3" customFormat="1" customHeight="1" spans="1:20">
      <c r="A338" s="84">
        <v>6</v>
      </c>
      <c r="B338" s="177" t="s">
        <v>4302</v>
      </c>
      <c r="C338" s="167" t="s">
        <v>165</v>
      </c>
      <c r="D338" s="167" t="s">
        <v>4303</v>
      </c>
      <c r="E338" s="11">
        <v>15279209806</v>
      </c>
      <c r="F338" s="167" t="s">
        <v>506</v>
      </c>
      <c r="G338" s="167" t="s">
        <v>13</v>
      </c>
      <c r="H338" s="11">
        <v>202102016</v>
      </c>
      <c r="I338" s="167" t="s">
        <v>279</v>
      </c>
      <c r="J338" s="167" t="s">
        <v>168</v>
      </c>
      <c r="K338" s="167" t="s">
        <v>223</v>
      </c>
      <c r="L338" s="167" t="s">
        <v>170</v>
      </c>
      <c r="M338" s="167" t="s">
        <v>577</v>
      </c>
      <c r="N338" s="167" t="s">
        <v>487</v>
      </c>
      <c r="O338" s="167" t="s">
        <v>4304</v>
      </c>
      <c r="P338" s="12" t="str">
        <f>_xlfn.DISPIMG("ID_2F1FB7C94C004C5BAD8EEBBBB9C7D0C9",1)</f>
        <v>=DISPIMG("ID_2F1FB7C94C004C5BAD8EEBBBB9C7D0C9",1)</v>
      </c>
      <c r="Q338" s="11" t="s">
        <v>4305</v>
      </c>
      <c r="R338" s="11">
        <v>551</v>
      </c>
      <c r="S338" s="17" t="s">
        <v>4635</v>
      </c>
      <c r="T338" s="18" t="s">
        <v>56</v>
      </c>
    </row>
    <row r="339" s="3" customFormat="1" customHeight="1" spans="1:20">
      <c r="A339" s="84">
        <v>7</v>
      </c>
      <c r="B339" s="177" t="s">
        <v>441</v>
      </c>
      <c r="C339" s="167" t="s">
        <v>165</v>
      </c>
      <c r="D339" s="167" t="s">
        <v>442</v>
      </c>
      <c r="E339" s="11">
        <v>15172397471</v>
      </c>
      <c r="F339" s="167" t="s">
        <v>156</v>
      </c>
      <c r="G339" s="167" t="s">
        <v>12</v>
      </c>
      <c r="H339" s="11">
        <v>202102010</v>
      </c>
      <c r="I339" s="167" t="s">
        <v>157</v>
      </c>
      <c r="J339" s="167" t="s">
        <v>444</v>
      </c>
      <c r="K339" s="167" t="s">
        <v>445</v>
      </c>
      <c r="L339" s="167" t="s">
        <v>160</v>
      </c>
      <c r="M339" s="167" t="s">
        <v>252</v>
      </c>
      <c r="N339" s="167" t="s">
        <v>446</v>
      </c>
      <c r="O339" s="167" t="s">
        <v>447</v>
      </c>
      <c r="P339" s="12" t="str">
        <f>_xlfn.DISPIMG("ID_8FDFD8CDACA94911BFEF3051E2235221",1)</f>
        <v>=DISPIMG("ID_8FDFD8CDACA94911BFEF3051E2235221",1)</v>
      </c>
      <c r="Q339" s="11" t="s">
        <v>448</v>
      </c>
      <c r="R339" s="11">
        <v>34</v>
      </c>
      <c r="S339" s="17" t="s">
        <v>4636</v>
      </c>
      <c r="T339" s="18" t="s">
        <v>56</v>
      </c>
    </row>
    <row r="340" s="3" customFormat="1" customHeight="1" spans="1:20">
      <c r="A340" s="84">
        <v>8</v>
      </c>
      <c r="B340" s="177" t="s">
        <v>906</v>
      </c>
      <c r="C340" s="167" t="s">
        <v>165</v>
      </c>
      <c r="D340" s="167" t="s">
        <v>907</v>
      </c>
      <c r="E340" s="11">
        <v>18872969481</v>
      </c>
      <c r="F340" s="167" t="s">
        <v>156</v>
      </c>
      <c r="G340" s="167" t="s">
        <v>12</v>
      </c>
      <c r="H340" s="11">
        <v>202102010</v>
      </c>
      <c r="I340" s="167" t="s">
        <v>157</v>
      </c>
      <c r="J340" s="167" t="s">
        <v>909</v>
      </c>
      <c r="K340" s="167" t="s">
        <v>445</v>
      </c>
      <c r="L340" s="167" t="s">
        <v>170</v>
      </c>
      <c r="M340" s="167" t="s">
        <v>910</v>
      </c>
      <c r="N340" s="167" t="s">
        <v>911</v>
      </c>
      <c r="O340" s="167" t="s">
        <v>912</v>
      </c>
      <c r="P340" s="12" t="str">
        <f>_xlfn.DISPIMG("ID_5478E78BEF25454AA0569457DA503AEE",1)</f>
        <v>=DISPIMG("ID_5478E78BEF25454AA0569457DA503AEE",1)</v>
      </c>
      <c r="Q340" s="11" t="s">
        <v>913</v>
      </c>
      <c r="R340" s="11">
        <v>91</v>
      </c>
      <c r="S340" s="17" t="s">
        <v>4637</v>
      </c>
      <c r="T340" s="18" t="s">
        <v>56</v>
      </c>
    </row>
    <row r="341" s="3" customFormat="1" customHeight="1" spans="1:20">
      <c r="A341" s="84">
        <v>9</v>
      </c>
      <c r="B341" s="177" t="s">
        <v>1034</v>
      </c>
      <c r="C341" s="167" t="s">
        <v>165</v>
      </c>
      <c r="D341" s="167" t="s">
        <v>1035</v>
      </c>
      <c r="E341" s="11">
        <v>18270651805</v>
      </c>
      <c r="F341" s="167" t="s">
        <v>156</v>
      </c>
      <c r="G341" s="167" t="s">
        <v>12</v>
      </c>
      <c r="H341" s="11">
        <v>202102010</v>
      </c>
      <c r="I341" s="167" t="s">
        <v>157</v>
      </c>
      <c r="J341" s="167" t="s">
        <v>178</v>
      </c>
      <c r="K341" s="167" t="s">
        <v>1037</v>
      </c>
      <c r="L341" s="167" t="s">
        <v>170</v>
      </c>
      <c r="M341" s="167" t="s">
        <v>161</v>
      </c>
      <c r="N341" s="167" t="s">
        <v>1038</v>
      </c>
      <c r="O341" s="167" t="s">
        <v>1039</v>
      </c>
      <c r="P341" s="12" t="str">
        <f>_xlfn.DISPIMG("ID_0FA5FFDB4D0442D5AB7C6CB6A0A51E2D",1)</f>
        <v>=DISPIMG("ID_0FA5FFDB4D0442D5AB7C6CB6A0A51E2D",1)</v>
      </c>
      <c r="Q341" s="11" t="s">
        <v>1040</v>
      </c>
      <c r="R341" s="20">
        <v>106</v>
      </c>
      <c r="S341" s="17" t="s">
        <v>4638</v>
      </c>
      <c r="T341" s="18" t="s">
        <v>56</v>
      </c>
    </row>
    <row r="342" s="3" customFormat="1" customHeight="1" spans="1:20">
      <c r="A342" s="84">
        <v>10</v>
      </c>
      <c r="B342" s="177" t="s">
        <v>1153</v>
      </c>
      <c r="C342" s="167" t="s">
        <v>165</v>
      </c>
      <c r="D342" s="167" t="s">
        <v>1154</v>
      </c>
      <c r="E342" s="11">
        <v>13803552587</v>
      </c>
      <c r="F342" s="167" t="s">
        <v>156</v>
      </c>
      <c r="G342" s="167" t="s">
        <v>12</v>
      </c>
      <c r="H342" s="11">
        <v>202102010</v>
      </c>
      <c r="I342" s="167" t="s">
        <v>157</v>
      </c>
      <c r="J342" s="167" t="s">
        <v>385</v>
      </c>
      <c r="K342" s="167" t="s">
        <v>445</v>
      </c>
      <c r="L342" s="167" t="s">
        <v>160</v>
      </c>
      <c r="M342" s="167" t="s">
        <v>261</v>
      </c>
      <c r="N342" s="167" t="s">
        <v>1156</v>
      </c>
      <c r="O342" s="167" t="s">
        <v>1157</v>
      </c>
      <c r="P342" s="12" t="str">
        <f>_xlfn.DISPIMG("ID_2A6402E44B2C4CB5B00B003CEEB85AA0",1)</f>
        <v>=DISPIMG("ID_2A6402E44B2C4CB5B00B003CEEB85AA0",1)</v>
      </c>
      <c r="Q342" s="11" t="s">
        <v>1158</v>
      </c>
      <c r="R342" s="11">
        <v>121</v>
      </c>
      <c r="S342" s="17" t="s">
        <v>4642</v>
      </c>
      <c r="T342" s="18" t="s">
        <v>56</v>
      </c>
    </row>
    <row r="343" s="3" customFormat="1" customHeight="1" spans="1:20">
      <c r="A343" s="84">
        <v>11</v>
      </c>
      <c r="B343" s="177" t="s">
        <v>1439</v>
      </c>
      <c r="C343" s="167" t="s">
        <v>165</v>
      </c>
      <c r="D343" s="167" t="s">
        <v>1440</v>
      </c>
      <c r="E343" s="11">
        <v>13687083396</v>
      </c>
      <c r="F343" s="167" t="s">
        <v>156</v>
      </c>
      <c r="G343" s="167" t="s">
        <v>12</v>
      </c>
      <c r="H343" s="11">
        <v>202102010</v>
      </c>
      <c r="I343" s="167" t="s">
        <v>157</v>
      </c>
      <c r="J343" s="167" t="s">
        <v>444</v>
      </c>
      <c r="K343" s="167" t="s">
        <v>1442</v>
      </c>
      <c r="L343" s="167" t="s">
        <v>160</v>
      </c>
      <c r="M343" s="167" t="s">
        <v>396</v>
      </c>
      <c r="N343" s="167" t="s">
        <v>24</v>
      </c>
      <c r="O343" s="11">
        <v>0</v>
      </c>
      <c r="P343" s="12" t="str">
        <f>_xlfn.DISPIMG("ID_4F7FAD79CF244D82AC4A116B39238E93",1)</f>
        <v>=DISPIMG("ID_4F7FAD79CF244D82AC4A116B39238E93",1)</v>
      </c>
      <c r="Q343" s="11" t="s">
        <v>1443</v>
      </c>
      <c r="R343" s="11">
        <v>159</v>
      </c>
      <c r="S343" s="17" t="s">
        <v>4643</v>
      </c>
      <c r="T343" s="18" t="s">
        <v>56</v>
      </c>
    </row>
    <row r="344" s="3" customFormat="1" customHeight="1" spans="1:20">
      <c r="A344" s="84">
        <v>12</v>
      </c>
      <c r="B344" s="177" t="s">
        <v>2240</v>
      </c>
      <c r="C344" s="167" t="s">
        <v>153</v>
      </c>
      <c r="D344" s="167" t="s">
        <v>2241</v>
      </c>
      <c r="E344" s="11">
        <v>18079253586</v>
      </c>
      <c r="F344" s="167" t="s">
        <v>156</v>
      </c>
      <c r="G344" s="167" t="s">
        <v>12</v>
      </c>
      <c r="H344" s="11">
        <v>202102010</v>
      </c>
      <c r="I344" s="167" t="s">
        <v>157</v>
      </c>
      <c r="J344" s="167" t="s">
        <v>2243</v>
      </c>
      <c r="K344" s="167" t="s">
        <v>445</v>
      </c>
      <c r="L344" s="167" t="s">
        <v>160</v>
      </c>
      <c r="M344" s="167" t="s">
        <v>368</v>
      </c>
      <c r="N344" s="167" t="s">
        <v>2244</v>
      </c>
      <c r="O344" s="167" t="s">
        <v>2245</v>
      </c>
      <c r="P344" s="12" t="str">
        <f>_xlfn.DISPIMG("ID_36DB22886E2542F0B08D8BC7EEC58760",1)</f>
        <v>=DISPIMG("ID_36DB22886E2542F0B08D8BC7EEC58760",1)</v>
      </c>
      <c r="Q344" s="11" t="s">
        <v>2246</v>
      </c>
      <c r="R344" s="20">
        <v>264</v>
      </c>
      <c r="S344" s="17" t="s">
        <v>4647</v>
      </c>
      <c r="T344" s="18" t="s">
        <v>56</v>
      </c>
    </row>
    <row r="345" s="3" customFormat="1" customHeight="1" spans="1:20">
      <c r="A345" s="84">
        <v>13</v>
      </c>
      <c r="B345" s="177" t="s">
        <v>3274</v>
      </c>
      <c r="C345" s="167" t="s">
        <v>165</v>
      </c>
      <c r="D345" s="167" t="s">
        <v>3275</v>
      </c>
      <c r="E345" s="11">
        <v>15870802185</v>
      </c>
      <c r="F345" s="167" t="s">
        <v>156</v>
      </c>
      <c r="G345" s="167" t="s">
        <v>12</v>
      </c>
      <c r="H345" s="11">
        <v>202102010</v>
      </c>
      <c r="I345" s="167" t="s">
        <v>157</v>
      </c>
      <c r="J345" s="167" t="s">
        <v>3276</v>
      </c>
      <c r="K345" s="167" t="s">
        <v>3277</v>
      </c>
      <c r="L345" s="167" t="s">
        <v>170</v>
      </c>
      <c r="M345" s="167" t="s">
        <v>516</v>
      </c>
      <c r="N345" s="167" t="s">
        <v>3278</v>
      </c>
      <c r="O345" s="167" t="s">
        <v>3279</v>
      </c>
      <c r="P345" s="12" t="str">
        <f>_xlfn.DISPIMG("ID_CA7F81D47ACB4FA38E0278F330AEC9F9",1)</f>
        <v>=DISPIMG("ID_CA7F81D47ACB4FA38E0278F330AEC9F9",1)</v>
      </c>
      <c r="Q345" s="11" t="s">
        <v>3280</v>
      </c>
      <c r="R345" s="20">
        <v>409</v>
      </c>
      <c r="S345" s="17" t="s">
        <v>4648</v>
      </c>
      <c r="T345" s="18" t="s">
        <v>56</v>
      </c>
    </row>
    <row r="346" s="3" customFormat="1" customHeight="1" spans="1:20">
      <c r="A346" s="84">
        <v>14</v>
      </c>
      <c r="B346" s="177" t="s">
        <v>4134</v>
      </c>
      <c r="C346" s="167" t="s">
        <v>165</v>
      </c>
      <c r="D346" s="167" t="s">
        <v>4135</v>
      </c>
      <c r="E346" s="11">
        <v>15207926555</v>
      </c>
      <c r="F346" s="167" t="s">
        <v>156</v>
      </c>
      <c r="G346" s="167" t="s">
        <v>12</v>
      </c>
      <c r="H346" s="11">
        <v>202102010</v>
      </c>
      <c r="I346" s="167" t="s">
        <v>157</v>
      </c>
      <c r="J346" s="167" t="s">
        <v>4137</v>
      </c>
      <c r="K346" s="167" t="s">
        <v>1442</v>
      </c>
      <c r="L346" s="167" t="s">
        <v>160</v>
      </c>
      <c r="M346" s="167" t="s">
        <v>368</v>
      </c>
      <c r="N346" s="167" t="s">
        <v>4138</v>
      </c>
      <c r="O346" s="11">
        <v>0</v>
      </c>
      <c r="P346" s="12" t="str">
        <f>_xlfn.DISPIMG("ID_911EFC838815489D872B9030D6735741",1)</f>
        <v>=DISPIMG("ID_911EFC838815489D872B9030D6735741",1)</v>
      </c>
      <c r="Q346" s="11" t="s">
        <v>4139</v>
      </c>
      <c r="R346" s="11">
        <v>529</v>
      </c>
      <c r="S346" s="17" t="s">
        <v>4652</v>
      </c>
      <c r="T346" s="18" t="s">
        <v>56</v>
      </c>
    </row>
    <row r="347" s="3" customFormat="1" customHeight="1" spans="1:20">
      <c r="A347" s="84">
        <v>15</v>
      </c>
      <c r="B347" s="177" t="s">
        <v>4198</v>
      </c>
      <c r="C347" s="167" t="s">
        <v>165</v>
      </c>
      <c r="D347" s="167" t="s">
        <v>4199</v>
      </c>
      <c r="E347" s="11">
        <v>18160796883</v>
      </c>
      <c r="F347" s="167" t="s">
        <v>156</v>
      </c>
      <c r="G347" s="167" t="s">
        <v>12</v>
      </c>
      <c r="H347" s="11">
        <v>202102010</v>
      </c>
      <c r="I347" s="167" t="s">
        <v>157</v>
      </c>
      <c r="J347" s="167" t="s">
        <v>4201</v>
      </c>
      <c r="K347" s="167" t="s">
        <v>445</v>
      </c>
      <c r="L347" s="167" t="s">
        <v>170</v>
      </c>
      <c r="M347" s="167" t="s">
        <v>199</v>
      </c>
      <c r="N347" s="167" t="s">
        <v>359</v>
      </c>
      <c r="O347" s="167" t="s">
        <v>4202</v>
      </c>
      <c r="P347" s="12" t="str">
        <f>_xlfn.DISPIMG("ID_85E134BF0AB1468FAAB0CB1A9F9C4F34",1)</f>
        <v>=DISPIMG("ID_85E134BF0AB1468FAAB0CB1A9F9C4F34",1)</v>
      </c>
      <c r="Q347" s="11" t="s">
        <v>4203</v>
      </c>
      <c r="R347" s="11">
        <v>537</v>
      </c>
      <c r="S347" s="17" t="s">
        <v>4653</v>
      </c>
      <c r="T347" s="18" t="s">
        <v>56</v>
      </c>
    </row>
    <row r="348" s="3" customFormat="1" customHeight="1" spans="1:20">
      <c r="A348" s="84">
        <v>16</v>
      </c>
      <c r="B348" s="177" t="s">
        <v>239</v>
      </c>
      <c r="C348" s="167" t="s">
        <v>165</v>
      </c>
      <c r="D348" s="167" t="s">
        <v>240</v>
      </c>
      <c r="E348" s="11">
        <v>13697988167</v>
      </c>
      <c r="F348" s="167" t="s">
        <v>156</v>
      </c>
      <c r="G348" s="167" t="s">
        <v>5</v>
      </c>
      <c r="H348" s="11">
        <v>202102008</v>
      </c>
      <c r="I348" s="167" t="s">
        <v>157</v>
      </c>
      <c r="J348" s="167" t="s">
        <v>242</v>
      </c>
      <c r="K348" s="167" t="s">
        <v>243</v>
      </c>
      <c r="L348" s="167" t="s">
        <v>160</v>
      </c>
      <c r="M348" s="167" t="s">
        <v>161</v>
      </c>
      <c r="N348" s="167" t="s">
        <v>5</v>
      </c>
      <c r="O348" s="11">
        <v>0</v>
      </c>
      <c r="P348" s="12" t="str">
        <f>_xlfn.DISPIMG("ID_9CBFB21D3F5B4658948522EF0C2AECE4",1)</f>
        <v>=DISPIMG("ID_9CBFB21D3F5B4658948522EF0C2AECE4",1)</v>
      </c>
      <c r="Q348" s="11" t="s">
        <v>244</v>
      </c>
      <c r="R348" s="20">
        <v>11</v>
      </c>
      <c r="S348" s="17" t="s">
        <v>4657</v>
      </c>
      <c r="T348" s="18" t="s">
        <v>56</v>
      </c>
    </row>
    <row r="349" s="3" customFormat="1" customHeight="1" spans="1:20">
      <c r="A349" s="84">
        <v>17</v>
      </c>
      <c r="B349" s="177" t="s">
        <v>286</v>
      </c>
      <c r="C349" s="167" t="s">
        <v>153</v>
      </c>
      <c r="D349" s="167" t="s">
        <v>287</v>
      </c>
      <c r="E349" s="11">
        <v>18755672832</v>
      </c>
      <c r="F349" s="167" t="s">
        <v>156</v>
      </c>
      <c r="G349" s="167" t="s">
        <v>5</v>
      </c>
      <c r="H349" s="11">
        <v>202102008</v>
      </c>
      <c r="I349" s="167" t="s">
        <v>157</v>
      </c>
      <c r="J349" s="167" t="s">
        <v>289</v>
      </c>
      <c r="K349" s="167" t="s">
        <v>290</v>
      </c>
      <c r="L349" s="167" t="s">
        <v>170</v>
      </c>
      <c r="M349" s="167" t="s">
        <v>261</v>
      </c>
      <c r="N349" s="167" t="s">
        <v>5</v>
      </c>
      <c r="O349" s="11">
        <v>0</v>
      </c>
      <c r="P349" s="12" t="str">
        <f>_xlfn.DISPIMG("ID_5BB4AA0F377240A584934BCE0D4B941B",1)</f>
        <v>=DISPIMG("ID_5BB4AA0F377240A584934BCE0D4B941B",1)</v>
      </c>
      <c r="Q349" s="11" t="s">
        <v>291</v>
      </c>
      <c r="R349" s="20">
        <v>16</v>
      </c>
      <c r="S349" s="17" t="s">
        <v>4658</v>
      </c>
      <c r="T349" s="18" t="s">
        <v>56</v>
      </c>
    </row>
    <row r="350" s="3" customFormat="1" customHeight="1" spans="1:20">
      <c r="A350" s="84">
        <v>18</v>
      </c>
      <c r="B350" s="177" t="s">
        <v>1630</v>
      </c>
      <c r="C350" s="167" t="s">
        <v>153</v>
      </c>
      <c r="D350" s="167" t="s">
        <v>1631</v>
      </c>
      <c r="E350" s="11">
        <v>18437922593</v>
      </c>
      <c r="F350" s="167" t="s">
        <v>156</v>
      </c>
      <c r="G350" s="167" t="s">
        <v>5</v>
      </c>
      <c r="H350" s="11">
        <v>202102008</v>
      </c>
      <c r="I350" s="167" t="s">
        <v>157</v>
      </c>
      <c r="J350" s="167" t="s">
        <v>1633</v>
      </c>
      <c r="K350" s="167" t="s">
        <v>280</v>
      </c>
      <c r="L350" s="167" t="s">
        <v>170</v>
      </c>
      <c r="M350" s="167" t="s">
        <v>199</v>
      </c>
      <c r="N350" s="167" t="s">
        <v>5</v>
      </c>
      <c r="O350" s="11">
        <v>0</v>
      </c>
      <c r="P350" s="12" t="str">
        <f>_xlfn.DISPIMG("ID_30389EE5D2254B4693F3D201E2C25479",1)</f>
        <v>=DISPIMG("ID_30389EE5D2254B4693F3D201E2C25479",1)</v>
      </c>
      <c r="Q350" s="11" t="s">
        <v>1634</v>
      </c>
      <c r="R350" s="20">
        <v>183</v>
      </c>
      <c r="S350" s="17" t="s">
        <v>4662</v>
      </c>
      <c r="T350" s="18" t="s">
        <v>56</v>
      </c>
    </row>
    <row r="351" s="3" customFormat="1" customHeight="1" spans="1:20">
      <c r="A351" s="84">
        <v>19</v>
      </c>
      <c r="B351" s="177" t="s">
        <v>1706</v>
      </c>
      <c r="C351" s="167" t="s">
        <v>153</v>
      </c>
      <c r="D351" s="167" t="s">
        <v>1707</v>
      </c>
      <c r="E351" s="11">
        <v>15070040825</v>
      </c>
      <c r="F351" s="167" t="s">
        <v>506</v>
      </c>
      <c r="G351" s="167" t="s">
        <v>5</v>
      </c>
      <c r="H351" s="11">
        <v>202102020</v>
      </c>
      <c r="I351" s="167" t="s">
        <v>157</v>
      </c>
      <c r="J351" s="167" t="s">
        <v>789</v>
      </c>
      <c r="K351" s="167" t="s">
        <v>1709</v>
      </c>
      <c r="L351" s="167" t="s">
        <v>160</v>
      </c>
      <c r="M351" s="167" t="s">
        <v>1346</v>
      </c>
      <c r="N351" s="167" t="s">
        <v>1710</v>
      </c>
      <c r="O351" s="167" t="s">
        <v>1711</v>
      </c>
      <c r="P351" s="12" t="str">
        <f>_xlfn.DISPIMG("ID_B3E8781AF7454377842FD7EC53A6E781",1)</f>
        <v>=DISPIMG("ID_B3E8781AF7454377842FD7EC53A6E781",1)</v>
      </c>
      <c r="Q351" s="11" t="s">
        <v>1712</v>
      </c>
      <c r="R351" s="20">
        <v>193</v>
      </c>
      <c r="S351" s="17" t="s">
        <v>4663</v>
      </c>
      <c r="T351" s="18" t="s">
        <v>56</v>
      </c>
    </row>
    <row r="352" s="3" customFormat="1" customHeight="1" spans="1:20">
      <c r="A352" s="84">
        <v>20</v>
      </c>
      <c r="B352" s="177" t="s">
        <v>1846</v>
      </c>
      <c r="C352" s="167" t="s">
        <v>165</v>
      </c>
      <c r="D352" s="167" t="s">
        <v>1847</v>
      </c>
      <c r="E352" s="11">
        <v>18879254089</v>
      </c>
      <c r="F352" s="167" t="s">
        <v>156</v>
      </c>
      <c r="G352" s="167" t="s">
        <v>5</v>
      </c>
      <c r="H352" s="11">
        <v>202102008</v>
      </c>
      <c r="I352" s="167" t="s">
        <v>279</v>
      </c>
      <c r="J352" s="167" t="s">
        <v>158</v>
      </c>
      <c r="K352" s="167" t="s">
        <v>1849</v>
      </c>
      <c r="L352" s="167" t="s">
        <v>170</v>
      </c>
      <c r="M352" s="167" t="s">
        <v>396</v>
      </c>
      <c r="N352" s="167" t="s">
        <v>1850</v>
      </c>
      <c r="O352" s="167" t="s">
        <v>1851</v>
      </c>
      <c r="P352" s="12" t="str">
        <f>_xlfn.DISPIMG("ID_19DBAF911A5F41D795A3B7585DA543D3",1)</f>
        <v>=DISPIMG("ID_19DBAF911A5F41D795A3B7585DA543D3",1)</v>
      </c>
      <c r="Q352" s="11" t="s">
        <v>1852</v>
      </c>
      <c r="R352" s="20">
        <v>211</v>
      </c>
      <c r="S352" s="17" t="s">
        <v>4664</v>
      </c>
      <c r="T352" s="18" t="s">
        <v>56</v>
      </c>
    </row>
    <row r="353" s="3" customFormat="1" customHeight="1" spans="1:20">
      <c r="A353" s="84">
        <v>21</v>
      </c>
      <c r="B353" s="177" t="s">
        <v>2294</v>
      </c>
      <c r="C353" s="167" t="s">
        <v>153</v>
      </c>
      <c r="D353" s="167" t="s">
        <v>2295</v>
      </c>
      <c r="E353" s="11">
        <v>18179457855</v>
      </c>
      <c r="F353" s="167" t="s">
        <v>156</v>
      </c>
      <c r="G353" s="167" t="s">
        <v>5</v>
      </c>
      <c r="H353" s="11">
        <v>202102008</v>
      </c>
      <c r="I353" s="167" t="s">
        <v>157</v>
      </c>
      <c r="J353" s="167" t="s">
        <v>1654</v>
      </c>
      <c r="K353" s="167" t="s">
        <v>2297</v>
      </c>
      <c r="L353" s="167" t="s">
        <v>160</v>
      </c>
      <c r="M353" s="167" t="s">
        <v>2298</v>
      </c>
      <c r="N353" s="167" t="s">
        <v>2299</v>
      </c>
      <c r="O353" s="11">
        <v>0</v>
      </c>
      <c r="P353" s="12" t="str">
        <f>_xlfn.DISPIMG("ID_2348B3C3CCB6443B92AD1A08F0A487FA",1)</f>
        <v>=DISPIMG("ID_2348B3C3CCB6443B92AD1A08F0A487FA",1)</v>
      </c>
      <c r="Q353" s="11" t="s">
        <v>2300</v>
      </c>
      <c r="R353" s="11">
        <v>271</v>
      </c>
      <c r="S353" s="17" t="s">
        <v>4639</v>
      </c>
      <c r="T353" s="18" t="s">
        <v>56</v>
      </c>
    </row>
    <row r="354" s="3" customFormat="1" customHeight="1" spans="1:20">
      <c r="A354" s="84">
        <v>22</v>
      </c>
      <c r="B354" s="177" t="s">
        <v>2459</v>
      </c>
      <c r="C354" s="167" t="s">
        <v>165</v>
      </c>
      <c r="D354" s="167" t="s">
        <v>2460</v>
      </c>
      <c r="E354" s="11">
        <v>18702519372</v>
      </c>
      <c r="F354" s="167" t="s">
        <v>156</v>
      </c>
      <c r="G354" s="167" t="s">
        <v>5</v>
      </c>
      <c r="H354" s="11">
        <v>202102008</v>
      </c>
      <c r="I354" s="167" t="s">
        <v>279</v>
      </c>
      <c r="J354" s="167" t="s">
        <v>662</v>
      </c>
      <c r="K354" s="167" t="s">
        <v>348</v>
      </c>
      <c r="L354" s="167" t="s">
        <v>170</v>
      </c>
      <c r="M354" s="167" t="s">
        <v>199</v>
      </c>
      <c r="N354" s="167" t="s">
        <v>2462</v>
      </c>
      <c r="O354" s="11">
        <v>0</v>
      </c>
      <c r="P354" s="12" t="str">
        <f>_xlfn.DISPIMG("ID_C162899F9DDD4F8CA771F69FFB2795AD",1)</f>
        <v>=DISPIMG("ID_C162899F9DDD4F8CA771F69FFB2795AD",1)</v>
      </c>
      <c r="Q354" s="11" t="s">
        <v>2463</v>
      </c>
      <c r="R354" s="20">
        <v>293</v>
      </c>
      <c r="S354" s="17" t="s">
        <v>4640</v>
      </c>
      <c r="T354" s="18" t="s">
        <v>56</v>
      </c>
    </row>
    <row r="355" s="3" customFormat="1" customHeight="1" spans="1:20">
      <c r="A355" s="84">
        <v>23</v>
      </c>
      <c r="B355" s="177" t="s">
        <v>3873</v>
      </c>
      <c r="C355" s="167" t="s">
        <v>153</v>
      </c>
      <c r="D355" s="167" t="s">
        <v>3874</v>
      </c>
      <c r="E355" s="11">
        <v>13317434772</v>
      </c>
      <c r="F355" s="167" t="s">
        <v>156</v>
      </c>
      <c r="G355" s="167" t="s">
        <v>5</v>
      </c>
      <c r="H355" s="11">
        <v>202102008</v>
      </c>
      <c r="I355" s="167" t="s">
        <v>157</v>
      </c>
      <c r="J355" s="167" t="s">
        <v>3876</v>
      </c>
      <c r="K355" s="167" t="s">
        <v>290</v>
      </c>
      <c r="L355" s="167" t="s">
        <v>170</v>
      </c>
      <c r="M355" s="167" t="s">
        <v>171</v>
      </c>
      <c r="N355" s="167" t="s">
        <v>1064</v>
      </c>
      <c r="O355" s="167" t="s">
        <v>3877</v>
      </c>
      <c r="P355" s="12" t="str">
        <f>_xlfn.DISPIMG("ID_707B86616C5E4D0A96852FA2ECC7652E",1)</f>
        <v>=DISPIMG("ID_707B86616C5E4D0A96852FA2ECC7652E",1)</v>
      </c>
      <c r="Q355" s="11" t="s">
        <v>3878</v>
      </c>
      <c r="R355" s="20">
        <v>494</v>
      </c>
      <c r="S355" s="17" t="s">
        <v>4644</v>
      </c>
      <c r="T355" s="18" t="s">
        <v>56</v>
      </c>
    </row>
    <row r="356" s="3" customFormat="1" customHeight="1" spans="1:20">
      <c r="A356" s="84"/>
      <c r="B356" s="20"/>
      <c r="C356" s="11"/>
      <c r="D356" s="11"/>
      <c r="E356" s="11"/>
      <c r="F356" s="11"/>
      <c r="G356" s="11"/>
      <c r="H356" s="11"/>
      <c r="I356" s="11"/>
      <c r="J356" s="11"/>
      <c r="K356" s="11"/>
      <c r="L356" s="11"/>
      <c r="M356" s="11"/>
      <c r="N356" s="11"/>
      <c r="O356" s="11"/>
      <c r="P356" s="12"/>
      <c r="Q356" s="11"/>
      <c r="R356" s="20"/>
      <c r="S356" s="17"/>
      <c r="T356" s="18"/>
    </row>
    <row r="357" s="3" customFormat="1" customHeight="1" spans="1:20">
      <c r="A357" s="84"/>
      <c r="B357" s="20"/>
      <c r="C357" s="11"/>
      <c r="D357" s="11"/>
      <c r="E357" s="11"/>
      <c r="F357" s="11"/>
      <c r="G357" s="11"/>
      <c r="H357" s="11"/>
      <c r="I357" s="11"/>
      <c r="J357" s="11"/>
      <c r="K357" s="11"/>
      <c r="L357" s="11"/>
      <c r="M357" s="11"/>
      <c r="N357" s="11"/>
      <c r="O357" s="11"/>
      <c r="P357" s="12"/>
      <c r="Q357" s="11"/>
      <c r="R357" s="20"/>
      <c r="S357" s="17"/>
      <c r="T357" s="18"/>
    </row>
    <row r="358" s="3" customFormat="1" customHeight="1" spans="1:20">
      <c r="A358" s="84"/>
      <c r="B358" s="20"/>
      <c r="C358" s="11"/>
      <c r="D358" s="11"/>
      <c r="E358" s="11"/>
      <c r="F358" s="11"/>
      <c r="G358" s="11"/>
      <c r="H358" s="11"/>
      <c r="I358" s="11"/>
      <c r="J358" s="11"/>
      <c r="K358" s="11"/>
      <c r="L358" s="11"/>
      <c r="M358" s="11"/>
      <c r="N358" s="11"/>
      <c r="O358" s="11"/>
      <c r="P358" s="12"/>
      <c r="Q358" s="11"/>
      <c r="R358" s="20"/>
      <c r="S358" s="17"/>
      <c r="T358" s="18"/>
    </row>
    <row r="359" s="3" customFormat="1" customHeight="1" spans="1:20">
      <c r="A359" s="84"/>
      <c r="B359" s="20"/>
      <c r="C359" s="11"/>
      <c r="D359" s="11"/>
      <c r="E359" s="11"/>
      <c r="F359" s="11"/>
      <c r="G359" s="11"/>
      <c r="H359" s="11"/>
      <c r="I359" s="11"/>
      <c r="J359" s="11"/>
      <c r="K359" s="11"/>
      <c r="L359" s="11"/>
      <c r="M359" s="11"/>
      <c r="N359" s="11"/>
      <c r="O359" s="11"/>
      <c r="P359" s="12"/>
      <c r="Q359" s="11"/>
      <c r="R359" s="20"/>
      <c r="S359" s="17"/>
      <c r="T359" s="18"/>
    </row>
    <row r="360" s="3" customFormat="1" customHeight="1" spans="1:20">
      <c r="A360" s="84"/>
      <c r="B360" s="20"/>
      <c r="C360" s="11"/>
      <c r="D360" s="11"/>
      <c r="E360" s="11"/>
      <c r="F360" s="11"/>
      <c r="G360" s="11"/>
      <c r="H360" s="11"/>
      <c r="I360" s="11"/>
      <c r="J360" s="11"/>
      <c r="K360" s="11"/>
      <c r="L360" s="11"/>
      <c r="M360" s="11"/>
      <c r="N360" s="11"/>
      <c r="O360" s="11"/>
      <c r="P360" s="12"/>
      <c r="Q360" s="11"/>
      <c r="R360" s="20"/>
      <c r="S360" s="17"/>
      <c r="T360" s="18"/>
    </row>
    <row r="361" s="3" customFormat="1" customHeight="1" spans="1:20">
      <c r="A361" s="84"/>
      <c r="B361" s="20"/>
      <c r="C361" s="11"/>
      <c r="D361" s="11"/>
      <c r="E361" s="11"/>
      <c r="F361" s="11"/>
      <c r="G361" s="11"/>
      <c r="H361" s="11"/>
      <c r="I361" s="11"/>
      <c r="J361" s="11"/>
      <c r="K361" s="11"/>
      <c r="L361" s="11"/>
      <c r="M361" s="11"/>
      <c r="N361" s="11"/>
      <c r="O361" s="11"/>
      <c r="P361" s="12"/>
      <c r="Q361" s="11"/>
      <c r="R361" s="20"/>
      <c r="S361" s="17"/>
      <c r="T361" s="18"/>
    </row>
    <row r="362" s="3" customFormat="1" customHeight="1" spans="1:20">
      <c r="A362" s="84"/>
      <c r="B362" s="20"/>
      <c r="C362" s="11"/>
      <c r="D362" s="11"/>
      <c r="E362" s="11"/>
      <c r="F362" s="11"/>
      <c r="G362" s="11"/>
      <c r="H362" s="11"/>
      <c r="I362" s="11"/>
      <c r="J362" s="11"/>
      <c r="K362" s="11"/>
      <c r="L362" s="11"/>
      <c r="M362" s="11"/>
      <c r="N362" s="11"/>
      <c r="O362" s="11"/>
      <c r="P362" s="12"/>
      <c r="Q362" s="11"/>
      <c r="R362" s="20"/>
      <c r="S362" s="17"/>
      <c r="T362" s="18"/>
    </row>
    <row r="363" s="3" customFormat="1" customHeight="1" spans="1:20">
      <c r="A363" s="84">
        <v>1</v>
      </c>
      <c r="B363" s="177" t="s">
        <v>184</v>
      </c>
      <c r="C363" s="167" t="s">
        <v>153</v>
      </c>
      <c r="D363" s="167" t="s">
        <v>185</v>
      </c>
      <c r="E363" s="11">
        <v>18038082134</v>
      </c>
      <c r="F363" s="167" t="s">
        <v>156</v>
      </c>
      <c r="G363" s="167" t="s">
        <v>6</v>
      </c>
      <c r="H363" s="11">
        <v>202102012</v>
      </c>
      <c r="I363" s="167" t="s">
        <v>157</v>
      </c>
      <c r="J363" s="167" t="s">
        <v>187</v>
      </c>
      <c r="K363" s="167" t="s">
        <v>188</v>
      </c>
      <c r="L363" s="167" t="s">
        <v>160</v>
      </c>
      <c r="M363" s="167" t="s">
        <v>189</v>
      </c>
      <c r="N363" s="167" t="s">
        <v>190</v>
      </c>
      <c r="O363" s="11">
        <v>0</v>
      </c>
      <c r="P363" s="12" t="str">
        <f>_xlfn.DISPIMG("ID_F9EC90828AC344EC8EE9AB75C1318672",1)</f>
        <v>=DISPIMG("ID_F9EC90828AC344EC8EE9AB75C1318672",1)</v>
      </c>
      <c r="Q363" s="11" t="s">
        <v>191</v>
      </c>
      <c r="R363" s="11">
        <v>5</v>
      </c>
      <c r="S363" s="17" t="s">
        <v>4645</v>
      </c>
      <c r="T363" s="18" t="s">
        <v>60</v>
      </c>
    </row>
    <row r="364" s="3" customFormat="1" customHeight="1" spans="1:20">
      <c r="A364" s="84">
        <v>2</v>
      </c>
      <c r="B364" s="177" t="s">
        <v>203</v>
      </c>
      <c r="C364" s="167" t="s">
        <v>165</v>
      </c>
      <c r="D364" s="167" t="s">
        <v>204</v>
      </c>
      <c r="E364" s="11">
        <v>18451114131</v>
      </c>
      <c r="F364" s="167" t="s">
        <v>156</v>
      </c>
      <c r="G364" s="167" t="s">
        <v>6</v>
      </c>
      <c r="H364" s="11">
        <v>202102012</v>
      </c>
      <c r="I364" s="167" t="s">
        <v>157</v>
      </c>
      <c r="J364" s="167" t="s">
        <v>206</v>
      </c>
      <c r="K364" s="167" t="s">
        <v>207</v>
      </c>
      <c r="L364" s="167" t="s">
        <v>160</v>
      </c>
      <c r="M364" s="167" t="s">
        <v>199</v>
      </c>
      <c r="N364" s="167" t="s">
        <v>6</v>
      </c>
      <c r="O364" s="167" t="s">
        <v>208</v>
      </c>
      <c r="P364" s="12" t="str">
        <f>_xlfn.DISPIMG("ID_F7457C8055E845839E12BBC94DC0151A",1)</f>
        <v>=DISPIMG("ID_F7457C8055E845839E12BBC94DC0151A",1)</v>
      </c>
      <c r="Q364" s="11" t="s">
        <v>209</v>
      </c>
      <c r="R364" s="11">
        <v>7</v>
      </c>
      <c r="S364" s="17" t="s">
        <v>4649</v>
      </c>
      <c r="T364" s="18" t="s">
        <v>60</v>
      </c>
    </row>
    <row r="365" s="3" customFormat="1" customHeight="1" spans="1:20">
      <c r="A365" s="84">
        <v>3</v>
      </c>
      <c r="B365" s="177" t="s">
        <v>247</v>
      </c>
      <c r="C365" s="167" t="s">
        <v>165</v>
      </c>
      <c r="D365" s="167" t="s">
        <v>248</v>
      </c>
      <c r="E365" s="11">
        <v>18194294670</v>
      </c>
      <c r="F365" s="167" t="s">
        <v>156</v>
      </c>
      <c r="G365" s="167" t="s">
        <v>6</v>
      </c>
      <c r="H365" s="11">
        <v>202102012</v>
      </c>
      <c r="I365" s="167" t="s">
        <v>157</v>
      </c>
      <c r="J365" s="167" t="s">
        <v>250</v>
      </c>
      <c r="K365" s="167" t="s">
        <v>251</v>
      </c>
      <c r="L365" s="167" t="s">
        <v>160</v>
      </c>
      <c r="M365" s="167" t="s">
        <v>252</v>
      </c>
      <c r="N365" s="167" t="s">
        <v>253</v>
      </c>
      <c r="O365" s="167" t="s">
        <v>254</v>
      </c>
      <c r="P365" s="12" t="str">
        <f>_xlfn.DISPIMG("ID_75E1D16F2E6F48168F32947A4DF07EC3",1)</f>
        <v>=DISPIMG("ID_75E1D16F2E6F48168F32947A4DF07EC3",1)</v>
      </c>
      <c r="Q365" s="11" t="s">
        <v>255</v>
      </c>
      <c r="R365" s="11">
        <v>12</v>
      </c>
      <c r="S365" s="17" t="s">
        <v>4650</v>
      </c>
      <c r="T365" s="18" t="s">
        <v>60</v>
      </c>
    </row>
    <row r="366" s="3" customFormat="1" customHeight="1" spans="1:20">
      <c r="A366" s="84">
        <v>4</v>
      </c>
      <c r="B366" s="177" t="s">
        <v>319</v>
      </c>
      <c r="C366" s="167" t="s">
        <v>165</v>
      </c>
      <c r="D366" s="167" t="s">
        <v>320</v>
      </c>
      <c r="E366" s="11">
        <v>18679938518</v>
      </c>
      <c r="F366" s="167" t="s">
        <v>156</v>
      </c>
      <c r="G366" s="167" t="s">
        <v>6</v>
      </c>
      <c r="H366" s="11">
        <v>202102012</v>
      </c>
      <c r="I366" s="167" t="s">
        <v>157</v>
      </c>
      <c r="J366" s="167" t="s">
        <v>322</v>
      </c>
      <c r="K366" s="167" t="s">
        <v>323</v>
      </c>
      <c r="L366" s="167" t="s">
        <v>170</v>
      </c>
      <c r="M366" s="167" t="s">
        <v>180</v>
      </c>
      <c r="N366" s="167" t="s">
        <v>324</v>
      </c>
      <c r="O366" s="167" t="s">
        <v>325</v>
      </c>
      <c r="P366" s="12" t="str">
        <f>_xlfn.DISPIMG("ID_7D94F98EB3D041FA910044FDF5DF1027",1)</f>
        <v>=DISPIMG("ID_7D94F98EB3D041FA910044FDF5DF1027",1)</v>
      </c>
      <c r="Q366" s="11" t="s">
        <v>326</v>
      </c>
      <c r="R366" s="11">
        <v>20</v>
      </c>
      <c r="S366" s="17" t="s">
        <v>4654</v>
      </c>
      <c r="T366" s="18" t="s">
        <v>60</v>
      </c>
    </row>
    <row r="367" s="3" customFormat="1" customHeight="1" spans="1:20">
      <c r="A367" s="84">
        <v>5</v>
      </c>
      <c r="B367" s="177" t="s">
        <v>400</v>
      </c>
      <c r="C367" s="167" t="s">
        <v>165</v>
      </c>
      <c r="D367" s="167" t="s">
        <v>401</v>
      </c>
      <c r="E367" s="11">
        <v>18279242907</v>
      </c>
      <c r="F367" s="167" t="s">
        <v>156</v>
      </c>
      <c r="G367" s="167" t="s">
        <v>6</v>
      </c>
      <c r="H367" s="11">
        <v>202102012</v>
      </c>
      <c r="I367" s="167" t="s">
        <v>157</v>
      </c>
      <c r="J367" s="167" t="s">
        <v>403</v>
      </c>
      <c r="K367" s="167" t="s">
        <v>404</v>
      </c>
      <c r="L367" s="167" t="s">
        <v>160</v>
      </c>
      <c r="M367" s="167" t="s">
        <v>252</v>
      </c>
      <c r="N367" s="167" t="s">
        <v>6</v>
      </c>
      <c r="O367" s="167" t="s">
        <v>405</v>
      </c>
      <c r="P367" s="12" t="str">
        <f>_xlfn.DISPIMG("ID_CF4959AF4AC44C8391DB8D257F1D8B87",1)</f>
        <v>=DISPIMG("ID_CF4959AF4AC44C8391DB8D257F1D8B87",1)</v>
      </c>
      <c r="Q367" s="11" t="s">
        <v>406</v>
      </c>
      <c r="R367" s="11">
        <v>29</v>
      </c>
      <c r="S367" s="17" t="s">
        <v>4655</v>
      </c>
      <c r="T367" s="18" t="s">
        <v>60</v>
      </c>
    </row>
    <row r="368" s="3" customFormat="1" customHeight="1" spans="1:20">
      <c r="A368" s="84">
        <v>6</v>
      </c>
      <c r="B368" s="177" t="s">
        <v>409</v>
      </c>
      <c r="C368" s="167" t="s">
        <v>153</v>
      </c>
      <c r="D368" s="167" t="s">
        <v>410</v>
      </c>
      <c r="E368" s="11">
        <v>13177702893</v>
      </c>
      <c r="F368" s="167" t="s">
        <v>156</v>
      </c>
      <c r="G368" s="167" t="s">
        <v>6</v>
      </c>
      <c r="H368" s="11">
        <v>202102012</v>
      </c>
      <c r="I368" s="167" t="s">
        <v>157</v>
      </c>
      <c r="J368" s="167" t="s">
        <v>412</v>
      </c>
      <c r="K368" s="167" t="s">
        <v>323</v>
      </c>
      <c r="L368" s="167" t="s">
        <v>170</v>
      </c>
      <c r="M368" s="167" t="s">
        <v>252</v>
      </c>
      <c r="N368" s="167" t="s">
        <v>413</v>
      </c>
      <c r="O368" s="167" t="s">
        <v>414</v>
      </c>
      <c r="P368" s="12" t="str">
        <f>_xlfn.DISPIMG("ID_C929C0A6F3B54FF18F2B98BE28643203",1)</f>
        <v>=DISPIMG("ID_C929C0A6F3B54FF18F2B98BE28643203",1)</v>
      </c>
      <c r="Q368" s="11" t="s">
        <v>415</v>
      </c>
      <c r="R368" s="11">
        <v>30</v>
      </c>
      <c r="S368" s="17" t="s">
        <v>4659</v>
      </c>
      <c r="T368" s="18" t="s">
        <v>60</v>
      </c>
    </row>
    <row r="369" s="3" customFormat="1" customHeight="1" spans="1:20">
      <c r="A369" s="84">
        <v>7</v>
      </c>
      <c r="B369" s="177" t="s">
        <v>627</v>
      </c>
      <c r="C369" s="167" t="s">
        <v>165</v>
      </c>
      <c r="D369" s="167" t="s">
        <v>628</v>
      </c>
      <c r="E369" s="11">
        <v>18162269962</v>
      </c>
      <c r="F369" s="167" t="s">
        <v>156</v>
      </c>
      <c r="G369" s="167" t="s">
        <v>6</v>
      </c>
      <c r="H369" s="11">
        <v>202102012</v>
      </c>
      <c r="I369" s="167" t="s">
        <v>157</v>
      </c>
      <c r="J369" s="167" t="s">
        <v>630</v>
      </c>
      <c r="K369" s="167" t="s">
        <v>207</v>
      </c>
      <c r="L369" s="167" t="s">
        <v>160</v>
      </c>
      <c r="M369" s="167" t="s">
        <v>541</v>
      </c>
      <c r="N369" s="167" t="s">
        <v>18</v>
      </c>
      <c r="O369" s="167" t="s">
        <v>631</v>
      </c>
      <c r="P369" s="12" t="str">
        <f>_xlfn.DISPIMG("ID_50ADA4D0B38B42B786E2DD18C78CCC60",1)</f>
        <v>=DISPIMG("ID_50ADA4D0B38B42B786E2DD18C78CCC60",1)</v>
      </c>
      <c r="Q369" s="11" t="s">
        <v>632</v>
      </c>
      <c r="R369" s="11">
        <v>57</v>
      </c>
      <c r="S369" s="17" t="s">
        <v>4641</v>
      </c>
      <c r="T369" s="18" t="s">
        <v>60</v>
      </c>
    </row>
    <row r="370" s="3" customFormat="1" customHeight="1" spans="1:20">
      <c r="A370" s="84">
        <v>8</v>
      </c>
      <c r="B370" s="177" t="s">
        <v>746</v>
      </c>
      <c r="C370" s="167" t="s">
        <v>165</v>
      </c>
      <c r="D370" s="167" t="s">
        <v>747</v>
      </c>
      <c r="E370" s="11">
        <v>15641592275</v>
      </c>
      <c r="F370" s="167" t="s">
        <v>156</v>
      </c>
      <c r="G370" s="167" t="s">
        <v>6</v>
      </c>
      <c r="H370" s="11">
        <v>202102012</v>
      </c>
      <c r="I370" s="167" t="s">
        <v>157</v>
      </c>
      <c r="J370" s="167" t="s">
        <v>749</v>
      </c>
      <c r="K370" s="167" t="s">
        <v>750</v>
      </c>
      <c r="L370" s="167" t="s">
        <v>160</v>
      </c>
      <c r="M370" s="167" t="s">
        <v>252</v>
      </c>
      <c r="N370" s="167" t="s">
        <v>6</v>
      </c>
      <c r="O370" s="11">
        <v>0</v>
      </c>
      <c r="P370" s="12" t="str">
        <f>_xlfn.DISPIMG("ID_7B1FBC3D2E8F42D28CA9AC35B8C2D010",1)</f>
        <v>=DISPIMG("ID_7B1FBC3D2E8F42D28CA9AC35B8C2D010",1)</v>
      </c>
      <c r="Q370" s="11" t="s">
        <v>751</v>
      </c>
      <c r="R370" s="11">
        <v>71</v>
      </c>
      <c r="S370" s="17" t="s">
        <v>4646</v>
      </c>
      <c r="T370" s="18" t="s">
        <v>60</v>
      </c>
    </row>
    <row r="371" s="3" customFormat="1" customHeight="1" spans="1:20">
      <c r="A371" s="84">
        <v>9</v>
      </c>
      <c r="B371" s="177" t="s">
        <v>770</v>
      </c>
      <c r="C371" s="167" t="s">
        <v>165</v>
      </c>
      <c r="D371" s="167" t="s">
        <v>771</v>
      </c>
      <c r="E371" s="11">
        <v>13360075847</v>
      </c>
      <c r="F371" s="167" t="s">
        <v>156</v>
      </c>
      <c r="G371" s="167" t="s">
        <v>6</v>
      </c>
      <c r="H371" s="11">
        <v>202102012</v>
      </c>
      <c r="I371" s="167" t="s">
        <v>157</v>
      </c>
      <c r="J371" s="167" t="s">
        <v>773</v>
      </c>
      <c r="K371" s="167" t="s">
        <v>188</v>
      </c>
      <c r="L371" s="167" t="s">
        <v>160</v>
      </c>
      <c r="M371" s="167" t="s">
        <v>516</v>
      </c>
      <c r="N371" s="167" t="s">
        <v>774</v>
      </c>
      <c r="O371" s="167" t="s">
        <v>775</v>
      </c>
      <c r="P371" s="12" t="str">
        <f>_xlfn.DISPIMG("ID_F0D9772787374E2C95921274F505EDAD",1)</f>
        <v>=DISPIMG("ID_F0D9772787374E2C95921274F505EDAD",1)</v>
      </c>
      <c r="Q371" s="11" t="s">
        <v>776</v>
      </c>
      <c r="R371" s="11">
        <v>74</v>
      </c>
      <c r="S371" s="17" t="s">
        <v>4651</v>
      </c>
      <c r="T371" s="18" t="s">
        <v>60</v>
      </c>
    </row>
    <row r="372" s="3" customFormat="1" customHeight="1" spans="1:20">
      <c r="A372" s="84">
        <v>10</v>
      </c>
      <c r="B372" s="177" t="s">
        <v>1076</v>
      </c>
      <c r="C372" s="167" t="s">
        <v>165</v>
      </c>
      <c r="D372" s="167" t="s">
        <v>1077</v>
      </c>
      <c r="E372" s="11">
        <v>18870203440</v>
      </c>
      <c r="F372" s="167" t="s">
        <v>156</v>
      </c>
      <c r="G372" s="167" t="s">
        <v>6</v>
      </c>
      <c r="H372" s="11">
        <v>202102012</v>
      </c>
      <c r="I372" s="167" t="s">
        <v>157</v>
      </c>
      <c r="J372" s="167" t="s">
        <v>1079</v>
      </c>
      <c r="K372" s="167" t="s">
        <v>1080</v>
      </c>
      <c r="L372" s="167" t="s">
        <v>160</v>
      </c>
      <c r="M372" s="167" t="s">
        <v>235</v>
      </c>
      <c r="N372" s="167" t="s">
        <v>413</v>
      </c>
      <c r="O372" s="167" t="s">
        <v>1081</v>
      </c>
      <c r="P372" s="12" t="str">
        <f>_xlfn.DISPIMG("ID_78C412614C7B42A0AA2A4D942DD9F1A2",1)</f>
        <v>=DISPIMG("ID_78C412614C7B42A0AA2A4D942DD9F1A2",1)</v>
      </c>
      <c r="Q372" s="11" t="s">
        <v>1082</v>
      </c>
      <c r="R372" s="11">
        <v>112</v>
      </c>
      <c r="S372" s="17" t="s">
        <v>4656</v>
      </c>
      <c r="T372" s="18" t="s">
        <v>60</v>
      </c>
    </row>
    <row r="373" s="3" customFormat="1" customHeight="1" spans="1:20">
      <c r="A373" s="84">
        <v>11</v>
      </c>
      <c r="B373" s="177" t="s">
        <v>1135</v>
      </c>
      <c r="C373" s="167" t="s">
        <v>165</v>
      </c>
      <c r="D373" s="167" t="s">
        <v>1136</v>
      </c>
      <c r="E373" s="11">
        <v>13767277916</v>
      </c>
      <c r="F373" s="167" t="s">
        <v>506</v>
      </c>
      <c r="G373" s="167" t="s">
        <v>6</v>
      </c>
      <c r="H373" s="11">
        <v>202102021</v>
      </c>
      <c r="I373" s="167" t="s">
        <v>279</v>
      </c>
      <c r="J373" s="167" t="s">
        <v>158</v>
      </c>
      <c r="K373" s="167" t="s">
        <v>1138</v>
      </c>
      <c r="L373" s="167" t="s">
        <v>170</v>
      </c>
      <c r="M373" s="167" t="s">
        <v>673</v>
      </c>
      <c r="N373" s="167" t="s">
        <v>6</v>
      </c>
      <c r="O373" s="167" t="s">
        <v>1139</v>
      </c>
      <c r="P373" s="12" t="str">
        <f>_xlfn.DISPIMG("ID_18B5B97762B948069F50AE4DD03BA465",1)</f>
        <v>=DISPIMG("ID_18B5B97762B948069F50AE4DD03BA465",1)</v>
      </c>
      <c r="Q373" s="11" t="s">
        <v>1140</v>
      </c>
      <c r="R373" s="11">
        <v>119</v>
      </c>
      <c r="S373" s="17" t="s">
        <v>4660</v>
      </c>
      <c r="T373" s="18" t="s">
        <v>60</v>
      </c>
    </row>
    <row r="374" s="3" customFormat="1" customHeight="1" spans="1:20">
      <c r="A374" s="84">
        <v>12</v>
      </c>
      <c r="B374" s="177" t="s">
        <v>1227</v>
      </c>
      <c r="C374" s="167" t="s">
        <v>165</v>
      </c>
      <c r="D374" s="167" t="s">
        <v>1228</v>
      </c>
      <c r="E374" s="11">
        <v>18279868722</v>
      </c>
      <c r="F374" s="167" t="s">
        <v>156</v>
      </c>
      <c r="G374" s="167" t="s">
        <v>6</v>
      </c>
      <c r="H374" s="11">
        <v>202102012</v>
      </c>
      <c r="I374" s="167" t="s">
        <v>279</v>
      </c>
      <c r="J374" s="167" t="s">
        <v>168</v>
      </c>
      <c r="K374" s="167" t="s">
        <v>1138</v>
      </c>
      <c r="L374" s="167" t="s">
        <v>170</v>
      </c>
      <c r="M374" s="167" t="s">
        <v>368</v>
      </c>
      <c r="N374" s="167" t="s">
        <v>498</v>
      </c>
      <c r="O374" s="167" t="s">
        <v>1230</v>
      </c>
      <c r="P374" s="12" t="str">
        <f>_xlfn.DISPIMG("ID_F7BC6213D6E44840BB6BEB26E73F83E9",1)</f>
        <v>=DISPIMG("ID_F7BC6213D6E44840BB6BEB26E73F83E9",1)</v>
      </c>
      <c r="Q374" s="11" t="s">
        <v>1231</v>
      </c>
      <c r="R374" s="11">
        <v>130</v>
      </c>
      <c r="S374" s="17" t="s">
        <v>4661</v>
      </c>
      <c r="T374" s="18" t="s">
        <v>60</v>
      </c>
    </row>
    <row r="375" s="3" customFormat="1" customHeight="1" spans="1:20">
      <c r="A375" s="84">
        <v>13</v>
      </c>
      <c r="B375" s="177" t="s">
        <v>1068</v>
      </c>
      <c r="C375" s="167" t="s">
        <v>165</v>
      </c>
      <c r="D375" s="167" t="s">
        <v>1069</v>
      </c>
      <c r="E375" s="11">
        <v>18279237136</v>
      </c>
      <c r="F375" s="167" t="s">
        <v>506</v>
      </c>
      <c r="G375" s="167" t="s">
        <v>6</v>
      </c>
      <c r="H375" s="11">
        <v>202102021</v>
      </c>
      <c r="I375" s="167" t="s">
        <v>157</v>
      </c>
      <c r="J375" s="167" t="s">
        <v>1071</v>
      </c>
      <c r="K375" s="167" t="s">
        <v>454</v>
      </c>
      <c r="L375" s="167" t="s">
        <v>160</v>
      </c>
      <c r="M375" s="167" t="s">
        <v>161</v>
      </c>
      <c r="N375" s="167" t="s">
        <v>413</v>
      </c>
      <c r="O375" s="167" t="s">
        <v>1072</v>
      </c>
      <c r="P375" s="12" t="str">
        <f>_xlfn.DISPIMG("ID_4A5DEA3E498746E9A9AC483CF4ABDF91",1)</f>
        <v>=DISPIMG("ID_4A5DEA3E498746E9A9AC483CF4ABDF91",1)</v>
      </c>
      <c r="Q375" s="11" t="s">
        <v>1073</v>
      </c>
      <c r="R375" s="11">
        <v>137</v>
      </c>
      <c r="S375" s="17" t="s">
        <v>4665</v>
      </c>
      <c r="T375" s="18" t="s">
        <v>60</v>
      </c>
    </row>
    <row r="376" s="3" customFormat="1" customHeight="1" spans="1:20">
      <c r="A376" s="84">
        <v>14</v>
      </c>
      <c r="B376" s="177" t="s">
        <v>1336</v>
      </c>
      <c r="C376" s="167" t="s">
        <v>165</v>
      </c>
      <c r="D376" s="167" t="s">
        <v>1337</v>
      </c>
      <c r="E376" s="11">
        <v>15827758062</v>
      </c>
      <c r="F376" s="167" t="s">
        <v>506</v>
      </c>
      <c r="G376" s="167" t="s">
        <v>6</v>
      </c>
      <c r="H376" s="11">
        <v>202102021</v>
      </c>
      <c r="I376" s="167" t="s">
        <v>157</v>
      </c>
      <c r="J376" s="167" t="s">
        <v>909</v>
      </c>
      <c r="K376" s="167" t="s">
        <v>323</v>
      </c>
      <c r="L376" s="167" t="s">
        <v>170</v>
      </c>
      <c r="M376" s="167" t="s">
        <v>235</v>
      </c>
      <c r="N376" s="167" t="s">
        <v>1339</v>
      </c>
      <c r="O376" s="167" t="s">
        <v>1340</v>
      </c>
      <c r="P376" s="12" t="str">
        <f>_xlfn.DISPIMG("ID_59602C342648425A87CF8C12540A5579",1)</f>
        <v>=DISPIMG("ID_59602C342648425A87CF8C12540A5579",1)</v>
      </c>
      <c r="Q376" s="11" t="s">
        <v>1341</v>
      </c>
      <c r="R376" s="11">
        <v>145</v>
      </c>
      <c r="S376" s="17" t="s">
        <v>4666</v>
      </c>
      <c r="T376" s="18" t="s">
        <v>60</v>
      </c>
    </row>
    <row r="377" s="3" customFormat="1" customHeight="1" spans="1:20">
      <c r="A377" s="84">
        <v>15</v>
      </c>
      <c r="B377" s="177" t="s">
        <v>1622</v>
      </c>
      <c r="C377" s="167" t="s">
        <v>165</v>
      </c>
      <c r="D377" s="167" t="s">
        <v>1623</v>
      </c>
      <c r="E377" s="11">
        <v>15170969760</v>
      </c>
      <c r="F377" s="167" t="s">
        <v>506</v>
      </c>
      <c r="G377" s="167" t="s">
        <v>6</v>
      </c>
      <c r="H377" s="11">
        <v>202102021</v>
      </c>
      <c r="I377" s="167" t="s">
        <v>157</v>
      </c>
      <c r="J377" s="167" t="s">
        <v>1625</v>
      </c>
      <c r="K377" s="167" t="s">
        <v>750</v>
      </c>
      <c r="L377" s="167" t="s">
        <v>160</v>
      </c>
      <c r="M377" s="167" t="s">
        <v>1089</v>
      </c>
      <c r="N377" s="167" t="s">
        <v>6</v>
      </c>
      <c r="O377" s="167" t="s">
        <v>1626</v>
      </c>
      <c r="P377" s="12" t="str">
        <f>_xlfn.DISPIMG("ID_F5B5B7553FD14A38A3CEAB4A3171FC0C",1)</f>
        <v>=DISPIMG("ID_F5B5B7553FD14A38A3CEAB4A3171FC0C",1)</v>
      </c>
      <c r="Q377" s="11" t="s">
        <v>1627</v>
      </c>
      <c r="R377" s="11">
        <v>182</v>
      </c>
      <c r="S377" s="17" t="s">
        <v>4667</v>
      </c>
      <c r="T377" s="18" t="s">
        <v>60</v>
      </c>
    </row>
    <row r="378" s="3" customFormat="1" customHeight="1" spans="1:20">
      <c r="A378" s="84">
        <v>16</v>
      </c>
      <c r="B378" s="177" t="s">
        <v>1798</v>
      </c>
      <c r="C378" s="167" t="s">
        <v>165</v>
      </c>
      <c r="D378" s="167" t="s">
        <v>1799</v>
      </c>
      <c r="E378" s="11">
        <v>18070223507</v>
      </c>
      <c r="F378" s="167" t="s">
        <v>506</v>
      </c>
      <c r="G378" s="167" t="s">
        <v>6</v>
      </c>
      <c r="H378" s="11">
        <v>202102021</v>
      </c>
      <c r="I378" s="167" t="s">
        <v>157</v>
      </c>
      <c r="J378" s="167" t="s">
        <v>1801</v>
      </c>
      <c r="K378" s="167" t="s">
        <v>1802</v>
      </c>
      <c r="L378" s="167" t="s">
        <v>160</v>
      </c>
      <c r="M378" s="167" t="s">
        <v>161</v>
      </c>
      <c r="N378" s="167" t="s">
        <v>6</v>
      </c>
      <c r="O378" s="167" t="s">
        <v>1803</v>
      </c>
      <c r="P378" s="12" t="str">
        <f>_xlfn.DISPIMG("ID_054E9F37DEBB4C16973D352603A54499",1)</f>
        <v>=DISPIMG("ID_054E9F37DEBB4C16973D352603A54499",1)</v>
      </c>
      <c r="Q378" s="11" t="s">
        <v>1804</v>
      </c>
      <c r="R378" s="11">
        <v>205</v>
      </c>
      <c r="S378" s="17" t="s">
        <v>4668</v>
      </c>
      <c r="T378" s="18" t="s">
        <v>60</v>
      </c>
    </row>
    <row r="379" s="3" customFormat="1" customHeight="1" spans="1:20">
      <c r="A379" s="84">
        <v>17</v>
      </c>
      <c r="B379" s="177" t="s">
        <v>2233</v>
      </c>
      <c r="C379" s="167" t="s">
        <v>165</v>
      </c>
      <c r="D379" s="167" t="s">
        <v>2234</v>
      </c>
      <c r="E379" s="11">
        <v>18279238026</v>
      </c>
      <c r="F379" s="167" t="s">
        <v>156</v>
      </c>
      <c r="G379" s="167" t="s">
        <v>6</v>
      </c>
      <c r="H379" s="11">
        <v>202102012</v>
      </c>
      <c r="I379" s="167" t="s">
        <v>157</v>
      </c>
      <c r="J379" s="167" t="s">
        <v>2236</v>
      </c>
      <c r="K379" s="167" t="s">
        <v>188</v>
      </c>
      <c r="L379" s="167" t="s">
        <v>160</v>
      </c>
      <c r="M379" s="167" t="s">
        <v>516</v>
      </c>
      <c r="N379" s="167" t="s">
        <v>18</v>
      </c>
      <c r="O379" s="11">
        <v>0</v>
      </c>
      <c r="P379" s="12" t="str">
        <f>_xlfn.DISPIMG("ID_B83409D3E833484EAA2409A5675BAA5D",1)</f>
        <v>=DISPIMG("ID_B83409D3E833484EAA2409A5675BAA5D",1)</v>
      </c>
      <c r="Q379" s="11" t="s">
        <v>2237</v>
      </c>
      <c r="R379" s="11">
        <v>263</v>
      </c>
      <c r="S379" s="17" t="s">
        <v>4669</v>
      </c>
      <c r="T379" s="18" t="s">
        <v>60</v>
      </c>
    </row>
    <row r="380" s="3" customFormat="1" customHeight="1" spans="1:20">
      <c r="A380" s="84">
        <v>18</v>
      </c>
      <c r="B380" s="177" t="s">
        <v>2264</v>
      </c>
      <c r="C380" s="167" t="s">
        <v>153</v>
      </c>
      <c r="D380" s="167" t="s">
        <v>2265</v>
      </c>
      <c r="E380" s="11">
        <v>13755257750</v>
      </c>
      <c r="F380" s="167" t="s">
        <v>506</v>
      </c>
      <c r="G380" s="167" t="s">
        <v>6</v>
      </c>
      <c r="H380" s="11">
        <v>202102021</v>
      </c>
      <c r="I380" s="167" t="s">
        <v>157</v>
      </c>
      <c r="J380" s="167" t="s">
        <v>2267</v>
      </c>
      <c r="K380" s="167" t="s">
        <v>2268</v>
      </c>
      <c r="L380" s="167" t="s">
        <v>160</v>
      </c>
      <c r="M380" s="167" t="s">
        <v>161</v>
      </c>
      <c r="N380" s="167" t="s">
        <v>2269</v>
      </c>
      <c r="O380" s="11">
        <v>0</v>
      </c>
      <c r="P380" s="12" t="str">
        <f>_xlfn.DISPIMG("ID_73D56986F7DE44CDB5B00B7AF01CF017",1)</f>
        <v>=DISPIMG("ID_73D56986F7DE44CDB5B00B7AF01CF017",1)</v>
      </c>
      <c r="Q380" s="11" t="s">
        <v>2270</v>
      </c>
      <c r="R380" s="11">
        <v>267</v>
      </c>
      <c r="S380" s="17" t="s">
        <v>4670</v>
      </c>
      <c r="T380" s="18" t="s">
        <v>60</v>
      </c>
    </row>
    <row r="381" s="3" customFormat="1" customHeight="1" spans="1:20">
      <c r="A381" s="84">
        <v>19</v>
      </c>
      <c r="B381" s="177" t="s">
        <v>2316</v>
      </c>
      <c r="C381" s="167" t="s">
        <v>165</v>
      </c>
      <c r="D381" s="167" t="s">
        <v>2317</v>
      </c>
      <c r="E381" s="11">
        <v>18790256284</v>
      </c>
      <c r="F381" s="167" t="s">
        <v>156</v>
      </c>
      <c r="G381" s="167" t="s">
        <v>6</v>
      </c>
      <c r="H381" s="11">
        <v>202102012</v>
      </c>
      <c r="I381" s="167" t="s">
        <v>157</v>
      </c>
      <c r="J381" s="167" t="s">
        <v>403</v>
      </c>
      <c r="K381" s="167" t="s">
        <v>207</v>
      </c>
      <c r="L381" s="167" t="s">
        <v>160</v>
      </c>
      <c r="M381" s="167" t="s">
        <v>161</v>
      </c>
      <c r="N381" s="167" t="s">
        <v>1156</v>
      </c>
      <c r="O381" s="167" t="s">
        <v>2319</v>
      </c>
      <c r="P381" s="12" t="str">
        <f>_xlfn.DISPIMG("ID_CE4D4038789D4DF1AB53AB5B07B379E6",1)</f>
        <v>=DISPIMG("ID_CE4D4038789D4DF1AB53AB5B07B379E6",1)</v>
      </c>
      <c r="Q381" s="11" t="s">
        <v>2320</v>
      </c>
      <c r="R381" s="11">
        <v>274</v>
      </c>
      <c r="S381" s="17" t="s">
        <v>4671</v>
      </c>
      <c r="T381" s="18" t="s">
        <v>60</v>
      </c>
    </row>
    <row r="382" s="3" customFormat="1" customHeight="1" spans="1:20">
      <c r="A382" s="84">
        <v>20</v>
      </c>
      <c r="B382" s="177" t="s">
        <v>2643</v>
      </c>
      <c r="C382" s="167" t="s">
        <v>165</v>
      </c>
      <c r="D382" s="167" t="s">
        <v>2644</v>
      </c>
      <c r="E382" s="11">
        <v>15779267017</v>
      </c>
      <c r="F382" s="167" t="s">
        <v>156</v>
      </c>
      <c r="G382" s="167" t="s">
        <v>6</v>
      </c>
      <c r="H382" s="11">
        <v>202102012</v>
      </c>
      <c r="I382" s="167" t="s">
        <v>157</v>
      </c>
      <c r="J382" s="167" t="s">
        <v>2646</v>
      </c>
      <c r="K382" s="167" t="s">
        <v>2647</v>
      </c>
      <c r="L382" s="167" t="s">
        <v>160</v>
      </c>
      <c r="M382" s="167" t="s">
        <v>306</v>
      </c>
      <c r="N382" s="167" t="s">
        <v>18</v>
      </c>
      <c r="O382" s="167" t="s">
        <v>2648</v>
      </c>
      <c r="P382" s="12" t="str">
        <f>_xlfn.DISPIMG("ID_5444703683DB4591A53B76ECB3D8FAE4",1)</f>
        <v>=DISPIMG("ID_5444703683DB4591A53B76ECB3D8FAE4",1)</v>
      </c>
      <c r="Q382" s="11" t="s">
        <v>2649</v>
      </c>
      <c r="R382" s="11">
        <v>318</v>
      </c>
      <c r="S382" s="17" t="s">
        <v>4672</v>
      </c>
      <c r="T382" s="18" t="s">
        <v>60</v>
      </c>
    </row>
    <row r="383" s="3" customFormat="1" customHeight="1" spans="1:20">
      <c r="A383" s="84">
        <v>21</v>
      </c>
      <c r="B383" s="177" t="s">
        <v>2705</v>
      </c>
      <c r="C383" s="167" t="s">
        <v>165</v>
      </c>
      <c r="D383" s="167" t="s">
        <v>2706</v>
      </c>
      <c r="E383" s="11">
        <v>18879206969</v>
      </c>
      <c r="F383" s="167" t="s">
        <v>156</v>
      </c>
      <c r="G383" s="167" t="s">
        <v>6</v>
      </c>
      <c r="H383" s="11">
        <v>202102012</v>
      </c>
      <c r="I383" s="167" t="s">
        <v>157</v>
      </c>
      <c r="J383" s="167" t="s">
        <v>2708</v>
      </c>
      <c r="K383" s="167" t="s">
        <v>750</v>
      </c>
      <c r="L383" s="167" t="s">
        <v>160</v>
      </c>
      <c r="M383" s="167" t="s">
        <v>216</v>
      </c>
      <c r="N383" s="167" t="s">
        <v>18</v>
      </c>
      <c r="O383" s="11">
        <v>0</v>
      </c>
      <c r="P383" s="12" t="str">
        <f>_xlfn.DISPIMG("ID_4ECDECBC23404DF3A6E316268C69D43E",1)</f>
        <v>=DISPIMG("ID_4ECDECBC23404DF3A6E316268C69D43E",1)</v>
      </c>
      <c r="Q383" s="11" t="s">
        <v>2709</v>
      </c>
      <c r="R383" s="11">
        <v>326</v>
      </c>
      <c r="S383" s="17" t="s">
        <v>4673</v>
      </c>
      <c r="T383" s="18" t="s">
        <v>60</v>
      </c>
    </row>
    <row r="384" s="3" customFormat="1" customHeight="1" spans="1:20">
      <c r="A384" s="84">
        <v>22</v>
      </c>
      <c r="B384" s="177" t="s">
        <v>2718</v>
      </c>
      <c r="C384" s="167" t="s">
        <v>153</v>
      </c>
      <c r="D384" s="167" t="s">
        <v>2719</v>
      </c>
      <c r="E384" s="11">
        <v>15779215230</v>
      </c>
      <c r="F384" s="167" t="s">
        <v>156</v>
      </c>
      <c r="G384" s="167" t="s">
        <v>6</v>
      </c>
      <c r="H384" s="11">
        <v>202102012</v>
      </c>
      <c r="I384" s="167" t="s">
        <v>157</v>
      </c>
      <c r="J384" s="167" t="s">
        <v>168</v>
      </c>
      <c r="K384" s="167" t="s">
        <v>2721</v>
      </c>
      <c r="L384" s="167" t="s">
        <v>160</v>
      </c>
      <c r="M384" s="167" t="s">
        <v>455</v>
      </c>
      <c r="N384" s="167" t="s">
        <v>18</v>
      </c>
      <c r="O384" s="167" t="s">
        <v>2722</v>
      </c>
      <c r="P384" s="12" t="str">
        <f>_xlfn.DISPIMG("ID_2B62698B077F4147874AB6F7E19938E7",1)</f>
        <v>=DISPIMG("ID_2B62698B077F4147874AB6F7E19938E7",1)</v>
      </c>
      <c r="Q384" s="11" t="s">
        <v>2723</v>
      </c>
      <c r="R384" s="11">
        <v>328</v>
      </c>
      <c r="S384" s="17" t="s">
        <v>4674</v>
      </c>
      <c r="T384" s="18" t="s">
        <v>60</v>
      </c>
    </row>
    <row r="385" s="3" customFormat="1" customHeight="1" spans="1:20">
      <c r="A385" s="84">
        <v>23</v>
      </c>
      <c r="B385" s="177" t="s">
        <v>2922</v>
      </c>
      <c r="C385" s="167" t="s">
        <v>165</v>
      </c>
      <c r="D385" s="167" t="s">
        <v>2923</v>
      </c>
      <c r="E385" s="11">
        <v>18079240698</v>
      </c>
      <c r="F385" s="167" t="s">
        <v>156</v>
      </c>
      <c r="G385" s="167" t="s">
        <v>6</v>
      </c>
      <c r="H385" s="11">
        <v>202102012</v>
      </c>
      <c r="I385" s="167" t="s">
        <v>157</v>
      </c>
      <c r="J385" s="167" t="s">
        <v>322</v>
      </c>
      <c r="K385" s="167" t="s">
        <v>2268</v>
      </c>
      <c r="L385" s="167" t="s">
        <v>160</v>
      </c>
      <c r="M385" s="167" t="s">
        <v>455</v>
      </c>
      <c r="N385" s="167" t="s">
        <v>2925</v>
      </c>
      <c r="O385" s="11">
        <v>0</v>
      </c>
      <c r="P385" s="12" t="str">
        <f>_xlfn.DISPIMG("ID_40B4A1C67261465298C744E0F0D93767",1)</f>
        <v>=DISPIMG("ID_40B4A1C67261465298C744E0F0D93767",1)</v>
      </c>
      <c r="Q385" s="11" t="s">
        <v>2926</v>
      </c>
      <c r="R385" s="11">
        <v>356</v>
      </c>
      <c r="S385" s="17" t="s">
        <v>4675</v>
      </c>
      <c r="T385" s="18" t="s">
        <v>60</v>
      </c>
    </row>
    <row r="386" s="3" customFormat="1" customHeight="1" spans="1:20">
      <c r="A386" s="84">
        <v>24</v>
      </c>
      <c r="B386" s="177" t="s">
        <v>3091</v>
      </c>
      <c r="C386" s="167" t="s">
        <v>165</v>
      </c>
      <c r="D386" s="167" t="s">
        <v>3092</v>
      </c>
      <c r="E386" s="11">
        <v>18679162461</v>
      </c>
      <c r="F386" s="167" t="s">
        <v>156</v>
      </c>
      <c r="G386" s="167" t="s">
        <v>6</v>
      </c>
      <c r="H386" s="11">
        <v>202102012</v>
      </c>
      <c r="I386" s="167" t="s">
        <v>157</v>
      </c>
      <c r="J386" s="167" t="s">
        <v>3094</v>
      </c>
      <c r="K386" s="167" t="s">
        <v>3095</v>
      </c>
      <c r="L386" s="167" t="s">
        <v>160</v>
      </c>
      <c r="M386" s="167" t="s">
        <v>171</v>
      </c>
      <c r="N386" s="167" t="s">
        <v>18</v>
      </c>
      <c r="O386" s="167" t="s">
        <v>3096</v>
      </c>
      <c r="P386" s="12" t="str">
        <f>_xlfn.DISPIMG("ID_26230D3A7A254FB387523A67FAC705F7",1)</f>
        <v>=DISPIMG("ID_26230D3A7A254FB387523A67FAC705F7",1)</v>
      </c>
      <c r="Q386" s="11" t="s">
        <v>3097</v>
      </c>
      <c r="R386" s="11">
        <v>382</v>
      </c>
      <c r="S386" s="17" t="s">
        <v>4676</v>
      </c>
      <c r="T386" s="18" t="s">
        <v>60</v>
      </c>
    </row>
    <row r="387" s="3" customFormat="1" customHeight="1" spans="1:20">
      <c r="A387" s="84">
        <v>25</v>
      </c>
      <c r="B387" s="177" t="s">
        <v>3123</v>
      </c>
      <c r="C387" s="167" t="s">
        <v>165</v>
      </c>
      <c r="D387" s="167" t="s">
        <v>3124</v>
      </c>
      <c r="E387" s="11">
        <v>19979611731</v>
      </c>
      <c r="F387" s="167" t="s">
        <v>156</v>
      </c>
      <c r="G387" s="167" t="s">
        <v>6</v>
      </c>
      <c r="H387" s="11">
        <v>202102012</v>
      </c>
      <c r="I387" s="167" t="s">
        <v>157</v>
      </c>
      <c r="J387" s="167" t="s">
        <v>3126</v>
      </c>
      <c r="K387" s="167" t="s">
        <v>404</v>
      </c>
      <c r="L387" s="167" t="s">
        <v>160</v>
      </c>
      <c r="M387" s="167" t="s">
        <v>199</v>
      </c>
      <c r="N387" s="167" t="s">
        <v>18</v>
      </c>
      <c r="O387" s="11">
        <v>0</v>
      </c>
      <c r="P387" s="12" t="str">
        <f>_xlfn.DISPIMG("ID_A2488CA19AE844B4BBFD68619FFEAA1D",1)</f>
        <v>=DISPIMG("ID_A2488CA19AE844B4BBFD68619FFEAA1D",1)</v>
      </c>
      <c r="Q387" s="11" t="s">
        <v>3127</v>
      </c>
      <c r="R387" s="11">
        <v>386</v>
      </c>
      <c r="S387" s="17" t="s">
        <v>4677</v>
      </c>
      <c r="T387" s="18" t="s">
        <v>60</v>
      </c>
    </row>
    <row r="388" s="3" customFormat="1" customHeight="1" spans="1:20">
      <c r="A388" s="84">
        <v>26</v>
      </c>
      <c r="B388" s="177" t="s">
        <v>3366</v>
      </c>
      <c r="C388" s="167" t="s">
        <v>153</v>
      </c>
      <c r="D388" s="167" t="s">
        <v>3367</v>
      </c>
      <c r="E388" s="11">
        <v>13755682208</v>
      </c>
      <c r="F388" s="167" t="s">
        <v>506</v>
      </c>
      <c r="G388" s="167" t="s">
        <v>6</v>
      </c>
      <c r="H388" s="11">
        <v>202102021</v>
      </c>
      <c r="I388" s="167" t="s">
        <v>279</v>
      </c>
      <c r="J388" s="167" t="s">
        <v>178</v>
      </c>
      <c r="K388" s="167" t="s">
        <v>1138</v>
      </c>
      <c r="L388" s="167" t="s">
        <v>170</v>
      </c>
      <c r="M388" s="167" t="s">
        <v>216</v>
      </c>
      <c r="N388" s="167" t="s">
        <v>3369</v>
      </c>
      <c r="O388" s="167" t="s">
        <v>3370</v>
      </c>
      <c r="P388" s="12" t="str">
        <f>_xlfn.DISPIMG("ID_5C988A3540504C69ADD9A8ABF15446E0",1)</f>
        <v>=DISPIMG("ID_5C988A3540504C69ADD9A8ABF15446E0",1)</v>
      </c>
      <c r="Q388" s="11" t="s">
        <v>3371</v>
      </c>
      <c r="R388" s="11">
        <v>424</v>
      </c>
      <c r="S388" s="17" t="s">
        <v>4678</v>
      </c>
      <c r="T388" s="18" t="s">
        <v>60</v>
      </c>
    </row>
    <row r="389" s="3" customFormat="1" customHeight="1" spans="1:20">
      <c r="A389" s="84">
        <v>27</v>
      </c>
      <c r="B389" s="177" t="s">
        <v>3423</v>
      </c>
      <c r="C389" s="167" t="s">
        <v>165</v>
      </c>
      <c r="D389" s="167" t="s">
        <v>3424</v>
      </c>
      <c r="E389" s="11">
        <v>18720214779</v>
      </c>
      <c r="F389" s="167" t="s">
        <v>156</v>
      </c>
      <c r="G389" s="167" t="s">
        <v>6</v>
      </c>
      <c r="H389" s="11">
        <v>202102012</v>
      </c>
      <c r="I389" s="167" t="s">
        <v>157</v>
      </c>
      <c r="J389" s="167" t="s">
        <v>1424</v>
      </c>
      <c r="K389" s="167" t="s">
        <v>404</v>
      </c>
      <c r="L389" s="167" t="s">
        <v>160</v>
      </c>
      <c r="M389" s="167" t="s">
        <v>171</v>
      </c>
      <c r="N389" s="167" t="s">
        <v>18</v>
      </c>
      <c r="O389" s="167" t="s">
        <v>3425</v>
      </c>
      <c r="P389" s="12" t="str">
        <f>_xlfn.DISPIMG("ID_F35EB404C32C41B8B6B9DFFF6A73D9A8",1)</f>
        <v>=DISPIMG("ID_F35EB404C32C41B8B6B9DFFF6A73D9A8",1)</v>
      </c>
      <c r="Q389" s="11" t="s">
        <v>3426</v>
      </c>
      <c r="R389" s="11">
        <v>432</v>
      </c>
      <c r="S389" s="17" t="s">
        <v>4679</v>
      </c>
      <c r="T389" s="18" t="s">
        <v>60</v>
      </c>
    </row>
    <row r="390" s="3" customFormat="1" customHeight="1" spans="1:20">
      <c r="A390" s="84">
        <v>28</v>
      </c>
      <c r="B390" s="177" t="s">
        <v>3450</v>
      </c>
      <c r="C390" s="167" t="s">
        <v>165</v>
      </c>
      <c r="D390" s="167" t="s">
        <v>3451</v>
      </c>
      <c r="E390" s="11">
        <v>13122970585</v>
      </c>
      <c r="F390" s="167" t="s">
        <v>156</v>
      </c>
      <c r="G390" s="167" t="s">
        <v>6</v>
      </c>
      <c r="H390" s="11">
        <v>202102012</v>
      </c>
      <c r="I390" s="167" t="s">
        <v>157</v>
      </c>
      <c r="J390" s="167" t="s">
        <v>3453</v>
      </c>
      <c r="K390" s="167" t="s">
        <v>323</v>
      </c>
      <c r="L390" s="167" t="s">
        <v>170</v>
      </c>
      <c r="M390" s="167" t="s">
        <v>396</v>
      </c>
      <c r="N390" s="167" t="s">
        <v>2244</v>
      </c>
      <c r="O390" s="167" t="s">
        <v>3454</v>
      </c>
      <c r="P390" s="12" t="str">
        <f>_xlfn.DISPIMG("ID_75AF34168E0448D4A462EFA2E90CB632",1)</f>
        <v>=DISPIMG("ID_75AF34168E0448D4A462EFA2E90CB632",1)</v>
      </c>
      <c r="Q390" s="11" t="s">
        <v>3455</v>
      </c>
      <c r="R390" s="11">
        <v>436</v>
      </c>
      <c r="S390" s="17" t="s">
        <v>4680</v>
      </c>
      <c r="T390" s="18" t="s">
        <v>60</v>
      </c>
    </row>
    <row r="391" s="3" customFormat="1" customHeight="1" spans="1:20">
      <c r="A391" s="84">
        <v>29</v>
      </c>
      <c r="B391" s="177" t="s">
        <v>3466</v>
      </c>
      <c r="C391" s="167" t="s">
        <v>165</v>
      </c>
      <c r="D391" s="167" t="s">
        <v>3467</v>
      </c>
      <c r="E391" s="11">
        <v>15879126790</v>
      </c>
      <c r="F391" s="167" t="s">
        <v>156</v>
      </c>
      <c r="G391" s="167" t="s">
        <v>6</v>
      </c>
      <c r="H391" s="11">
        <v>202102012</v>
      </c>
      <c r="I391" s="167" t="s">
        <v>157</v>
      </c>
      <c r="J391" s="167" t="s">
        <v>901</v>
      </c>
      <c r="K391" s="167" t="s">
        <v>188</v>
      </c>
      <c r="L391" s="167" t="s">
        <v>160</v>
      </c>
      <c r="M391" s="167" t="s">
        <v>281</v>
      </c>
      <c r="N391" s="167" t="s">
        <v>1579</v>
      </c>
      <c r="O391" s="167" t="s">
        <v>3469</v>
      </c>
      <c r="P391" s="12" t="str">
        <f>_xlfn.DISPIMG("ID_F4E1B2AC46944606B0ACE14F8CC9918C",1)</f>
        <v>=DISPIMG("ID_F4E1B2AC46944606B0ACE14F8CC9918C",1)</v>
      </c>
      <c r="Q391" s="11" t="s">
        <v>3470</v>
      </c>
      <c r="R391" s="11">
        <v>438</v>
      </c>
      <c r="S391" s="17" t="s">
        <v>4681</v>
      </c>
      <c r="T391" s="18" t="s">
        <v>60</v>
      </c>
    </row>
    <row r="392" s="3" customFormat="1" customHeight="1" spans="1:20">
      <c r="A392" s="84">
        <v>30</v>
      </c>
      <c r="B392" s="177" t="s">
        <v>3630</v>
      </c>
      <c r="C392" s="167" t="s">
        <v>153</v>
      </c>
      <c r="D392" s="167" t="s">
        <v>3631</v>
      </c>
      <c r="E392" s="11">
        <v>19979468695</v>
      </c>
      <c r="F392" s="167" t="s">
        <v>506</v>
      </c>
      <c r="G392" s="167" t="s">
        <v>6</v>
      </c>
      <c r="H392" s="11">
        <v>202102021</v>
      </c>
      <c r="I392" s="167" t="s">
        <v>157</v>
      </c>
      <c r="J392" s="167" t="s">
        <v>3633</v>
      </c>
      <c r="K392" s="167" t="s">
        <v>323</v>
      </c>
      <c r="L392" s="167" t="s">
        <v>170</v>
      </c>
      <c r="M392" s="167" t="s">
        <v>171</v>
      </c>
      <c r="N392" s="167" t="s">
        <v>3634</v>
      </c>
      <c r="O392" s="167" t="s">
        <v>3635</v>
      </c>
      <c r="P392" s="12" t="str">
        <f>_xlfn.DISPIMG("ID_7CE83E02BD574BEF88ED6441327C41EF",1)</f>
        <v>=DISPIMG("ID_7CE83E02BD574BEF88ED6441327C41EF",1)</v>
      </c>
      <c r="Q392" s="11" t="s">
        <v>3636</v>
      </c>
      <c r="R392" s="11">
        <v>462</v>
      </c>
      <c r="S392" s="17" t="s">
        <v>4682</v>
      </c>
      <c r="T392" s="18" t="s">
        <v>60</v>
      </c>
    </row>
    <row r="393" s="3" customFormat="1" customHeight="1" spans="1:20">
      <c r="A393" s="84">
        <v>1</v>
      </c>
      <c r="B393" s="177" t="s">
        <v>3743</v>
      </c>
      <c r="C393" s="167" t="s">
        <v>165</v>
      </c>
      <c r="D393" s="167" t="s">
        <v>3744</v>
      </c>
      <c r="E393" s="11">
        <v>15679201300</v>
      </c>
      <c r="F393" s="167" t="s">
        <v>156</v>
      </c>
      <c r="G393" s="167" t="s">
        <v>6</v>
      </c>
      <c r="H393" s="11">
        <v>202102012</v>
      </c>
      <c r="I393" s="167" t="s">
        <v>157</v>
      </c>
      <c r="J393" s="167" t="s">
        <v>437</v>
      </c>
      <c r="K393" s="167" t="s">
        <v>3746</v>
      </c>
      <c r="L393" s="167" t="s">
        <v>160</v>
      </c>
      <c r="M393" s="167" t="s">
        <v>216</v>
      </c>
      <c r="N393" s="167" t="s">
        <v>18</v>
      </c>
      <c r="O393" s="167" t="s">
        <v>3747</v>
      </c>
      <c r="P393" s="12" t="str">
        <f>_xlfn.DISPIMG("ID_B41ADE81115D4115B428E62357BC8F70",1)</f>
        <v>=DISPIMG("ID_B41ADE81115D4115B428E62357BC8F70",1)</v>
      </c>
      <c r="Q393" s="11" t="s">
        <v>3748</v>
      </c>
      <c r="R393" s="20">
        <v>477</v>
      </c>
      <c r="S393" s="17" t="s">
        <v>4683</v>
      </c>
      <c r="T393" s="18" t="s">
        <v>62</v>
      </c>
    </row>
    <row r="394" s="3" customFormat="1" customHeight="1" spans="1:20">
      <c r="A394" s="84">
        <v>2</v>
      </c>
      <c r="B394" s="177" t="s">
        <v>3758</v>
      </c>
      <c r="C394" s="167" t="s">
        <v>165</v>
      </c>
      <c r="D394" s="167" t="s">
        <v>3759</v>
      </c>
      <c r="E394" s="11">
        <v>15946993908</v>
      </c>
      <c r="F394" s="167" t="s">
        <v>156</v>
      </c>
      <c r="G394" s="167" t="s">
        <v>6</v>
      </c>
      <c r="H394" s="11">
        <v>202102012</v>
      </c>
      <c r="I394" s="167" t="s">
        <v>157</v>
      </c>
      <c r="J394" s="167" t="s">
        <v>3761</v>
      </c>
      <c r="K394" s="167" t="s">
        <v>404</v>
      </c>
      <c r="L394" s="167" t="s">
        <v>160</v>
      </c>
      <c r="M394" s="167" t="s">
        <v>252</v>
      </c>
      <c r="N394" s="167" t="s">
        <v>6</v>
      </c>
      <c r="O394" s="167" t="s">
        <v>3762</v>
      </c>
      <c r="P394" s="12" t="str">
        <f>_xlfn.DISPIMG("ID_C2F02D4F7B2D4545A16075F83680F752",1)</f>
        <v>=DISPIMG("ID_C2F02D4F7B2D4545A16075F83680F752",1)</v>
      </c>
      <c r="Q394" s="11" t="s">
        <v>3763</v>
      </c>
      <c r="R394" s="11">
        <v>479</v>
      </c>
      <c r="S394" s="17" t="s">
        <v>4684</v>
      </c>
      <c r="T394" s="18" t="s">
        <v>62</v>
      </c>
    </row>
    <row r="395" s="3" customFormat="1" customHeight="1" spans="1:20">
      <c r="A395" s="84">
        <v>3</v>
      </c>
      <c r="B395" s="177" t="s">
        <v>3780</v>
      </c>
      <c r="C395" s="167" t="s">
        <v>165</v>
      </c>
      <c r="D395" s="167" t="s">
        <v>3781</v>
      </c>
      <c r="E395" s="11">
        <v>18372112404</v>
      </c>
      <c r="F395" s="167" t="s">
        <v>156</v>
      </c>
      <c r="G395" s="167" t="s">
        <v>6</v>
      </c>
      <c r="H395" s="11">
        <v>202102012</v>
      </c>
      <c r="I395" s="167" t="s">
        <v>157</v>
      </c>
      <c r="J395" s="167" t="s">
        <v>3783</v>
      </c>
      <c r="K395" s="167" t="s">
        <v>3784</v>
      </c>
      <c r="L395" s="167" t="s">
        <v>160</v>
      </c>
      <c r="M395" s="167" t="s">
        <v>252</v>
      </c>
      <c r="N395" s="167" t="s">
        <v>6</v>
      </c>
      <c r="O395" s="167" t="s">
        <v>3785</v>
      </c>
      <c r="P395" s="12" t="str">
        <f>_xlfn.DISPIMG("ID_D2BC3DB6B6B24D07A1729D0ECE731594",1)</f>
        <v>=DISPIMG("ID_D2BC3DB6B6B24D07A1729D0ECE731594",1)</v>
      </c>
      <c r="Q395" s="11" t="s">
        <v>3786</v>
      </c>
      <c r="R395" s="11">
        <v>482</v>
      </c>
      <c r="S395" s="17" t="s">
        <v>4685</v>
      </c>
      <c r="T395" s="18" t="s">
        <v>62</v>
      </c>
    </row>
    <row r="396" s="3" customFormat="1" customHeight="1" spans="1:20">
      <c r="A396" s="84">
        <v>4</v>
      </c>
      <c r="B396" s="177" t="s">
        <v>3797</v>
      </c>
      <c r="C396" s="167" t="s">
        <v>165</v>
      </c>
      <c r="D396" s="167" t="s">
        <v>3798</v>
      </c>
      <c r="E396" s="11">
        <v>15879245873</v>
      </c>
      <c r="F396" s="167" t="s">
        <v>506</v>
      </c>
      <c r="G396" s="167" t="s">
        <v>6</v>
      </c>
      <c r="H396" s="11">
        <v>202102021</v>
      </c>
      <c r="I396" s="167" t="s">
        <v>157</v>
      </c>
      <c r="J396" s="167" t="s">
        <v>158</v>
      </c>
      <c r="K396" s="167" t="s">
        <v>188</v>
      </c>
      <c r="L396" s="167" t="s">
        <v>160</v>
      </c>
      <c r="M396" s="167" t="s">
        <v>306</v>
      </c>
      <c r="N396" s="167" t="s">
        <v>3800</v>
      </c>
      <c r="O396" s="11">
        <v>0</v>
      </c>
      <c r="P396" s="12" t="str">
        <f>_xlfn.DISPIMG("ID_B80DCC3A028B4FB2A6977287EC2BFAD8",1)</f>
        <v>=DISPIMG("ID_B80DCC3A028B4FB2A6977287EC2BFAD8",1)</v>
      </c>
      <c r="Q396" s="11" t="s">
        <v>3801</v>
      </c>
      <c r="R396" s="11">
        <v>484</v>
      </c>
      <c r="S396" s="17" t="s">
        <v>4686</v>
      </c>
      <c r="T396" s="18" t="s">
        <v>62</v>
      </c>
    </row>
    <row r="397" s="3" customFormat="1" customHeight="1" spans="1:20">
      <c r="A397" s="84">
        <v>5</v>
      </c>
      <c r="B397" s="177" t="s">
        <v>3895</v>
      </c>
      <c r="C397" s="167" t="s">
        <v>165</v>
      </c>
      <c r="D397" s="167" t="s">
        <v>3896</v>
      </c>
      <c r="E397" s="11">
        <v>17859733350</v>
      </c>
      <c r="F397" s="167" t="s">
        <v>156</v>
      </c>
      <c r="G397" s="167" t="s">
        <v>6</v>
      </c>
      <c r="H397" s="11">
        <v>202102012</v>
      </c>
      <c r="I397" s="167" t="s">
        <v>157</v>
      </c>
      <c r="J397" s="167" t="s">
        <v>3898</v>
      </c>
      <c r="K397" s="167" t="s">
        <v>3784</v>
      </c>
      <c r="L397" s="167" t="s">
        <v>160</v>
      </c>
      <c r="M397" s="167" t="s">
        <v>235</v>
      </c>
      <c r="N397" s="167" t="s">
        <v>3899</v>
      </c>
      <c r="O397" s="167" t="s">
        <v>3900</v>
      </c>
      <c r="P397" s="12" t="str">
        <f>_xlfn.DISPIMG("ID_BC241117C250469C89F85CEC4B64E8AA",1)</f>
        <v>=DISPIMG("ID_BC241117C250469C89F85CEC4B64E8AA",1)</v>
      </c>
      <c r="Q397" s="11" t="s">
        <v>3901</v>
      </c>
      <c r="R397" s="20">
        <v>497</v>
      </c>
      <c r="S397" s="17" t="s">
        <v>4687</v>
      </c>
      <c r="T397" s="18" t="s">
        <v>62</v>
      </c>
    </row>
    <row r="398" s="4" customFormat="1" customHeight="1" spans="1:20">
      <c r="A398" s="84">
        <v>6</v>
      </c>
      <c r="B398" s="177" t="s">
        <v>4058</v>
      </c>
      <c r="C398" s="167" t="s">
        <v>165</v>
      </c>
      <c r="D398" s="167" t="s">
        <v>4059</v>
      </c>
      <c r="E398" s="11">
        <v>15679268911</v>
      </c>
      <c r="F398" s="167" t="s">
        <v>156</v>
      </c>
      <c r="G398" s="167" t="s">
        <v>6</v>
      </c>
      <c r="H398" s="11">
        <v>202102022</v>
      </c>
      <c r="I398" s="167" t="s">
        <v>157</v>
      </c>
      <c r="J398" s="167" t="s">
        <v>3054</v>
      </c>
      <c r="K398" s="167" t="s">
        <v>404</v>
      </c>
      <c r="L398" s="167" t="s">
        <v>160</v>
      </c>
      <c r="M398" s="167" t="s">
        <v>261</v>
      </c>
      <c r="N398" s="167" t="s">
        <v>4061</v>
      </c>
      <c r="O398" s="11">
        <v>0</v>
      </c>
      <c r="P398" s="12" t="str">
        <f>_xlfn.DISPIMG("ID_9ECCE1798899427AA809C16B6659E359",1)</f>
        <v>=DISPIMG("ID_9ECCE1798899427AA809C16B6659E359",1)</v>
      </c>
      <c r="Q398" s="11" t="s">
        <v>4062</v>
      </c>
      <c r="R398" s="11">
        <v>519</v>
      </c>
      <c r="S398" s="17" t="s">
        <v>4688</v>
      </c>
      <c r="T398" s="18" t="s">
        <v>62</v>
      </c>
    </row>
    <row r="399" s="3" customFormat="1" customHeight="1" spans="1:20">
      <c r="A399" s="84">
        <v>7</v>
      </c>
      <c r="B399" s="177" t="s">
        <v>164</v>
      </c>
      <c r="C399" s="167" t="s">
        <v>165</v>
      </c>
      <c r="D399" s="167" t="s">
        <v>166</v>
      </c>
      <c r="E399" s="11">
        <v>15879299279</v>
      </c>
      <c r="F399" s="167" t="s">
        <v>156</v>
      </c>
      <c r="G399" s="167" t="s">
        <v>4</v>
      </c>
      <c r="H399" s="11">
        <v>202102005</v>
      </c>
      <c r="I399" s="167" t="s">
        <v>157</v>
      </c>
      <c r="J399" s="167" t="s">
        <v>168</v>
      </c>
      <c r="K399" s="167" t="s">
        <v>169</v>
      </c>
      <c r="L399" s="167" t="s">
        <v>170</v>
      </c>
      <c r="M399" s="167" t="s">
        <v>171</v>
      </c>
      <c r="N399" s="167" t="s">
        <v>4</v>
      </c>
      <c r="O399" s="11">
        <v>0</v>
      </c>
      <c r="P399" s="12" t="str">
        <f>_xlfn.DISPIMG("ID_7D4B330FD7544FC19CF8CAA4A42A6F11",1)</f>
        <v>=DISPIMG("ID_7D4B330FD7544FC19CF8CAA4A42A6F11",1)</v>
      </c>
      <c r="Q399" s="11" t="s">
        <v>172</v>
      </c>
      <c r="R399" s="11">
        <v>3</v>
      </c>
      <c r="S399" s="17" t="s">
        <v>4689</v>
      </c>
      <c r="T399" s="18" t="s">
        <v>62</v>
      </c>
    </row>
    <row r="400" s="3" customFormat="1" customHeight="1" spans="1:20">
      <c r="A400" s="84">
        <v>8</v>
      </c>
      <c r="B400" s="177" t="s">
        <v>1085</v>
      </c>
      <c r="C400" s="167" t="s">
        <v>165</v>
      </c>
      <c r="D400" s="167" t="s">
        <v>1086</v>
      </c>
      <c r="E400" s="11">
        <v>15179282018</v>
      </c>
      <c r="F400" s="167" t="s">
        <v>156</v>
      </c>
      <c r="G400" s="167" t="s">
        <v>4</v>
      </c>
      <c r="H400" s="11">
        <v>202102005</v>
      </c>
      <c r="I400" s="167" t="s">
        <v>279</v>
      </c>
      <c r="J400" s="167" t="s">
        <v>158</v>
      </c>
      <c r="K400" s="167" t="s">
        <v>1088</v>
      </c>
      <c r="L400" s="167" t="s">
        <v>170</v>
      </c>
      <c r="M400" s="167" t="s">
        <v>1089</v>
      </c>
      <c r="N400" s="167" t="s">
        <v>4</v>
      </c>
      <c r="O400" s="167" t="s">
        <v>1090</v>
      </c>
      <c r="P400" s="12" t="str">
        <f>_xlfn.DISPIMG("ID_2B72C85721DF4DA8A46A71B57C490F39",1)</f>
        <v>=DISPIMG("ID_2B72C85721DF4DA8A46A71B57C490F39",1)</v>
      </c>
      <c r="Q400" s="11" t="s">
        <v>1091</v>
      </c>
      <c r="R400" s="11">
        <v>113</v>
      </c>
      <c r="S400" s="17" t="s">
        <v>4690</v>
      </c>
      <c r="T400" s="18" t="s">
        <v>62</v>
      </c>
    </row>
    <row r="401" s="3" customFormat="1" customHeight="1" spans="1:20">
      <c r="A401" s="84">
        <v>9</v>
      </c>
      <c r="B401" s="177" t="s">
        <v>1393</v>
      </c>
      <c r="C401" s="167" t="s">
        <v>165</v>
      </c>
      <c r="D401" s="167" t="s">
        <v>1394</v>
      </c>
      <c r="E401" s="11">
        <v>18807004721</v>
      </c>
      <c r="F401" s="167" t="s">
        <v>156</v>
      </c>
      <c r="G401" s="167" t="s">
        <v>4</v>
      </c>
      <c r="H401" s="11">
        <v>202102005</v>
      </c>
      <c r="I401" s="167" t="s">
        <v>157</v>
      </c>
      <c r="J401" s="167" t="s">
        <v>1396</v>
      </c>
      <c r="K401" s="167" t="s">
        <v>1397</v>
      </c>
      <c r="L401" s="167" t="s">
        <v>160</v>
      </c>
      <c r="M401" s="167" t="s">
        <v>548</v>
      </c>
      <c r="N401" s="167" t="s">
        <v>1398</v>
      </c>
      <c r="O401" s="167" t="s">
        <v>1399</v>
      </c>
      <c r="P401" s="12" t="str">
        <f>_xlfn.DISPIMG("ID_55E386EEE22A4F28AA3DFCB82607D0EC",1)</f>
        <v>=DISPIMG("ID_55E386EEE22A4F28AA3DFCB82607D0EC",1)</v>
      </c>
      <c r="Q401" s="11" t="s">
        <v>1400</v>
      </c>
      <c r="R401" s="11">
        <v>153</v>
      </c>
      <c r="S401" s="17" t="s">
        <v>4691</v>
      </c>
      <c r="T401" s="18" t="s">
        <v>62</v>
      </c>
    </row>
    <row r="402" s="3" customFormat="1" customHeight="1" spans="1:20">
      <c r="A402" s="84">
        <v>10</v>
      </c>
      <c r="B402" s="177" t="s">
        <v>1511</v>
      </c>
      <c r="C402" s="167" t="s">
        <v>165</v>
      </c>
      <c r="D402" s="167" t="s">
        <v>1512</v>
      </c>
      <c r="E402" s="11">
        <v>15179159428</v>
      </c>
      <c r="F402" s="167" t="s">
        <v>156</v>
      </c>
      <c r="G402" s="167" t="s">
        <v>4</v>
      </c>
      <c r="H402" s="11">
        <v>202102005</v>
      </c>
      <c r="I402" s="167" t="s">
        <v>157</v>
      </c>
      <c r="J402" s="167" t="s">
        <v>1513</v>
      </c>
      <c r="K402" s="167" t="s">
        <v>1514</v>
      </c>
      <c r="L402" s="167" t="s">
        <v>160</v>
      </c>
      <c r="M402" s="167" t="s">
        <v>396</v>
      </c>
      <c r="N402" s="167" t="s">
        <v>1515</v>
      </c>
      <c r="O402" s="167" t="s">
        <v>1516</v>
      </c>
      <c r="P402" s="12" t="str">
        <f>_xlfn.DISPIMG("ID_0409F7F95EEA403395B315D31E8491E7",1)</f>
        <v>=DISPIMG("ID_0409F7F95EEA403395B315D31E8491E7",1)</v>
      </c>
      <c r="Q402" s="11" t="s">
        <v>1517</v>
      </c>
      <c r="R402" s="20">
        <v>168</v>
      </c>
      <c r="S402" s="17" t="s">
        <v>4692</v>
      </c>
      <c r="T402" s="18" t="s">
        <v>62</v>
      </c>
    </row>
    <row r="403" s="3" customFormat="1" customHeight="1" spans="1:20">
      <c r="A403" s="84">
        <v>11</v>
      </c>
      <c r="B403" s="177" t="s">
        <v>1882</v>
      </c>
      <c r="C403" s="167" t="s">
        <v>165</v>
      </c>
      <c r="D403" s="167" t="s">
        <v>1883</v>
      </c>
      <c r="E403" s="11">
        <v>19807985498</v>
      </c>
      <c r="F403" s="167" t="s">
        <v>156</v>
      </c>
      <c r="G403" s="167" t="s">
        <v>4</v>
      </c>
      <c r="H403" s="11">
        <v>202102005</v>
      </c>
      <c r="I403" s="167" t="s">
        <v>279</v>
      </c>
      <c r="J403" s="167" t="s">
        <v>269</v>
      </c>
      <c r="K403" s="167" t="s">
        <v>1088</v>
      </c>
      <c r="L403" s="167" t="s">
        <v>170</v>
      </c>
      <c r="M403" s="167" t="s">
        <v>171</v>
      </c>
      <c r="N403" s="167" t="s">
        <v>1885</v>
      </c>
      <c r="O403" s="167" t="s">
        <v>1886</v>
      </c>
      <c r="P403" s="12" t="str">
        <f>_xlfn.DISPIMG("ID_D29EC84107E94871B7B70E677BC40AB8",1)</f>
        <v>=DISPIMG("ID_D29EC84107E94871B7B70E677BC40AB8",1)</v>
      </c>
      <c r="Q403" s="11" t="s">
        <v>1887</v>
      </c>
      <c r="R403" s="11">
        <v>216</v>
      </c>
      <c r="S403" s="17" t="s">
        <v>4693</v>
      </c>
      <c r="T403" s="18" t="s">
        <v>62</v>
      </c>
    </row>
    <row r="404" s="3" customFormat="1" customHeight="1" spans="1:20">
      <c r="A404" s="84">
        <v>12</v>
      </c>
      <c r="B404" s="177" t="s">
        <v>2878</v>
      </c>
      <c r="C404" s="167" t="s">
        <v>165</v>
      </c>
      <c r="D404" s="167" t="s">
        <v>2879</v>
      </c>
      <c r="E404" s="11">
        <v>17310085449</v>
      </c>
      <c r="F404" s="167" t="s">
        <v>156</v>
      </c>
      <c r="G404" s="167" t="s">
        <v>4</v>
      </c>
      <c r="H404" s="11">
        <v>202102005</v>
      </c>
      <c r="I404" s="167" t="s">
        <v>157</v>
      </c>
      <c r="J404" s="167" t="s">
        <v>385</v>
      </c>
      <c r="K404" s="167" t="s">
        <v>2881</v>
      </c>
      <c r="L404" s="167" t="s">
        <v>170</v>
      </c>
      <c r="M404" s="167" t="s">
        <v>306</v>
      </c>
      <c r="N404" s="167" t="s">
        <v>2882</v>
      </c>
      <c r="O404" s="167" t="s">
        <v>2883</v>
      </c>
      <c r="P404" s="12" t="str">
        <f>_xlfn.DISPIMG("ID_EC7DE1A270244013822D2AF30798D0D0",1)</f>
        <v>=DISPIMG("ID_EC7DE1A270244013822D2AF30798D0D0",1)</v>
      </c>
      <c r="Q404" s="11" t="s">
        <v>2884</v>
      </c>
      <c r="R404" s="11">
        <v>350</v>
      </c>
      <c r="S404" s="17" t="s">
        <v>4694</v>
      </c>
      <c r="T404" s="18" t="s">
        <v>62</v>
      </c>
    </row>
    <row r="405" s="3" customFormat="1" customHeight="1" spans="1:20">
      <c r="A405" s="84">
        <v>13</v>
      </c>
      <c r="B405" s="177" t="s">
        <v>3586</v>
      </c>
      <c r="C405" s="167" t="s">
        <v>165</v>
      </c>
      <c r="D405" s="167" t="s">
        <v>3587</v>
      </c>
      <c r="E405" s="11">
        <v>13970222797</v>
      </c>
      <c r="F405" s="167" t="s">
        <v>156</v>
      </c>
      <c r="G405" s="167" t="s">
        <v>4</v>
      </c>
      <c r="H405" s="11">
        <v>202102006</v>
      </c>
      <c r="I405" s="167" t="s">
        <v>157</v>
      </c>
      <c r="J405" s="167" t="s">
        <v>158</v>
      </c>
      <c r="K405" s="167" t="s">
        <v>3589</v>
      </c>
      <c r="L405" s="167" t="s">
        <v>160</v>
      </c>
      <c r="M405" s="167" t="s">
        <v>235</v>
      </c>
      <c r="N405" s="167" t="s">
        <v>4</v>
      </c>
      <c r="O405" s="167" t="s">
        <v>3590</v>
      </c>
      <c r="P405" s="12" t="str">
        <f>_xlfn.DISPIMG("ID_1E4E55AF2274433A8809E53B95627C78",1)</f>
        <v>=DISPIMG("ID_1E4E55AF2274433A8809E53B95627C78",1)</v>
      </c>
      <c r="Q405" s="11" t="s">
        <v>3591</v>
      </c>
      <c r="R405" s="11">
        <v>456</v>
      </c>
      <c r="S405" s="17" t="s">
        <v>4695</v>
      </c>
      <c r="T405" s="18" t="s">
        <v>62</v>
      </c>
    </row>
    <row r="406" s="4" customFormat="1" customHeight="1" spans="1:20">
      <c r="A406" s="84">
        <v>14</v>
      </c>
      <c r="B406" s="177" t="s">
        <v>3655</v>
      </c>
      <c r="C406" s="167" t="s">
        <v>153</v>
      </c>
      <c r="D406" s="167" t="s">
        <v>3656</v>
      </c>
      <c r="E406" s="11">
        <v>13177872440</v>
      </c>
      <c r="F406" s="167" t="s">
        <v>156</v>
      </c>
      <c r="G406" s="167" t="s">
        <v>4</v>
      </c>
      <c r="H406" s="11">
        <v>202102005</v>
      </c>
      <c r="I406" s="167" t="s">
        <v>157</v>
      </c>
      <c r="J406" s="167" t="s">
        <v>385</v>
      </c>
      <c r="K406" s="167" t="s">
        <v>179</v>
      </c>
      <c r="L406" s="167" t="s">
        <v>170</v>
      </c>
      <c r="M406" s="167" t="s">
        <v>368</v>
      </c>
      <c r="N406" s="167" t="s">
        <v>4</v>
      </c>
      <c r="O406" s="11">
        <v>0</v>
      </c>
      <c r="P406" s="12" t="str">
        <f>_xlfn.DISPIMG("ID_252B07FFDA0E4134A421E2449004C504",1)</f>
        <v>=DISPIMG("ID_252B07FFDA0E4134A421E2449004C504",1)</v>
      </c>
      <c r="Q406" s="11" t="s">
        <v>3658</v>
      </c>
      <c r="R406" s="11">
        <v>465</v>
      </c>
      <c r="S406" s="17" t="s">
        <v>4696</v>
      </c>
      <c r="T406" s="18" t="s">
        <v>62</v>
      </c>
    </row>
    <row r="407" s="3" customFormat="1" customHeight="1" spans="1:20">
      <c r="A407" s="84">
        <v>15</v>
      </c>
      <c r="B407" s="177" t="s">
        <v>3817</v>
      </c>
      <c r="C407" s="167" t="s">
        <v>165</v>
      </c>
      <c r="D407" s="167" t="s">
        <v>3818</v>
      </c>
      <c r="E407" s="11">
        <v>13002997695</v>
      </c>
      <c r="F407" s="167" t="s">
        <v>156</v>
      </c>
      <c r="G407" s="167" t="s">
        <v>4</v>
      </c>
      <c r="H407" s="11">
        <v>202102005</v>
      </c>
      <c r="I407" s="167" t="s">
        <v>157</v>
      </c>
      <c r="J407" s="167" t="s">
        <v>3820</v>
      </c>
      <c r="K407" s="167" t="s">
        <v>3821</v>
      </c>
      <c r="L407" s="167" t="s">
        <v>160</v>
      </c>
      <c r="M407" s="167" t="s">
        <v>199</v>
      </c>
      <c r="N407" s="167" t="s">
        <v>4</v>
      </c>
      <c r="O407" s="167" t="s">
        <v>3822</v>
      </c>
      <c r="P407" s="12" t="str">
        <f>_xlfn.DISPIMG("ID_F12BD6FEE7C74060A499738E5A967A51",1)</f>
        <v>=DISPIMG("ID_F12BD6FEE7C74060A499738E5A967A51",1)</v>
      </c>
      <c r="Q407" s="11" t="s">
        <v>3823</v>
      </c>
      <c r="R407" s="20">
        <v>487</v>
      </c>
      <c r="S407" s="17" t="s">
        <v>4697</v>
      </c>
      <c r="T407" s="18" t="s">
        <v>62</v>
      </c>
    </row>
    <row r="408" s="3" customFormat="1" customHeight="1" spans="1:20">
      <c r="A408" s="84">
        <v>16</v>
      </c>
      <c r="B408" s="177" t="s">
        <v>3940</v>
      </c>
      <c r="C408" s="167" t="s">
        <v>165</v>
      </c>
      <c r="D408" s="167" t="s">
        <v>3941</v>
      </c>
      <c r="E408" s="11">
        <v>13699503652</v>
      </c>
      <c r="F408" s="167" t="s">
        <v>156</v>
      </c>
      <c r="G408" s="167" t="s">
        <v>4</v>
      </c>
      <c r="H408" s="11">
        <v>202102005</v>
      </c>
      <c r="I408" s="167" t="s">
        <v>157</v>
      </c>
      <c r="J408" s="167" t="s">
        <v>385</v>
      </c>
      <c r="K408" s="167" t="s">
        <v>3943</v>
      </c>
      <c r="L408" s="167" t="s">
        <v>170</v>
      </c>
      <c r="M408" s="167" t="s">
        <v>180</v>
      </c>
      <c r="N408" s="167" t="s">
        <v>4</v>
      </c>
      <c r="O408" s="167" t="s">
        <v>3944</v>
      </c>
      <c r="P408" s="12" t="str">
        <f>_xlfn.DISPIMG("ID_5F49521312D540BAA0750C7E0D3B723B",1)</f>
        <v>=DISPIMG("ID_5F49521312D540BAA0750C7E0D3B723B",1)</v>
      </c>
      <c r="Q408" s="11" t="s">
        <v>3945</v>
      </c>
      <c r="R408" s="11">
        <v>503</v>
      </c>
      <c r="S408" s="17" t="s">
        <v>4701</v>
      </c>
      <c r="T408" s="18" t="s">
        <v>62</v>
      </c>
    </row>
    <row r="409" s="3" customFormat="1" customHeight="1" spans="1:20">
      <c r="A409" s="84">
        <v>17</v>
      </c>
      <c r="B409" s="177" t="s">
        <v>3962</v>
      </c>
      <c r="C409" s="167" t="s">
        <v>165</v>
      </c>
      <c r="D409" s="167" t="s">
        <v>3963</v>
      </c>
      <c r="E409" s="11">
        <v>18870866549</v>
      </c>
      <c r="F409" s="167" t="s">
        <v>156</v>
      </c>
      <c r="G409" s="167" t="s">
        <v>4</v>
      </c>
      <c r="H409" s="11">
        <v>202102005</v>
      </c>
      <c r="I409" s="167" t="s">
        <v>157</v>
      </c>
      <c r="J409" s="167" t="s">
        <v>3965</v>
      </c>
      <c r="K409" s="167" t="s">
        <v>3966</v>
      </c>
      <c r="L409" s="167" t="s">
        <v>160</v>
      </c>
      <c r="M409" s="167" t="s">
        <v>216</v>
      </c>
      <c r="N409" s="167" t="s">
        <v>4</v>
      </c>
      <c r="O409" s="11">
        <v>0</v>
      </c>
      <c r="P409" s="12" t="str">
        <f>_xlfn.DISPIMG("ID_B16A7073492C47F799EB61B1BAB98F3E",1)</f>
        <v>=DISPIMG("ID_B16A7073492C47F799EB61B1BAB98F3E",1)</v>
      </c>
      <c r="Q409" s="11" t="s">
        <v>3967</v>
      </c>
      <c r="R409" s="11">
        <v>506</v>
      </c>
      <c r="S409" s="17" t="s">
        <v>4706</v>
      </c>
      <c r="T409" s="18" t="s">
        <v>62</v>
      </c>
    </row>
    <row r="410" s="3" customFormat="1" customHeight="1" spans="1:20">
      <c r="A410" s="84">
        <v>18</v>
      </c>
      <c r="B410" s="177" t="s">
        <v>4267</v>
      </c>
      <c r="C410" s="167" t="s">
        <v>165</v>
      </c>
      <c r="D410" s="167" t="s">
        <v>4268</v>
      </c>
      <c r="E410" s="11">
        <v>15979953990</v>
      </c>
      <c r="F410" s="167" t="s">
        <v>156</v>
      </c>
      <c r="G410" s="167" t="s">
        <v>4</v>
      </c>
      <c r="H410" s="11">
        <v>202102005</v>
      </c>
      <c r="I410" s="167" t="s">
        <v>279</v>
      </c>
      <c r="J410" s="167" t="s">
        <v>269</v>
      </c>
      <c r="K410" s="167" t="s">
        <v>1088</v>
      </c>
      <c r="L410" s="167" t="s">
        <v>170</v>
      </c>
      <c r="M410" s="167" t="s">
        <v>235</v>
      </c>
      <c r="N410" s="167" t="s">
        <v>4</v>
      </c>
      <c r="O410" s="11">
        <v>0</v>
      </c>
      <c r="P410" s="12" t="str">
        <f>_xlfn.DISPIMG("ID_6B663AA29D5341758E4C0EAB0E013B9E",1)</f>
        <v>=DISPIMG("ID_6B663AA29D5341758E4C0EAB0E013B9E",1)</v>
      </c>
      <c r="Q410" s="11" t="s">
        <v>4270</v>
      </c>
      <c r="R410" s="11">
        <v>546</v>
      </c>
      <c r="S410" s="17" t="s">
        <v>4711</v>
      </c>
      <c r="T410" s="18" t="s">
        <v>62</v>
      </c>
    </row>
    <row r="411" s="3" customFormat="1" customHeight="1" spans="1:20">
      <c r="A411" s="84">
        <v>19</v>
      </c>
      <c r="B411" s="177" t="s">
        <v>212</v>
      </c>
      <c r="C411" s="167" t="s">
        <v>165</v>
      </c>
      <c r="D411" s="167" t="s">
        <v>213</v>
      </c>
      <c r="E411" s="11">
        <v>13197911998</v>
      </c>
      <c r="F411" s="167" t="s">
        <v>156</v>
      </c>
      <c r="G411" s="167" t="s">
        <v>15</v>
      </c>
      <c r="H411" s="11">
        <v>202102007</v>
      </c>
      <c r="I411" s="167" t="s">
        <v>157</v>
      </c>
      <c r="J411" s="167" t="s">
        <v>178</v>
      </c>
      <c r="K411" s="167" t="s">
        <v>215</v>
      </c>
      <c r="L411" s="167" t="s">
        <v>170</v>
      </c>
      <c r="M411" s="167" t="s">
        <v>216</v>
      </c>
      <c r="N411" s="167" t="s">
        <v>15</v>
      </c>
      <c r="O411" s="11">
        <v>0</v>
      </c>
      <c r="P411" s="12" t="str">
        <f>_xlfn.DISPIMG("ID_A8B2B34FEB1F4C29AD364FF328B946F1",1)</f>
        <v>=DISPIMG("ID_A8B2B34FEB1F4C29AD364FF328B946F1",1)</v>
      </c>
      <c r="Q411" s="11" t="s">
        <v>217</v>
      </c>
      <c r="R411" s="11">
        <v>8</v>
      </c>
      <c r="S411" s="17" t="s">
        <v>4716</v>
      </c>
      <c r="T411" s="18" t="s">
        <v>62</v>
      </c>
    </row>
    <row r="412" s="3" customFormat="1" customHeight="1" spans="1:20">
      <c r="A412" s="84">
        <v>20</v>
      </c>
      <c r="B412" s="177" t="s">
        <v>391</v>
      </c>
      <c r="C412" s="167" t="s">
        <v>165</v>
      </c>
      <c r="D412" s="167" t="s">
        <v>392</v>
      </c>
      <c r="E412" s="11">
        <v>17620119411</v>
      </c>
      <c r="F412" s="167" t="s">
        <v>156</v>
      </c>
      <c r="G412" s="167" t="s">
        <v>15</v>
      </c>
      <c r="H412" s="11">
        <v>202102007</v>
      </c>
      <c r="I412" s="167" t="s">
        <v>157</v>
      </c>
      <c r="J412" s="167" t="s">
        <v>394</v>
      </c>
      <c r="K412" s="167" t="s">
        <v>395</v>
      </c>
      <c r="L412" s="167" t="s">
        <v>160</v>
      </c>
      <c r="M412" s="167" t="s">
        <v>396</v>
      </c>
      <c r="N412" s="167" t="s">
        <v>15</v>
      </c>
      <c r="O412" s="11">
        <v>0</v>
      </c>
      <c r="P412" s="12" t="str">
        <f>_xlfn.DISPIMG("ID_EBB3EDBB16514C57957D178C829CE459",1)</f>
        <v>=DISPIMG("ID_EBB3EDBB16514C57957D178C829CE459",1)</v>
      </c>
      <c r="Q412" s="11" t="s">
        <v>397</v>
      </c>
      <c r="R412" s="20">
        <v>28</v>
      </c>
      <c r="S412" s="17" t="s">
        <v>4721</v>
      </c>
      <c r="T412" s="18" t="s">
        <v>62</v>
      </c>
    </row>
    <row r="413" s="3" customFormat="1" customHeight="1" spans="1:20">
      <c r="A413" s="84">
        <v>21</v>
      </c>
      <c r="B413" s="177" t="s">
        <v>856</v>
      </c>
      <c r="C413" s="167" t="s">
        <v>165</v>
      </c>
      <c r="D413" s="167" t="s">
        <v>857</v>
      </c>
      <c r="E413" s="11">
        <v>18296159294</v>
      </c>
      <c r="F413" s="167" t="s">
        <v>156</v>
      </c>
      <c r="G413" s="167" t="s">
        <v>15</v>
      </c>
      <c r="H413" s="11">
        <v>202102007</v>
      </c>
      <c r="I413" s="167" t="s">
        <v>279</v>
      </c>
      <c r="J413" s="167" t="s">
        <v>178</v>
      </c>
      <c r="K413" s="167" t="s">
        <v>215</v>
      </c>
      <c r="L413" s="167" t="s">
        <v>170</v>
      </c>
      <c r="M413" s="167" t="s">
        <v>216</v>
      </c>
      <c r="N413" s="167" t="s">
        <v>859</v>
      </c>
      <c r="O413" s="167" t="s">
        <v>860</v>
      </c>
      <c r="P413" s="12" t="str">
        <f>_xlfn.DISPIMG("ID_D74EFBEA1A81482A857D7A1473663067",1)</f>
        <v>=DISPIMG("ID_D74EFBEA1A81482A857D7A1473663067",1)</v>
      </c>
      <c r="Q413" s="11" t="s">
        <v>861</v>
      </c>
      <c r="R413" s="20">
        <v>85</v>
      </c>
      <c r="S413" s="17" t="s">
        <v>4698</v>
      </c>
      <c r="T413" s="18" t="s">
        <v>62</v>
      </c>
    </row>
    <row r="414" s="3" customFormat="1" customHeight="1" spans="1:20">
      <c r="A414" s="84">
        <v>22</v>
      </c>
      <c r="B414" s="177" t="s">
        <v>1658</v>
      </c>
      <c r="C414" s="167" t="s">
        <v>153</v>
      </c>
      <c r="D414" s="167" t="s">
        <v>1659</v>
      </c>
      <c r="E414" s="11">
        <v>15170625945</v>
      </c>
      <c r="F414" s="167" t="s">
        <v>506</v>
      </c>
      <c r="G414" s="167" t="s">
        <v>15</v>
      </c>
      <c r="H414" s="11">
        <v>202102019</v>
      </c>
      <c r="I414" s="167" t="s">
        <v>157</v>
      </c>
      <c r="J414" s="167" t="s">
        <v>611</v>
      </c>
      <c r="K414" s="167" t="s">
        <v>454</v>
      </c>
      <c r="L414" s="167" t="s">
        <v>160</v>
      </c>
      <c r="M414" s="167" t="s">
        <v>261</v>
      </c>
      <c r="N414" s="167" t="s">
        <v>1661</v>
      </c>
      <c r="O414" s="11">
        <v>0</v>
      </c>
      <c r="P414" s="12" t="str">
        <f>_xlfn.DISPIMG("ID_40EE23CAD6BE466D8A6330DBB5734F8E",1)</f>
        <v>=DISPIMG("ID_40EE23CAD6BE466D8A6330DBB5734F8E",1)</v>
      </c>
      <c r="Q414" s="11" t="s">
        <v>1662</v>
      </c>
      <c r="R414" s="20">
        <v>187</v>
      </c>
      <c r="S414" s="17" t="s">
        <v>4699</v>
      </c>
      <c r="T414" s="18" t="s">
        <v>62</v>
      </c>
    </row>
    <row r="415" s="3" customFormat="1" customHeight="1" spans="1:20">
      <c r="A415" s="84">
        <v>23</v>
      </c>
      <c r="B415" s="177" t="s">
        <v>1897</v>
      </c>
      <c r="C415" s="167" t="s">
        <v>165</v>
      </c>
      <c r="D415" s="167" t="s">
        <v>1898</v>
      </c>
      <c r="E415" s="11">
        <v>13588255405</v>
      </c>
      <c r="F415" s="167" t="s">
        <v>156</v>
      </c>
      <c r="G415" s="167" t="s">
        <v>15</v>
      </c>
      <c r="H415" s="11">
        <v>202102007</v>
      </c>
      <c r="I415" s="167" t="s">
        <v>157</v>
      </c>
      <c r="J415" s="167" t="s">
        <v>1900</v>
      </c>
      <c r="K415" s="167" t="s">
        <v>179</v>
      </c>
      <c r="L415" s="167" t="s">
        <v>160</v>
      </c>
      <c r="M415" s="167" t="s">
        <v>235</v>
      </c>
      <c r="N415" s="167" t="s">
        <v>15</v>
      </c>
      <c r="O415" s="11">
        <v>0</v>
      </c>
      <c r="P415" s="12" t="str">
        <f>_xlfn.DISPIMG("ID_427E6301FF984C74BA8E87820A04494C",1)</f>
        <v>=DISPIMG("ID_427E6301FF984C74BA8E87820A04494C",1)</v>
      </c>
      <c r="Q415" s="11" t="s">
        <v>1901</v>
      </c>
      <c r="R415" s="11">
        <v>218</v>
      </c>
      <c r="S415" s="17" t="s">
        <v>4702</v>
      </c>
      <c r="T415" s="18" t="s">
        <v>62</v>
      </c>
    </row>
    <row r="416" s="3" customFormat="1" customHeight="1" spans="1:20">
      <c r="A416" s="84">
        <v>24</v>
      </c>
      <c r="B416" s="177" t="s">
        <v>2407</v>
      </c>
      <c r="C416" s="167" t="s">
        <v>165</v>
      </c>
      <c r="D416" s="167" t="s">
        <v>2408</v>
      </c>
      <c r="E416" s="11">
        <v>15070401093</v>
      </c>
      <c r="F416" s="167" t="s">
        <v>156</v>
      </c>
      <c r="G416" s="167" t="s">
        <v>15</v>
      </c>
      <c r="H416" s="11">
        <v>202102007</v>
      </c>
      <c r="I416" s="167" t="s">
        <v>157</v>
      </c>
      <c r="J416" s="167" t="s">
        <v>827</v>
      </c>
      <c r="K416" s="167" t="s">
        <v>2394</v>
      </c>
      <c r="L416" s="167" t="s">
        <v>160</v>
      </c>
      <c r="M416" s="167" t="s">
        <v>171</v>
      </c>
      <c r="N416" s="167" t="s">
        <v>2410</v>
      </c>
      <c r="O416" s="167" t="s">
        <v>2411</v>
      </c>
      <c r="P416" s="12" t="str">
        <f>_xlfn.DISPIMG("ID_AC752CE0DFA24D83A60721AFA892E1C6",1)</f>
        <v>=DISPIMG("ID_AC752CE0DFA24D83A60721AFA892E1C6",1)</v>
      </c>
      <c r="Q416" s="11" t="s">
        <v>2412</v>
      </c>
      <c r="R416" s="11">
        <v>286</v>
      </c>
      <c r="S416" s="17" t="s">
        <v>4703</v>
      </c>
      <c r="T416" s="18" t="s">
        <v>62</v>
      </c>
    </row>
    <row r="417" s="3" customFormat="1" customHeight="1" spans="1:20">
      <c r="A417" s="84">
        <v>25</v>
      </c>
      <c r="B417" s="177" t="s">
        <v>2915</v>
      </c>
      <c r="C417" s="167" t="s">
        <v>165</v>
      </c>
      <c r="D417" s="167" t="s">
        <v>2916</v>
      </c>
      <c r="E417" s="11">
        <v>18779224246</v>
      </c>
      <c r="F417" s="167" t="s">
        <v>506</v>
      </c>
      <c r="G417" s="167" t="s">
        <v>15</v>
      </c>
      <c r="H417" s="11">
        <v>202102019</v>
      </c>
      <c r="I417" s="167" t="s">
        <v>279</v>
      </c>
      <c r="J417" s="167" t="s">
        <v>367</v>
      </c>
      <c r="K417" s="167" t="s">
        <v>348</v>
      </c>
      <c r="L417" s="167" t="s">
        <v>170</v>
      </c>
      <c r="M417" s="167" t="s">
        <v>180</v>
      </c>
      <c r="N417" s="167" t="s">
        <v>2918</v>
      </c>
      <c r="O417" s="11">
        <v>0</v>
      </c>
      <c r="P417" s="12" t="str">
        <f>_xlfn.DISPIMG("ID_0C4A3B774E384F888DCC2803C749C7F6",1)</f>
        <v>=DISPIMG("ID_0C4A3B774E384F888DCC2803C749C7F6",1)</v>
      </c>
      <c r="Q417" s="11" t="s">
        <v>2919</v>
      </c>
      <c r="R417" s="20">
        <v>355</v>
      </c>
      <c r="S417" s="17" t="s">
        <v>4707</v>
      </c>
      <c r="T417" s="18" t="s">
        <v>62</v>
      </c>
    </row>
    <row r="418" s="3" customFormat="1" customHeight="1" spans="1:20">
      <c r="A418" s="84">
        <v>26</v>
      </c>
      <c r="B418" s="177" t="s">
        <v>3570</v>
      </c>
      <c r="C418" s="167" t="s">
        <v>165</v>
      </c>
      <c r="D418" s="167" t="s">
        <v>3571</v>
      </c>
      <c r="E418" s="11">
        <v>13879176428</v>
      </c>
      <c r="F418" s="167" t="s">
        <v>156</v>
      </c>
      <c r="G418" s="167" t="s">
        <v>15</v>
      </c>
      <c r="H418" s="11">
        <v>202102007</v>
      </c>
      <c r="I418" s="167" t="s">
        <v>157</v>
      </c>
      <c r="J418" s="167" t="s">
        <v>233</v>
      </c>
      <c r="K418" s="167" t="s">
        <v>454</v>
      </c>
      <c r="L418" s="167" t="s">
        <v>170</v>
      </c>
      <c r="M418" s="167" t="s">
        <v>3573</v>
      </c>
      <c r="N418" s="167" t="s">
        <v>3574</v>
      </c>
      <c r="O418" s="167" t="s">
        <v>3575</v>
      </c>
      <c r="P418" s="12" t="str">
        <f>_xlfn.DISPIMG("ID_4E9B8A157E55446AAA9BAC9D6541DF67",1)</f>
        <v>=DISPIMG("ID_4E9B8A157E55446AAA9BAC9D6541DF67",1)</v>
      </c>
      <c r="Q418" s="11" t="s">
        <v>3576</v>
      </c>
      <c r="R418" s="20">
        <v>454</v>
      </c>
      <c r="S418" s="17" t="s">
        <v>4708</v>
      </c>
      <c r="T418" s="18" t="s">
        <v>62</v>
      </c>
    </row>
    <row r="419" s="3" customFormat="1" customHeight="1" spans="1:20">
      <c r="A419" s="84">
        <v>27</v>
      </c>
      <c r="B419" s="177" t="s">
        <v>3579</v>
      </c>
      <c r="C419" s="167" t="s">
        <v>153</v>
      </c>
      <c r="D419" s="167" t="s">
        <v>3580</v>
      </c>
      <c r="E419" s="11">
        <v>15179270292</v>
      </c>
      <c r="F419" s="167" t="s">
        <v>156</v>
      </c>
      <c r="G419" s="167" t="s">
        <v>15</v>
      </c>
      <c r="H419" s="11">
        <v>202102007</v>
      </c>
      <c r="I419" s="167" t="s">
        <v>157</v>
      </c>
      <c r="J419" s="167" t="s">
        <v>158</v>
      </c>
      <c r="K419" s="167" t="s">
        <v>1832</v>
      </c>
      <c r="L419" s="167" t="s">
        <v>160</v>
      </c>
      <c r="M419" s="167" t="s">
        <v>368</v>
      </c>
      <c r="N419" s="167" t="s">
        <v>3582</v>
      </c>
      <c r="O419" s="11">
        <v>0</v>
      </c>
      <c r="P419" s="12" t="str">
        <f>_xlfn.DISPIMG("ID_10B7637016814F53B0B0689821F0D756",1)</f>
        <v>=DISPIMG("ID_10B7637016814F53B0B0689821F0D756",1)</v>
      </c>
      <c r="Q419" s="11" t="s">
        <v>3583</v>
      </c>
      <c r="R419" s="11">
        <v>455</v>
      </c>
      <c r="S419" s="17" t="s">
        <v>4712</v>
      </c>
      <c r="T419" s="18" t="s">
        <v>62</v>
      </c>
    </row>
    <row r="420" s="3" customFormat="1" customHeight="1" spans="1:20">
      <c r="A420" s="84">
        <v>28</v>
      </c>
      <c r="B420" s="177" t="s">
        <v>3841</v>
      </c>
      <c r="C420" s="167" t="s">
        <v>165</v>
      </c>
      <c r="D420" s="167" t="s">
        <v>3842</v>
      </c>
      <c r="E420" s="11">
        <v>13177873876</v>
      </c>
      <c r="F420" s="167" t="s">
        <v>156</v>
      </c>
      <c r="G420" s="167" t="s">
        <v>15</v>
      </c>
      <c r="H420" s="11">
        <v>202102007</v>
      </c>
      <c r="I420" s="167" t="s">
        <v>157</v>
      </c>
      <c r="J420" s="167" t="s">
        <v>233</v>
      </c>
      <c r="K420" s="167" t="s">
        <v>169</v>
      </c>
      <c r="L420" s="167" t="s">
        <v>170</v>
      </c>
      <c r="M420" s="167" t="s">
        <v>3844</v>
      </c>
      <c r="N420" s="167" t="s">
        <v>3845</v>
      </c>
      <c r="O420" s="167" t="s">
        <v>3846</v>
      </c>
      <c r="P420" s="12" t="str">
        <f>_xlfn.DISPIMG("ID_0D39E07DE3FA4F1EAFE382357648332E",1)</f>
        <v>=DISPIMG("ID_0D39E07DE3FA4F1EAFE382357648332E",1)</v>
      </c>
      <c r="Q420" s="11" t="s">
        <v>3847</v>
      </c>
      <c r="R420" s="20">
        <v>490</v>
      </c>
      <c r="S420" s="17" t="s">
        <v>4713</v>
      </c>
      <c r="T420" s="18" t="s">
        <v>62</v>
      </c>
    </row>
    <row r="421" s="3" customFormat="1" customHeight="1" spans="1:20">
      <c r="A421" s="84"/>
      <c r="B421" s="20"/>
      <c r="C421" s="11"/>
      <c r="D421" s="11"/>
      <c r="E421" s="11"/>
      <c r="F421" s="11"/>
      <c r="G421" s="11"/>
      <c r="H421" s="11"/>
      <c r="I421" s="11"/>
      <c r="J421" s="11"/>
      <c r="K421" s="11"/>
      <c r="L421" s="11"/>
      <c r="M421" s="11"/>
      <c r="N421" s="11"/>
      <c r="O421" s="11"/>
      <c r="P421" s="12"/>
      <c r="Q421" s="11"/>
      <c r="R421" s="20"/>
      <c r="S421" s="17"/>
      <c r="T421" s="18"/>
    </row>
    <row r="422" s="3" customFormat="1" customHeight="1" spans="1:20">
      <c r="A422" s="84"/>
      <c r="B422" s="20"/>
      <c r="C422" s="11"/>
      <c r="D422" s="11"/>
      <c r="E422" s="11"/>
      <c r="F422" s="11"/>
      <c r="G422" s="11"/>
      <c r="H422" s="11"/>
      <c r="I422" s="11"/>
      <c r="J422" s="11"/>
      <c r="K422" s="11"/>
      <c r="L422" s="11"/>
      <c r="M422" s="11"/>
      <c r="N422" s="11"/>
      <c r="O422" s="11"/>
      <c r="P422" s="12"/>
      <c r="Q422" s="11"/>
      <c r="R422" s="20"/>
      <c r="S422" s="17"/>
      <c r="T422" s="18"/>
    </row>
    <row r="423" s="3" customFormat="1" customHeight="1" spans="1:20">
      <c r="A423" s="84">
        <v>1</v>
      </c>
      <c r="B423" s="177" t="s">
        <v>1671</v>
      </c>
      <c r="C423" s="167" t="s">
        <v>153</v>
      </c>
      <c r="D423" s="167" t="s">
        <v>1672</v>
      </c>
      <c r="E423" s="11">
        <v>13576944053</v>
      </c>
      <c r="F423" s="167" t="s">
        <v>156</v>
      </c>
      <c r="G423" s="167" t="s">
        <v>7</v>
      </c>
      <c r="H423" s="11">
        <v>202102006</v>
      </c>
      <c r="I423" s="167" t="s">
        <v>157</v>
      </c>
      <c r="J423" s="167" t="s">
        <v>1674</v>
      </c>
      <c r="K423" s="167" t="s">
        <v>1675</v>
      </c>
      <c r="L423" s="167" t="s">
        <v>170</v>
      </c>
      <c r="M423" s="167" t="s">
        <v>1676</v>
      </c>
      <c r="N423" s="167" t="s">
        <v>7</v>
      </c>
      <c r="O423" s="167" t="s">
        <v>1677</v>
      </c>
      <c r="P423" s="12" t="str">
        <f>_xlfn.DISPIMG("ID_834E256FE11F482DB22CD6E09A0E87FD",1)</f>
        <v>=DISPIMG("ID_834E256FE11F482DB22CD6E09A0E87FD",1)</v>
      </c>
      <c r="Q423" s="11" t="s">
        <v>1678</v>
      </c>
      <c r="R423" s="11">
        <v>189</v>
      </c>
      <c r="S423" s="17" t="s">
        <v>4717</v>
      </c>
      <c r="T423" s="18" t="s">
        <v>66</v>
      </c>
    </row>
    <row r="424" s="3" customFormat="1" customHeight="1" spans="1:20">
      <c r="A424" s="84">
        <v>2</v>
      </c>
      <c r="B424" s="177" t="s">
        <v>2004</v>
      </c>
      <c r="C424" s="167" t="s">
        <v>153</v>
      </c>
      <c r="D424" s="167" t="s">
        <v>2005</v>
      </c>
      <c r="E424" s="11">
        <v>18296155146</v>
      </c>
      <c r="F424" s="167" t="s">
        <v>156</v>
      </c>
      <c r="G424" s="167" t="s">
        <v>7</v>
      </c>
      <c r="H424" s="11">
        <v>202102006</v>
      </c>
      <c r="I424" s="167" t="s">
        <v>157</v>
      </c>
      <c r="J424" s="167" t="s">
        <v>1112</v>
      </c>
      <c r="K424" s="167" t="s">
        <v>159</v>
      </c>
      <c r="L424" s="167" t="s">
        <v>160</v>
      </c>
      <c r="M424" s="167" t="s">
        <v>368</v>
      </c>
      <c r="N424" s="167" t="s">
        <v>2007</v>
      </c>
      <c r="O424" s="167" t="s">
        <v>2008</v>
      </c>
      <c r="P424" s="12" t="str">
        <f>_xlfn.DISPIMG("ID_56BCD58120C9403E8AA33B4C6EF6927A",1)</f>
        <v>=DISPIMG("ID_56BCD58120C9403E8AA33B4C6EF6927A",1)</v>
      </c>
      <c r="Q424" s="11" t="s">
        <v>2009</v>
      </c>
      <c r="R424" s="11">
        <v>233</v>
      </c>
      <c r="S424" s="17" t="s">
        <v>4718</v>
      </c>
      <c r="T424" s="18" t="s">
        <v>66</v>
      </c>
    </row>
    <row r="425" s="3" customFormat="1" customHeight="1" spans="1:20">
      <c r="A425" s="84">
        <v>3</v>
      </c>
      <c r="B425" s="177" t="s">
        <v>2732</v>
      </c>
      <c r="C425" s="167" t="s">
        <v>165</v>
      </c>
      <c r="D425" s="167" t="s">
        <v>2733</v>
      </c>
      <c r="E425" s="11">
        <v>15079218024</v>
      </c>
      <c r="F425" s="167" t="s">
        <v>156</v>
      </c>
      <c r="G425" s="167" t="s">
        <v>7</v>
      </c>
      <c r="H425" s="11">
        <v>202102006</v>
      </c>
      <c r="I425" s="167" t="s">
        <v>157</v>
      </c>
      <c r="J425" s="167" t="s">
        <v>1112</v>
      </c>
      <c r="K425" s="167" t="s">
        <v>159</v>
      </c>
      <c r="L425" s="167" t="s">
        <v>160</v>
      </c>
      <c r="M425" s="167" t="s">
        <v>199</v>
      </c>
      <c r="N425" s="167" t="s">
        <v>19</v>
      </c>
      <c r="O425" s="167" t="s">
        <v>2735</v>
      </c>
      <c r="P425" s="12" t="str">
        <f>_xlfn.DISPIMG("ID_8B921756A8224507AE26B26EA7A47E29",1)</f>
        <v>=DISPIMG("ID_8B921756A8224507AE26B26EA7A47E29",1)</v>
      </c>
      <c r="Q425" s="11" t="s">
        <v>2736</v>
      </c>
      <c r="R425" s="11">
        <v>330</v>
      </c>
      <c r="S425" s="17" t="s">
        <v>4722</v>
      </c>
      <c r="T425" s="18" t="s">
        <v>66</v>
      </c>
    </row>
    <row r="426" s="3" customFormat="1" customHeight="1" spans="1:20">
      <c r="A426" s="84">
        <v>4</v>
      </c>
      <c r="B426" s="177" t="s">
        <v>2774</v>
      </c>
      <c r="C426" s="167" t="s">
        <v>165</v>
      </c>
      <c r="D426" s="167" t="s">
        <v>2775</v>
      </c>
      <c r="E426" s="11">
        <v>18720298910</v>
      </c>
      <c r="F426" s="167" t="s">
        <v>156</v>
      </c>
      <c r="G426" s="167" t="s">
        <v>7</v>
      </c>
      <c r="H426" s="11">
        <v>202102006</v>
      </c>
      <c r="I426" s="167" t="s">
        <v>157</v>
      </c>
      <c r="J426" s="167" t="s">
        <v>158</v>
      </c>
      <c r="K426" s="167" t="s">
        <v>1639</v>
      </c>
      <c r="L426" s="167" t="s">
        <v>170</v>
      </c>
      <c r="M426" s="167" t="s">
        <v>306</v>
      </c>
      <c r="N426" s="167" t="s">
        <v>19</v>
      </c>
      <c r="O426" s="167" t="s">
        <v>2777</v>
      </c>
      <c r="P426" s="12" t="str">
        <f>_xlfn.DISPIMG("ID_DC860A7FCB384FE48AFC2F135021FF6F",1)</f>
        <v>=DISPIMG("ID_DC860A7FCB384FE48AFC2F135021FF6F",1)</v>
      </c>
      <c r="Q426" s="11" t="s">
        <v>2778</v>
      </c>
      <c r="R426" s="11">
        <v>336</v>
      </c>
      <c r="S426" s="17" t="s">
        <v>4723</v>
      </c>
      <c r="T426" s="18" t="s">
        <v>66</v>
      </c>
    </row>
    <row r="427" s="3" customFormat="1" customHeight="1" spans="1:20">
      <c r="A427" s="84">
        <v>5</v>
      </c>
      <c r="B427" s="177" t="s">
        <v>3263</v>
      </c>
      <c r="C427" s="167" t="s">
        <v>165</v>
      </c>
      <c r="D427" s="167" t="s">
        <v>3264</v>
      </c>
      <c r="E427" s="11">
        <v>15297923055</v>
      </c>
      <c r="F427" s="167" t="s">
        <v>156</v>
      </c>
      <c r="G427" s="167" t="s">
        <v>7</v>
      </c>
      <c r="H427" s="11">
        <v>202102006</v>
      </c>
      <c r="I427" s="167" t="s">
        <v>157</v>
      </c>
      <c r="J427" s="167" t="s">
        <v>507</v>
      </c>
      <c r="K427" s="167" t="s">
        <v>243</v>
      </c>
      <c r="L427" s="167" t="s">
        <v>160</v>
      </c>
      <c r="M427" s="167" t="s">
        <v>1089</v>
      </c>
      <c r="N427" s="167" t="s">
        <v>13</v>
      </c>
      <c r="O427" s="11">
        <v>0</v>
      </c>
      <c r="P427" s="12" t="str">
        <f>_xlfn.DISPIMG("ID_E2A16755D9294F19AC6C5724406D1776",1)</f>
        <v>=DISPIMG("ID_E2A16755D9294F19AC6C5724406D1776",1)</v>
      </c>
      <c r="Q427" s="11" t="s">
        <v>3265</v>
      </c>
      <c r="R427" s="11">
        <v>407</v>
      </c>
      <c r="S427" s="17" t="s">
        <v>4700</v>
      </c>
      <c r="T427" s="18" t="s">
        <v>66</v>
      </c>
    </row>
    <row r="428" s="3" customFormat="1" customHeight="1" spans="1:20">
      <c r="A428" s="84">
        <v>6</v>
      </c>
      <c r="B428" s="177" t="s">
        <v>3685</v>
      </c>
      <c r="C428" s="167" t="s">
        <v>165</v>
      </c>
      <c r="D428" s="167" t="s">
        <v>3686</v>
      </c>
      <c r="E428" s="11">
        <v>18270929326</v>
      </c>
      <c r="F428" s="167" t="s">
        <v>156</v>
      </c>
      <c r="G428" s="167" t="s">
        <v>7</v>
      </c>
      <c r="H428" s="11">
        <v>202102006</v>
      </c>
      <c r="I428" s="167" t="s">
        <v>157</v>
      </c>
      <c r="J428" s="167" t="s">
        <v>884</v>
      </c>
      <c r="K428" s="167" t="s">
        <v>454</v>
      </c>
      <c r="L428" s="167" t="s">
        <v>170</v>
      </c>
      <c r="M428" s="167" t="s">
        <v>3687</v>
      </c>
      <c r="N428" s="167" t="s">
        <v>7</v>
      </c>
      <c r="O428" s="167" t="s">
        <v>3688</v>
      </c>
      <c r="P428" s="12" t="str">
        <f>_xlfn.DISPIMG("ID_E15A59AE3AB3482DA375DB6FC21D8F4C",1)</f>
        <v>=DISPIMG("ID_E15A59AE3AB3482DA375DB6FC21D8F4C",1)</v>
      </c>
      <c r="Q428" s="11" t="s">
        <v>3689</v>
      </c>
      <c r="R428" s="11">
        <v>469</v>
      </c>
      <c r="S428" s="17" t="s">
        <v>4704</v>
      </c>
      <c r="T428" s="18" t="s">
        <v>66</v>
      </c>
    </row>
    <row r="429" s="3" customFormat="1" customHeight="1" spans="1:20">
      <c r="A429" s="84">
        <v>7</v>
      </c>
      <c r="B429" s="177" t="s">
        <v>459</v>
      </c>
      <c r="C429" s="167" t="s">
        <v>153</v>
      </c>
      <c r="D429" s="167" t="s">
        <v>460</v>
      </c>
      <c r="E429" s="11">
        <v>13265072773</v>
      </c>
      <c r="F429" s="167" t="s">
        <v>156</v>
      </c>
      <c r="G429" s="167" t="s">
        <v>9</v>
      </c>
      <c r="H429" s="11">
        <v>202102011</v>
      </c>
      <c r="I429" s="167" t="s">
        <v>157</v>
      </c>
      <c r="J429" s="167" t="s">
        <v>462</v>
      </c>
      <c r="K429" s="167" t="s">
        <v>463</v>
      </c>
      <c r="L429" s="167" t="s">
        <v>160</v>
      </c>
      <c r="M429" s="167" t="s">
        <v>161</v>
      </c>
      <c r="N429" s="167" t="s">
        <v>464</v>
      </c>
      <c r="O429" s="11">
        <v>0</v>
      </c>
      <c r="P429" s="12" t="str">
        <f>_xlfn.DISPIMG("ID_DCCAD4E9E505474E946107D340C03662",1)</f>
        <v>=DISPIMG("ID_DCCAD4E9E505474E946107D340C03662",1)</v>
      </c>
      <c r="Q429" s="11" t="s">
        <v>465</v>
      </c>
      <c r="R429" s="11">
        <v>36</v>
      </c>
      <c r="S429" s="17" t="s">
        <v>4705</v>
      </c>
      <c r="T429" s="18" t="s">
        <v>66</v>
      </c>
    </row>
    <row r="430" s="3" customFormat="1" customHeight="1" spans="1:20">
      <c r="A430" s="84">
        <v>8</v>
      </c>
      <c r="B430" s="177" t="s">
        <v>1167</v>
      </c>
      <c r="C430" s="167" t="s">
        <v>153</v>
      </c>
      <c r="D430" s="167" t="s">
        <v>1168</v>
      </c>
      <c r="E430" s="11">
        <v>18370130888</v>
      </c>
      <c r="F430" s="167" t="s">
        <v>156</v>
      </c>
      <c r="G430" s="167" t="s">
        <v>9</v>
      </c>
      <c r="H430" s="11">
        <v>202102011</v>
      </c>
      <c r="I430" s="167" t="s">
        <v>279</v>
      </c>
      <c r="J430" s="167" t="s">
        <v>158</v>
      </c>
      <c r="K430" s="167" t="s">
        <v>682</v>
      </c>
      <c r="L430" s="167" t="s">
        <v>170</v>
      </c>
      <c r="M430" s="167" t="s">
        <v>1170</v>
      </c>
      <c r="N430" s="167" t="s">
        <v>1171</v>
      </c>
      <c r="O430" s="167" t="s">
        <v>1172</v>
      </c>
      <c r="P430" s="12" t="str">
        <f>_xlfn.DISPIMG("ID_A11E1242B6CE401EA988641535D09239",1)</f>
        <v>=DISPIMG("ID_A11E1242B6CE401EA988641535D09239",1)</v>
      </c>
      <c r="Q430" s="11" t="s">
        <v>1173</v>
      </c>
      <c r="R430" s="11">
        <v>123</v>
      </c>
      <c r="S430" s="17" t="s">
        <v>4709</v>
      </c>
      <c r="T430" s="18" t="s">
        <v>66</v>
      </c>
    </row>
    <row r="431" s="3" customFormat="1" customHeight="1" spans="1:20">
      <c r="A431" s="84">
        <v>9</v>
      </c>
      <c r="B431" s="177" t="s">
        <v>1403</v>
      </c>
      <c r="C431" s="167" t="s">
        <v>153</v>
      </c>
      <c r="D431" s="167" t="s">
        <v>1404</v>
      </c>
      <c r="E431" s="11">
        <v>15779981835</v>
      </c>
      <c r="F431" s="167" t="s">
        <v>156</v>
      </c>
      <c r="G431" s="167" t="s">
        <v>9</v>
      </c>
      <c r="H431" s="11">
        <v>202102011</v>
      </c>
      <c r="I431" s="167" t="s">
        <v>157</v>
      </c>
      <c r="J431" s="167" t="s">
        <v>827</v>
      </c>
      <c r="K431" s="167" t="s">
        <v>682</v>
      </c>
      <c r="L431" s="167" t="s">
        <v>170</v>
      </c>
      <c r="M431" s="167" t="s">
        <v>261</v>
      </c>
      <c r="N431" s="167" t="s">
        <v>1406</v>
      </c>
      <c r="O431" s="11">
        <v>0</v>
      </c>
      <c r="P431" s="12" t="str">
        <f>_xlfn.DISPIMG("ID_FA69E1E4EF8743A583B1A39075AAAF21",1)</f>
        <v>=DISPIMG("ID_FA69E1E4EF8743A583B1A39075AAAF21",1)</v>
      </c>
      <c r="Q431" s="11" t="s">
        <v>1407</v>
      </c>
      <c r="R431" s="11">
        <v>154</v>
      </c>
      <c r="S431" s="17" t="s">
        <v>4710</v>
      </c>
      <c r="T431" s="18" t="s">
        <v>66</v>
      </c>
    </row>
    <row r="432" s="4" customFormat="1" customHeight="1" spans="1:20">
      <c r="A432" s="84">
        <v>10</v>
      </c>
      <c r="B432" s="177" t="s">
        <v>1821</v>
      </c>
      <c r="C432" s="167" t="s">
        <v>153</v>
      </c>
      <c r="D432" s="167" t="s">
        <v>1822</v>
      </c>
      <c r="E432" s="11">
        <v>15083520312</v>
      </c>
      <c r="F432" s="167" t="s">
        <v>156</v>
      </c>
      <c r="G432" s="167" t="s">
        <v>9</v>
      </c>
      <c r="H432" s="11">
        <v>202102011</v>
      </c>
      <c r="I432" s="167" t="s">
        <v>157</v>
      </c>
      <c r="J432" s="167" t="s">
        <v>437</v>
      </c>
      <c r="K432" s="167" t="s">
        <v>682</v>
      </c>
      <c r="L432" s="167" t="s">
        <v>170</v>
      </c>
      <c r="M432" s="167" t="s">
        <v>455</v>
      </c>
      <c r="N432" s="167" t="s">
        <v>1824</v>
      </c>
      <c r="O432" s="11">
        <v>0</v>
      </c>
      <c r="P432" s="12" t="str">
        <f>_xlfn.DISPIMG("ID_DDBA99C80B934FEAA0E6DE75BE0B792D",1)</f>
        <v>=DISPIMG("ID_DDBA99C80B934FEAA0E6DE75BE0B792D",1)</v>
      </c>
      <c r="Q432" s="11" t="s">
        <v>1825</v>
      </c>
      <c r="R432" s="11">
        <v>208</v>
      </c>
      <c r="S432" s="17" t="s">
        <v>4714</v>
      </c>
      <c r="T432" s="18" t="s">
        <v>66</v>
      </c>
    </row>
    <row r="433" s="4" customFormat="1" customHeight="1" spans="1:20">
      <c r="A433" s="84">
        <v>11</v>
      </c>
      <c r="B433" s="177" t="s">
        <v>2330</v>
      </c>
      <c r="C433" s="167" t="s">
        <v>165</v>
      </c>
      <c r="D433" s="167" t="s">
        <v>2331</v>
      </c>
      <c r="E433" s="11">
        <v>13627002257</v>
      </c>
      <c r="F433" s="167" t="s">
        <v>156</v>
      </c>
      <c r="G433" s="167" t="s">
        <v>9</v>
      </c>
      <c r="H433" s="11">
        <v>202102011</v>
      </c>
      <c r="I433" s="167" t="s">
        <v>157</v>
      </c>
      <c r="J433" s="167" t="s">
        <v>233</v>
      </c>
      <c r="K433" s="167" t="s">
        <v>2333</v>
      </c>
      <c r="L433" s="167" t="s">
        <v>160</v>
      </c>
      <c r="M433" s="167" t="s">
        <v>455</v>
      </c>
      <c r="N433" s="167" t="s">
        <v>9</v>
      </c>
      <c r="O433" s="11">
        <v>0</v>
      </c>
      <c r="P433" s="12" t="str">
        <f>_xlfn.DISPIMG("ID_1491B19669C14541B371C6C8BBB97425",1)</f>
        <v>=DISPIMG("ID_1491B19669C14541B371C6C8BBB97425",1)</v>
      </c>
      <c r="Q433" s="11" t="s">
        <v>2334</v>
      </c>
      <c r="R433" s="11">
        <v>276</v>
      </c>
      <c r="S433" s="17" t="s">
        <v>4715</v>
      </c>
      <c r="T433" s="18" t="s">
        <v>66</v>
      </c>
    </row>
    <row r="434" s="5" customFormat="1" customHeight="1" spans="1:20">
      <c r="A434" s="84">
        <v>12</v>
      </c>
      <c r="B434" s="177" t="s">
        <v>2598</v>
      </c>
      <c r="C434" s="167" t="s">
        <v>153</v>
      </c>
      <c r="D434" s="167" t="s">
        <v>2599</v>
      </c>
      <c r="E434" s="11">
        <v>15979967100</v>
      </c>
      <c r="F434" s="167" t="s">
        <v>156</v>
      </c>
      <c r="G434" s="167" t="s">
        <v>9</v>
      </c>
      <c r="H434" s="11">
        <v>202102011</v>
      </c>
      <c r="I434" s="167" t="s">
        <v>157</v>
      </c>
      <c r="J434" s="167" t="s">
        <v>2601</v>
      </c>
      <c r="K434" s="167" t="s">
        <v>463</v>
      </c>
      <c r="L434" s="167" t="s">
        <v>160</v>
      </c>
      <c r="M434" s="167" t="s">
        <v>368</v>
      </c>
      <c r="N434" s="167" t="s">
        <v>1406</v>
      </c>
      <c r="O434" s="167" t="s">
        <v>2602</v>
      </c>
      <c r="P434" s="12" t="str">
        <f>_xlfn.DISPIMG("ID_6E5E26FD0608404987009AB35A215594",1)</f>
        <v>=DISPIMG("ID_6E5E26FD0608404987009AB35A215594",1)</v>
      </c>
      <c r="Q434" s="11" t="s">
        <v>2603</v>
      </c>
      <c r="R434" s="11">
        <v>312</v>
      </c>
      <c r="S434" s="17" t="s">
        <v>4719</v>
      </c>
      <c r="T434" s="18" t="s">
        <v>66</v>
      </c>
    </row>
    <row r="435" s="3" customFormat="1" customHeight="1" spans="1:20">
      <c r="A435" s="84">
        <v>13</v>
      </c>
      <c r="B435" s="177" t="s">
        <v>3538</v>
      </c>
      <c r="C435" s="167" t="s">
        <v>153</v>
      </c>
      <c r="D435" s="167" t="s">
        <v>3539</v>
      </c>
      <c r="E435" s="11">
        <v>15770899535</v>
      </c>
      <c r="F435" s="167" t="s">
        <v>156</v>
      </c>
      <c r="G435" s="167" t="s">
        <v>9</v>
      </c>
      <c r="H435" s="11">
        <v>202102011</v>
      </c>
      <c r="I435" s="167" t="s">
        <v>157</v>
      </c>
      <c r="J435" s="167" t="s">
        <v>3518</v>
      </c>
      <c r="K435" s="167" t="s">
        <v>472</v>
      </c>
      <c r="L435" s="167" t="s">
        <v>160</v>
      </c>
      <c r="M435" s="167" t="s">
        <v>455</v>
      </c>
      <c r="N435" s="167" t="s">
        <v>3519</v>
      </c>
      <c r="O435" s="167" t="s">
        <v>3519</v>
      </c>
      <c r="P435" s="12" t="str">
        <f>_xlfn.DISPIMG("ID_0BCC1778ACA14DBF957E729E6605C713",1)</f>
        <v>=DISPIMG("ID_0BCC1778ACA14DBF957E729E6605C713",1)</v>
      </c>
      <c r="Q435" s="11" t="s">
        <v>3541</v>
      </c>
      <c r="R435" s="11">
        <v>449</v>
      </c>
      <c r="S435" s="17" t="s">
        <v>4720</v>
      </c>
      <c r="T435" s="18" t="s">
        <v>66</v>
      </c>
    </row>
    <row r="436" s="3" customFormat="1" customHeight="1" spans="1:20">
      <c r="A436" s="84">
        <v>14</v>
      </c>
      <c r="B436" s="177" t="s">
        <v>3543</v>
      </c>
      <c r="C436" s="167" t="s">
        <v>153</v>
      </c>
      <c r="D436" s="167" t="s">
        <v>3544</v>
      </c>
      <c r="E436" s="11">
        <v>17683950767</v>
      </c>
      <c r="F436" s="167" t="s">
        <v>156</v>
      </c>
      <c r="G436" s="167" t="s">
        <v>9</v>
      </c>
      <c r="H436" s="11">
        <v>202102011</v>
      </c>
      <c r="I436" s="167" t="s">
        <v>157</v>
      </c>
      <c r="J436" s="167" t="s">
        <v>3518</v>
      </c>
      <c r="K436" s="167" t="s">
        <v>472</v>
      </c>
      <c r="L436" s="167" t="s">
        <v>160</v>
      </c>
      <c r="M436" s="167" t="s">
        <v>455</v>
      </c>
      <c r="N436" s="167" t="s">
        <v>3519</v>
      </c>
      <c r="O436" s="11">
        <v>0</v>
      </c>
      <c r="P436" s="12" t="str">
        <f>_xlfn.DISPIMG("ID_2D99CEE979EF4ECAAD8A877BAF74FBA6",1)</f>
        <v>=DISPIMG("ID_2D99CEE979EF4ECAAD8A877BAF74FBA6",1)</v>
      </c>
      <c r="Q436" s="11" t="s">
        <v>3546</v>
      </c>
      <c r="R436" s="11">
        <v>450</v>
      </c>
      <c r="S436" s="17" t="s">
        <v>4724</v>
      </c>
      <c r="T436" s="18" t="s">
        <v>66</v>
      </c>
    </row>
    <row r="437" s="3" customFormat="1" customHeight="1" spans="1:20">
      <c r="A437" s="84">
        <v>15</v>
      </c>
      <c r="B437" s="177" t="s">
        <v>3549</v>
      </c>
      <c r="C437" s="167" t="s">
        <v>153</v>
      </c>
      <c r="D437" s="167" t="s">
        <v>3550</v>
      </c>
      <c r="E437" s="11">
        <v>15879724111</v>
      </c>
      <c r="F437" s="167" t="s">
        <v>156</v>
      </c>
      <c r="G437" s="167" t="s">
        <v>9</v>
      </c>
      <c r="H437" s="11">
        <v>202102011</v>
      </c>
      <c r="I437" s="167" t="s">
        <v>157</v>
      </c>
      <c r="J437" s="167" t="s">
        <v>1413</v>
      </c>
      <c r="K437" s="167" t="s">
        <v>682</v>
      </c>
      <c r="L437" s="167" t="s">
        <v>170</v>
      </c>
      <c r="M437" s="167" t="s">
        <v>261</v>
      </c>
      <c r="N437" s="167" t="s">
        <v>3552</v>
      </c>
      <c r="O437" s="11">
        <v>0</v>
      </c>
      <c r="P437" s="12" t="str">
        <f>_xlfn.DISPIMG("ID_DB61A8C4A58C4CD3A7E5339498EDC8D8",1)</f>
        <v>=DISPIMG("ID_DB61A8C4A58C4CD3A7E5339498EDC8D8",1)</v>
      </c>
      <c r="Q437" s="11" t="s">
        <v>3553</v>
      </c>
      <c r="R437" s="11">
        <v>451</v>
      </c>
      <c r="S437" s="17" t="s">
        <v>4725</v>
      </c>
      <c r="T437" s="18" t="s">
        <v>66</v>
      </c>
    </row>
    <row r="438" s="4" customFormat="1" customHeight="1" spans="1:20">
      <c r="A438" s="84">
        <v>16</v>
      </c>
      <c r="B438" s="177" t="s">
        <v>3556</v>
      </c>
      <c r="C438" s="167" t="s">
        <v>153</v>
      </c>
      <c r="D438" s="167" t="s">
        <v>3557</v>
      </c>
      <c r="E438" s="11">
        <v>17346719580</v>
      </c>
      <c r="F438" s="167" t="s">
        <v>156</v>
      </c>
      <c r="G438" s="167" t="s">
        <v>9</v>
      </c>
      <c r="H438" s="11">
        <v>202102011</v>
      </c>
      <c r="I438" s="167" t="s">
        <v>157</v>
      </c>
      <c r="J438" s="167" t="s">
        <v>3518</v>
      </c>
      <c r="K438" s="167" t="s">
        <v>3559</v>
      </c>
      <c r="L438" s="167" t="s">
        <v>160</v>
      </c>
      <c r="M438" s="167" t="s">
        <v>455</v>
      </c>
      <c r="N438" s="167" t="s">
        <v>3519</v>
      </c>
      <c r="O438" s="11">
        <v>0</v>
      </c>
      <c r="P438" s="12" t="str">
        <f>_xlfn.DISPIMG("ID_21EB11AFC3FB431C8DEC9B4C05162E66",1)</f>
        <v>=DISPIMG("ID_21EB11AFC3FB431C8DEC9B4C05162E66",1)</v>
      </c>
      <c r="Q438" s="11" t="s">
        <v>3560</v>
      </c>
      <c r="R438" s="11">
        <v>452</v>
      </c>
      <c r="S438" s="17" t="s">
        <v>4726</v>
      </c>
      <c r="T438" s="18" t="s">
        <v>66</v>
      </c>
    </row>
    <row r="439" s="3" customFormat="1" customHeight="1" spans="1:20">
      <c r="A439" s="84">
        <v>17</v>
      </c>
      <c r="B439" s="177" t="s">
        <v>3563</v>
      </c>
      <c r="C439" s="167" t="s">
        <v>153</v>
      </c>
      <c r="D439" s="167" t="s">
        <v>3564</v>
      </c>
      <c r="E439" s="11">
        <v>15907977787</v>
      </c>
      <c r="F439" s="167" t="s">
        <v>156</v>
      </c>
      <c r="G439" s="167" t="s">
        <v>9</v>
      </c>
      <c r="H439" s="11">
        <v>202102011</v>
      </c>
      <c r="I439" s="167" t="s">
        <v>157</v>
      </c>
      <c r="J439" s="167" t="s">
        <v>233</v>
      </c>
      <c r="K439" s="167" t="s">
        <v>3566</v>
      </c>
      <c r="L439" s="167" t="s">
        <v>170</v>
      </c>
      <c r="M439" s="167" t="s">
        <v>261</v>
      </c>
      <c r="N439" s="167" t="s">
        <v>1579</v>
      </c>
      <c r="O439" s="11">
        <v>0</v>
      </c>
      <c r="P439" s="12" t="str">
        <f>_xlfn.DISPIMG("ID_3C6447D057EF4BF7AE9ECFE35CBC5ECF",1)</f>
        <v>=DISPIMG("ID_3C6447D057EF4BF7AE9ECFE35CBC5ECF",1)</v>
      </c>
      <c r="Q439" s="11" t="s">
        <v>3567</v>
      </c>
      <c r="R439" s="11">
        <v>453</v>
      </c>
      <c r="S439" s="17" t="s">
        <v>4730</v>
      </c>
      <c r="T439" s="18" t="s">
        <v>66</v>
      </c>
    </row>
    <row r="440" s="3" customFormat="1" customHeight="1" spans="1:20">
      <c r="A440" s="84">
        <v>18</v>
      </c>
      <c r="B440" s="177" t="s">
        <v>3248</v>
      </c>
      <c r="C440" s="167" t="s">
        <v>153</v>
      </c>
      <c r="D440" s="167" t="s">
        <v>3249</v>
      </c>
      <c r="E440" s="11">
        <v>15180608216</v>
      </c>
      <c r="F440" s="167" t="s">
        <v>156</v>
      </c>
      <c r="G440" s="167" t="s">
        <v>11</v>
      </c>
      <c r="H440" s="11">
        <v>202102013</v>
      </c>
      <c r="I440" s="167" t="s">
        <v>157</v>
      </c>
      <c r="J440" s="167" t="s">
        <v>827</v>
      </c>
      <c r="K440" s="167" t="s">
        <v>3251</v>
      </c>
      <c r="L440" s="167" t="s">
        <v>160</v>
      </c>
      <c r="M440" s="167" t="s">
        <v>161</v>
      </c>
      <c r="N440" s="167" t="s">
        <v>8</v>
      </c>
      <c r="O440" s="11">
        <v>0</v>
      </c>
      <c r="P440" s="12" t="str">
        <f>_xlfn.DISPIMG("ID_80F22CEDB358451BB7235F67F99FD33D",1)</f>
        <v>=DISPIMG("ID_80F22CEDB358451BB7235F67F99FD33D",1)</v>
      </c>
      <c r="Q440" s="11" t="s">
        <v>3252</v>
      </c>
      <c r="R440" s="11">
        <v>405</v>
      </c>
      <c r="S440" s="17" t="s">
        <v>4734</v>
      </c>
      <c r="T440" s="18" t="s">
        <v>66</v>
      </c>
    </row>
    <row r="441" s="3" customFormat="1" customHeight="1" spans="1:20">
      <c r="A441" s="84">
        <v>19</v>
      </c>
      <c r="B441" s="177" t="s">
        <v>3335</v>
      </c>
      <c r="C441" s="167" t="s">
        <v>165</v>
      </c>
      <c r="D441" s="167" t="s">
        <v>3336</v>
      </c>
      <c r="E441" s="11">
        <v>15170662594</v>
      </c>
      <c r="F441" s="167" t="s">
        <v>156</v>
      </c>
      <c r="G441" s="167" t="s">
        <v>11</v>
      </c>
      <c r="H441" s="11">
        <v>202102013</v>
      </c>
      <c r="I441" s="167" t="s">
        <v>157</v>
      </c>
      <c r="J441" s="167" t="s">
        <v>3070</v>
      </c>
      <c r="K441" s="167" t="s">
        <v>1147</v>
      </c>
      <c r="L441" s="167" t="s">
        <v>170</v>
      </c>
      <c r="M441" s="167" t="s">
        <v>306</v>
      </c>
      <c r="N441" s="167" t="s">
        <v>23</v>
      </c>
      <c r="O441" s="167" t="s">
        <v>3338</v>
      </c>
      <c r="P441" s="12" t="str">
        <f>_xlfn.DISPIMG("ID_1086188647994FC4A050F44FE33ED3AF",1)</f>
        <v>=DISPIMG("ID_1086188647994FC4A050F44FE33ED3AF",1)</v>
      </c>
      <c r="Q441" s="11" t="s">
        <v>3339</v>
      </c>
      <c r="R441" s="11">
        <v>420</v>
      </c>
      <c r="S441" s="17" t="s">
        <v>4738</v>
      </c>
      <c r="T441" s="18" t="s">
        <v>66</v>
      </c>
    </row>
    <row r="442" s="3" customFormat="1" customHeight="1" spans="1:20">
      <c r="A442" s="84"/>
      <c r="B442" s="20"/>
      <c r="C442" s="11"/>
      <c r="D442" s="11"/>
      <c r="E442" s="11"/>
      <c r="F442" s="11"/>
      <c r="G442" s="11"/>
      <c r="H442" s="11"/>
      <c r="I442" s="11"/>
      <c r="J442" s="11"/>
      <c r="K442" s="11"/>
      <c r="L442" s="11"/>
      <c r="M442" s="11"/>
      <c r="N442" s="11"/>
      <c r="O442" s="11"/>
      <c r="P442" s="12"/>
      <c r="Q442" s="11"/>
      <c r="R442" s="11"/>
      <c r="S442" s="17"/>
      <c r="T442" s="18"/>
    </row>
    <row r="443" s="3" customFormat="1" customHeight="1" spans="1:20">
      <c r="A443" s="84"/>
      <c r="B443" s="20"/>
      <c r="C443" s="11"/>
      <c r="D443" s="11"/>
      <c r="E443" s="11"/>
      <c r="F443" s="11"/>
      <c r="G443" s="11"/>
      <c r="H443" s="11"/>
      <c r="I443" s="11"/>
      <c r="J443" s="11"/>
      <c r="K443" s="11"/>
      <c r="L443" s="11"/>
      <c r="M443" s="11"/>
      <c r="N443" s="11"/>
      <c r="O443" s="11"/>
      <c r="P443" s="12"/>
      <c r="Q443" s="11"/>
      <c r="R443" s="11"/>
      <c r="S443" s="17"/>
      <c r="T443" s="18"/>
    </row>
    <row r="444" s="3" customFormat="1" customHeight="1" spans="1:20">
      <c r="A444" s="84"/>
      <c r="B444" s="20"/>
      <c r="C444" s="11"/>
      <c r="D444" s="11"/>
      <c r="E444" s="11"/>
      <c r="F444" s="11"/>
      <c r="G444" s="11"/>
      <c r="H444" s="11"/>
      <c r="I444" s="11"/>
      <c r="J444" s="11"/>
      <c r="K444" s="11"/>
      <c r="L444" s="11"/>
      <c r="M444" s="11"/>
      <c r="N444" s="11"/>
      <c r="O444" s="11"/>
      <c r="P444" s="12"/>
      <c r="Q444" s="11"/>
      <c r="R444" s="11"/>
      <c r="S444" s="17"/>
      <c r="T444" s="18"/>
    </row>
    <row r="445" s="3" customFormat="1" customHeight="1" spans="1:20">
      <c r="A445" s="84"/>
      <c r="B445" s="20"/>
      <c r="C445" s="11"/>
      <c r="D445" s="11"/>
      <c r="E445" s="11"/>
      <c r="F445" s="11"/>
      <c r="G445" s="11"/>
      <c r="H445" s="11"/>
      <c r="I445" s="11"/>
      <c r="J445" s="11"/>
      <c r="K445" s="11"/>
      <c r="L445" s="11"/>
      <c r="M445" s="11"/>
      <c r="N445" s="11"/>
      <c r="O445" s="11"/>
      <c r="P445" s="12"/>
      <c r="Q445" s="11"/>
      <c r="R445" s="11"/>
      <c r="S445" s="17"/>
      <c r="T445" s="18"/>
    </row>
    <row r="446" s="3" customFormat="1" customHeight="1" spans="1:20">
      <c r="A446" s="84"/>
      <c r="B446" s="20"/>
      <c r="C446" s="11"/>
      <c r="D446" s="11"/>
      <c r="E446" s="11"/>
      <c r="F446" s="11"/>
      <c r="G446" s="11"/>
      <c r="H446" s="11"/>
      <c r="I446" s="11"/>
      <c r="J446" s="11"/>
      <c r="K446" s="11"/>
      <c r="L446" s="11"/>
      <c r="M446" s="11"/>
      <c r="N446" s="11"/>
      <c r="O446" s="11"/>
      <c r="P446" s="12"/>
      <c r="Q446" s="11"/>
      <c r="R446" s="11"/>
      <c r="S446" s="17"/>
      <c r="T446" s="18"/>
    </row>
    <row r="447" s="3" customFormat="1" customHeight="1" spans="1:20">
      <c r="A447" s="84"/>
      <c r="B447" s="20"/>
      <c r="C447" s="11"/>
      <c r="D447" s="11"/>
      <c r="E447" s="11"/>
      <c r="F447" s="11"/>
      <c r="G447" s="11"/>
      <c r="H447" s="11"/>
      <c r="I447" s="11"/>
      <c r="J447" s="11"/>
      <c r="K447" s="11"/>
      <c r="L447" s="11"/>
      <c r="M447" s="11"/>
      <c r="N447" s="11"/>
      <c r="O447" s="11"/>
      <c r="P447" s="12"/>
      <c r="Q447" s="11"/>
      <c r="R447" s="11"/>
      <c r="S447" s="17"/>
      <c r="T447" s="18"/>
    </row>
    <row r="448" s="3" customFormat="1" customHeight="1" spans="1:20">
      <c r="A448" s="84"/>
      <c r="B448" s="20"/>
      <c r="C448" s="11"/>
      <c r="D448" s="11"/>
      <c r="E448" s="11"/>
      <c r="F448" s="11"/>
      <c r="G448" s="11"/>
      <c r="H448" s="11"/>
      <c r="I448" s="11"/>
      <c r="J448" s="11"/>
      <c r="K448" s="11"/>
      <c r="L448" s="11"/>
      <c r="M448" s="11"/>
      <c r="N448" s="11"/>
      <c r="O448" s="11"/>
      <c r="P448" s="12"/>
      <c r="Q448" s="11"/>
      <c r="R448" s="11"/>
      <c r="S448" s="17"/>
      <c r="T448" s="18"/>
    </row>
    <row r="449" s="3" customFormat="1" customHeight="1" spans="1:20">
      <c r="A449" s="84"/>
      <c r="B449" s="20"/>
      <c r="C449" s="11"/>
      <c r="D449" s="11"/>
      <c r="E449" s="11"/>
      <c r="F449" s="11"/>
      <c r="G449" s="11"/>
      <c r="H449" s="11"/>
      <c r="I449" s="11"/>
      <c r="J449" s="11"/>
      <c r="K449" s="11"/>
      <c r="L449" s="11"/>
      <c r="M449" s="11"/>
      <c r="N449" s="11"/>
      <c r="O449" s="11"/>
      <c r="P449" s="12"/>
      <c r="Q449" s="11"/>
      <c r="R449" s="11"/>
      <c r="S449" s="17"/>
      <c r="T449" s="18"/>
    </row>
    <row r="450" s="3" customFormat="1" customHeight="1" spans="1:20">
      <c r="A450" s="84"/>
      <c r="B450" s="20"/>
      <c r="C450" s="11"/>
      <c r="D450" s="11"/>
      <c r="E450" s="11"/>
      <c r="F450" s="11"/>
      <c r="G450" s="11"/>
      <c r="H450" s="11"/>
      <c r="I450" s="11"/>
      <c r="J450" s="11"/>
      <c r="K450" s="11"/>
      <c r="L450" s="11"/>
      <c r="M450" s="11"/>
      <c r="N450" s="11"/>
      <c r="O450" s="11"/>
      <c r="P450" s="12"/>
      <c r="Q450" s="11"/>
      <c r="R450" s="11"/>
      <c r="S450" s="17"/>
      <c r="T450" s="18"/>
    </row>
    <row r="451" s="3" customFormat="1" customHeight="1" spans="1:20">
      <c r="A451" s="84"/>
      <c r="B451" s="20"/>
      <c r="C451" s="11"/>
      <c r="D451" s="11"/>
      <c r="E451" s="11"/>
      <c r="F451" s="11"/>
      <c r="G451" s="11"/>
      <c r="H451" s="11"/>
      <c r="I451" s="11"/>
      <c r="J451" s="11"/>
      <c r="K451" s="11"/>
      <c r="L451" s="11"/>
      <c r="M451" s="11"/>
      <c r="N451" s="11"/>
      <c r="O451" s="11"/>
      <c r="P451" s="12"/>
      <c r="Q451" s="11"/>
      <c r="R451" s="11"/>
      <c r="S451" s="17"/>
      <c r="T451" s="18"/>
    </row>
    <row r="452" s="3" customFormat="1" customHeight="1" spans="1:20">
      <c r="A452" s="84"/>
      <c r="B452" s="20"/>
      <c r="C452" s="11"/>
      <c r="D452" s="11"/>
      <c r="E452" s="11"/>
      <c r="F452" s="11"/>
      <c r="G452" s="11"/>
      <c r="H452" s="11"/>
      <c r="I452" s="11"/>
      <c r="J452" s="11"/>
      <c r="K452" s="11"/>
      <c r="L452" s="11"/>
      <c r="M452" s="11"/>
      <c r="N452" s="11"/>
      <c r="O452" s="11"/>
      <c r="P452" s="12"/>
      <c r="Q452" s="11"/>
      <c r="R452" s="11"/>
      <c r="S452" s="17"/>
      <c r="T452" s="18"/>
    </row>
    <row r="453" s="3" customFormat="1" customHeight="1" spans="1:20">
      <c r="A453" s="84">
        <v>1</v>
      </c>
      <c r="B453" s="177" t="s">
        <v>294</v>
      </c>
      <c r="C453" s="167" t="s">
        <v>165</v>
      </c>
      <c r="D453" s="167" t="s">
        <v>295</v>
      </c>
      <c r="E453" s="11">
        <v>18214938323</v>
      </c>
      <c r="F453" s="167" t="s">
        <v>297</v>
      </c>
      <c r="G453" s="167" t="s">
        <v>25</v>
      </c>
      <c r="H453" s="11">
        <v>202101008</v>
      </c>
      <c r="I453" s="167" t="s">
        <v>157</v>
      </c>
      <c r="J453" s="167" t="s">
        <v>178</v>
      </c>
      <c r="K453" s="167" t="s">
        <v>298</v>
      </c>
      <c r="L453" s="167" t="s">
        <v>160</v>
      </c>
      <c r="M453" s="167" t="s">
        <v>261</v>
      </c>
      <c r="N453" s="167" t="s">
        <v>25</v>
      </c>
      <c r="O453" s="11">
        <v>0</v>
      </c>
      <c r="P453" s="12" t="str">
        <f>_xlfn.DISPIMG("ID_60CDE70AF1564D1B99D89BFC637EF6FF",1)</f>
        <v>=DISPIMG("ID_60CDE70AF1564D1B99D89BFC637EF6FF",1)</v>
      </c>
      <c r="Q453" s="11" t="s">
        <v>299</v>
      </c>
      <c r="R453" s="11">
        <v>17</v>
      </c>
      <c r="S453" s="17" t="s">
        <v>4742</v>
      </c>
      <c r="T453" s="18" t="s">
        <v>70</v>
      </c>
    </row>
    <row r="454" s="3" customFormat="1" customHeight="1" spans="1:20">
      <c r="A454" s="84">
        <v>2</v>
      </c>
      <c r="B454" s="177" t="s">
        <v>312</v>
      </c>
      <c r="C454" s="167" t="s">
        <v>165</v>
      </c>
      <c r="D454" s="167" t="s">
        <v>313</v>
      </c>
      <c r="E454" s="11">
        <v>13479263942</v>
      </c>
      <c r="F454" s="167" t="s">
        <v>297</v>
      </c>
      <c r="G454" s="167" t="s">
        <v>25</v>
      </c>
      <c r="H454" s="11">
        <v>202101008</v>
      </c>
      <c r="I454" s="167" t="s">
        <v>157</v>
      </c>
      <c r="J454" s="167" t="s">
        <v>158</v>
      </c>
      <c r="K454" s="167" t="s">
        <v>223</v>
      </c>
      <c r="L454" s="167" t="s">
        <v>170</v>
      </c>
      <c r="M454" s="167" t="s">
        <v>306</v>
      </c>
      <c r="N454" s="167" t="s">
        <v>315</v>
      </c>
      <c r="O454" s="167" t="s">
        <v>316</v>
      </c>
      <c r="P454" s="12" t="str">
        <f>_xlfn.DISPIMG("ID_70953AC2E42945A88FA3E573D09D6D1B",1)</f>
        <v>=DISPIMG("ID_70953AC2E42945A88FA3E573D09D6D1B",1)</v>
      </c>
      <c r="Q454" s="11" t="s">
        <v>317</v>
      </c>
      <c r="R454" s="11">
        <v>19</v>
      </c>
      <c r="S454" s="17" t="s">
        <v>4745</v>
      </c>
      <c r="T454" s="18" t="s">
        <v>70</v>
      </c>
    </row>
    <row r="455" s="3" customFormat="1" customHeight="1" spans="1:20">
      <c r="A455" s="84">
        <v>3</v>
      </c>
      <c r="B455" s="177" t="s">
        <v>381</v>
      </c>
      <c r="C455" s="167" t="s">
        <v>165</v>
      </c>
      <c r="D455" s="167" t="s">
        <v>382</v>
      </c>
      <c r="E455" s="11">
        <v>15180106412</v>
      </c>
      <c r="F455" s="167" t="s">
        <v>384</v>
      </c>
      <c r="G455" s="167" t="s">
        <v>25</v>
      </c>
      <c r="H455" s="11">
        <v>202101007</v>
      </c>
      <c r="I455" s="167" t="s">
        <v>157</v>
      </c>
      <c r="J455" s="167" t="s">
        <v>385</v>
      </c>
      <c r="K455" s="167" t="s">
        <v>386</v>
      </c>
      <c r="L455" s="167" t="s">
        <v>170</v>
      </c>
      <c r="M455" s="167" t="s">
        <v>216</v>
      </c>
      <c r="N455" s="167" t="s">
        <v>25</v>
      </c>
      <c r="O455" s="167" t="s">
        <v>387</v>
      </c>
      <c r="P455" s="12" t="str">
        <f>_xlfn.DISPIMG("ID_66D69597049F4F76B0A0201065CACE75",1)</f>
        <v>=DISPIMG("ID_66D69597049F4F76B0A0201065CACE75",1)</v>
      </c>
      <c r="Q455" s="11" t="s">
        <v>388</v>
      </c>
      <c r="R455" s="11">
        <v>27</v>
      </c>
      <c r="S455" s="17" t="s">
        <v>4727</v>
      </c>
      <c r="T455" s="18" t="s">
        <v>70</v>
      </c>
    </row>
    <row r="456" s="3" customFormat="1" customHeight="1" spans="1:20">
      <c r="A456" s="84">
        <v>4</v>
      </c>
      <c r="B456" s="177" t="s">
        <v>545</v>
      </c>
      <c r="C456" s="167" t="s">
        <v>165</v>
      </c>
      <c r="D456" s="167" t="s">
        <v>546</v>
      </c>
      <c r="E456" s="11">
        <v>13282964470</v>
      </c>
      <c r="F456" s="167" t="s">
        <v>384</v>
      </c>
      <c r="G456" s="167" t="s">
        <v>25</v>
      </c>
      <c r="H456" s="11">
        <v>202101007</v>
      </c>
      <c r="I456" s="167" t="s">
        <v>157</v>
      </c>
      <c r="J456" s="167" t="s">
        <v>158</v>
      </c>
      <c r="K456" s="167" t="s">
        <v>223</v>
      </c>
      <c r="L456" s="167" t="s">
        <v>170</v>
      </c>
      <c r="M456" s="167" t="s">
        <v>548</v>
      </c>
      <c r="N456" s="167" t="s">
        <v>549</v>
      </c>
      <c r="O456" s="167" t="s">
        <v>550</v>
      </c>
      <c r="P456" s="12" t="str">
        <f>_xlfn.DISPIMG("ID_815DB3FDB9924FE5A27318CA3E9A763D",1)</f>
        <v>=DISPIMG("ID_815DB3FDB9924FE5A27318CA3E9A763D",1)</v>
      </c>
      <c r="Q456" s="11" t="s">
        <v>551</v>
      </c>
      <c r="R456" s="11">
        <v>47</v>
      </c>
      <c r="S456" s="17" t="s">
        <v>4728</v>
      </c>
      <c r="T456" s="18" t="s">
        <v>70</v>
      </c>
    </row>
    <row r="457" s="3" customFormat="1" customHeight="1" spans="1:20">
      <c r="A457" s="84">
        <v>5</v>
      </c>
      <c r="B457" s="177" t="s">
        <v>554</v>
      </c>
      <c r="C457" s="167" t="s">
        <v>165</v>
      </c>
      <c r="D457" s="167" t="s">
        <v>555</v>
      </c>
      <c r="E457" s="11">
        <v>15508941977</v>
      </c>
      <c r="F457" s="167" t="s">
        <v>384</v>
      </c>
      <c r="G457" s="167" t="s">
        <v>25</v>
      </c>
      <c r="H457" s="11">
        <v>202101007</v>
      </c>
      <c r="I457" s="167" t="s">
        <v>157</v>
      </c>
      <c r="J457" s="167" t="s">
        <v>557</v>
      </c>
      <c r="K457" s="167" t="s">
        <v>558</v>
      </c>
      <c r="L457" s="167" t="s">
        <v>170</v>
      </c>
      <c r="M457" s="167" t="s">
        <v>559</v>
      </c>
      <c r="N457" s="167" t="s">
        <v>560</v>
      </c>
      <c r="O457" s="167" t="s">
        <v>561</v>
      </c>
      <c r="P457" s="12" t="str">
        <f>_xlfn.DISPIMG("ID_ED037D5B8E7D49BEA8FD0DBFF3A4827B",1)</f>
        <v>=DISPIMG("ID_ED037D5B8E7D49BEA8FD0DBFF3A4827B",1)</v>
      </c>
      <c r="Q457" s="11" t="s">
        <v>562</v>
      </c>
      <c r="R457" s="11">
        <v>48</v>
      </c>
      <c r="S457" s="17" t="s">
        <v>4729</v>
      </c>
      <c r="T457" s="18" t="s">
        <v>70</v>
      </c>
    </row>
    <row r="458" s="3" customFormat="1" customHeight="1" spans="1:20">
      <c r="A458" s="84">
        <v>6</v>
      </c>
      <c r="B458" s="177" t="s">
        <v>720</v>
      </c>
      <c r="C458" s="167" t="s">
        <v>165</v>
      </c>
      <c r="D458" s="167" t="s">
        <v>721</v>
      </c>
      <c r="E458" s="11">
        <v>18070248182</v>
      </c>
      <c r="F458" s="167" t="s">
        <v>384</v>
      </c>
      <c r="G458" s="167" t="s">
        <v>25</v>
      </c>
      <c r="H458" s="11">
        <v>202101007</v>
      </c>
      <c r="I458" s="167" t="s">
        <v>157</v>
      </c>
      <c r="J458" s="167" t="s">
        <v>723</v>
      </c>
      <c r="K458" s="167" t="s">
        <v>223</v>
      </c>
      <c r="L458" s="167" t="s">
        <v>170</v>
      </c>
      <c r="M458" s="167" t="s">
        <v>252</v>
      </c>
      <c r="N458" s="167" t="s">
        <v>724</v>
      </c>
      <c r="O458" s="167" t="s">
        <v>725</v>
      </c>
      <c r="P458" s="12" t="str">
        <f>_xlfn.DISPIMG("ID_18752421A8044E9999D06F0B98A5B3A9",1)</f>
        <v>=DISPIMG("ID_18752421A8044E9999D06F0B98A5B3A9",1)</v>
      </c>
      <c r="Q458" s="11" t="s">
        <v>726</v>
      </c>
      <c r="R458" s="11">
        <v>68</v>
      </c>
      <c r="S458" s="17" t="s">
        <v>4731</v>
      </c>
      <c r="T458" s="18" t="s">
        <v>70</v>
      </c>
    </row>
    <row r="459" s="3" customFormat="1" customHeight="1" spans="1:20">
      <c r="A459" s="84">
        <v>7</v>
      </c>
      <c r="B459" s="177" t="s">
        <v>786</v>
      </c>
      <c r="C459" s="167" t="s">
        <v>165</v>
      </c>
      <c r="D459" s="167" t="s">
        <v>787</v>
      </c>
      <c r="E459" s="11">
        <v>15870883510</v>
      </c>
      <c r="F459" s="167" t="s">
        <v>384</v>
      </c>
      <c r="G459" s="167" t="s">
        <v>25</v>
      </c>
      <c r="H459" s="11">
        <v>202101007</v>
      </c>
      <c r="I459" s="167" t="s">
        <v>705</v>
      </c>
      <c r="J459" s="167" t="s">
        <v>789</v>
      </c>
      <c r="K459" s="167" t="s">
        <v>790</v>
      </c>
      <c r="L459" s="167" t="s">
        <v>160</v>
      </c>
      <c r="M459" s="167" t="s">
        <v>455</v>
      </c>
      <c r="N459" s="167" t="s">
        <v>307</v>
      </c>
      <c r="O459" s="167" t="s">
        <v>791</v>
      </c>
      <c r="P459" s="12" t="str">
        <f>_xlfn.DISPIMG("ID_81CFC0148DBF4084ADB804B82E5E7200",1)</f>
        <v>=DISPIMG("ID_81CFC0148DBF4084ADB804B82E5E7200",1)</v>
      </c>
      <c r="Q459" s="11" t="s">
        <v>792</v>
      </c>
      <c r="R459" s="11">
        <v>76</v>
      </c>
      <c r="S459" s="17" t="s">
        <v>4732</v>
      </c>
      <c r="T459" s="18" t="s">
        <v>70</v>
      </c>
    </row>
    <row r="460" s="3" customFormat="1" customHeight="1" spans="1:20">
      <c r="A460" s="84">
        <v>8</v>
      </c>
      <c r="B460" s="177" t="s">
        <v>824</v>
      </c>
      <c r="C460" s="167" t="s">
        <v>165</v>
      </c>
      <c r="D460" s="167" t="s">
        <v>825</v>
      </c>
      <c r="E460" s="11">
        <v>18870036528</v>
      </c>
      <c r="F460" s="167" t="s">
        <v>297</v>
      </c>
      <c r="G460" s="167" t="s">
        <v>25</v>
      </c>
      <c r="H460" s="11">
        <v>202101008</v>
      </c>
      <c r="I460" s="167" t="s">
        <v>157</v>
      </c>
      <c r="J460" s="167" t="s">
        <v>827</v>
      </c>
      <c r="K460" s="167" t="s">
        <v>828</v>
      </c>
      <c r="L460" s="167" t="s">
        <v>170</v>
      </c>
      <c r="M460" s="167" t="s">
        <v>396</v>
      </c>
      <c r="N460" s="167" t="s">
        <v>25</v>
      </c>
      <c r="O460" s="167" t="s">
        <v>829</v>
      </c>
      <c r="P460" s="12" t="str">
        <f>_xlfn.DISPIMG("ID_8A1A22938F334E1D900FC8311DB2BE9A",1)</f>
        <v>=DISPIMG("ID_8A1A22938F334E1D900FC8311DB2BE9A",1)</v>
      </c>
      <c r="Q460" s="11" t="s">
        <v>830</v>
      </c>
      <c r="R460" s="11">
        <v>81</v>
      </c>
      <c r="S460" s="17" t="s">
        <v>4733</v>
      </c>
      <c r="T460" s="18" t="s">
        <v>70</v>
      </c>
    </row>
    <row r="461" s="3" customFormat="1" customHeight="1" spans="1:20">
      <c r="A461" s="84">
        <v>9</v>
      </c>
      <c r="B461" s="177" t="s">
        <v>949</v>
      </c>
      <c r="C461" s="167" t="s">
        <v>165</v>
      </c>
      <c r="D461" s="167" t="s">
        <v>950</v>
      </c>
      <c r="E461" s="11">
        <v>15720934889</v>
      </c>
      <c r="F461" s="167" t="s">
        <v>384</v>
      </c>
      <c r="G461" s="167" t="s">
        <v>25</v>
      </c>
      <c r="H461" s="11">
        <v>202101007</v>
      </c>
      <c r="I461" s="167" t="s">
        <v>157</v>
      </c>
      <c r="J461" s="167" t="s">
        <v>269</v>
      </c>
      <c r="K461" s="167" t="s">
        <v>179</v>
      </c>
      <c r="L461" s="167" t="s">
        <v>170</v>
      </c>
      <c r="M461" s="167" t="s">
        <v>171</v>
      </c>
      <c r="N461" s="167" t="s">
        <v>952</v>
      </c>
      <c r="O461" s="167" t="s">
        <v>953</v>
      </c>
      <c r="P461" s="12" t="str">
        <f>_xlfn.DISPIMG("ID_7778BC47A591458DA9EA33FB1000B681",1)</f>
        <v>=DISPIMG("ID_7778BC47A591458DA9EA33FB1000B681",1)</v>
      </c>
      <c r="Q461" s="11" t="s">
        <v>954</v>
      </c>
      <c r="R461" s="11">
        <v>96</v>
      </c>
      <c r="S461" s="17" t="s">
        <v>4735</v>
      </c>
      <c r="T461" s="18" t="s">
        <v>70</v>
      </c>
    </row>
    <row r="462" s="3" customFormat="1" customHeight="1" spans="1:20">
      <c r="A462" s="84">
        <v>10</v>
      </c>
      <c r="B462" s="177" t="s">
        <v>1373</v>
      </c>
      <c r="C462" s="167" t="s">
        <v>165</v>
      </c>
      <c r="D462" s="167" t="s">
        <v>1374</v>
      </c>
      <c r="E462" s="11">
        <v>15070130599</v>
      </c>
      <c r="F462" s="167" t="s">
        <v>384</v>
      </c>
      <c r="G462" s="167" t="s">
        <v>25</v>
      </c>
      <c r="H462" s="11">
        <v>202101007</v>
      </c>
      <c r="I462" s="167" t="s">
        <v>705</v>
      </c>
      <c r="J462" s="167" t="s">
        <v>1376</v>
      </c>
      <c r="K462" s="167" t="s">
        <v>790</v>
      </c>
      <c r="L462" s="167" t="s">
        <v>160</v>
      </c>
      <c r="M462" s="167" t="s">
        <v>455</v>
      </c>
      <c r="N462" s="167" t="s">
        <v>1156</v>
      </c>
      <c r="O462" s="11">
        <v>0</v>
      </c>
      <c r="P462" s="12" t="str">
        <f>_xlfn.DISPIMG("ID_ECF84772EBB248C2BC2BD56C2C168331",1)</f>
        <v>=DISPIMG("ID_ECF84772EBB248C2BC2BD56C2C168331",1)</v>
      </c>
      <c r="Q462" s="11" t="s">
        <v>1377</v>
      </c>
      <c r="R462" s="11">
        <v>150</v>
      </c>
      <c r="S462" s="17" t="s">
        <v>4736</v>
      </c>
      <c r="T462" s="18" t="s">
        <v>70</v>
      </c>
    </row>
    <row r="463" s="3" customFormat="1" customHeight="1" spans="1:20">
      <c r="A463" s="84">
        <v>11</v>
      </c>
      <c r="B463" s="177" t="s">
        <v>1552</v>
      </c>
      <c r="C463" s="167" t="s">
        <v>165</v>
      </c>
      <c r="D463" s="167" t="s">
        <v>1553</v>
      </c>
      <c r="E463" s="11">
        <v>18795899857</v>
      </c>
      <c r="F463" s="167" t="s">
        <v>384</v>
      </c>
      <c r="G463" s="167" t="s">
        <v>25</v>
      </c>
      <c r="H463" s="11">
        <v>202101007</v>
      </c>
      <c r="I463" s="167" t="s">
        <v>157</v>
      </c>
      <c r="J463" s="167" t="s">
        <v>385</v>
      </c>
      <c r="K463" s="167" t="s">
        <v>828</v>
      </c>
      <c r="L463" s="167" t="s">
        <v>170</v>
      </c>
      <c r="M463" s="167" t="s">
        <v>548</v>
      </c>
      <c r="N463" s="167" t="s">
        <v>25</v>
      </c>
      <c r="O463" s="167" t="s">
        <v>1555</v>
      </c>
      <c r="P463" s="12" t="str">
        <f>_xlfn.DISPIMG("ID_3244697DE8F74EF1A671D4FB148CF806",1)</f>
        <v>=DISPIMG("ID_3244697DE8F74EF1A671D4FB148CF806",1)</v>
      </c>
      <c r="Q463" s="11" t="s">
        <v>1556</v>
      </c>
      <c r="R463" s="11">
        <v>173</v>
      </c>
      <c r="S463" s="17" t="s">
        <v>4737</v>
      </c>
      <c r="T463" s="18" t="s">
        <v>70</v>
      </c>
    </row>
    <row r="464" s="5" customFormat="1" customHeight="1" spans="1:20">
      <c r="A464" s="84">
        <v>12</v>
      </c>
      <c r="B464" s="177" t="s">
        <v>1597</v>
      </c>
      <c r="C464" s="167" t="s">
        <v>153</v>
      </c>
      <c r="D464" s="167" t="s">
        <v>1598</v>
      </c>
      <c r="E464" s="11">
        <v>13979287846</v>
      </c>
      <c r="F464" s="167" t="s">
        <v>384</v>
      </c>
      <c r="G464" s="167" t="s">
        <v>25</v>
      </c>
      <c r="H464" s="11">
        <v>202101007</v>
      </c>
      <c r="I464" s="167" t="s">
        <v>157</v>
      </c>
      <c r="J464" s="167" t="s">
        <v>1600</v>
      </c>
      <c r="K464" s="167" t="s">
        <v>1601</v>
      </c>
      <c r="L464" s="167" t="s">
        <v>170</v>
      </c>
      <c r="M464" s="167" t="s">
        <v>252</v>
      </c>
      <c r="N464" s="167" t="s">
        <v>25</v>
      </c>
      <c r="O464" s="167" t="s">
        <v>1602</v>
      </c>
      <c r="P464" s="12" t="str">
        <f>_xlfn.DISPIMG("ID_E78F3BF41C5D43B8884910B23D8EE46A",1)</f>
        <v>=DISPIMG("ID_E78F3BF41C5D43B8884910B23D8EE46A",1)</v>
      </c>
      <c r="Q464" s="11" t="s">
        <v>1603</v>
      </c>
      <c r="R464" s="11">
        <v>179</v>
      </c>
      <c r="S464" s="17" t="s">
        <v>4739</v>
      </c>
      <c r="T464" s="18" t="s">
        <v>70</v>
      </c>
    </row>
    <row r="465" s="3" customFormat="1" customHeight="1" spans="1:20">
      <c r="A465" s="84">
        <v>13</v>
      </c>
      <c r="B465" s="177" t="s">
        <v>1689</v>
      </c>
      <c r="C465" s="167" t="s">
        <v>165</v>
      </c>
      <c r="D465" s="167" t="s">
        <v>1690</v>
      </c>
      <c r="E465" s="11">
        <v>13677055035</v>
      </c>
      <c r="F465" s="167" t="s">
        <v>384</v>
      </c>
      <c r="G465" s="167" t="s">
        <v>25</v>
      </c>
      <c r="H465" s="11">
        <v>202101007</v>
      </c>
      <c r="I465" s="167" t="s">
        <v>157</v>
      </c>
      <c r="J465" s="167" t="s">
        <v>1258</v>
      </c>
      <c r="K465" s="167" t="s">
        <v>179</v>
      </c>
      <c r="L465" s="167" t="s">
        <v>170</v>
      </c>
      <c r="M465" s="167" t="s">
        <v>180</v>
      </c>
      <c r="N465" s="167" t="s">
        <v>1692</v>
      </c>
      <c r="O465" s="167" t="s">
        <v>1693</v>
      </c>
      <c r="P465" s="12" t="str">
        <f>_xlfn.DISPIMG("ID_43885BD9A06C404291EA89276C573B8A",1)</f>
        <v>=DISPIMG("ID_43885BD9A06C404291EA89276C573B8A",1)</v>
      </c>
      <c r="Q465" s="11" t="s">
        <v>1694</v>
      </c>
      <c r="R465" s="11">
        <v>191</v>
      </c>
      <c r="S465" s="17" t="s">
        <v>4740</v>
      </c>
      <c r="T465" s="18" t="s">
        <v>70</v>
      </c>
    </row>
    <row r="466" s="3" customFormat="1" customHeight="1" spans="1:20">
      <c r="A466" s="84">
        <v>14</v>
      </c>
      <c r="B466" s="177" t="s">
        <v>1807</v>
      </c>
      <c r="C466" s="167" t="s">
        <v>165</v>
      </c>
      <c r="D466" s="167" t="s">
        <v>1808</v>
      </c>
      <c r="E466" s="11">
        <v>18279208598</v>
      </c>
      <c r="F466" s="167" t="s">
        <v>384</v>
      </c>
      <c r="G466" s="167" t="s">
        <v>25</v>
      </c>
      <c r="H466" s="11">
        <v>202101007</v>
      </c>
      <c r="I466" s="167" t="s">
        <v>157</v>
      </c>
      <c r="J466" s="167" t="s">
        <v>1413</v>
      </c>
      <c r="K466" s="167" t="s">
        <v>179</v>
      </c>
      <c r="L466" s="167" t="s">
        <v>170</v>
      </c>
      <c r="M466" s="167" t="s">
        <v>235</v>
      </c>
      <c r="N466" s="167" t="s">
        <v>1692</v>
      </c>
      <c r="O466" s="167" t="s">
        <v>1810</v>
      </c>
      <c r="P466" s="12" t="str">
        <f>_xlfn.DISPIMG("ID_CF289AF208E247F38051A435A278D00A",1)</f>
        <v>=DISPIMG("ID_CF289AF208E247F38051A435A278D00A",1)</v>
      </c>
      <c r="Q466" s="11" t="s">
        <v>1811</v>
      </c>
      <c r="R466" s="11">
        <v>206</v>
      </c>
      <c r="S466" s="17" t="s">
        <v>4741</v>
      </c>
      <c r="T466" s="18" t="s">
        <v>70</v>
      </c>
    </row>
    <row r="467" s="3" customFormat="1" customHeight="1" spans="1:20">
      <c r="A467" s="84">
        <v>15</v>
      </c>
      <c r="B467" s="177" t="s">
        <v>1912</v>
      </c>
      <c r="C467" s="167" t="s">
        <v>165</v>
      </c>
      <c r="D467" s="167" t="s">
        <v>1913</v>
      </c>
      <c r="E467" s="11">
        <v>15079288765</v>
      </c>
      <c r="F467" s="167" t="s">
        <v>297</v>
      </c>
      <c r="G467" s="167" t="s">
        <v>25</v>
      </c>
      <c r="H467" s="11">
        <v>202101008</v>
      </c>
      <c r="I467" s="167" t="s">
        <v>157</v>
      </c>
      <c r="J467" s="167" t="s">
        <v>233</v>
      </c>
      <c r="K467" s="167" t="s">
        <v>298</v>
      </c>
      <c r="L467" s="167" t="s">
        <v>160</v>
      </c>
      <c r="M467" s="167" t="s">
        <v>587</v>
      </c>
      <c r="N467" s="167" t="s">
        <v>25</v>
      </c>
      <c r="O467" s="167" t="s">
        <v>1915</v>
      </c>
      <c r="P467" s="12" t="str">
        <f>_xlfn.DISPIMG("ID_845D85CFFC3A4B2FB996A756749DD1B9",1)</f>
        <v>=DISPIMG("ID_845D85CFFC3A4B2FB996A756749DD1B9",1)</v>
      </c>
      <c r="Q467" s="11" t="s">
        <v>1916</v>
      </c>
      <c r="R467" s="11">
        <v>220</v>
      </c>
      <c r="S467" s="17" t="s">
        <v>4743</v>
      </c>
      <c r="T467" s="18" t="s">
        <v>70</v>
      </c>
    </row>
    <row r="468" s="4" customFormat="1" customHeight="1" spans="1:20">
      <c r="A468" s="84">
        <v>16</v>
      </c>
      <c r="B468" s="177" t="s">
        <v>2069</v>
      </c>
      <c r="C468" s="167" t="s">
        <v>165</v>
      </c>
      <c r="D468" s="167" t="s">
        <v>2070</v>
      </c>
      <c r="E468" s="11">
        <v>18970492528</v>
      </c>
      <c r="F468" s="167" t="s">
        <v>384</v>
      </c>
      <c r="G468" s="167" t="s">
        <v>25</v>
      </c>
      <c r="H468" s="11">
        <v>202101007</v>
      </c>
      <c r="I468" s="167" t="s">
        <v>157</v>
      </c>
      <c r="J468" s="167" t="s">
        <v>233</v>
      </c>
      <c r="K468" s="167" t="s">
        <v>179</v>
      </c>
      <c r="L468" s="167" t="s">
        <v>170</v>
      </c>
      <c r="M468" s="167" t="s">
        <v>1346</v>
      </c>
      <c r="N468" s="167" t="s">
        <v>25</v>
      </c>
      <c r="O468" s="167" t="s">
        <v>2072</v>
      </c>
      <c r="P468" s="12" t="str">
        <f>_xlfn.DISPIMG("ID_AE7BFEF114344F24954EA3AA4FC71BD8",1)</f>
        <v>=DISPIMG("ID_AE7BFEF114344F24954EA3AA4FC71BD8",1)</v>
      </c>
      <c r="Q468" s="11" t="s">
        <v>2073</v>
      </c>
      <c r="R468" s="11">
        <v>241</v>
      </c>
      <c r="S468" s="17" t="s">
        <v>4744</v>
      </c>
      <c r="T468" s="18" t="s">
        <v>70</v>
      </c>
    </row>
    <row r="469" s="4" customFormat="1" customHeight="1" spans="1:20">
      <c r="A469" s="84">
        <v>17</v>
      </c>
      <c r="B469" s="177" t="s">
        <v>2360</v>
      </c>
      <c r="C469" s="167" t="s">
        <v>165</v>
      </c>
      <c r="D469" s="167" t="s">
        <v>2361</v>
      </c>
      <c r="E469" s="11">
        <v>18070140896</v>
      </c>
      <c r="F469" s="167" t="s">
        <v>384</v>
      </c>
      <c r="G469" s="167" t="s">
        <v>25</v>
      </c>
      <c r="H469" s="11">
        <v>202101007</v>
      </c>
      <c r="I469" s="167" t="s">
        <v>157</v>
      </c>
      <c r="J469" s="167" t="s">
        <v>2363</v>
      </c>
      <c r="K469" s="167" t="s">
        <v>179</v>
      </c>
      <c r="L469" s="167" t="s">
        <v>170</v>
      </c>
      <c r="M469" s="167" t="s">
        <v>577</v>
      </c>
      <c r="N469" s="167" t="s">
        <v>25</v>
      </c>
      <c r="O469" s="167" t="s">
        <v>2364</v>
      </c>
      <c r="P469" s="12" t="str">
        <f>_xlfn.DISPIMG("ID_9FF2F7CED6DC40CB89E306847985BA44",1)</f>
        <v>=DISPIMG("ID_9FF2F7CED6DC40CB89E306847985BA44",1)</v>
      </c>
      <c r="Q469" s="11" t="s">
        <v>2365</v>
      </c>
      <c r="R469" s="11">
        <v>280</v>
      </c>
      <c r="S469" s="17" t="s">
        <v>4746</v>
      </c>
      <c r="T469" s="18" t="s">
        <v>70</v>
      </c>
    </row>
    <row r="470" s="3" customFormat="1" customHeight="1" spans="1:20">
      <c r="A470" s="84">
        <v>18</v>
      </c>
      <c r="B470" s="177" t="s">
        <v>2415</v>
      </c>
      <c r="C470" s="167" t="s">
        <v>165</v>
      </c>
      <c r="D470" s="167" t="s">
        <v>2416</v>
      </c>
      <c r="E470" s="11">
        <v>18179591146</v>
      </c>
      <c r="F470" s="167" t="s">
        <v>384</v>
      </c>
      <c r="G470" s="167" t="s">
        <v>25</v>
      </c>
      <c r="H470" s="11">
        <v>202101007</v>
      </c>
      <c r="I470" s="167" t="s">
        <v>157</v>
      </c>
      <c r="J470" s="167" t="s">
        <v>1258</v>
      </c>
      <c r="K470" s="167" t="s">
        <v>828</v>
      </c>
      <c r="L470" s="167" t="s">
        <v>170</v>
      </c>
      <c r="M470" s="167" t="s">
        <v>171</v>
      </c>
      <c r="N470" s="167" t="s">
        <v>25</v>
      </c>
      <c r="O470" s="167" t="s">
        <v>2418</v>
      </c>
      <c r="P470" s="12" t="str">
        <f>_xlfn.DISPIMG("ID_CD5C977DBB8D404E885C56F791C17D27",1)</f>
        <v>=DISPIMG("ID_CD5C977DBB8D404E885C56F791C17D27",1)</v>
      </c>
      <c r="Q470" s="11" t="s">
        <v>2419</v>
      </c>
      <c r="R470" s="11">
        <v>287</v>
      </c>
      <c r="S470" s="17" t="s">
        <v>4747</v>
      </c>
      <c r="T470" s="18" t="s">
        <v>70</v>
      </c>
    </row>
    <row r="471" s="3" customFormat="1" customHeight="1" spans="1:20">
      <c r="A471" s="84">
        <v>19</v>
      </c>
      <c r="B471" s="177" t="s">
        <v>2495</v>
      </c>
      <c r="C471" s="167" t="s">
        <v>165</v>
      </c>
      <c r="D471" s="167" t="s">
        <v>2496</v>
      </c>
      <c r="E471" s="11">
        <v>15170284980</v>
      </c>
      <c r="F471" s="167" t="s">
        <v>384</v>
      </c>
      <c r="G471" s="167" t="s">
        <v>25</v>
      </c>
      <c r="H471" s="11">
        <v>202101007</v>
      </c>
      <c r="I471" s="167" t="s">
        <v>157</v>
      </c>
      <c r="J471" s="167" t="s">
        <v>662</v>
      </c>
      <c r="K471" s="167" t="s">
        <v>179</v>
      </c>
      <c r="L471" s="167" t="s">
        <v>170</v>
      </c>
      <c r="M471" s="167" t="s">
        <v>261</v>
      </c>
      <c r="N471" s="167" t="s">
        <v>25</v>
      </c>
      <c r="O471" s="11">
        <v>0</v>
      </c>
      <c r="P471" s="12" t="str">
        <f>_xlfn.DISPIMG("ID_9517FA682BDD4A72AC67B046C0A956F9",1)</f>
        <v>=DISPIMG("ID_9517FA682BDD4A72AC67B046C0A956F9",1)</v>
      </c>
      <c r="Q471" s="11" t="s">
        <v>2498</v>
      </c>
      <c r="R471" s="11">
        <v>298</v>
      </c>
      <c r="S471" s="17" t="s">
        <v>4748</v>
      </c>
      <c r="T471" s="18" t="s">
        <v>70</v>
      </c>
    </row>
    <row r="472" s="3" customFormat="1" customHeight="1" spans="1:20">
      <c r="A472" s="84">
        <v>20</v>
      </c>
      <c r="B472" s="177" t="s">
        <v>2606</v>
      </c>
      <c r="C472" s="167" t="s">
        <v>165</v>
      </c>
      <c r="D472" s="167" t="s">
        <v>2607</v>
      </c>
      <c r="E472" s="11">
        <v>18720995920</v>
      </c>
      <c r="F472" s="167" t="s">
        <v>297</v>
      </c>
      <c r="G472" s="167" t="s">
        <v>25</v>
      </c>
      <c r="H472" s="11">
        <v>202101008</v>
      </c>
      <c r="I472" s="167" t="s">
        <v>157</v>
      </c>
      <c r="J472" s="167" t="s">
        <v>1654</v>
      </c>
      <c r="K472" s="167" t="s">
        <v>2609</v>
      </c>
      <c r="L472" s="167" t="s">
        <v>160</v>
      </c>
      <c r="M472" s="167" t="s">
        <v>281</v>
      </c>
      <c r="N472" s="167" t="s">
        <v>2610</v>
      </c>
      <c r="O472" s="167" t="s">
        <v>2611</v>
      </c>
      <c r="P472" s="12" t="str">
        <f>_xlfn.DISPIMG("ID_1DA33C1DACDA463582C160858194DE2A",1)</f>
        <v>=DISPIMG("ID_1DA33C1DACDA463582C160858194DE2A",1)</v>
      </c>
      <c r="Q472" s="11" t="s">
        <v>2612</v>
      </c>
      <c r="R472" s="11">
        <v>313</v>
      </c>
      <c r="S472" s="17" t="s">
        <v>4749</v>
      </c>
      <c r="T472" s="18" t="s">
        <v>70</v>
      </c>
    </row>
    <row r="473" s="6" customFormat="1" customHeight="1" spans="1:20">
      <c r="A473" s="84">
        <v>21</v>
      </c>
      <c r="B473" s="177" t="s">
        <v>2674</v>
      </c>
      <c r="C473" s="167" t="s">
        <v>165</v>
      </c>
      <c r="D473" s="167" t="s">
        <v>2675</v>
      </c>
      <c r="E473" s="11">
        <v>18000227120</v>
      </c>
      <c r="F473" s="167" t="s">
        <v>297</v>
      </c>
      <c r="G473" s="167" t="s">
        <v>25</v>
      </c>
      <c r="H473" s="11">
        <v>202101008</v>
      </c>
      <c r="I473" s="167" t="s">
        <v>157</v>
      </c>
      <c r="J473" s="167" t="s">
        <v>269</v>
      </c>
      <c r="K473" s="167" t="s">
        <v>2677</v>
      </c>
      <c r="L473" s="167" t="s">
        <v>160</v>
      </c>
      <c r="M473" s="167" t="s">
        <v>224</v>
      </c>
      <c r="N473" s="167" t="s">
        <v>25</v>
      </c>
      <c r="O473" s="167" t="s">
        <v>2678</v>
      </c>
      <c r="P473" s="12" t="str">
        <f>_xlfn.DISPIMG("ID_03E1DAA8D63B4AFF99883CCD0E6E65E6",1)</f>
        <v>=DISPIMG("ID_03E1DAA8D63B4AFF99883CCD0E6E65E6",1)</v>
      </c>
      <c r="Q473" s="11" t="s">
        <v>2679</v>
      </c>
      <c r="R473" s="11">
        <v>359</v>
      </c>
      <c r="S473" s="17" t="s">
        <v>4750</v>
      </c>
      <c r="T473" s="18" t="s">
        <v>70</v>
      </c>
    </row>
    <row r="474" s="3" customFormat="1" customHeight="1" spans="1:20">
      <c r="A474" s="84">
        <v>22</v>
      </c>
      <c r="B474" s="177" t="s">
        <v>3002</v>
      </c>
      <c r="C474" s="167" t="s">
        <v>165</v>
      </c>
      <c r="D474" s="167" t="s">
        <v>3003</v>
      </c>
      <c r="E474" s="11">
        <v>15798074733</v>
      </c>
      <c r="F474" s="167" t="s">
        <v>297</v>
      </c>
      <c r="G474" s="167" t="s">
        <v>25</v>
      </c>
      <c r="H474" s="11">
        <v>202101008</v>
      </c>
      <c r="I474" s="167" t="s">
        <v>157</v>
      </c>
      <c r="J474" s="167" t="s">
        <v>540</v>
      </c>
      <c r="K474" s="167" t="s">
        <v>179</v>
      </c>
      <c r="L474" s="167" t="s">
        <v>160</v>
      </c>
      <c r="M474" s="167" t="s">
        <v>2047</v>
      </c>
      <c r="N474" s="167" t="s">
        <v>3005</v>
      </c>
      <c r="O474" s="11">
        <v>0</v>
      </c>
      <c r="P474" s="12" t="str">
        <f>_xlfn.DISPIMG("ID_4E0EBDB804BA45EB8B4195F5A93DFBBD",1)</f>
        <v>=DISPIMG("ID_4E0EBDB804BA45EB8B4195F5A93DFBBD",1)</v>
      </c>
      <c r="Q474" s="11" t="s">
        <v>3006</v>
      </c>
      <c r="R474" s="11">
        <v>370</v>
      </c>
      <c r="S474" s="17" t="s">
        <v>4751</v>
      </c>
      <c r="T474" s="18" t="s">
        <v>70</v>
      </c>
    </row>
    <row r="475" s="3" customFormat="1" customHeight="1" spans="1:20">
      <c r="A475" s="84">
        <v>23</v>
      </c>
      <c r="B475" s="177" t="s">
        <v>3130</v>
      </c>
      <c r="C475" s="167" t="s">
        <v>165</v>
      </c>
      <c r="D475" s="167" t="s">
        <v>3131</v>
      </c>
      <c r="E475" s="11">
        <v>13510703252</v>
      </c>
      <c r="F475" s="167" t="s">
        <v>384</v>
      </c>
      <c r="G475" s="167" t="s">
        <v>25</v>
      </c>
      <c r="H475" s="11">
        <v>202101007</v>
      </c>
      <c r="I475" s="167" t="s">
        <v>157</v>
      </c>
      <c r="J475" s="167" t="s">
        <v>1203</v>
      </c>
      <c r="K475" s="167" t="s">
        <v>223</v>
      </c>
      <c r="L475" s="167" t="s">
        <v>170</v>
      </c>
      <c r="M475" s="167" t="s">
        <v>224</v>
      </c>
      <c r="N475" s="167" t="s">
        <v>25</v>
      </c>
      <c r="O475" s="167" t="s">
        <v>3132</v>
      </c>
      <c r="P475" s="12" t="str">
        <f>_xlfn.DISPIMG("ID_DD2B22793A5D42C5A4C202130135D188",1)</f>
        <v>=DISPIMG("ID_DD2B22793A5D42C5A4C202130135D188",1)</v>
      </c>
      <c r="Q475" s="11" t="s">
        <v>3133</v>
      </c>
      <c r="R475" s="11">
        <v>387</v>
      </c>
      <c r="S475" s="17" t="s">
        <v>4752</v>
      </c>
      <c r="T475" s="18" t="s">
        <v>70</v>
      </c>
    </row>
    <row r="476" s="3" customFormat="1" customHeight="1" spans="1:20">
      <c r="A476" s="84">
        <v>24</v>
      </c>
      <c r="B476" s="177" t="s">
        <v>3185</v>
      </c>
      <c r="C476" s="167" t="s">
        <v>165</v>
      </c>
      <c r="D476" s="167" t="s">
        <v>3186</v>
      </c>
      <c r="E476" s="11">
        <v>15070259733</v>
      </c>
      <c r="F476" s="167" t="s">
        <v>297</v>
      </c>
      <c r="G476" s="167" t="s">
        <v>25</v>
      </c>
      <c r="H476" s="11">
        <v>202101008</v>
      </c>
      <c r="I476" s="167" t="s">
        <v>157</v>
      </c>
      <c r="J476" s="167" t="s">
        <v>646</v>
      </c>
      <c r="K476" s="167" t="s">
        <v>179</v>
      </c>
      <c r="L476" s="167" t="s">
        <v>170</v>
      </c>
      <c r="M476" s="167" t="s">
        <v>161</v>
      </c>
      <c r="N476" s="167" t="s">
        <v>3188</v>
      </c>
      <c r="O476" s="11">
        <v>0</v>
      </c>
      <c r="P476" s="12" t="str">
        <f>_xlfn.DISPIMG("ID_76C776A08E8241118AA436F440F434C8",1)</f>
        <v>=DISPIMG("ID_76C776A08E8241118AA436F440F434C8",1)</v>
      </c>
      <c r="Q476" s="11" t="s">
        <v>3189</v>
      </c>
      <c r="R476" s="11">
        <v>396</v>
      </c>
      <c r="S476" s="17" t="s">
        <v>4753</v>
      </c>
      <c r="T476" s="18" t="s">
        <v>70</v>
      </c>
    </row>
    <row r="477" s="4" customFormat="1" customHeight="1" spans="1:20">
      <c r="A477" s="84">
        <v>25</v>
      </c>
      <c r="B477" s="177" t="s">
        <v>3219</v>
      </c>
      <c r="C477" s="167" t="s">
        <v>165</v>
      </c>
      <c r="D477" s="167" t="s">
        <v>3220</v>
      </c>
      <c r="E477" s="11">
        <v>18279832090</v>
      </c>
      <c r="F477" s="167" t="s">
        <v>384</v>
      </c>
      <c r="G477" s="167" t="s">
        <v>25</v>
      </c>
      <c r="H477" s="11">
        <v>202101007</v>
      </c>
      <c r="I477" s="167" t="s">
        <v>157</v>
      </c>
      <c r="J477" s="167" t="s">
        <v>507</v>
      </c>
      <c r="K477" s="167" t="s">
        <v>828</v>
      </c>
      <c r="L477" s="167" t="s">
        <v>170</v>
      </c>
      <c r="M477" s="167" t="s">
        <v>161</v>
      </c>
      <c r="N477" s="167" t="s">
        <v>25</v>
      </c>
      <c r="O477" s="167" t="s">
        <v>3222</v>
      </c>
      <c r="P477" s="12" t="str">
        <f>_xlfn.DISPIMG("ID_31DA0D5E67EC49E4A7DA2145DC608874",1)</f>
        <v>=DISPIMG("ID_31DA0D5E67EC49E4A7DA2145DC608874",1)</v>
      </c>
      <c r="Q477" s="11" t="s">
        <v>3223</v>
      </c>
      <c r="R477" s="11">
        <v>401</v>
      </c>
      <c r="S477" s="17" t="s">
        <v>4754</v>
      </c>
      <c r="T477" s="18" t="s">
        <v>70</v>
      </c>
    </row>
    <row r="478" s="3" customFormat="1" customHeight="1" spans="1:20">
      <c r="A478" s="84">
        <v>26</v>
      </c>
      <c r="B478" s="177" t="s">
        <v>3386</v>
      </c>
      <c r="C478" s="167" t="s">
        <v>165</v>
      </c>
      <c r="D478" s="167" t="s">
        <v>3387</v>
      </c>
      <c r="E478" s="11">
        <v>15070657835</v>
      </c>
      <c r="F478" s="167" t="s">
        <v>384</v>
      </c>
      <c r="G478" s="167" t="s">
        <v>25</v>
      </c>
      <c r="H478" s="11">
        <v>202101007</v>
      </c>
      <c r="I478" s="167" t="s">
        <v>705</v>
      </c>
      <c r="J478" s="167" t="s">
        <v>233</v>
      </c>
      <c r="K478" s="167" t="s">
        <v>3389</v>
      </c>
      <c r="L478" s="167" t="s">
        <v>160</v>
      </c>
      <c r="M478" s="167" t="s">
        <v>261</v>
      </c>
      <c r="N478" s="167" t="s">
        <v>1506</v>
      </c>
      <c r="O478" s="11">
        <v>0</v>
      </c>
      <c r="P478" s="12" t="str">
        <f>_xlfn.DISPIMG("ID_E7900D53DC2C42DFA545534A1C33490B",1)</f>
        <v>=DISPIMG("ID_E7900D53DC2C42DFA545534A1C33490B",1)</v>
      </c>
      <c r="Q478" s="11" t="s">
        <v>3390</v>
      </c>
      <c r="R478" s="11">
        <v>427</v>
      </c>
      <c r="S478" s="17" t="s">
        <v>4755</v>
      </c>
      <c r="T478" s="18" t="s">
        <v>70</v>
      </c>
    </row>
    <row r="479" s="3" customFormat="1" customHeight="1" spans="1:20">
      <c r="A479" s="84">
        <v>27</v>
      </c>
      <c r="B479" s="177" t="s">
        <v>3789</v>
      </c>
      <c r="C479" s="167" t="s">
        <v>165</v>
      </c>
      <c r="D479" s="167" t="s">
        <v>3790</v>
      </c>
      <c r="E479" s="11">
        <v>15979943806</v>
      </c>
      <c r="F479" s="167" t="s">
        <v>384</v>
      </c>
      <c r="G479" s="167" t="s">
        <v>25</v>
      </c>
      <c r="H479" s="11">
        <v>202101007</v>
      </c>
      <c r="I479" s="167" t="s">
        <v>157</v>
      </c>
      <c r="J479" s="167" t="s">
        <v>2874</v>
      </c>
      <c r="K479" s="167" t="s">
        <v>3792</v>
      </c>
      <c r="L479" s="167" t="s">
        <v>170</v>
      </c>
      <c r="M479" s="167" t="s">
        <v>216</v>
      </c>
      <c r="N479" s="167" t="s">
        <v>25</v>
      </c>
      <c r="O479" s="167" t="s">
        <v>3793</v>
      </c>
      <c r="P479" s="12" t="str">
        <f>_xlfn.DISPIMG("ID_7E3A3C48C46B4922B18A5C2AD1587AC0",1)</f>
        <v>=DISPIMG("ID_7E3A3C48C46B4922B18A5C2AD1587AC0",1)</v>
      </c>
      <c r="Q479" s="11" t="s">
        <v>3794</v>
      </c>
      <c r="R479" s="20">
        <v>483</v>
      </c>
      <c r="S479" s="17" t="s">
        <v>4756</v>
      </c>
      <c r="T479" s="18" t="s">
        <v>70</v>
      </c>
    </row>
    <row r="480" s="3" customFormat="1" customHeight="1" spans="1:20">
      <c r="A480" s="84">
        <v>28</v>
      </c>
      <c r="B480" s="177" t="s">
        <v>3918</v>
      </c>
      <c r="C480" s="167" t="s">
        <v>165</v>
      </c>
      <c r="D480" s="167" t="s">
        <v>3919</v>
      </c>
      <c r="E480" s="11">
        <v>18979261626</v>
      </c>
      <c r="F480" s="167" t="s">
        <v>384</v>
      </c>
      <c r="G480" s="167" t="s">
        <v>25</v>
      </c>
      <c r="H480" s="11">
        <v>202101007</v>
      </c>
      <c r="I480" s="167" t="s">
        <v>157</v>
      </c>
      <c r="J480" s="167" t="s">
        <v>178</v>
      </c>
      <c r="K480" s="167" t="s">
        <v>179</v>
      </c>
      <c r="L480" s="167" t="s">
        <v>170</v>
      </c>
      <c r="M480" s="167" t="s">
        <v>161</v>
      </c>
      <c r="N480" s="167" t="s">
        <v>952</v>
      </c>
      <c r="O480" s="167" t="s">
        <v>3920</v>
      </c>
      <c r="P480" s="12" t="str">
        <f>_xlfn.DISPIMG("ID_64C458B5785C4AE8B3EB4D932C0866CC",1)</f>
        <v>=DISPIMG("ID_64C458B5785C4AE8B3EB4D932C0866CC",1)</v>
      </c>
      <c r="Q480" s="11" t="s">
        <v>3921</v>
      </c>
      <c r="R480" s="20">
        <v>500</v>
      </c>
      <c r="S480" s="17" t="s">
        <v>4757</v>
      </c>
      <c r="T480" s="18" t="s">
        <v>70</v>
      </c>
    </row>
    <row r="481" s="3" customFormat="1" customHeight="1" spans="1:20">
      <c r="A481" s="84">
        <v>29</v>
      </c>
      <c r="B481" s="177" t="s">
        <v>4006</v>
      </c>
      <c r="C481" s="167" t="s">
        <v>165</v>
      </c>
      <c r="D481" s="167" t="s">
        <v>4007</v>
      </c>
      <c r="E481" s="11">
        <v>15979112724</v>
      </c>
      <c r="F481" s="167" t="s">
        <v>297</v>
      </c>
      <c r="G481" s="167" t="s">
        <v>25</v>
      </c>
      <c r="H481" s="11">
        <v>202101008</v>
      </c>
      <c r="I481" s="167" t="s">
        <v>157</v>
      </c>
      <c r="J481" s="167" t="s">
        <v>3070</v>
      </c>
      <c r="K481" s="167" t="s">
        <v>179</v>
      </c>
      <c r="L481" s="167" t="s">
        <v>170</v>
      </c>
      <c r="M481" s="167" t="s">
        <v>306</v>
      </c>
      <c r="N481" s="167" t="s">
        <v>1692</v>
      </c>
      <c r="O481" s="167" t="s">
        <v>4009</v>
      </c>
      <c r="P481" s="12" t="str">
        <f>_xlfn.DISPIMG("ID_410BA329CDB34577BE3D2E13C6D8589F",1)</f>
        <v>=DISPIMG("ID_410BA329CDB34577BE3D2E13C6D8589F",1)</v>
      </c>
      <c r="Q481" s="11" t="s">
        <v>4010</v>
      </c>
      <c r="R481" s="20">
        <v>512</v>
      </c>
      <c r="S481" s="17" t="s">
        <v>4758</v>
      </c>
      <c r="T481" s="18" t="s">
        <v>70</v>
      </c>
    </row>
    <row r="482" s="3" customFormat="1" customHeight="1" spans="1:20">
      <c r="A482" s="84">
        <v>30</v>
      </c>
      <c r="B482" s="177" t="s">
        <v>4073</v>
      </c>
      <c r="C482" s="167" t="s">
        <v>165</v>
      </c>
      <c r="D482" s="167" t="s">
        <v>4074</v>
      </c>
      <c r="E482" s="11">
        <v>18379233389</v>
      </c>
      <c r="F482" s="167" t="s">
        <v>297</v>
      </c>
      <c r="G482" s="167" t="s">
        <v>25</v>
      </c>
      <c r="H482" s="11">
        <v>202101008</v>
      </c>
      <c r="I482" s="167" t="s">
        <v>157</v>
      </c>
      <c r="J482" s="167" t="s">
        <v>4076</v>
      </c>
      <c r="K482" s="167" t="s">
        <v>179</v>
      </c>
      <c r="L482" s="167" t="s">
        <v>160</v>
      </c>
      <c r="M482" s="167" t="s">
        <v>919</v>
      </c>
      <c r="N482" s="167" t="s">
        <v>4077</v>
      </c>
      <c r="O482" s="167" t="s">
        <v>4078</v>
      </c>
      <c r="P482" s="12" t="str">
        <f>_xlfn.DISPIMG("ID_5240EB7A8E6D4B1A8B52378BBD0117F8",1)</f>
        <v>=DISPIMG("ID_5240EB7A8E6D4B1A8B52378BBD0117F8",1)</v>
      </c>
      <c r="Q482" s="11" t="s">
        <v>4079</v>
      </c>
      <c r="R482" s="20">
        <v>521</v>
      </c>
      <c r="S482" s="17" t="s">
        <v>4759</v>
      </c>
      <c r="T482" s="18" t="s">
        <v>70</v>
      </c>
    </row>
    <row r="483" s="3" customFormat="1" customHeight="1" spans="1:20">
      <c r="A483" s="84">
        <v>1</v>
      </c>
      <c r="B483" s="177" t="s">
        <v>265</v>
      </c>
      <c r="C483" s="167" t="s">
        <v>153</v>
      </c>
      <c r="D483" s="167" t="s">
        <v>266</v>
      </c>
      <c r="E483" s="11">
        <v>15720975163</v>
      </c>
      <c r="F483" s="167" t="s">
        <v>268</v>
      </c>
      <c r="G483" s="167" t="s">
        <v>20</v>
      </c>
      <c r="H483" s="11">
        <v>202101004</v>
      </c>
      <c r="I483" s="167" t="s">
        <v>157</v>
      </c>
      <c r="J483" s="167" t="s">
        <v>269</v>
      </c>
      <c r="K483" s="167" t="s">
        <v>270</v>
      </c>
      <c r="L483" s="167" t="s">
        <v>170</v>
      </c>
      <c r="M483" s="167" t="s">
        <v>261</v>
      </c>
      <c r="N483" s="167" t="s">
        <v>20</v>
      </c>
      <c r="O483" s="167" t="s">
        <v>271</v>
      </c>
      <c r="P483" s="12" t="str">
        <f>_xlfn.DISPIMG("ID_E6B64D542CF24756B648DE72B52C0790",1)</f>
        <v>=DISPIMG("ID_E6B64D542CF24756B648DE72B52C0790",1)</v>
      </c>
      <c r="Q483" s="11" t="s">
        <v>272</v>
      </c>
      <c r="R483" s="11">
        <v>14</v>
      </c>
      <c r="S483" s="17" t="s">
        <v>4760</v>
      </c>
      <c r="T483" s="18" t="s">
        <v>72</v>
      </c>
    </row>
    <row r="484" s="3" customFormat="1" customHeight="1" spans="1:20">
      <c r="A484" s="84">
        <v>2</v>
      </c>
      <c r="B484" s="177" t="s">
        <v>522</v>
      </c>
      <c r="C484" s="167" t="s">
        <v>165</v>
      </c>
      <c r="D484" s="167" t="s">
        <v>523</v>
      </c>
      <c r="E484" s="11">
        <v>18779278905</v>
      </c>
      <c r="F484" s="167" t="s">
        <v>268</v>
      </c>
      <c r="G484" s="167" t="s">
        <v>20</v>
      </c>
      <c r="H484" s="11">
        <v>202101004</v>
      </c>
      <c r="I484" s="167" t="s">
        <v>157</v>
      </c>
      <c r="J484" s="167" t="s">
        <v>233</v>
      </c>
      <c r="K484" s="167" t="s">
        <v>525</v>
      </c>
      <c r="L484" s="167" t="s">
        <v>170</v>
      </c>
      <c r="M484" s="167" t="s">
        <v>161</v>
      </c>
      <c r="N484" s="167" t="s">
        <v>20</v>
      </c>
      <c r="O484" s="11">
        <v>0</v>
      </c>
      <c r="P484" s="12" t="str">
        <f>_xlfn.DISPIMG("ID_71DE12F1CD59449693F0263DC215D27B",1)</f>
        <v>=DISPIMG("ID_71DE12F1CD59449693F0263DC215D27B",1)</v>
      </c>
      <c r="Q484" s="11" t="s">
        <v>526</v>
      </c>
      <c r="R484" s="11">
        <v>44</v>
      </c>
      <c r="S484" s="17" t="s">
        <v>4761</v>
      </c>
      <c r="T484" s="18" t="s">
        <v>72</v>
      </c>
    </row>
    <row r="485" s="3" customFormat="1" customHeight="1" spans="1:20">
      <c r="A485" s="84">
        <v>3</v>
      </c>
      <c r="B485" s="177" t="s">
        <v>1050</v>
      </c>
      <c r="C485" s="167" t="s">
        <v>165</v>
      </c>
      <c r="D485" s="167" t="s">
        <v>1051</v>
      </c>
      <c r="E485" s="11">
        <v>15180471768</v>
      </c>
      <c r="F485" s="167" t="s">
        <v>384</v>
      </c>
      <c r="G485" s="167" t="s">
        <v>20</v>
      </c>
      <c r="H485" s="11">
        <v>202101005</v>
      </c>
      <c r="I485" s="167" t="s">
        <v>157</v>
      </c>
      <c r="J485" s="167" t="s">
        <v>178</v>
      </c>
      <c r="K485" s="167" t="s">
        <v>270</v>
      </c>
      <c r="L485" s="167" t="s">
        <v>170</v>
      </c>
      <c r="M485" s="167" t="s">
        <v>261</v>
      </c>
      <c r="N485" s="167" t="s">
        <v>20</v>
      </c>
      <c r="O485" s="11">
        <v>0</v>
      </c>
      <c r="P485" s="12" t="str">
        <f>_xlfn.DISPIMG("ID_296B75901486490E98D040532231AC8D",1)</f>
        <v>=DISPIMG("ID_296B75901486490E98D040532231AC8D",1)</v>
      </c>
      <c r="Q485" s="11" t="s">
        <v>1052</v>
      </c>
      <c r="R485" s="11">
        <v>108</v>
      </c>
      <c r="S485" s="17" t="s">
        <v>4762</v>
      </c>
      <c r="T485" s="18" t="s">
        <v>72</v>
      </c>
    </row>
    <row r="486" s="3" customFormat="1" customHeight="1" spans="1:20">
      <c r="A486" s="84">
        <v>4</v>
      </c>
      <c r="B486" s="177" t="s">
        <v>1055</v>
      </c>
      <c r="C486" s="167" t="s">
        <v>165</v>
      </c>
      <c r="D486" s="167" t="s">
        <v>1056</v>
      </c>
      <c r="E486" s="11">
        <v>15279286807</v>
      </c>
      <c r="F486" s="167" t="s">
        <v>384</v>
      </c>
      <c r="G486" s="167" t="s">
        <v>20</v>
      </c>
      <c r="H486" s="11">
        <v>202101005</v>
      </c>
      <c r="I486" s="167" t="s">
        <v>157</v>
      </c>
      <c r="J486" s="167" t="s">
        <v>178</v>
      </c>
      <c r="K486" s="167" t="s">
        <v>270</v>
      </c>
      <c r="L486" s="167" t="s">
        <v>170</v>
      </c>
      <c r="M486" s="167" t="s">
        <v>261</v>
      </c>
      <c r="N486" s="167" t="s">
        <v>20</v>
      </c>
      <c r="O486" s="11">
        <v>0</v>
      </c>
      <c r="P486" s="12" t="str">
        <f>_xlfn.DISPIMG("ID_1261702926BF4B91B3BBC8CF57D7C930",1)</f>
        <v>=DISPIMG("ID_1261702926BF4B91B3BBC8CF57D7C930",1)</v>
      </c>
      <c r="Q486" s="11" t="s">
        <v>1058</v>
      </c>
      <c r="R486" s="11">
        <v>109</v>
      </c>
      <c r="S486" s="17" t="s">
        <v>4763</v>
      </c>
      <c r="T486" s="18" t="s">
        <v>72</v>
      </c>
    </row>
    <row r="487" s="3" customFormat="1" customHeight="1" spans="1:20">
      <c r="A487" s="84">
        <v>5</v>
      </c>
      <c r="B487" s="177" t="s">
        <v>1729</v>
      </c>
      <c r="C487" s="167" t="s">
        <v>153</v>
      </c>
      <c r="D487" s="167" t="s">
        <v>1730</v>
      </c>
      <c r="E487" s="11">
        <v>18720253839</v>
      </c>
      <c r="F487" s="167" t="s">
        <v>384</v>
      </c>
      <c r="G487" s="167" t="s">
        <v>20</v>
      </c>
      <c r="H487" s="11">
        <v>202101005</v>
      </c>
      <c r="I487" s="167" t="s">
        <v>157</v>
      </c>
      <c r="J487" s="167" t="s">
        <v>1258</v>
      </c>
      <c r="K487" s="167" t="s">
        <v>270</v>
      </c>
      <c r="L487" s="167" t="s">
        <v>170</v>
      </c>
      <c r="M487" s="167" t="s">
        <v>349</v>
      </c>
      <c r="N487" s="167" t="s">
        <v>1732</v>
      </c>
      <c r="O487" s="167" t="s">
        <v>1733</v>
      </c>
      <c r="P487" s="12" t="str">
        <f>_xlfn.DISPIMG("ID_677AC12F255C494892F34EE0AF9DED02",1)</f>
        <v>=DISPIMG("ID_677AC12F255C494892F34EE0AF9DED02",1)</v>
      </c>
      <c r="Q487" s="11" t="s">
        <v>1734</v>
      </c>
      <c r="R487" s="11">
        <v>196</v>
      </c>
      <c r="S487" s="17" t="s">
        <v>4764</v>
      </c>
      <c r="T487" s="18" t="s">
        <v>72</v>
      </c>
    </row>
    <row r="488" s="3" customFormat="1" customHeight="1" spans="1:20">
      <c r="A488" s="84">
        <v>6</v>
      </c>
      <c r="B488" s="177" t="s">
        <v>2044</v>
      </c>
      <c r="C488" s="167" t="s">
        <v>153</v>
      </c>
      <c r="D488" s="167" t="s">
        <v>2045</v>
      </c>
      <c r="E488" s="11">
        <v>15949584388</v>
      </c>
      <c r="F488" s="167" t="s">
        <v>384</v>
      </c>
      <c r="G488" s="167" t="s">
        <v>20</v>
      </c>
      <c r="H488" s="11">
        <v>202101005</v>
      </c>
      <c r="I488" s="167" t="s">
        <v>157</v>
      </c>
      <c r="J488" s="167" t="s">
        <v>158</v>
      </c>
      <c r="K488" s="167" t="s">
        <v>270</v>
      </c>
      <c r="L488" s="167" t="s">
        <v>170</v>
      </c>
      <c r="M488" s="167" t="s">
        <v>2047</v>
      </c>
      <c r="N488" s="167" t="s">
        <v>2048</v>
      </c>
      <c r="O488" s="167" t="s">
        <v>2049</v>
      </c>
      <c r="P488" s="12" t="str">
        <f>_xlfn.DISPIMG("ID_AA05B8B9BBB64A2C8B2DEFAC2B7912C3",1)</f>
        <v>=DISPIMG("ID_AA05B8B9BBB64A2C8B2DEFAC2B7912C3",1)</v>
      </c>
      <c r="Q488" s="11" t="s">
        <v>2050</v>
      </c>
      <c r="R488" s="11">
        <v>238</v>
      </c>
      <c r="S488" s="17" t="s">
        <v>4765</v>
      </c>
      <c r="T488" s="18" t="s">
        <v>72</v>
      </c>
    </row>
    <row r="489" s="3" customFormat="1" customHeight="1" spans="1:20">
      <c r="A489" s="84">
        <v>7</v>
      </c>
      <c r="B489" s="177" t="s">
        <v>2172</v>
      </c>
      <c r="C489" s="167" t="s">
        <v>153</v>
      </c>
      <c r="D489" s="167" t="s">
        <v>2173</v>
      </c>
      <c r="E489" s="11">
        <v>18370791182</v>
      </c>
      <c r="F489" s="167" t="s">
        <v>297</v>
      </c>
      <c r="G489" s="167" t="s">
        <v>20</v>
      </c>
      <c r="H489" s="11">
        <v>202101006</v>
      </c>
      <c r="I489" s="167" t="s">
        <v>157</v>
      </c>
      <c r="J489" s="167" t="s">
        <v>1413</v>
      </c>
      <c r="K489" s="167" t="s">
        <v>243</v>
      </c>
      <c r="L489" s="167" t="s">
        <v>160</v>
      </c>
      <c r="M489" s="167" t="s">
        <v>199</v>
      </c>
      <c r="N489" s="167" t="s">
        <v>2175</v>
      </c>
      <c r="O489" s="167" t="s">
        <v>2176</v>
      </c>
      <c r="P489" s="12" t="str">
        <f>_xlfn.DISPIMG("ID_164BFB36FB944A6B8D1C179D10EFE455",1)</f>
        <v>=DISPIMG("ID_164BFB36FB944A6B8D1C179D10EFE455",1)</v>
      </c>
      <c r="Q489" s="11" t="s">
        <v>2177</v>
      </c>
      <c r="R489" s="11">
        <v>255</v>
      </c>
      <c r="S489" s="17" t="s">
        <v>4766</v>
      </c>
      <c r="T489" s="18" t="s">
        <v>72</v>
      </c>
    </row>
    <row r="490" s="3" customFormat="1" customHeight="1" spans="1:20">
      <c r="A490" s="84">
        <v>8</v>
      </c>
      <c r="B490" s="177" t="s">
        <v>3473</v>
      </c>
      <c r="C490" s="167" t="s">
        <v>165</v>
      </c>
      <c r="D490" s="167" t="s">
        <v>3474</v>
      </c>
      <c r="E490" s="11">
        <v>16605630524</v>
      </c>
      <c r="F490" s="167" t="s">
        <v>384</v>
      </c>
      <c r="G490" s="167" t="s">
        <v>20</v>
      </c>
      <c r="H490" s="11">
        <v>202101005</v>
      </c>
      <c r="I490" s="167" t="s">
        <v>705</v>
      </c>
      <c r="J490" s="167" t="s">
        <v>1112</v>
      </c>
      <c r="K490" s="167" t="s">
        <v>3476</v>
      </c>
      <c r="L490" s="167" t="s">
        <v>160</v>
      </c>
      <c r="M490" s="167" t="s">
        <v>455</v>
      </c>
      <c r="N490" s="167" t="s">
        <v>3477</v>
      </c>
      <c r="O490" s="11">
        <v>0</v>
      </c>
      <c r="P490" s="12" t="str">
        <f>_xlfn.DISPIMG("ID_BFF35F7767BD4AFE8B2C782755AFDE14",1)</f>
        <v>=DISPIMG("ID_BFF35F7767BD4AFE8B2C782755AFDE14",1)</v>
      </c>
      <c r="Q490" s="11" t="s">
        <v>3478</v>
      </c>
      <c r="R490" s="11">
        <v>439</v>
      </c>
      <c r="S490" s="17" t="s">
        <v>4767</v>
      </c>
      <c r="T490" s="18" t="s">
        <v>72</v>
      </c>
    </row>
    <row r="491" s="3" customFormat="1" customHeight="1" spans="1:20">
      <c r="A491" s="84">
        <v>9</v>
      </c>
      <c r="B491" s="177" t="s">
        <v>3661</v>
      </c>
      <c r="C491" s="167" t="s">
        <v>165</v>
      </c>
      <c r="D491" s="167" t="s">
        <v>3662</v>
      </c>
      <c r="E491" s="11">
        <v>15623206169</v>
      </c>
      <c r="F491" s="167" t="s">
        <v>297</v>
      </c>
      <c r="G491" s="167" t="s">
        <v>20</v>
      </c>
      <c r="H491" s="11">
        <v>202101006</v>
      </c>
      <c r="I491" s="167" t="s">
        <v>157</v>
      </c>
      <c r="J491" s="167" t="s">
        <v>3663</v>
      </c>
      <c r="K491" s="167" t="s">
        <v>1832</v>
      </c>
      <c r="L491" s="167" t="s">
        <v>160</v>
      </c>
      <c r="M491" s="167" t="s">
        <v>455</v>
      </c>
      <c r="N491" s="167" t="s">
        <v>20</v>
      </c>
      <c r="O491" s="11">
        <v>0</v>
      </c>
      <c r="P491" s="12" t="str">
        <f>_xlfn.DISPIMG("ID_2A9E22A9ABC949F8A9FA9AA3239D48CC",1)</f>
        <v>=DISPIMG("ID_2A9E22A9ABC949F8A9FA9AA3239D48CC",1)</v>
      </c>
      <c r="Q491" s="11" t="s">
        <v>3664</v>
      </c>
      <c r="R491" s="11">
        <v>466</v>
      </c>
      <c r="S491" s="17" t="s">
        <v>4768</v>
      </c>
      <c r="T491" s="18" t="s">
        <v>72</v>
      </c>
    </row>
    <row r="492" s="3" customFormat="1" customHeight="1" spans="1:20">
      <c r="A492" s="84">
        <v>10</v>
      </c>
      <c r="B492" s="177" t="s">
        <v>3955</v>
      </c>
      <c r="C492" s="167" t="s">
        <v>153</v>
      </c>
      <c r="D492" s="167" t="s">
        <v>3956</v>
      </c>
      <c r="E492" s="11">
        <v>18379670015</v>
      </c>
      <c r="F492" s="167" t="s">
        <v>384</v>
      </c>
      <c r="G492" s="167" t="s">
        <v>20</v>
      </c>
      <c r="H492" s="11">
        <v>202101005</v>
      </c>
      <c r="I492" s="167" t="s">
        <v>157</v>
      </c>
      <c r="J492" s="167" t="s">
        <v>507</v>
      </c>
      <c r="K492" s="167" t="s">
        <v>270</v>
      </c>
      <c r="L492" s="167" t="s">
        <v>170</v>
      </c>
      <c r="M492" s="167" t="s">
        <v>235</v>
      </c>
      <c r="N492" s="167" t="s">
        <v>1322</v>
      </c>
      <c r="O492" s="167" t="s">
        <v>3958</v>
      </c>
      <c r="P492" s="12" t="str">
        <f>_xlfn.DISPIMG("ID_C25C6B154C2847C9934F6981B40FCD0C",1)</f>
        <v>=DISPIMG("ID_C25C6B154C2847C9934F6981B40FCD0C",1)</v>
      </c>
      <c r="Q492" s="11" t="s">
        <v>3959</v>
      </c>
      <c r="R492" s="11">
        <v>505</v>
      </c>
      <c r="S492" s="17" t="s">
        <v>4769</v>
      </c>
      <c r="T492" s="18" t="s">
        <v>72</v>
      </c>
    </row>
    <row r="493" s="3" customFormat="1" customHeight="1" spans="1:20">
      <c r="A493" s="84">
        <v>11</v>
      </c>
      <c r="B493" s="177" t="s">
        <v>3978</v>
      </c>
      <c r="C493" s="167" t="s">
        <v>165</v>
      </c>
      <c r="D493" s="167" t="s">
        <v>3979</v>
      </c>
      <c r="E493" s="11">
        <v>15070298026</v>
      </c>
      <c r="F493" s="167" t="s">
        <v>268</v>
      </c>
      <c r="G493" s="167" t="s">
        <v>20</v>
      </c>
      <c r="H493" s="11">
        <v>202101004</v>
      </c>
      <c r="I493" s="167" t="s">
        <v>157</v>
      </c>
      <c r="J493" s="167" t="s">
        <v>178</v>
      </c>
      <c r="K493" s="167" t="s">
        <v>270</v>
      </c>
      <c r="L493" s="167" t="s">
        <v>170</v>
      </c>
      <c r="M493" s="167" t="s">
        <v>261</v>
      </c>
      <c r="N493" s="167" t="s">
        <v>20</v>
      </c>
      <c r="O493" s="11">
        <v>0</v>
      </c>
      <c r="P493" s="12" t="str">
        <f>_xlfn.DISPIMG("ID_41FDB18DF8F04859BBDC981BC12AE5F4",1)</f>
        <v>=DISPIMG("ID_41FDB18DF8F04859BBDC981BC12AE5F4",1)</v>
      </c>
      <c r="Q493" s="11" t="s">
        <v>3981</v>
      </c>
      <c r="R493" s="11">
        <v>508</v>
      </c>
      <c r="S493" s="17" t="s">
        <v>4770</v>
      </c>
      <c r="T493" s="18" t="s">
        <v>72</v>
      </c>
    </row>
    <row r="494" s="5" customFormat="1" customHeight="1" spans="1:20">
      <c r="A494" s="84">
        <v>12</v>
      </c>
      <c r="B494" s="177" t="s">
        <v>4161</v>
      </c>
      <c r="C494" s="167" t="s">
        <v>165</v>
      </c>
      <c r="D494" s="167" t="s">
        <v>4162</v>
      </c>
      <c r="E494" s="11">
        <v>15999192756</v>
      </c>
      <c r="F494" s="167" t="s">
        <v>297</v>
      </c>
      <c r="G494" s="167" t="s">
        <v>20</v>
      </c>
      <c r="H494" s="11">
        <v>202101006</v>
      </c>
      <c r="I494" s="167" t="s">
        <v>157</v>
      </c>
      <c r="J494" s="167" t="s">
        <v>4164</v>
      </c>
      <c r="K494" s="167" t="s">
        <v>4165</v>
      </c>
      <c r="L494" s="167" t="s">
        <v>160</v>
      </c>
      <c r="M494" s="167" t="s">
        <v>1089</v>
      </c>
      <c r="N494" s="167" t="s">
        <v>20</v>
      </c>
      <c r="O494" s="167" t="s">
        <v>4166</v>
      </c>
      <c r="P494" s="12" t="str">
        <f>_xlfn.DISPIMG("ID_0FB1CC236BB0441E8D7B28856D597318",1)</f>
        <v>=DISPIMG("ID_0FB1CC236BB0441E8D7B28856D597318",1)</v>
      </c>
      <c r="Q494" s="11" t="s">
        <v>4167</v>
      </c>
      <c r="R494" s="11">
        <v>532</v>
      </c>
      <c r="S494" s="17" t="s">
        <v>4771</v>
      </c>
      <c r="T494" s="18" t="s">
        <v>72</v>
      </c>
    </row>
    <row r="495" s="3" customFormat="1" customHeight="1" spans="1:20">
      <c r="A495" s="84">
        <v>13</v>
      </c>
      <c r="B495" s="177" t="s">
        <v>833</v>
      </c>
      <c r="C495" s="167" t="s">
        <v>165</v>
      </c>
      <c r="D495" s="167" t="s">
        <v>1302</v>
      </c>
      <c r="E495" s="11">
        <v>15770803797</v>
      </c>
      <c r="F495" s="167" t="s">
        <v>384</v>
      </c>
      <c r="G495" s="167" t="s">
        <v>19</v>
      </c>
      <c r="H495" s="11">
        <v>202101014</v>
      </c>
      <c r="I495" s="167" t="s">
        <v>705</v>
      </c>
      <c r="J495" s="167" t="s">
        <v>1304</v>
      </c>
      <c r="K495" s="167" t="s">
        <v>1305</v>
      </c>
      <c r="L495" s="167" t="s">
        <v>160</v>
      </c>
      <c r="M495" s="167" t="s">
        <v>516</v>
      </c>
      <c r="N495" s="167" t="s">
        <v>1306</v>
      </c>
      <c r="O495" s="167" t="s">
        <v>1307</v>
      </c>
      <c r="P495" s="12" t="str">
        <f>_xlfn.DISPIMG("ID_2E0E8C97ADBC44CDA9BEA81CC587B750",1)</f>
        <v>=DISPIMG("ID_2E0E8C97ADBC44CDA9BEA81CC587B750",1)</v>
      </c>
      <c r="Q495" s="11" t="s">
        <v>1308</v>
      </c>
      <c r="R495" s="11">
        <v>141</v>
      </c>
      <c r="S495" s="17" t="s">
        <v>4772</v>
      </c>
      <c r="T495" s="18" t="s">
        <v>72</v>
      </c>
    </row>
    <row r="496" s="3" customFormat="1" customHeight="1" spans="1:20">
      <c r="A496" s="84">
        <v>14</v>
      </c>
      <c r="B496" s="177" t="s">
        <v>1637</v>
      </c>
      <c r="C496" s="167" t="s">
        <v>165</v>
      </c>
      <c r="D496" s="167" t="s">
        <v>1638</v>
      </c>
      <c r="E496" s="11">
        <v>18279206250</v>
      </c>
      <c r="F496" s="167" t="s">
        <v>384</v>
      </c>
      <c r="G496" s="167" t="s">
        <v>19</v>
      </c>
      <c r="H496" s="11">
        <v>202101014</v>
      </c>
      <c r="I496" s="167" t="s">
        <v>157</v>
      </c>
      <c r="J496" s="167" t="s">
        <v>178</v>
      </c>
      <c r="K496" s="167" t="s">
        <v>1639</v>
      </c>
      <c r="L496" s="167" t="s">
        <v>170</v>
      </c>
      <c r="M496" s="167" t="s">
        <v>455</v>
      </c>
      <c r="N496" s="167" t="s">
        <v>19</v>
      </c>
      <c r="O496" s="11">
        <v>0</v>
      </c>
      <c r="P496" s="12" t="str">
        <f>_xlfn.DISPIMG("ID_74FDF0D5FA0548BCA212C8D2C43783F4",1)</f>
        <v>=DISPIMG("ID_74FDF0D5FA0548BCA212C8D2C43783F4",1)</v>
      </c>
      <c r="Q496" s="11" t="s">
        <v>1640</v>
      </c>
      <c r="R496" s="11">
        <v>184</v>
      </c>
      <c r="S496" s="17" t="s">
        <v>4773</v>
      </c>
      <c r="T496" s="18" t="s">
        <v>72</v>
      </c>
    </row>
    <row r="497" s="3" customFormat="1" customHeight="1" spans="1:20">
      <c r="A497" s="84">
        <v>15</v>
      </c>
      <c r="B497" s="177" t="s">
        <v>2104</v>
      </c>
      <c r="C497" s="167" t="s">
        <v>165</v>
      </c>
      <c r="D497" s="167" t="s">
        <v>2105</v>
      </c>
      <c r="E497" s="11">
        <v>13817884693</v>
      </c>
      <c r="F497" s="167" t="s">
        <v>384</v>
      </c>
      <c r="G497" s="167" t="s">
        <v>19</v>
      </c>
      <c r="H497" s="11">
        <v>202101014</v>
      </c>
      <c r="I497" s="167" t="s">
        <v>705</v>
      </c>
      <c r="J497" s="167" t="s">
        <v>2063</v>
      </c>
      <c r="K497" s="167" t="s">
        <v>2107</v>
      </c>
      <c r="L497" s="167" t="s">
        <v>160</v>
      </c>
      <c r="M497" s="167" t="s">
        <v>396</v>
      </c>
      <c r="N497" s="167" t="s">
        <v>2108</v>
      </c>
      <c r="O497" s="167" t="s">
        <v>2109</v>
      </c>
      <c r="P497" s="12" t="str">
        <f>_xlfn.DISPIMG("ID_21FE4349EE994987AC614A279458E356",1)</f>
        <v>=DISPIMG("ID_21FE4349EE994987AC614A279458E356",1)</v>
      </c>
      <c r="Q497" s="11" t="s">
        <v>2110</v>
      </c>
      <c r="R497" s="11">
        <v>246</v>
      </c>
      <c r="S497" s="17" t="s">
        <v>4774</v>
      </c>
      <c r="T497" s="18" t="s">
        <v>72</v>
      </c>
    </row>
    <row r="498" s="3" customFormat="1" customHeight="1" spans="1:20">
      <c r="A498" s="84">
        <v>16</v>
      </c>
      <c r="B498" s="177" t="s">
        <v>152</v>
      </c>
      <c r="C498" s="167" t="s">
        <v>153</v>
      </c>
      <c r="D498" s="167" t="s">
        <v>154</v>
      </c>
      <c r="E498" s="11">
        <v>18807023240</v>
      </c>
      <c r="F498" s="167" t="s">
        <v>156</v>
      </c>
      <c r="G498" s="167" t="s">
        <v>10</v>
      </c>
      <c r="H498" s="11">
        <v>202102004</v>
      </c>
      <c r="I498" s="167" t="s">
        <v>157</v>
      </c>
      <c r="J498" s="167" t="s">
        <v>158</v>
      </c>
      <c r="K498" s="167" t="s">
        <v>159</v>
      </c>
      <c r="L498" s="167" t="s">
        <v>160</v>
      </c>
      <c r="M498" s="167" t="s">
        <v>161</v>
      </c>
      <c r="N498" s="167" t="s">
        <v>10</v>
      </c>
      <c r="O498" s="11">
        <v>0</v>
      </c>
      <c r="P498" s="12" t="str">
        <f>_xlfn.DISPIMG("ID_1BBFB8252D30496F95F71593A2B76AF5",1)</f>
        <v>=DISPIMG("ID_1BBFB8252D30496F95F71593A2B76AF5",1)</v>
      </c>
      <c r="Q498" s="11" t="s">
        <v>162</v>
      </c>
      <c r="R498" s="11">
        <v>2</v>
      </c>
      <c r="S498" s="17" t="s">
        <v>4775</v>
      </c>
      <c r="T498" s="18" t="s">
        <v>72</v>
      </c>
    </row>
    <row r="499" s="3" customFormat="1" customHeight="1" spans="1:20">
      <c r="A499" s="84">
        <v>17</v>
      </c>
      <c r="B499" s="179" t="s">
        <v>2940</v>
      </c>
      <c r="C499" s="175" t="s">
        <v>153</v>
      </c>
      <c r="D499" s="175" t="s">
        <v>2941</v>
      </c>
      <c r="E499" s="11">
        <v>18679635856</v>
      </c>
      <c r="F499" s="175" t="s">
        <v>156</v>
      </c>
      <c r="G499" s="175" t="s">
        <v>10</v>
      </c>
      <c r="H499" s="25">
        <v>202102004</v>
      </c>
      <c r="I499" s="175" t="s">
        <v>157</v>
      </c>
      <c r="J499" s="175" t="s">
        <v>2943</v>
      </c>
      <c r="K499" s="175" t="s">
        <v>2093</v>
      </c>
      <c r="L499" s="175" t="s">
        <v>160</v>
      </c>
      <c r="M499" s="175" t="s">
        <v>587</v>
      </c>
      <c r="N499" s="175" t="s">
        <v>10</v>
      </c>
      <c r="O499" s="25">
        <v>0</v>
      </c>
      <c r="P499" s="26" t="str">
        <f>_xlfn.DISPIMG("ID_5CF4EBD7502F4485844CA64AA4EECF8E",1)</f>
        <v>=DISPIMG("ID_5CF4EBD7502F4485844CA64AA4EECF8E",1)</v>
      </c>
      <c r="Q499" s="25" t="s">
        <v>2944</v>
      </c>
      <c r="R499" s="25">
        <v>361</v>
      </c>
      <c r="S499" s="17" t="s">
        <v>4776</v>
      </c>
      <c r="T499" s="18" t="s">
        <v>72</v>
      </c>
    </row>
    <row r="500" s="3" customFormat="1" customHeight="1" spans="1:20">
      <c r="A500" s="84"/>
      <c r="B500" s="95"/>
      <c r="C500" s="25"/>
      <c r="D500" s="25"/>
      <c r="E500" s="11"/>
      <c r="F500" s="25"/>
      <c r="G500" s="25"/>
      <c r="H500" s="25"/>
      <c r="I500" s="25"/>
      <c r="J500" s="25"/>
      <c r="K500" s="25"/>
      <c r="L500" s="25"/>
      <c r="M500" s="25"/>
      <c r="N500" s="25"/>
      <c r="O500" s="25"/>
      <c r="P500" s="26"/>
      <c r="Q500" s="25"/>
      <c r="R500" s="25"/>
      <c r="S500" s="17"/>
      <c r="T500" s="18"/>
    </row>
    <row r="501" s="3" customFormat="1" customHeight="1" spans="1:20">
      <c r="A501" s="84"/>
      <c r="B501" s="95"/>
      <c r="C501" s="25"/>
      <c r="D501" s="25"/>
      <c r="E501" s="11"/>
      <c r="F501" s="25"/>
      <c r="G501" s="25"/>
      <c r="H501" s="25"/>
      <c r="I501" s="25"/>
      <c r="J501" s="25"/>
      <c r="K501" s="25"/>
      <c r="L501" s="25"/>
      <c r="M501" s="25"/>
      <c r="N501" s="25"/>
      <c r="O501" s="25"/>
      <c r="P501" s="26"/>
      <c r="Q501" s="25"/>
      <c r="R501" s="25"/>
      <c r="S501" s="17"/>
      <c r="T501" s="18"/>
    </row>
    <row r="502" s="3" customFormat="1" customHeight="1" spans="1:20">
      <c r="A502" s="84"/>
      <c r="B502" s="95"/>
      <c r="C502" s="25"/>
      <c r="D502" s="25"/>
      <c r="E502" s="11"/>
      <c r="F502" s="25"/>
      <c r="G502" s="25"/>
      <c r="H502" s="25"/>
      <c r="I502" s="25"/>
      <c r="J502" s="25"/>
      <c r="K502" s="25"/>
      <c r="L502" s="25"/>
      <c r="M502" s="25"/>
      <c r="N502" s="25"/>
      <c r="O502" s="25"/>
      <c r="P502" s="26"/>
      <c r="Q502" s="25"/>
      <c r="R502" s="25"/>
      <c r="S502" s="17"/>
      <c r="T502" s="18"/>
    </row>
    <row r="503" s="3" customFormat="1" customHeight="1" spans="1:20">
      <c r="A503" s="84"/>
      <c r="B503" s="95"/>
      <c r="C503" s="25"/>
      <c r="D503" s="25"/>
      <c r="E503" s="11"/>
      <c r="F503" s="25"/>
      <c r="G503" s="25"/>
      <c r="H503" s="25"/>
      <c r="I503" s="25"/>
      <c r="J503" s="25"/>
      <c r="K503" s="25"/>
      <c r="L503" s="25"/>
      <c r="M503" s="25"/>
      <c r="N503" s="25"/>
      <c r="O503" s="25"/>
      <c r="P503" s="26"/>
      <c r="Q503" s="25"/>
      <c r="R503" s="25"/>
      <c r="S503" s="17"/>
      <c r="T503" s="18"/>
    </row>
    <row r="504" s="3" customFormat="1" customHeight="1" spans="1:20">
      <c r="A504" s="84"/>
      <c r="B504" s="95"/>
      <c r="C504" s="25"/>
      <c r="D504" s="25"/>
      <c r="E504" s="11"/>
      <c r="F504" s="25"/>
      <c r="G504" s="25"/>
      <c r="H504" s="25"/>
      <c r="I504" s="25"/>
      <c r="J504" s="25"/>
      <c r="K504" s="25"/>
      <c r="L504" s="25"/>
      <c r="M504" s="25"/>
      <c r="N504" s="25"/>
      <c r="O504" s="25"/>
      <c r="P504" s="26"/>
      <c r="Q504" s="25"/>
      <c r="R504" s="25"/>
      <c r="S504" s="17"/>
      <c r="T504" s="18"/>
    </row>
    <row r="505" s="3" customFormat="1" customHeight="1" spans="1:20">
      <c r="A505" s="84"/>
      <c r="B505" s="95"/>
      <c r="C505" s="25"/>
      <c r="D505" s="25"/>
      <c r="E505" s="11"/>
      <c r="F505" s="25"/>
      <c r="G505" s="25"/>
      <c r="H505" s="25"/>
      <c r="I505" s="25"/>
      <c r="J505" s="25"/>
      <c r="K505" s="25"/>
      <c r="L505" s="25"/>
      <c r="M505" s="25"/>
      <c r="N505" s="25"/>
      <c r="O505" s="25"/>
      <c r="P505" s="26"/>
      <c r="Q505" s="25"/>
      <c r="R505" s="25"/>
      <c r="S505" s="17"/>
      <c r="T505" s="18"/>
    </row>
    <row r="506" s="3" customFormat="1" customHeight="1" spans="1:20">
      <c r="A506" s="84"/>
      <c r="B506" s="95"/>
      <c r="C506" s="25"/>
      <c r="D506" s="25"/>
      <c r="E506" s="11"/>
      <c r="F506" s="25"/>
      <c r="G506" s="25"/>
      <c r="H506" s="25"/>
      <c r="I506" s="25"/>
      <c r="J506" s="25"/>
      <c r="K506" s="25"/>
      <c r="L506" s="25"/>
      <c r="M506" s="25"/>
      <c r="N506" s="25"/>
      <c r="O506" s="25"/>
      <c r="P506" s="26"/>
      <c r="Q506" s="25"/>
      <c r="R506" s="25"/>
      <c r="S506" s="17"/>
      <c r="T506" s="18"/>
    </row>
    <row r="507" s="3" customFormat="1" customHeight="1" spans="1:20">
      <c r="A507" s="84"/>
      <c r="B507" s="95"/>
      <c r="C507" s="25"/>
      <c r="D507" s="25"/>
      <c r="E507" s="11"/>
      <c r="F507" s="25"/>
      <c r="G507" s="25"/>
      <c r="H507" s="25"/>
      <c r="I507" s="25"/>
      <c r="J507" s="25"/>
      <c r="K507" s="25"/>
      <c r="L507" s="25"/>
      <c r="M507" s="25"/>
      <c r="N507" s="25"/>
      <c r="O507" s="25"/>
      <c r="P507" s="26"/>
      <c r="Q507" s="25"/>
      <c r="R507" s="25"/>
      <c r="S507" s="17"/>
      <c r="T507" s="18"/>
    </row>
    <row r="508" s="3" customFormat="1" customHeight="1" spans="1:20">
      <c r="A508" s="84"/>
      <c r="B508" s="95"/>
      <c r="C508" s="25"/>
      <c r="D508" s="25"/>
      <c r="E508" s="11"/>
      <c r="F508" s="25"/>
      <c r="G508" s="25"/>
      <c r="H508" s="25"/>
      <c r="I508" s="25"/>
      <c r="J508" s="25"/>
      <c r="K508" s="25"/>
      <c r="L508" s="25"/>
      <c r="M508" s="25"/>
      <c r="N508" s="25"/>
      <c r="O508" s="25"/>
      <c r="P508" s="26"/>
      <c r="Q508" s="25"/>
      <c r="R508" s="25"/>
      <c r="S508" s="17"/>
      <c r="T508" s="18"/>
    </row>
    <row r="509" s="3" customFormat="1" customHeight="1" spans="1:20">
      <c r="A509" s="84"/>
      <c r="B509" s="95"/>
      <c r="C509" s="25"/>
      <c r="D509" s="25"/>
      <c r="E509" s="11"/>
      <c r="F509" s="25"/>
      <c r="G509" s="25"/>
      <c r="H509" s="25"/>
      <c r="I509" s="25"/>
      <c r="J509" s="25"/>
      <c r="K509" s="25"/>
      <c r="L509" s="25"/>
      <c r="M509" s="25"/>
      <c r="N509" s="25"/>
      <c r="O509" s="25"/>
      <c r="P509" s="26"/>
      <c r="Q509" s="25"/>
      <c r="R509" s="25"/>
      <c r="S509" s="17"/>
      <c r="T509" s="18"/>
    </row>
    <row r="510" s="3" customFormat="1" customHeight="1" spans="1:20">
      <c r="A510" s="84"/>
      <c r="B510" s="95"/>
      <c r="C510" s="25"/>
      <c r="D510" s="25"/>
      <c r="E510" s="11"/>
      <c r="F510" s="25"/>
      <c r="G510" s="25"/>
      <c r="H510" s="25"/>
      <c r="I510" s="25"/>
      <c r="J510" s="25"/>
      <c r="K510" s="25"/>
      <c r="L510" s="25"/>
      <c r="M510" s="25"/>
      <c r="N510" s="25"/>
      <c r="O510" s="25"/>
      <c r="P510" s="26"/>
      <c r="Q510" s="25"/>
      <c r="R510" s="25"/>
      <c r="S510" s="17"/>
      <c r="T510" s="18"/>
    </row>
    <row r="511" s="3" customFormat="1" customHeight="1" spans="1:20">
      <c r="A511" s="84"/>
      <c r="B511" s="95"/>
      <c r="C511" s="25"/>
      <c r="D511" s="25"/>
      <c r="E511" s="11"/>
      <c r="F511" s="25"/>
      <c r="G511" s="25"/>
      <c r="H511" s="25"/>
      <c r="I511" s="25"/>
      <c r="J511" s="25"/>
      <c r="K511" s="25"/>
      <c r="L511" s="25"/>
      <c r="M511" s="25"/>
      <c r="N511" s="25"/>
      <c r="O511" s="25"/>
      <c r="P511" s="26"/>
      <c r="Q511" s="25"/>
      <c r="R511" s="25"/>
      <c r="S511" s="17"/>
      <c r="T511" s="18"/>
    </row>
    <row r="512" s="3" customFormat="1" customHeight="1" spans="1:20">
      <c r="A512" s="84"/>
      <c r="B512" s="95"/>
      <c r="C512" s="25"/>
      <c r="D512" s="25"/>
      <c r="E512" s="11"/>
      <c r="F512" s="25"/>
      <c r="G512" s="25"/>
      <c r="H512" s="25"/>
      <c r="I512" s="25"/>
      <c r="J512" s="25"/>
      <c r="K512" s="25"/>
      <c r="L512" s="25"/>
      <c r="M512" s="25"/>
      <c r="N512" s="25"/>
      <c r="O512" s="25"/>
      <c r="P512" s="26"/>
      <c r="Q512" s="25"/>
      <c r="R512" s="25"/>
      <c r="S512" s="17"/>
      <c r="T512" s="18"/>
    </row>
    <row r="513" s="3" customFormat="1" customHeight="1" spans="1:20">
      <c r="A513" s="84">
        <v>1</v>
      </c>
      <c r="B513" s="177" t="s">
        <v>974</v>
      </c>
      <c r="C513" s="167" t="s">
        <v>153</v>
      </c>
      <c r="D513" s="167" t="s">
        <v>975</v>
      </c>
      <c r="E513" s="11">
        <v>14796380079</v>
      </c>
      <c r="F513" s="167" t="s">
        <v>268</v>
      </c>
      <c r="G513" s="167" t="s">
        <v>16</v>
      </c>
      <c r="H513" s="11">
        <v>202101011</v>
      </c>
      <c r="I513" s="167" t="s">
        <v>157</v>
      </c>
      <c r="J513" s="167" t="s">
        <v>233</v>
      </c>
      <c r="K513" s="167" t="s">
        <v>977</v>
      </c>
      <c r="L513" s="167" t="s">
        <v>170</v>
      </c>
      <c r="M513" s="167" t="s">
        <v>235</v>
      </c>
      <c r="N513" s="167" t="s">
        <v>978</v>
      </c>
      <c r="O513" s="167" t="s">
        <v>979</v>
      </c>
      <c r="P513" s="12" t="str">
        <f>_xlfn.DISPIMG("ID_9AC6BD34E9E244F89B50B29F8EA156DD",1)</f>
        <v>=DISPIMG("ID_9AC6BD34E9E244F89B50B29F8EA156DD",1)</v>
      </c>
      <c r="Q513" s="11" t="s">
        <v>980</v>
      </c>
      <c r="R513" s="11">
        <v>99</v>
      </c>
      <c r="S513" s="17" t="s">
        <v>4777</v>
      </c>
      <c r="T513" s="18" t="s">
        <v>76</v>
      </c>
    </row>
    <row r="514" s="3" customFormat="1" customHeight="1" spans="1:20">
      <c r="A514" s="84">
        <v>2</v>
      </c>
      <c r="B514" s="177" t="s">
        <v>2831</v>
      </c>
      <c r="C514" s="167" t="s">
        <v>165</v>
      </c>
      <c r="D514" s="167" t="s">
        <v>2832</v>
      </c>
      <c r="E514" s="11">
        <v>17794516178</v>
      </c>
      <c r="F514" s="167" t="s">
        <v>268</v>
      </c>
      <c r="G514" s="167" t="s">
        <v>16</v>
      </c>
      <c r="H514" s="11">
        <v>202101011</v>
      </c>
      <c r="I514" s="167" t="s">
        <v>705</v>
      </c>
      <c r="J514" s="167" t="s">
        <v>2834</v>
      </c>
      <c r="K514" s="167" t="s">
        <v>1397</v>
      </c>
      <c r="L514" s="167" t="s">
        <v>160</v>
      </c>
      <c r="M514" s="167" t="s">
        <v>261</v>
      </c>
      <c r="N514" s="167" t="s">
        <v>2835</v>
      </c>
      <c r="O514" s="11">
        <v>0</v>
      </c>
      <c r="P514" s="12" t="str">
        <f>_xlfn.DISPIMG("ID_012851E191D54E319B75F7300CFFD208",1)</f>
        <v>=DISPIMG("ID_012851E191D54E319B75F7300CFFD208",1)</v>
      </c>
      <c r="Q514" s="11" t="s">
        <v>2836</v>
      </c>
      <c r="R514" s="11">
        <v>344</v>
      </c>
      <c r="S514" s="17" t="s">
        <v>4793</v>
      </c>
      <c r="T514" s="18" t="s">
        <v>76</v>
      </c>
    </row>
    <row r="515" s="3" customFormat="1" customHeight="1" spans="1:20">
      <c r="A515" s="84">
        <v>3</v>
      </c>
      <c r="B515" s="177" t="s">
        <v>2961</v>
      </c>
      <c r="C515" s="167" t="s">
        <v>153</v>
      </c>
      <c r="D515" s="167" t="s">
        <v>2962</v>
      </c>
      <c r="E515" s="11">
        <v>15180672774</v>
      </c>
      <c r="F515" s="167" t="s">
        <v>268</v>
      </c>
      <c r="G515" s="167" t="s">
        <v>16</v>
      </c>
      <c r="H515" s="11">
        <v>202101011</v>
      </c>
      <c r="I515" s="167" t="s">
        <v>157</v>
      </c>
      <c r="J515" s="167" t="s">
        <v>385</v>
      </c>
      <c r="K515" s="167" t="s">
        <v>2964</v>
      </c>
      <c r="L515" s="167" t="s">
        <v>170</v>
      </c>
      <c r="M515" s="167" t="s">
        <v>161</v>
      </c>
      <c r="N515" s="167" t="s">
        <v>1156</v>
      </c>
      <c r="O515" s="167" t="s">
        <v>2965</v>
      </c>
      <c r="P515" s="12" t="str">
        <f>_xlfn.DISPIMG("ID_7E33BA02CEC345A989E0186D8EADFECF",1)</f>
        <v>=DISPIMG("ID_7E33BA02CEC345A989E0186D8EADFECF",1)</v>
      </c>
      <c r="Q515" s="11" t="s">
        <v>2966</v>
      </c>
      <c r="R515" s="11">
        <v>364</v>
      </c>
      <c r="S515" s="17" t="s">
        <v>4798</v>
      </c>
      <c r="T515" s="18" t="s">
        <v>76</v>
      </c>
    </row>
    <row r="516" s="3" customFormat="1" customHeight="1" spans="1:20">
      <c r="A516" s="84">
        <v>4</v>
      </c>
      <c r="B516" s="177" t="s">
        <v>3116</v>
      </c>
      <c r="C516" s="167" t="s">
        <v>165</v>
      </c>
      <c r="D516" s="167" t="s">
        <v>3117</v>
      </c>
      <c r="E516" s="11">
        <v>15279286337</v>
      </c>
      <c r="F516" s="167" t="s">
        <v>268</v>
      </c>
      <c r="G516" s="167" t="s">
        <v>16</v>
      </c>
      <c r="H516" s="11">
        <v>202101011</v>
      </c>
      <c r="I516" s="167" t="s">
        <v>157</v>
      </c>
      <c r="J516" s="167" t="s">
        <v>385</v>
      </c>
      <c r="K516" s="167" t="s">
        <v>3119</v>
      </c>
      <c r="L516" s="167" t="s">
        <v>170</v>
      </c>
      <c r="M516" s="167" t="s">
        <v>161</v>
      </c>
      <c r="N516" s="167" t="s">
        <v>190</v>
      </c>
      <c r="O516" s="11">
        <v>0</v>
      </c>
      <c r="P516" s="12" t="str">
        <f>_xlfn.DISPIMG("ID_BC4D6E67EBDF472A876E1598CD3DE965",1)</f>
        <v>=DISPIMG("ID_BC4D6E67EBDF472A876E1598CD3DE965",1)</v>
      </c>
      <c r="Q516" s="11" t="s">
        <v>3120</v>
      </c>
      <c r="R516" s="11">
        <v>385</v>
      </c>
      <c r="S516" s="17" t="s">
        <v>4803</v>
      </c>
      <c r="T516" s="18" t="s">
        <v>76</v>
      </c>
    </row>
    <row r="517" s="3" customFormat="1" customHeight="1" spans="1:20">
      <c r="A517" s="84">
        <v>5</v>
      </c>
      <c r="B517" s="177" t="s">
        <v>3022</v>
      </c>
      <c r="C517" s="167" t="s">
        <v>165</v>
      </c>
      <c r="D517" s="167" t="s">
        <v>3023</v>
      </c>
      <c r="E517" s="11">
        <v>15870035090</v>
      </c>
      <c r="F517" s="167" t="s">
        <v>268</v>
      </c>
      <c r="G517" s="167" t="s">
        <v>16</v>
      </c>
      <c r="H517" s="11">
        <v>202101011</v>
      </c>
      <c r="I517" s="167" t="s">
        <v>157</v>
      </c>
      <c r="J517" s="167" t="s">
        <v>233</v>
      </c>
      <c r="K517" s="167" t="s">
        <v>1088</v>
      </c>
      <c r="L517" s="167" t="s">
        <v>170</v>
      </c>
      <c r="M517" s="167" t="s">
        <v>548</v>
      </c>
      <c r="N517" s="167" t="s">
        <v>1579</v>
      </c>
      <c r="O517" s="167" t="s">
        <v>3025</v>
      </c>
      <c r="P517" s="12" t="str">
        <f>_xlfn.DISPIMG("ID_B71153A1EE7A48CF8E15967732B6C043",1)</f>
        <v>=DISPIMG("ID_B71153A1EE7A48CF8E15967732B6C043",1)</v>
      </c>
      <c r="Q517" s="11" t="s">
        <v>3026</v>
      </c>
      <c r="R517" s="11">
        <v>412</v>
      </c>
      <c r="S517" s="17" t="s">
        <v>4778</v>
      </c>
      <c r="T517" s="18" t="s">
        <v>76</v>
      </c>
    </row>
    <row r="518" s="3" customFormat="1" customHeight="1" spans="1:20">
      <c r="A518" s="84">
        <v>6</v>
      </c>
      <c r="B518" s="177" t="s">
        <v>3507</v>
      </c>
      <c r="C518" s="167" t="s">
        <v>165</v>
      </c>
      <c r="D518" s="167" t="s">
        <v>3508</v>
      </c>
      <c r="E518" s="11">
        <v>15179282402</v>
      </c>
      <c r="F518" s="167" t="s">
        <v>384</v>
      </c>
      <c r="G518" s="167" t="s">
        <v>16</v>
      </c>
      <c r="H518" s="11">
        <v>202101012</v>
      </c>
      <c r="I518" s="167" t="s">
        <v>157</v>
      </c>
      <c r="J518" s="167" t="s">
        <v>158</v>
      </c>
      <c r="K518" s="167" t="s">
        <v>2742</v>
      </c>
      <c r="L518" s="167" t="s">
        <v>160</v>
      </c>
      <c r="M518" s="167" t="s">
        <v>281</v>
      </c>
      <c r="N518" s="167" t="s">
        <v>3510</v>
      </c>
      <c r="O518" s="11">
        <v>0</v>
      </c>
      <c r="P518" s="12" t="str">
        <f>_xlfn.DISPIMG("ID_F203C9D79BED4D608F3184BA9064F545",1)</f>
        <v>=DISPIMG("ID_F203C9D79BED4D608F3184BA9064F545",1)</v>
      </c>
      <c r="Q518" s="11" t="s">
        <v>3511</v>
      </c>
      <c r="R518" s="11">
        <v>445</v>
      </c>
      <c r="S518" s="17" t="s">
        <v>4779</v>
      </c>
      <c r="T518" s="18" t="s">
        <v>76</v>
      </c>
    </row>
    <row r="519" s="3" customFormat="1" customHeight="1" spans="1:20">
      <c r="A519" s="84">
        <v>7</v>
      </c>
      <c r="B519" s="177" t="s">
        <v>3833</v>
      </c>
      <c r="C519" s="167" t="s">
        <v>153</v>
      </c>
      <c r="D519" s="167" t="s">
        <v>3834</v>
      </c>
      <c r="E519" s="11">
        <v>15970472554</v>
      </c>
      <c r="F519" s="167" t="s">
        <v>268</v>
      </c>
      <c r="G519" s="167" t="s">
        <v>16</v>
      </c>
      <c r="H519" s="11">
        <v>202101011</v>
      </c>
      <c r="I519" s="167" t="s">
        <v>705</v>
      </c>
      <c r="J519" s="167" t="s">
        <v>1654</v>
      </c>
      <c r="K519" s="167" t="s">
        <v>3836</v>
      </c>
      <c r="L519" s="167" t="s">
        <v>160</v>
      </c>
      <c r="M519" s="167" t="s">
        <v>235</v>
      </c>
      <c r="N519" s="167" t="s">
        <v>16</v>
      </c>
      <c r="O519" s="167" t="s">
        <v>3837</v>
      </c>
      <c r="P519" s="12" t="str">
        <f>_xlfn.DISPIMG("ID_34928AEB616641BE854DC3D58FC2EECD",1)</f>
        <v>=DISPIMG("ID_34928AEB616641BE854DC3D58FC2EECD",1)</v>
      </c>
      <c r="Q519" s="11" t="s">
        <v>3838</v>
      </c>
      <c r="R519" s="11">
        <v>489</v>
      </c>
      <c r="S519" s="17" t="s">
        <v>4783</v>
      </c>
      <c r="T519" s="18" t="s">
        <v>76</v>
      </c>
    </row>
    <row r="520" s="3" customFormat="1" customHeight="1" spans="1:20">
      <c r="A520" s="84">
        <v>8</v>
      </c>
      <c r="B520" s="177" t="s">
        <v>4111</v>
      </c>
      <c r="C520" s="167" t="s">
        <v>153</v>
      </c>
      <c r="D520" s="167" t="s">
        <v>4112</v>
      </c>
      <c r="E520" s="11">
        <v>15155149842</v>
      </c>
      <c r="F520" s="167" t="s">
        <v>268</v>
      </c>
      <c r="G520" s="167" t="s">
        <v>16</v>
      </c>
      <c r="H520" s="11">
        <v>202101011</v>
      </c>
      <c r="I520" s="167" t="s">
        <v>705</v>
      </c>
      <c r="J520" s="167" t="s">
        <v>4114</v>
      </c>
      <c r="K520" s="167" t="s">
        <v>4115</v>
      </c>
      <c r="L520" s="167" t="s">
        <v>160</v>
      </c>
      <c r="M520" s="167" t="s">
        <v>161</v>
      </c>
      <c r="N520" s="167" t="s">
        <v>16</v>
      </c>
      <c r="O520" s="167" t="s">
        <v>4116</v>
      </c>
      <c r="P520" s="12" t="str">
        <f>_xlfn.DISPIMG("ID_AB3A7CA2D44F41A18DEECB4F4C161234",1)</f>
        <v>=DISPIMG("ID_AB3A7CA2D44F41A18DEECB4F4C161234",1)</v>
      </c>
      <c r="Q520" s="11" t="s">
        <v>4117</v>
      </c>
      <c r="R520" s="11">
        <v>526</v>
      </c>
      <c r="S520" s="17" t="s">
        <v>4784</v>
      </c>
      <c r="T520" s="18" t="s">
        <v>76</v>
      </c>
    </row>
    <row r="521" s="3" customFormat="1" customHeight="1" spans="1:20">
      <c r="A521" s="84">
        <v>9</v>
      </c>
      <c r="B521" s="177" t="s">
        <v>4184</v>
      </c>
      <c r="C521" s="167" t="s">
        <v>153</v>
      </c>
      <c r="D521" s="167" t="s">
        <v>4185</v>
      </c>
      <c r="E521" s="11">
        <v>15779857764</v>
      </c>
      <c r="F521" s="167" t="s">
        <v>384</v>
      </c>
      <c r="G521" s="167" t="s">
        <v>16</v>
      </c>
      <c r="H521" s="11">
        <v>202101012</v>
      </c>
      <c r="I521" s="167" t="s">
        <v>157</v>
      </c>
      <c r="J521" s="167" t="s">
        <v>507</v>
      </c>
      <c r="K521" s="167" t="s">
        <v>977</v>
      </c>
      <c r="L521" s="167" t="s">
        <v>170</v>
      </c>
      <c r="M521" s="167" t="s">
        <v>281</v>
      </c>
      <c r="N521" s="167" t="s">
        <v>16</v>
      </c>
      <c r="O521" s="167" t="s">
        <v>4187</v>
      </c>
      <c r="P521" s="12" t="str">
        <f>_xlfn.DISPIMG("ID_CB7789B563324522805F1ED9D1BFD221",1)</f>
        <v>=DISPIMG("ID_CB7789B563324522805F1ED9D1BFD221",1)</v>
      </c>
      <c r="Q521" s="11" t="s">
        <v>4188</v>
      </c>
      <c r="R521" s="11">
        <v>535</v>
      </c>
      <c r="S521" s="17" t="s">
        <v>4788</v>
      </c>
      <c r="T521" s="18" t="s">
        <v>76</v>
      </c>
    </row>
    <row r="522" s="3" customFormat="1" customHeight="1" spans="1:20">
      <c r="A522" s="84">
        <v>10</v>
      </c>
      <c r="B522" s="177" t="s">
        <v>4222</v>
      </c>
      <c r="C522" s="167" t="s">
        <v>165</v>
      </c>
      <c r="D522" s="167" t="s">
        <v>4223</v>
      </c>
      <c r="E522" s="11">
        <v>18170013045</v>
      </c>
      <c r="F522" s="167" t="s">
        <v>268</v>
      </c>
      <c r="G522" s="167" t="s">
        <v>16</v>
      </c>
      <c r="H522" s="11">
        <v>202101011</v>
      </c>
      <c r="I522" s="167" t="s">
        <v>157</v>
      </c>
      <c r="J522" s="167" t="s">
        <v>385</v>
      </c>
      <c r="K522" s="167" t="s">
        <v>4225</v>
      </c>
      <c r="L522" s="167" t="s">
        <v>170</v>
      </c>
      <c r="M522" s="167" t="s">
        <v>224</v>
      </c>
      <c r="N522" s="167" t="s">
        <v>16</v>
      </c>
      <c r="O522" s="167" t="s">
        <v>4226</v>
      </c>
      <c r="P522" s="12" t="str">
        <f>_xlfn.DISPIMG("ID_6A583EA485744871AED4CEE0D95D9DC4",1)</f>
        <v>=DISPIMG("ID_6A583EA485744871AED4CEE0D95D9DC4",1)</v>
      </c>
      <c r="Q522" s="11" t="s">
        <v>4227</v>
      </c>
      <c r="R522" s="11">
        <v>540</v>
      </c>
      <c r="S522" s="17" t="s">
        <v>4789</v>
      </c>
      <c r="T522" s="18" t="s">
        <v>76</v>
      </c>
    </row>
    <row r="523" s="3" customFormat="1" customHeight="1" spans="1:20">
      <c r="A523" s="84">
        <v>11</v>
      </c>
      <c r="B523" s="177" t="s">
        <v>4251</v>
      </c>
      <c r="C523" s="167" t="s">
        <v>153</v>
      </c>
      <c r="D523" s="167" t="s">
        <v>4252</v>
      </c>
      <c r="E523" s="11">
        <v>13340012018</v>
      </c>
      <c r="F523" s="167" t="s">
        <v>268</v>
      </c>
      <c r="G523" s="167" t="s">
        <v>16</v>
      </c>
      <c r="H523" s="11">
        <v>202101011</v>
      </c>
      <c r="I523" s="167" t="s">
        <v>705</v>
      </c>
      <c r="J523" s="167" t="s">
        <v>233</v>
      </c>
      <c r="K523" s="167" t="s">
        <v>4254</v>
      </c>
      <c r="L523" s="167" t="s">
        <v>160</v>
      </c>
      <c r="M523" s="167" t="s">
        <v>455</v>
      </c>
      <c r="N523" s="167" t="s">
        <v>16</v>
      </c>
      <c r="O523" s="167" t="s">
        <v>4255</v>
      </c>
      <c r="P523" s="12" t="str">
        <f>_xlfn.DISPIMG("ID_7B994A5EE1894E46909466AD8B994299",1)</f>
        <v>=DISPIMG("ID_7B994A5EE1894E46909466AD8B994299",1)</v>
      </c>
      <c r="Q523" s="11" t="s">
        <v>4256</v>
      </c>
      <c r="R523" s="11">
        <v>544</v>
      </c>
      <c r="S523" s="17" t="s">
        <v>4794</v>
      </c>
      <c r="T523" s="18" t="s">
        <v>76</v>
      </c>
    </row>
    <row r="524" s="3" customFormat="1" customHeight="1" spans="1:20">
      <c r="A524" s="84">
        <v>12</v>
      </c>
      <c r="B524" s="177" t="s">
        <v>1061</v>
      </c>
      <c r="C524" s="167" t="s">
        <v>165</v>
      </c>
      <c r="D524" s="167" t="s">
        <v>1062</v>
      </c>
      <c r="E524" s="11">
        <v>18370272213</v>
      </c>
      <c r="F524" s="167" t="s">
        <v>268</v>
      </c>
      <c r="G524" s="167" t="s">
        <v>17</v>
      </c>
      <c r="H524" s="11">
        <v>202101017</v>
      </c>
      <c r="I524" s="167" t="s">
        <v>157</v>
      </c>
      <c r="J524" s="167" t="s">
        <v>269</v>
      </c>
      <c r="K524" s="167" t="s">
        <v>290</v>
      </c>
      <c r="L524" s="167" t="s">
        <v>170</v>
      </c>
      <c r="M524" s="167" t="s">
        <v>261</v>
      </c>
      <c r="N524" s="167" t="s">
        <v>1064</v>
      </c>
      <c r="O524" s="11">
        <v>0</v>
      </c>
      <c r="P524" s="12" t="str">
        <f>_xlfn.DISPIMG("ID_9916007E0F6C44BAA2C2DFDD815EDF7E",1)</f>
        <v>=DISPIMG("ID_9916007E0F6C44BAA2C2DFDD815EDF7E",1)</v>
      </c>
      <c r="Q524" s="11" t="s">
        <v>1065</v>
      </c>
      <c r="R524" s="20">
        <v>110</v>
      </c>
      <c r="S524" s="17" t="s">
        <v>4795</v>
      </c>
      <c r="T524" s="18" t="s">
        <v>76</v>
      </c>
    </row>
    <row r="525" s="3" customFormat="1" customHeight="1" spans="1:20">
      <c r="A525" s="84">
        <v>13</v>
      </c>
      <c r="B525" s="177" t="s">
        <v>1365</v>
      </c>
      <c r="C525" s="167" t="s">
        <v>153</v>
      </c>
      <c r="D525" s="167" t="s">
        <v>1366</v>
      </c>
      <c r="E525" s="11">
        <v>15720964071</v>
      </c>
      <c r="F525" s="167" t="s">
        <v>268</v>
      </c>
      <c r="G525" s="167" t="s">
        <v>17</v>
      </c>
      <c r="H525" s="11">
        <v>202101017</v>
      </c>
      <c r="I525" s="167" t="s">
        <v>157</v>
      </c>
      <c r="J525" s="167" t="s">
        <v>1368</v>
      </c>
      <c r="K525" s="167" t="s">
        <v>290</v>
      </c>
      <c r="L525" s="167" t="s">
        <v>170</v>
      </c>
      <c r="M525" s="167" t="s">
        <v>455</v>
      </c>
      <c r="N525" s="167" t="s">
        <v>1369</v>
      </c>
      <c r="O525" s="11">
        <v>0</v>
      </c>
      <c r="P525" s="12" t="str">
        <f>_xlfn.DISPIMG("ID_EB5AC667C054437CBFE2486B339F8A77",1)</f>
        <v>=DISPIMG("ID_EB5AC667C054437CBFE2486B339F8A77",1)</v>
      </c>
      <c r="Q525" s="11" t="s">
        <v>1370</v>
      </c>
      <c r="R525" s="20">
        <v>149</v>
      </c>
      <c r="S525" s="17" t="s">
        <v>4799</v>
      </c>
      <c r="T525" s="18" t="s">
        <v>76</v>
      </c>
    </row>
    <row r="526" s="3" customFormat="1" customHeight="1" spans="1:20">
      <c r="A526" s="84">
        <v>14</v>
      </c>
      <c r="B526" s="177" t="s">
        <v>2805</v>
      </c>
      <c r="C526" s="167" t="s">
        <v>153</v>
      </c>
      <c r="D526" s="167" t="s">
        <v>2806</v>
      </c>
      <c r="E526" s="11">
        <v>15350253333</v>
      </c>
      <c r="F526" s="167" t="s">
        <v>268</v>
      </c>
      <c r="G526" s="167" t="s">
        <v>17</v>
      </c>
      <c r="H526" s="11">
        <v>202101007</v>
      </c>
      <c r="I526" s="167" t="s">
        <v>157</v>
      </c>
      <c r="J526" s="167" t="s">
        <v>269</v>
      </c>
      <c r="K526" s="167" t="s">
        <v>290</v>
      </c>
      <c r="L526" s="167" t="s">
        <v>170</v>
      </c>
      <c r="M526" s="167" t="s">
        <v>368</v>
      </c>
      <c r="N526" s="167" t="s">
        <v>17</v>
      </c>
      <c r="O526" s="167" t="s">
        <v>2808</v>
      </c>
      <c r="P526" s="12" t="str">
        <f>_xlfn.DISPIMG("ID_7C47A0694F0147EB860DAA1E2F9E87A3",1)</f>
        <v>=DISPIMG("ID_7C47A0694F0147EB860DAA1E2F9E87A3",1)</v>
      </c>
      <c r="Q526" s="11" t="s">
        <v>2809</v>
      </c>
      <c r="R526" s="11">
        <v>340</v>
      </c>
      <c r="S526" s="17" t="s">
        <v>4800</v>
      </c>
      <c r="T526" s="18" t="s">
        <v>76</v>
      </c>
    </row>
    <row r="527" s="3" customFormat="1" customHeight="1" spans="1:20">
      <c r="A527" s="84">
        <v>15</v>
      </c>
      <c r="B527" s="177" t="s">
        <v>3099</v>
      </c>
      <c r="C527" s="167" t="s">
        <v>165</v>
      </c>
      <c r="D527" s="167" t="s">
        <v>3100</v>
      </c>
      <c r="E527" s="11">
        <v>15720976892</v>
      </c>
      <c r="F527" s="167" t="s">
        <v>384</v>
      </c>
      <c r="G527" s="167" t="s">
        <v>17</v>
      </c>
      <c r="H527" s="11">
        <v>202101018</v>
      </c>
      <c r="I527" s="167" t="s">
        <v>157</v>
      </c>
      <c r="J527" s="167" t="s">
        <v>385</v>
      </c>
      <c r="K527" s="167" t="s">
        <v>290</v>
      </c>
      <c r="L527" s="167" t="s">
        <v>170</v>
      </c>
      <c r="M527" s="167" t="s">
        <v>577</v>
      </c>
      <c r="N527" s="167" t="s">
        <v>3102</v>
      </c>
      <c r="O527" s="167" t="s">
        <v>3103</v>
      </c>
      <c r="P527" s="12" t="str">
        <f>_xlfn.DISPIMG("ID_FEEAA5237B6C4B708D314FC0E0560DA3",1)</f>
        <v>=DISPIMG("ID_FEEAA5237B6C4B708D314FC0E0560DA3",1)</v>
      </c>
      <c r="Q527" s="11" t="s">
        <v>3104</v>
      </c>
      <c r="R527" s="20">
        <v>383</v>
      </c>
      <c r="S527" s="17" t="s">
        <v>4804</v>
      </c>
      <c r="T527" s="18" t="s">
        <v>76</v>
      </c>
    </row>
    <row r="528" s="3" customFormat="1" customHeight="1" spans="1:20">
      <c r="A528" s="84">
        <v>16</v>
      </c>
      <c r="B528" s="177" t="s">
        <v>3192</v>
      </c>
      <c r="C528" s="167" t="s">
        <v>165</v>
      </c>
      <c r="D528" s="167" t="s">
        <v>3193</v>
      </c>
      <c r="E528" s="11">
        <v>13361729367</v>
      </c>
      <c r="F528" s="167" t="s">
        <v>268</v>
      </c>
      <c r="G528" s="167" t="s">
        <v>17</v>
      </c>
      <c r="H528" s="11">
        <v>202101017</v>
      </c>
      <c r="I528" s="167" t="s">
        <v>157</v>
      </c>
      <c r="J528" s="167" t="s">
        <v>1258</v>
      </c>
      <c r="K528" s="167" t="s">
        <v>3195</v>
      </c>
      <c r="L528" s="167" t="s">
        <v>170</v>
      </c>
      <c r="M528" s="167" t="s">
        <v>216</v>
      </c>
      <c r="N528" s="167" t="s">
        <v>17</v>
      </c>
      <c r="O528" s="167" t="s">
        <v>3196</v>
      </c>
      <c r="P528" s="12" t="str">
        <f>_xlfn.DISPIMG("ID_F0B384F7F2BD4ECB81B75D08A62A8621",1)</f>
        <v>=DISPIMG("ID_F0B384F7F2BD4ECB81B75D08A62A8621",1)</v>
      </c>
      <c r="Q528" s="11" t="s">
        <v>3197</v>
      </c>
      <c r="R528" s="20">
        <v>397</v>
      </c>
      <c r="S528" s="17" t="s">
        <v>4805</v>
      </c>
      <c r="T528" s="18" t="s">
        <v>76</v>
      </c>
    </row>
    <row r="529" s="3" customFormat="1" customHeight="1" spans="1:20">
      <c r="A529" s="84">
        <v>17</v>
      </c>
      <c r="B529" s="177" t="s">
        <v>1294</v>
      </c>
      <c r="C529" s="167" t="s">
        <v>165</v>
      </c>
      <c r="D529" s="167" t="s">
        <v>1295</v>
      </c>
      <c r="E529" s="11">
        <v>16607139534</v>
      </c>
      <c r="F529" s="167" t="s">
        <v>384</v>
      </c>
      <c r="G529" s="167" t="s">
        <v>18</v>
      </c>
      <c r="H529" s="11">
        <v>202101024</v>
      </c>
      <c r="I529" s="167" t="s">
        <v>705</v>
      </c>
      <c r="J529" s="167" t="s">
        <v>1297</v>
      </c>
      <c r="K529" s="167" t="s">
        <v>323</v>
      </c>
      <c r="L529" s="167" t="s">
        <v>160</v>
      </c>
      <c r="M529" s="167" t="s">
        <v>455</v>
      </c>
      <c r="N529" s="167" t="s">
        <v>18</v>
      </c>
      <c r="O529" s="167" t="s">
        <v>1298</v>
      </c>
      <c r="P529" s="12" t="str">
        <f>_xlfn.DISPIMG("ID_0467DD9C16B84F62946A6DA8763F5DB1",1)</f>
        <v>=DISPIMG("ID_0467DD9C16B84F62946A6DA8763F5DB1",1)</v>
      </c>
      <c r="Q529" s="11" t="s">
        <v>1299</v>
      </c>
      <c r="R529" s="11">
        <v>140</v>
      </c>
      <c r="S529" s="17" t="s">
        <v>4780</v>
      </c>
      <c r="T529" s="18" t="s">
        <v>76</v>
      </c>
    </row>
    <row r="530" s="3" customFormat="1" customHeight="1" spans="1:20">
      <c r="A530" s="84">
        <v>18</v>
      </c>
      <c r="B530" s="177" t="s">
        <v>1387</v>
      </c>
      <c r="C530" s="167" t="s">
        <v>165</v>
      </c>
      <c r="D530" s="167" t="s">
        <v>1388</v>
      </c>
      <c r="E530" s="11">
        <v>15079175259</v>
      </c>
      <c r="F530" s="167" t="s">
        <v>156</v>
      </c>
      <c r="G530" s="167" t="s">
        <v>18</v>
      </c>
      <c r="H530" s="11">
        <v>202101012</v>
      </c>
      <c r="I530" s="167" t="s">
        <v>157</v>
      </c>
      <c r="J530" s="167" t="s">
        <v>827</v>
      </c>
      <c r="K530" s="167" t="s">
        <v>1390</v>
      </c>
      <c r="L530" s="167" t="s">
        <v>170</v>
      </c>
      <c r="M530" s="167" t="s">
        <v>261</v>
      </c>
      <c r="N530" s="167" t="s">
        <v>18</v>
      </c>
      <c r="O530" s="11">
        <v>0</v>
      </c>
      <c r="P530" s="12" t="str">
        <f>_xlfn.DISPIMG("ID_22A5305EF7CD44458C8E85EF1B5003E3",1)</f>
        <v>=DISPIMG("ID_22A5305EF7CD44458C8E85EF1B5003E3",1)</v>
      </c>
      <c r="Q530" s="11" t="s">
        <v>1391</v>
      </c>
      <c r="R530" s="20">
        <v>152</v>
      </c>
      <c r="S530" s="17" t="s">
        <v>4781</v>
      </c>
      <c r="T530" s="18" t="s">
        <v>76</v>
      </c>
    </row>
    <row r="531" s="3" customFormat="1" customHeight="1" spans="1:20">
      <c r="A531" s="84">
        <v>19</v>
      </c>
      <c r="B531" s="177" t="s">
        <v>1789</v>
      </c>
      <c r="C531" s="167" t="s">
        <v>165</v>
      </c>
      <c r="D531" s="167" t="s">
        <v>1790</v>
      </c>
      <c r="E531" s="11">
        <v>15350130023</v>
      </c>
      <c r="F531" s="167" t="s">
        <v>384</v>
      </c>
      <c r="G531" s="167" t="s">
        <v>18</v>
      </c>
      <c r="H531" s="11">
        <v>202101023</v>
      </c>
      <c r="I531" s="167" t="s">
        <v>157</v>
      </c>
      <c r="J531" s="167" t="s">
        <v>1792</v>
      </c>
      <c r="K531" s="167" t="s">
        <v>1793</v>
      </c>
      <c r="L531" s="167" t="s">
        <v>160</v>
      </c>
      <c r="M531" s="167" t="s">
        <v>455</v>
      </c>
      <c r="N531" s="167" t="s">
        <v>1794</v>
      </c>
      <c r="O531" s="11">
        <v>0</v>
      </c>
      <c r="P531" s="12" t="str">
        <f>_xlfn.DISPIMG("ID_F2D31DD52A09466996724F8ACF5386A0",1)</f>
        <v>=DISPIMG("ID_F2D31DD52A09466996724F8ACF5386A0",1)</v>
      </c>
      <c r="Q531" s="11" t="s">
        <v>1795</v>
      </c>
      <c r="R531" s="11">
        <v>204</v>
      </c>
      <c r="S531" s="17" t="s">
        <v>4782</v>
      </c>
      <c r="T531" s="18" t="s">
        <v>76</v>
      </c>
    </row>
    <row r="532" s="3" customFormat="1" customHeight="1" spans="1:20">
      <c r="A532" s="84">
        <v>20</v>
      </c>
      <c r="B532" s="177" t="s">
        <v>3051</v>
      </c>
      <c r="C532" s="167" t="s">
        <v>165</v>
      </c>
      <c r="D532" s="167" t="s">
        <v>3052</v>
      </c>
      <c r="E532" s="11">
        <v>18779104869</v>
      </c>
      <c r="F532" s="167" t="s">
        <v>384</v>
      </c>
      <c r="G532" s="167" t="s">
        <v>18</v>
      </c>
      <c r="H532" s="11">
        <v>202101024</v>
      </c>
      <c r="I532" s="167" t="s">
        <v>157</v>
      </c>
      <c r="J532" s="167" t="s">
        <v>3054</v>
      </c>
      <c r="K532" s="167" t="s">
        <v>404</v>
      </c>
      <c r="L532" s="167" t="s">
        <v>160</v>
      </c>
      <c r="M532" s="167" t="s">
        <v>455</v>
      </c>
      <c r="N532" s="167" t="s">
        <v>18</v>
      </c>
      <c r="O532" s="11">
        <v>0</v>
      </c>
      <c r="P532" s="12" t="str">
        <f>_xlfn.DISPIMG("ID_030DD5A3CEBA48E5AA84D6300BCE898E",1)</f>
        <v>=DISPIMG("ID_030DD5A3CEBA48E5AA84D6300BCE898E",1)</v>
      </c>
      <c r="Q532" s="11" t="s">
        <v>3055</v>
      </c>
      <c r="R532" s="11">
        <v>377</v>
      </c>
      <c r="S532" s="17" t="s">
        <v>4785</v>
      </c>
      <c r="T532" s="18" t="s">
        <v>76</v>
      </c>
    </row>
    <row r="533" s="3" customFormat="1" customHeight="1" spans="1:20">
      <c r="A533" s="84"/>
      <c r="B533" s="20"/>
      <c r="C533" s="11"/>
      <c r="D533" s="11"/>
      <c r="E533" s="11"/>
      <c r="F533" s="11"/>
      <c r="G533" s="11"/>
      <c r="H533" s="11"/>
      <c r="I533" s="11"/>
      <c r="J533" s="11"/>
      <c r="K533" s="11"/>
      <c r="L533" s="11"/>
      <c r="M533" s="11"/>
      <c r="N533" s="11"/>
      <c r="O533" s="11"/>
      <c r="P533" s="12"/>
      <c r="Q533" s="11"/>
      <c r="R533" s="11"/>
      <c r="S533" s="17"/>
      <c r="T533" s="18"/>
    </row>
    <row r="534" s="3" customFormat="1" customHeight="1" spans="1:20">
      <c r="A534" s="84"/>
      <c r="B534" s="20"/>
      <c r="C534" s="11"/>
      <c r="D534" s="11"/>
      <c r="E534" s="11"/>
      <c r="F534" s="11"/>
      <c r="G534" s="11"/>
      <c r="H534" s="11"/>
      <c r="I534" s="11"/>
      <c r="J534" s="11"/>
      <c r="K534" s="11"/>
      <c r="L534" s="11"/>
      <c r="M534" s="11"/>
      <c r="N534" s="11"/>
      <c r="O534" s="11"/>
      <c r="P534" s="12"/>
      <c r="Q534" s="11"/>
      <c r="R534" s="11"/>
      <c r="S534" s="17"/>
      <c r="T534" s="18"/>
    </row>
    <row r="535" s="3" customFormat="1" customHeight="1" spans="1:20">
      <c r="A535" s="84"/>
      <c r="B535" s="20"/>
      <c r="C535" s="11"/>
      <c r="D535" s="11"/>
      <c r="E535" s="11"/>
      <c r="F535" s="11"/>
      <c r="G535" s="11"/>
      <c r="H535" s="11"/>
      <c r="I535" s="11"/>
      <c r="J535" s="11"/>
      <c r="K535" s="11"/>
      <c r="L535" s="11"/>
      <c r="M535" s="11"/>
      <c r="N535" s="11"/>
      <c r="O535" s="11"/>
      <c r="P535" s="12"/>
      <c r="Q535" s="11"/>
      <c r="R535" s="11"/>
      <c r="S535" s="17"/>
      <c r="T535" s="18"/>
    </row>
    <row r="536" s="3" customFormat="1" customHeight="1" spans="1:20">
      <c r="A536" s="84"/>
      <c r="B536" s="20"/>
      <c r="C536" s="11"/>
      <c r="D536" s="11"/>
      <c r="E536" s="11"/>
      <c r="F536" s="11"/>
      <c r="G536" s="11"/>
      <c r="H536" s="11"/>
      <c r="I536" s="11"/>
      <c r="J536" s="11"/>
      <c r="K536" s="11"/>
      <c r="L536" s="11"/>
      <c r="M536" s="11"/>
      <c r="N536" s="11"/>
      <c r="O536" s="11"/>
      <c r="P536" s="12"/>
      <c r="Q536" s="11"/>
      <c r="R536" s="11"/>
      <c r="S536" s="17"/>
      <c r="T536" s="18"/>
    </row>
    <row r="537" s="3" customFormat="1" customHeight="1" spans="1:20">
      <c r="A537" s="84"/>
      <c r="B537" s="20"/>
      <c r="C537" s="11"/>
      <c r="D537" s="11"/>
      <c r="E537" s="11"/>
      <c r="F537" s="11"/>
      <c r="G537" s="11"/>
      <c r="H537" s="11"/>
      <c r="I537" s="11"/>
      <c r="J537" s="11"/>
      <c r="K537" s="11"/>
      <c r="L537" s="11"/>
      <c r="M537" s="11"/>
      <c r="N537" s="11"/>
      <c r="O537" s="11"/>
      <c r="P537" s="12"/>
      <c r="Q537" s="11"/>
      <c r="R537" s="11"/>
      <c r="S537" s="17"/>
      <c r="T537" s="18"/>
    </row>
    <row r="538" s="3" customFormat="1" customHeight="1" spans="1:20">
      <c r="A538" s="84"/>
      <c r="B538" s="20"/>
      <c r="C538" s="11"/>
      <c r="D538" s="11"/>
      <c r="E538" s="11"/>
      <c r="F538" s="11"/>
      <c r="G538" s="11"/>
      <c r="H538" s="11"/>
      <c r="I538" s="11"/>
      <c r="J538" s="11"/>
      <c r="K538" s="11"/>
      <c r="L538" s="11"/>
      <c r="M538" s="11"/>
      <c r="N538" s="11"/>
      <c r="O538" s="11"/>
      <c r="P538" s="12"/>
      <c r="Q538" s="11"/>
      <c r="R538" s="11"/>
      <c r="S538" s="17"/>
      <c r="T538" s="18"/>
    </row>
    <row r="539" s="3" customFormat="1" customHeight="1" spans="1:20">
      <c r="A539" s="84"/>
      <c r="B539" s="20"/>
      <c r="C539" s="11"/>
      <c r="D539" s="11"/>
      <c r="E539" s="11"/>
      <c r="F539" s="11"/>
      <c r="G539" s="11"/>
      <c r="H539" s="11"/>
      <c r="I539" s="11"/>
      <c r="J539" s="11"/>
      <c r="K539" s="11"/>
      <c r="L539" s="11"/>
      <c r="M539" s="11"/>
      <c r="N539" s="11"/>
      <c r="O539" s="11"/>
      <c r="P539" s="12"/>
      <c r="Q539" s="11"/>
      <c r="R539" s="11"/>
      <c r="S539" s="17"/>
      <c r="T539" s="18"/>
    </row>
    <row r="540" s="3" customFormat="1" customHeight="1" spans="1:20">
      <c r="A540" s="84"/>
      <c r="B540" s="20"/>
      <c r="C540" s="11"/>
      <c r="D540" s="11"/>
      <c r="E540" s="11"/>
      <c r="F540" s="11"/>
      <c r="G540" s="11"/>
      <c r="H540" s="11"/>
      <c r="I540" s="11"/>
      <c r="J540" s="11"/>
      <c r="K540" s="11"/>
      <c r="L540" s="11"/>
      <c r="M540" s="11"/>
      <c r="N540" s="11"/>
      <c r="O540" s="11"/>
      <c r="P540" s="12"/>
      <c r="Q540" s="11"/>
      <c r="R540" s="11"/>
      <c r="S540" s="17"/>
      <c r="T540" s="18"/>
    </row>
    <row r="541" s="3" customFormat="1" customHeight="1" spans="1:20">
      <c r="A541" s="84"/>
      <c r="B541" s="20"/>
      <c r="C541" s="11"/>
      <c r="D541" s="11"/>
      <c r="E541" s="11"/>
      <c r="F541" s="11"/>
      <c r="G541" s="11"/>
      <c r="H541" s="11"/>
      <c r="I541" s="11"/>
      <c r="J541" s="11"/>
      <c r="K541" s="11"/>
      <c r="L541" s="11"/>
      <c r="M541" s="11"/>
      <c r="N541" s="11"/>
      <c r="O541" s="11"/>
      <c r="P541" s="12"/>
      <c r="Q541" s="11"/>
      <c r="R541" s="11"/>
      <c r="S541" s="17"/>
      <c r="T541" s="18"/>
    </row>
    <row r="542" s="3" customFormat="1" customHeight="1" spans="1:20">
      <c r="A542" s="84"/>
      <c r="B542" s="20"/>
      <c r="C542" s="11"/>
      <c r="D542" s="11"/>
      <c r="E542" s="11"/>
      <c r="F542" s="11"/>
      <c r="G542" s="11"/>
      <c r="H542" s="11"/>
      <c r="I542" s="11"/>
      <c r="J542" s="11"/>
      <c r="K542" s="11"/>
      <c r="L542" s="11"/>
      <c r="M542" s="11"/>
      <c r="N542" s="11"/>
      <c r="O542" s="11"/>
      <c r="P542" s="12"/>
      <c r="Q542" s="11"/>
      <c r="R542" s="11"/>
      <c r="S542" s="17"/>
      <c r="T542" s="18"/>
    </row>
    <row r="543" s="3" customFormat="1" customHeight="1" spans="1:20">
      <c r="A543" s="84">
        <v>1</v>
      </c>
      <c r="B543" s="177" t="s">
        <v>702</v>
      </c>
      <c r="C543" s="167" t="s">
        <v>165</v>
      </c>
      <c r="D543" s="167" t="s">
        <v>703</v>
      </c>
      <c r="E543" s="11">
        <v>18720956827</v>
      </c>
      <c r="F543" s="167" t="s">
        <v>384</v>
      </c>
      <c r="G543" s="167" t="s">
        <v>26</v>
      </c>
      <c r="H543" s="11">
        <v>202101002</v>
      </c>
      <c r="I543" s="167" t="s">
        <v>705</v>
      </c>
      <c r="J543" s="167" t="s">
        <v>233</v>
      </c>
      <c r="K543" s="167" t="s">
        <v>706</v>
      </c>
      <c r="L543" s="167" t="s">
        <v>170</v>
      </c>
      <c r="M543" s="167" t="s">
        <v>161</v>
      </c>
      <c r="N543" s="167" t="s">
        <v>707</v>
      </c>
      <c r="O543" s="167" t="s">
        <v>708</v>
      </c>
      <c r="P543" s="12" t="str">
        <f>_xlfn.DISPIMG("ID_0553F27943C1489A99AB032B2AD0761A",1)</f>
        <v>=DISPIMG("ID_0553F27943C1489A99AB032B2AD0761A",1)</v>
      </c>
      <c r="Q543" s="11" t="s">
        <v>709</v>
      </c>
      <c r="R543" s="11">
        <v>66</v>
      </c>
      <c r="S543" s="17" t="s">
        <v>4786</v>
      </c>
      <c r="T543" s="18" t="s">
        <v>80</v>
      </c>
    </row>
    <row r="544" s="3" customFormat="1" customHeight="1" spans="1:20">
      <c r="A544" s="84">
        <v>2</v>
      </c>
      <c r="B544" s="177" t="s">
        <v>817</v>
      </c>
      <c r="C544" s="167" t="s">
        <v>165</v>
      </c>
      <c r="D544" s="167" t="s">
        <v>818</v>
      </c>
      <c r="E544" s="11">
        <v>15270286273</v>
      </c>
      <c r="F544" s="167" t="s">
        <v>297</v>
      </c>
      <c r="G544" s="167" t="s">
        <v>26</v>
      </c>
      <c r="H544" s="11">
        <v>202101003</v>
      </c>
      <c r="I544" s="167" t="s">
        <v>157</v>
      </c>
      <c r="J544" s="167" t="s">
        <v>820</v>
      </c>
      <c r="K544" s="167" t="s">
        <v>454</v>
      </c>
      <c r="L544" s="167" t="s">
        <v>160</v>
      </c>
      <c r="M544" s="167" t="s">
        <v>252</v>
      </c>
      <c r="N544" s="167" t="s">
        <v>26</v>
      </c>
      <c r="O544" s="11">
        <v>0</v>
      </c>
      <c r="P544" s="12" t="str">
        <f>_xlfn.DISPIMG("ID_D94148DE170D425EB66AE2DFFF655A13",1)</f>
        <v>=DISPIMG("ID_D94148DE170D425EB66AE2DFFF655A13",1)</v>
      </c>
      <c r="Q544" s="11" t="s">
        <v>821</v>
      </c>
      <c r="R544" s="11">
        <v>80</v>
      </c>
      <c r="S544" s="17" t="s">
        <v>4787</v>
      </c>
      <c r="T544" s="18" t="s">
        <v>80</v>
      </c>
    </row>
    <row r="545" s="3" customFormat="1" customHeight="1" spans="1:20">
      <c r="A545" s="84">
        <v>3</v>
      </c>
      <c r="B545" s="177" t="s">
        <v>898</v>
      </c>
      <c r="C545" s="167" t="s">
        <v>165</v>
      </c>
      <c r="D545" s="167" t="s">
        <v>899</v>
      </c>
      <c r="E545" s="11">
        <v>18970287322</v>
      </c>
      <c r="F545" s="167" t="s">
        <v>268</v>
      </c>
      <c r="G545" s="167" t="s">
        <v>26</v>
      </c>
      <c r="H545" s="11">
        <v>202101001</v>
      </c>
      <c r="I545" s="167" t="s">
        <v>157</v>
      </c>
      <c r="J545" s="167" t="s">
        <v>901</v>
      </c>
      <c r="K545" s="167" t="s">
        <v>454</v>
      </c>
      <c r="L545" s="167" t="s">
        <v>170</v>
      </c>
      <c r="M545" s="167" t="s">
        <v>235</v>
      </c>
      <c r="N545" s="167" t="s">
        <v>26</v>
      </c>
      <c r="O545" s="167" t="s">
        <v>902</v>
      </c>
      <c r="P545" s="12" t="str">
        <f>_xlfn.DISPIMG("ID_1BFE84DC97BC469ABB3506659F95FD8E",1)</f>
        <v>=DISPIMG("ID_1BFE84DC97BC469ABB3506659F95FD8E",1)</v>
      </c>
      <c r="Q545" s="11" t="s">
        <v>903</v>
      </c>
      <c r="R545" s="11">
        <v>90</v>
      </c>
      <c r="S545" s="17" t="s">
        <v>4790</v>
      </c>
      <c r="T545" s="18" t="s">
        <v>80</v>
      </c>
    </row>
    <row r="546" s="3" customFormat="1" customHeight="1" spans="1:20">
      <c r="A546" s="84">
        <v>4</v>
      </c>
      <c r="B546" s="177" t="s">
        <v>932</v>
      </c>
      <c r="C546" s="167" t="s">
        <v>165</v>
      </c>
      <c r="D546" s="167" t="s">
        <v>933</v>
      </c>
      <c r="E546" s="11">
        <v>15373854743</v>
      </c>
      <c r="F546" s="167" t="s">
        <v>268</v>
      </c>
      <c r="G546" s="167" t="s">
        <v>26</v>
      </c>
      <c r="H546" s="11">
        <v>202101001</v>
      </c>
      <c r="I546" s="167" t="s">
        <v>157</v>
      </c>
      <c r="J546" s="167" t="s">
        <v>935</v>
      </c>
      <c r="K546" s="167" t="s">
        <v>936</v>
      </c>
      <c r="L546" s="167" t="s">
        <v>170</v>
      </c>
      <c r="M546" s="167" t="s">
        <v>252</v>
      </c>
      <c r="N546" s="167" t="s">
        <v>26</v>
      </c>
      <c r="O546" s="167" t="s">
        <v>937</v>
      </c>
      <c r="P546" s="12" t="str">
        <f>_xlfn.DISPIMG("ID_B0F72DE4E87649C28924E4AA265BAF06",1)</f>
        <v>=DISPIMG("ID_B0F72DE4E87649C28924E4AA265BAF06",1)</v>
      </c>
      <c r="Q546" s="11" t="s">
        <v>938</v>
      </c>
      <c r="R546" s="11">
        <v>94</v>
      </c>
      <c r="S546" s="17" t="s">
        <v>4791</v>
      </c>
      <c r="T546" s="18" t="s">
        <v>80</v>
      </c>
    </row>
    <row r="547" s="3" customFormat="1" customHeight="1" spans="1:20">
      <c r="A547" s="84">
        <v>5</v>
      </c>
      <c r="B547" s="177" t="s">
        <v>1566</v>
      </c>
      <c r="C547" s="167" t="s">
        <v>165</v>
      </c>
      <c r="D547" s="167" t="s">
        <v>1567</v>
      </c>
      <c r="E547" s="11">
        <v>13535561771</v>
      </c>
      <c r="F547" s="167" t="s">
        <v>268</v>
      </c>
      <c r="G547" s="167" t="s">
        <v>26</v>
      </c>
      <c r="H547" s="11">
        <v>202101001</v>
      </c>
      <c r="I547" s="167" t="s">
        <v>705</v>
      </c>
      <c r="J547" s="167" t="s">
        <v>1569</v>
      </c>
      <c r="K547" s="167" t="s">
        <v>1570</v>
      </c>
      <c r="L547" s="167" t="s">
        <v>160</v>
      </c>
      <c r="M547" s="167" t="s">
        <v>171</v>
      </c>
      <c r="N547" s="167" t="s">
        <v>1571</v>
      </c>
      <c r="O547" s="11">
        <v>0</v>
      </c>
      <c r="P547" s="12" t="str">
        <f>_xlfn.DISPIMG("ID_F9DBEEB152DD4F6D9E9954F28F8B48D4",1)</f>
        <v>=DISPIMG("ID_F9DBEEB152DD4F6D9E9954F28F8B48D4",1)</v>
      </c>
      <c r="Q547" s="11" t="s">
        <v>1572</v>
      </c>
      <c r="R547" s="11">
        <v>175</v>
      </c>
      <c r="S547" s="17" t="s">
        <v>4792</v>
      </c>
      <c r="T547" s="18" t="s">
        <v>80</v>
      </c>
    </row>
    <row r="548" s="3" customFormat="1" customHeight="1" spans="1:20">
      <c r="A548" s="84">
        <v>6</v>
      </c>
      <c r="B548" s="177" t="s">
        <v>1606</v>
      </c>
      <c r="C548" s="167" t="s">
        <v>165</v>
      </c>
      <c r="D548" s="167" t="s">
        <v>1607</v>
      </c>
      <c r="E548" s="11">
        <v>15180623635</v>
      </c>
      <c r="F548" s="167" t="s">
        <v>384</v>
      </c>
      <c r="G548" s="167" t="s">
        <v>26</v>
      </c>
      <c r="H548" s="11">
        <v>202101002</v>
      </c>
      <c r="I548" s="167" t="s">
        <v>705</v>
      </c>
      <c r="J548" s="167" t="s">
        <v>1112</v>
      </c>
      <c r="K548" s="167" t="s">
        <v>1489</v>
      </c>
      <c r="L548" s="167" t="s">
        <v>170</v>
      </c>
      <c r="M548" s="167" t="s">
        <v>261</v>
      </c>
      <c r="N548" s="167" t="s">
        <v>26</v>
      </c>
      <c r="O548" s="167" t="s">
        <v>1609</v>
      </c>
      <c r="P548" s="12" t="str">
        <f>_xlfn.DISPIMG("ID_D4D81D5180FB4698ABF9FADCA15E9025",1)</f>
        <v>=DISPIMG("ID_D4D81D5180FB4698ABF9FADCA15E9025",1)</v>
      </c>
      <c r="Q548" s="11" t="s">
        <v>1610</v>
      </c>
      <c r="R548" s="11">
        <v>180</v>
      </c>
      <c r="S548" s="17" t="s">
        <v>4796</v>
      </c>
      <c r="T548" s="18" t="s">
        <v>80</v>
      </c>
    </row>
    <row r="549" s="3" customFormat="1" customHeight="1" spans="1:20">
      <c r="A549" s="84">
        <v>7</v>
      </c>
      <c r="B549" s="177" t="s">
        <v>1932</v>
      </c>
      <c r="C549" s="167" t="s">
        <v>165</v>
      </c>
      <c r="D549" s="167" t="s">
        <v>1933</v>
      </c>
      <c r="E549" s="11">
        <v>13507099496</v>
      </c>
      <c r="F549" s="167" t="s">
        <v>384</v>
      </c>
      <c r="G549" s="167" t="s">
        <v>26</v>
      </c>
      <c r="H549" s="11">
        <v>202101002</v>
      </c>
      <c r="I549" s="167" t="s">
        <v>157</v>
      </c>
      <c r="J549" s="167" t="s">
        <v>827</v>
      </c>
      <c r="K549" s="167" t="s">
        <v>454</v>
      </c>
      <c r="L549" s="167" t="s">
        <v>170</v>
      </c>
      <c r="M549" s="167" t="s">
        <v>199</v>
      </c>
      <c r="N549" s="167" t="s">
        <v>324</v>
      </c>
      <c r="O549" s="167" t="s">
        <v>1935</v>
      </c>
      <c r="P549" s="12" t="str">
        <f>_xlfn.DISPIMG("ID_4ED50304A31443EC8E946100C168F137",1)</f>
        <v>=DISPIMG("ID_4ED50304A31443EC8E946100C168F137",1)</v>
      </c>
      <c r="Q549" s="11" t="s">
        <v>1936</v>
      </c>
      <c r="R549" s="11">
        <v>223</v>
      </c>
      <c r="S549" s="17" t="s">
        <v>4797</v>
      </c>
      <c r="T549" s="18" t="s">
        <v>80</v>
      </c>
    </row>
    <row r="550" s="3" customFormat="1" customHeight="1" spans="1:20">
      <c r="A550" s="84">
        <v>8</v>
      </c>
      <c r="B550" s="177" t="s">
        <v>3359</v>
      </c>
      <c r="C550" s="167" t="s">
        <v>165</v>
      </c>
      <c r="D550" s="167" t="s">
        <v>3360</v>
      </c>
      <c r="E550" s="11">
        <v>18970285935</v>
      </c>
      <c r="F550" s="167" t="s">
        <v>297</v>
      </c>
      <c r="G550" s="167" t="s">
        <v>26</v>
      </c>
      <c r="H550" s="11">
        <v>202101003</v>
      </c>
      <c r="I550" s="167" t="s">
        <v>157</v>
      </c>
      <c r="J550" s="167" t="s">
        <v>1213</v>
      </c>
      <c r="K550" s="167" t="s">
        <v>3362</v>
      </c>
      <c r="L550" s="167" t="s">
        <v>160</v>
      </c>
      <c r="M550" s="167" t="s">
        <v>224</v>
      </c>
      <c r="N550" s="167" t="s">
        <v>26</v>
      </c>
      <c r="O550" s="11">
        <v>0</v>
      </c>
      <c r="P550" s="12" t="str">
        <f>_xlfn.DISPIMG("ID_8997E37C597A4A678DEC3DE2B773630A",1)</f>
        <v>=DISPIMG("ID_8997E37C597A4A678DEC3DE2B773630A",1)</v>
      </c>
      <c r="Q550" s="11" t="s">
        <v>3363</v>
      </c>
      <c r="R550" s="11">
        <v>423</v>
      </c>
      <c r="S550" s="17" t="s">
        <v>4801</v>
      </c>
      <c r="T550" s="18" t="s">
        <v>80</v>
      </c>
    </row>
    <row r="551" s="3" customFormat="1" customHeight="1" spans="1:20">
      <c r="A551" s="84">
        <v>9</v>
      </c>
      <c r="B551" s="177" t="s">
        <v>4127</v>
      </c>
      <c r="C551" s="167" t="s">
        <v>165</v>
      </c>
      <c r="D551" s="167" t="s">
        <v>4128</v>
      </c>
      <c r="E551" s="11">
        <v>18779230962</v>
      </c>
      <c r="F551" s="167" t="s">
        <v>268</v>
      </c>
      <c r="G551" s="167" t="s">
        <v>26</v>
      </c>
      <c r="H551" s="11">
        <v>202101001</v>
      </c>
      <c r="I551" s="167" t="s">
        <v>157</v>
      </c>
      <c r="J551" s="167" t="s">
        <v>233</v>
      </c>
      <c r="K551" s="167" t="s">
        <v>454</v>
      </c>
      <c r="L551" s="167" t="s">
        <v>170</v>
      </c>
      <c r="M551" s="167" t="s">
        <v>252</v>
      </c>
      <c r="N551" s="167" t="s">
        <v>26</v>
      </c>
      <c r="O551" s="167" t="s">
        <v>4130</v>
      </c>
      <c r="P551" s="12" t="str">
        <f>_xlfn.DISPIMG("ID_135AA7394FE044C981CB1DCD13A764A0",1)</f>
        <v>=DISPIMG("ID_135AA7394FE044C981CB1DCD13A764A0",1)</v>
      </c>
      <c r="Q551" s="11" t="s">
        <v>4131</v>
      </c>
      <c r="R551" s="11">
        <v>528</v>
      </c>
      <c r="S551" s="17" t="s">
        <v>4802</v>
      </c>
      <c r="T551" s="18" t="s">
        <v>80</v>
      </c>
    </row>
    <row r="552" s="3" customFormat="1" customHeight="1" spans="1:20">
      <c r="A552" s="84">
        <v>10</v>
      </c>
      <c r="B552" s="177" t="s">
        <v>329</v>
      </c>
      <c r="C552" s="167" t="s">
        <v>165</v>
      </c>
      <c r="D552" s="167" t="s">
        <v>330</v>
      </c>
      <c r="E552" s="11">
        <v>13635987780</v>
      </c>
      <c r="F552" s="167" t="s">
        <v>156</v>
      </c>
      <c r="G552" s="167" t="s">
        <v>3</v>
      </c>
      <c r="H552" s="11">
        <v>202102009</v>
      </c>
      <c r="I552" s="167" t="s">
        <v>157</v>
      </c>
      <c r="J552" s="167" t="s">
        <v>332</v>
      </c>
      <c r="K552" s="167" t="s">
        <v>333</v>
      </c>
      <c r="L552" s="167" t="s">
        <v>160</v>
      </c>
      <c r="M552" s="167" t="s">
        <v>199</v>
      </c>
      <c r="N552" s="167" t="s">
        <v>3</v>
      </c>
      <c r="O552" s="11">
        <v>0</v>
      </c>
      <c r="P552" s="12" t="str">
        <f>_xlfn.DISPIMG("ID_66E2A8C103C040BCBC4789F49E6E9C74",1)</f>
        <v>=DISPIMG("ID_66E2A8C103C040BCBC4789F49E6E9C74",1)</v>
      </c>
      <c r="Q552" s="11" t="s">
        <v>334</v>
      </c>
      <c r="R552" s="11">
        <v>21</v>
      </c>
      <c r="S552" s="17" t="s">
        <v>4806</v>
      </c>
      <c r="T552" s="18" t="s">
        <v>80</v>
      </c>
    </row>
    <row r="553" s="3" customFormat="1" customHeight="1" spans="1:20">
      <c r="A553" s="84">
        <v>11</v>
      </c>
      <c r="B553" s="177" t="s">
        <v>965</v>
      </c>
      <c r="C553" s="167" t="s">
        <v>165</v>
      </c>
      <c r="D553" s="167" t="s">
        <v>966</v>
      </c>
      <c r="E553" s="11">
        <v>18379223080</v>
      </c>
      <c r="F553" s="167" t="s">
        <v>156</v>
      </c>
      <c r="G553" s="167" t="s">
        <v>3</v>
      </c>
      <c r="H553" s="11">
        <v>202102009</v>
      </c>
      <c r="I553" s="167" t="s">
        <v>157</v>
      </c>
      <c r="J553" s="167" t="s">
        <v>158</v>
      </c>
      <c r="K553" s="167" t="s">
        <v>968</v>
      </c>
      <c r="L553" s="167" t="s">
        <v>160</v>
      </c>
      <c r="M553" s="167" t="s">
        <v>368</v>
      </c>
      <c r="N553" s="167" t="s">
        <v>969</v>
      </c>
      <c r="O553" s="167" t="s">
        <v>970</v>
      </c>
      <c r="P553" s="12" t="str">
        <f>_xlfn.DISPIMG("ID_25A1371DB5D24E7E87AED819AD313075",1)</f>
        <v>=DISPIMG("ID_25A1371DB5D24E7E87AED819AD313075",1)</v>
      </c>
      <c r="Q553" s="11" t="s">
        <v>971</v>
      </c>
      <c r="R553" s="11">
        <v>98</v>
      </c>
      <c r="S553" s="17" t="s">
        <v>4807</v>
      </c>
      <c r="T553" s="18" t="s">
        <v>80</v>
      </c>
    </row>
    <row r="554" s="3" customFormat="1" customHeight="1" spans="1:20">
      <c r="A554" s="84">
        <v>12</v>
      </c>
      <c r="B554" s="177" t="s">
        <v>1161</v>
      </c>
      <c r="C554" s="167" t="s">
        <v>165</v>
      </c>
      <c r="D554" s="167" t="s">
        <v>1162</v>
      </c>
      <c r="E554" s="11">
        <v>15879899835</v>
      </c>
      <c r="F554" s="167" t="s">
        <v>156</v>
      </c>
      <c r="G554" s="167" t="s">
        <v>3</v>
      </c>
      <c r="H554" s="11">
        <v>202102009</v>
      </c>
      <c r="I554" s="167" t="s">
        <v>157</v>
      </c>
      <c r="J554" s="167" t="s">
        <v>1146</v>
      </c>
      <c r="K554" s="167" t="s">
        <v>1164</v>
      </c>
      <c r="L554" s="167" t="s">
        <v>160</v>
      </c>
      <c r="M554" s="167" t="s">
        <v>252</v>
      </c>
      <c r="N554" s="167" t="s">
        <v>3</v>
      </c>
      <c r="O554" s="11">
        <v>0</v>
      </c>
      <c r="P554" s="12" t="str">
        <f>_xlfn.DISPIMG("ID_AF5F9594083C4D63A9C12F6DBB9E6CAE",1)</f>
        <v>=DISPIMG("ID_AF5F9594083C4D63A9C12F6DBB9E6CAE",1)</v>
      </c>
      <c r="Q554" s="11" t="s">
        <v>1165</v>
      </c>
      <c r="R554" s="11">
        <v>122</v>
      </c>
      <c r="S554" s="17" t="s">
        <v>4808</v>
      </c>
      <c r="T554" s="18" t="s">
        <v>80</v>
      </c>
    </row>
    <row r="555" s="3" customFormat="1" customHeight="1" spans="1:20">
      <c r="A555" s="84">
        <v>13</v>
      </c>
      <c r="B555" s="177" t="s">
        <v>1421</v>
      </c>
      <c r="C555" s="167" t="s">
        <v>165</v>
      </c>
      <c r="D555" s="167" t="s">
        <v>1422</v>
      </c>
      <c r="E555" s="11">
        <v>15179266183</v>
      </c>
      <c r="F555" s="167" t="s">
        <v>156</v>
      </c>
      <c r="G555" s="167" t="s">
        <v>3</v>
      </c>
      <c r="H555" s="11">
        <v>202102009</v>
      </c>
      <c r="I555" s="167" t="s">
        <v>157</v>
      </c>
      <c r="J555" s="167" t="s">
        <v>1424</v>
      </c>
      <c r="K555" s="167" t="s">
        <v>298</v>
      </c>
      <c r="L555" s="167" t="s">
        <v>160</v>
      </c>
      <c r="M555" s="167" t="s">
        <v>252</v>
      </c>
      <c r="N555" s="167" t="s">
        <v>1425</v>
      </c>
      <c r="O555" s="11">
        <v>0</v>
      </c>
      <c r="P555" s="12" t="str">
        <f>_xlfn.DISPIMG("ID_9A5193B60E294BCB8EBBC32356364290",1)</f>
        <v>=DISPIMG("ID_9A5193B60E294BCB8EBBC32356364290",1)</v>
      </c>
      <c r="Q555" s="11" t="s">
        <v>1426</v>
      </c>
      <c r="R555" s="11">
        <v>157</v>
      </c>
      <c r="S555" s="17" t="s">
        <v>4809</v>
      </c>
      <c r="T555" s="18" t="s">
        <v>80</v>
      </c>
    </row>
    <row r="556" s="3" customFormat="1" customHeight="1" spans="1:20">
      <c r="A556" s="84">
        <v>14</v>
      </c>
      <c r="B556" s="177" t="s">
        <v>2871</v>
      </c>
      <c r="C556" s="167" t="s">
        <v>165</v>
      </c>
      <c r="D556" s="167" t="s">
        <v>2872</v>
      </c>
      <c r="E556" s="11">
        <v>15135136743</v>
      </c>
      <c r="F556" s="167" t="s">
        <v>156</v>
      </c>
      <c r="G556" s="167" t="s">
        <v>3</v>
      </c>
      <c r="H556" s="11">
        <v>202102009</v>
      </c>
      <c r="I556" s="167" t="s">
        <v>157</v>
      </c>
      <c r="J556" s="167" t="s">
        <v>2874</v>
      </c>
      <c r="K556" s="167" t="s">
        <v>169</v>
      </c>
      <c r="L556" s="167" t="s">
        <v>170</v>
      </c>
      <c r="M556" s="167" t="s">
        <v>171</v>
      </c>
      <c r="N556" s="167" t="s">
        <v>1425</v>
      </c>
      <c r="O556" s="11">
        <v>0</v>
      </c>
      <c r="P556" s="12" t="str">
        <f>_xlfn.DISPIMG("ID_16C7080DFBEB4260AD8944B9B8A16C63",1)</f>
        <v>=DISPIMG("ID_16C7080DFBEB4260AD8944B9B8A16C63",1)</v>
      </c>
      <c r="Q556" s="11" t="s">
        <v>2875</v>
      </c>
      <c r="R556" s="20">
        <v>349</v>
      </c>
      <c r="S556" s="17" t="s">
        <v>4812</v>
      </c>
      <c r="T556" s="18" t="s">
        <v>80</v>
      </c>
    </row>
    <row r="557" s="3" customFormat="1" customHeight="1" spans="1:20">
      <c r="A557" s="84">
        <v>15</v>
      </c>
      <c r="B557" s="177" t="s">
        <v>3301</v>
      </c>
      <c r="C557" s="167" t="s">
        <v>165</v>
      </c>
      <c r="D557" s="167" t="s">
        <v>3302</v>
      </c>
      <c r="E557" s="11">
        <v>13870479934</v>
      </c>
      <c r="F557" s="167" t="s">
        <v>156</v>
      </c>
      <c r="G557" s="167" t="s">
        <v>3</v>
      </c>
      <c r="H557" s="11">
        <v>202102009</v>
      </c>
      <c r="I557" s="167" t="s">
        <v>157</v>
      </c>
      <c r="J557" s="167" t="s">
        <v>178</v>
      </c>
      <c r="K557" s="167" t="s">
        <v>454</v>
      </c>
      <c r="L557" s="167" t="s">
        <v>170</v>
      </c>
      <c r="M557" s="167" t="s">
        <v>261</v>
      </c>
      <c r="N557" s="167" t="s">
        <v>1425</v>
      </c>
      <c r="O557" s="11">
        <v>0</v>
      </c>
      <c r="P557" s="12" t="str">
        <f>_xlfn.DISPIMG("ID_DD8D706699DA435AABD3242B003A06E3",1)</f>
        <v>=DISPIMG("ID_DD8D706699DA435AABD3242B003A06E3",1)</v>
      </c>
      <c r="Q557" s="11" t="s">
        <v>3304</v>
      </c>
      <c r="R557" s="11">
        <v>414</v>
      </c>
      <c r="S557" s="17" t="s">
        <v>4813</v>
      </c>
      <c r="T557" s="18" t="s">
        <v>80</v>
      </c>
    </row>
    <row r="558" s="3" customFormat="1" customHeight="1" spans="1:20">
      <c r="A558" s="84">
        <v>16</v>
      </c>
      <c r="B558" s="177" t="s">
        <v>1410</v>
      </c>
      <c r="C558" s="167" t="s">
        <v>165</v>
      </c>
      <c r="D558" s="167" t="s">
        <v>1411</v>
      </c>
      <c r="E558" s="11">
        <v>19979027323</v>
      </c>
      <c r="F558" s="167" t="s">
        <v>268</v>
      </c>
      <c r="G558" s="167" t="s">
        <v>22</v>
      </c>
      <c r="H558" s="11">
        <v>202101009</v>
      </c>
      <c r="I558" s="167" t="s">
        <v>157</v>
      </c>
      <c r="J558" s="167" t="s">
        <v>1413</v>
      </c>
      <c r="K558" s="167" t="s">
        <v>944</v>
      </c>
      <c r="L558" s="167" t="s">
        <v>170</v>
      </c>
      <c r="M558" s="167" t="s">
        <v>396</v>
      </c>
      <c r="N558" s="167" t="s">
        <v>1414</v>
      </c>
      <c r="O558" s="167" t="s">
        <v>1415</v>
      </c>
      <c r="P558" s="12" t="str">
        <f>_xlfn.DISPIMG("ID_7AA3981AEA4B4044958F80E226B55196",1)</f>
        <v>=DISPIMG("ID_7AA3981AEA4B4044958F80E226B55196",1)</v>
      </c>
      <c r="Q558" s="11" t="s">
        <v>1416</v>
      </c>
      <c r="R558" s="11">
        <v>155</v>
      </c>
      <c r="S558" s="17" t="s">
        <v>4816</v>
      </c>
      <c r="T558" s="18" t="s">
        <v>80</v>
      </c>
    </row>
    <row r="559" s="3" customFormat="1" customHeight="1" spans="1:20">
      <c r="A559" s="84"/>
      <c r="B559" s="20"/>
      <c r="C559" s="11"/>
      <c r="D559" s="11"/>
      <c r="E559" s="11"/>
      <c r="F559" s="11"/>
      <c r="G559" s="11"/>
      <c r="H559" s="11"/>
      <c r="I559" s="11"/>
      <c r="J559" s="11"/>
      <c r="K559" s="11"/>
      <c r="L559" s="11"/>
      <c r="M559" s="11"/>
      <c r="N559" s="11"/>
      <c r="O559" s="11"/>
      <c r="P559" s="12"/>
      <c r="Q559" s="11"/>
      <c r="R559" s="11"/>
      <c r="S559" s="17"/>
      <c r="T559" s="18"/>
    </row>
    <row r="560" s="3" customFormat="1" customHeight="1" spans="1:20">
      <c r="A560" s="84"/>
      <c r="B560" s="20"/>
      <c r="C560" s="11"/>
      <c r="D560" s="11"/>
      <c r="E560" s="11"/>
      <c r="F560" s="11"/>
      <c r="G560" s="11"/>
      <c r="H560" s="11"/>
      <c r="I560" s="11"/>
      <c r="J560" s="11"/>
      <c r="K560" s="11"/>
      <c r="L560" s="11"/>
      <c r="M560" s="11"/>
      <c r="N560" s="11"/>
      <c r="O560" s="11"/>
      <c r="P560" s="12"/>
      <c r="Q560" s="11"/>
      <c r="R560" s="11"/>
      <c r="S560" s="17"/>
      <c r="T560" s="18"/>
    </row>
    <row r="561" s="3" customFormat="1" customHeight="1" spans="1:20">
      <c r="A561" s="84"/>
      <c r="B561" s="20"/>
      <c r="C561" s="11"/>
      <c r="D561" s="11"/>
      <c r="E561" s="11"/>
      <c r="F561" s="11"/>
      <c r="G561" s="11"/>
      <c r="H561" s="11"/>
      <c r="I561" s="11"/>
      <c r="J561" s="11"/>
      <c r="K561" s="11"/>
      <c r="L561" s="11"/>
      <c r="M561" s="11"/>
      <c r="N561" s="11"/>
      <c r="O561" s="11"/>
      <c r="P561" s="12"/>
      <c r="Q561" s="11"/>
      <c r="R561" s="11"/>
      <c r="S561" s="17"/>
      <c r="T561" s="18"/>
    </row>
    <row r="562" s="3" customFormat="1" customHeight="1" spans="1:20">
      <c r="A562" s="84"/>
      <c r="B562" s="20"/>
      <c r="C562" s="11"/>
      <c r="D562" s="11"/>
      <c r="E562" s="11"/>
      <c r="F562" s="11"/>
      <c r="G562" s="11"/>
      <c r="H562" s="11"/>
      <c r="I562" s="11"/>
      <c r="J562" s="11"/>
      <c r="K562" s="11"/>
      <c r="L562" s="11"/>
      <c r="M562" s="11"/>
      <c r="N562" s="11"/>
      <c r="O562" s="11"/>
      <c r="P562" s="12"/>
      <c r="Q562" s="11"/>
      <c r="R562" s="11"/>
      <c r="S562" s="17"/>
      <c r="T562" s="18"/>
    </row>
    <row r="563" s="3" customFormat="1" customHeight="1" spans="1:20">
      <c r="A563" s="84"/>
      <c r="B563" s="20"/>
      <c r="C563" s="11"/>
      <c r="D563" s="11"/>
      <c r="E563" s="11"/>
      <c r="F563" s="11"/>
      <c r="G563" s="11"/>
      <c r="H563" s="11"/>
      <c r="I563" s="11"/>
      <c r="J563" s="11"/>
      <c r="K563" s="11"/>
      <c r="L563" s="11"/>
      <c r="M563" s="11"/>
      <c r="N563" s="11"/>
      <c r="O563" s="11"/>
      <c r="P563" s="12"/>
      <c r="Q563" s="11"/>
      <c r="R563" s="11"/>
      <c r="S563" s="17"/>
      <c r="T563" s="18"/>
    </row>
    <row r="564" s="3" customFormat="1" customHeight="1" spans="1:20">
      <c r="A564" s="84"/>
      <c r="B564" s="20"/>
      <c r="C564" s="11"/>
      <c r="D564" s="11"/>
      <c r="E564" s="11"/>
      <c r="F564" s="11"/>
      <c r="G564" s="11"/>
      <c r="H564" s="11"/>
      <c r="I564" s="11"/>
      <c r="J564" s="11"/>
      <c r="K564" s="11"/>
      <c r="L564" s="11"/>
      <c r="M564" s="11"/>
      <c r="N564" s="11"/>
      <c r="O564" s="11"/>
      <c r="P564" s="12"/>
      <c r="Q564" s="11"/>
      <c r="R564" s="11"/>
      <c r="S564" s="17"/>
      <c r="T564" s="18"/>
    </row>
    <row r="565" s="3" customFormat="1" customHeight="1" spans="1:20">
      <c r="A565" s="84"/>
      <c r="B565" s="20"/>
      <c r="C565" s="11"/>
      <c r="D565" s="11"/>
      <c r="E565" s="11"/>
      <c r="F565" s="11"/>
      <c r="G565" s="11"/>
      <c r="H565" s="11"/>
      <c r="I565" s="11"/>
      <c r="J565" s="11"/>
      <c r="K565" s="11"/>
      <c r="L565" s="11"/>
      <c r="M565" s="11"/>
      <c r="N565" s="11"/>
      <c r="O565" s="11"/>
      <c r="P565" s="12"/>
      <c r="Q565" s="11"/>
      <c r="R565" s="11"/>
      <c r="S565" s="17"/>
      <c r="T565" s="18"/>
    </row>
    <row r="566" s="3" customFormat="1" customHeight="1" spans="1:20">
      <c r="A566" s="84"/>
      <c r="B566" s="20"/>
      <c r="C566" s="11"/>
      <c r="D566" s="11"/>
      <c r="E566" s="11"/>
      <c r="F566" s="11"/>
      <c r="G566" s="11"/>
      <c r="H566" s="11"/>
      <c r="I566" s="11"/>
      <c r="J566" s="11"/>
      <c r="K566" s="11"/>
      <c r="L566" s="11"/>
      <c r="M566" s="11"/>
      <c r="N566" s="11"/>
      <c r="O566" s="11"/>
      <c r="P566" s="12"/>
      <c r="Q566" s="11"/>
      <c r="R566" s="11"/>
      <c r="S566" s="17"/>
      <c r="T566" s="18"/>
    </row>
    <row r="567" s="3" customFormat="1" customHeight="1" spans="1:20">
      <c r="A567" s="84"/>
      <c r="B567" s="20"/>
      <c r="C567" s="11"/>
      <c r="D567" s="11"/>
      <c r="E567" s="11"/>
      <c r="F567" s="11"/>
      <c r="G567" s="11"/>
      <c r="H567" s="11"/>
      <c r="I567" s="11"/>
      <c r="J567" s="11"/>
      <c r="K567" s="11"/>
      <c r="L567" s="11"/>
      <c r="M567" s="11"/>
      <c r="N567" s="11"/>
      <c r="O567" s="11"/>
      <c r="P567" s="12"/>
      <c r="Q567" s="11"/>
      <c r="R567" s="11"/>
      <c r="S567" s="17"/>
      <c r="T567" s="18"/>
    </row>
    <row r="568" s="3" customFormat="1" customHeight="1" spans="1:20">
      <c r="A568" s="84"/>
      <c r="B568" s="20"/>
      <c r="C568" s="11"/>
      <c r="D568" s="11"/>
      <c r="E568" s="11"/>
      <c r="F568" s="11"/>
      <c r="G568" s="11"/>
      <c r="H568" s="11"/>
      <c r="I568" s="11"/>
      <c r="J568" s="11"/>
      <c r="K568" s="11"/>
      <c r="L568" s="11"/>
      <c r="M568" s="11"/>
      <c r="N568" s="11"/>
      <c r="O568" s="11"/>
      <c r="P568" s="12"/>
      <c r="Q568" s="11"/>
      <c r="R568" s="11"/>
      <c r="S568" s="17"/>
      <c r="T568" s="18"/>
    </row>
    <row r="569" s="3" customFormat="1" customHeight="1" spans="1:20">
      <c r="A569" s="84"/>
      <c r="B569" s="20"/>
      <c r="C569" s="11"/>
      <c r="D569" s="11"/>
      <c r="E569" s="11"/>
      <c r="F569" s="11"/>
      <c r="G569" s="11"/>
      <c r="H569" s="11"/>
      <c r="I569" s="11"/>
      <c r="J569" s="11"/>
      <c r="K569" s="11"/>
      <c r="L569" s="11"/>
      <c r="M569" s="11"/>
      <c r="N569" s="11"/>
      <c r="O569" s="11"/>
      <c r="P569" s="12"/>
      <c r="Q569" s="11"/>
      <c r="R569" s="11"/>
      <c r="S569" s="17"/>
      <c r="T569" s="18"/>
    </row>
    <row r="570" s="3" customFormat="1" customHeight="1" spans="1:20">
      <c r="A570" s="84"/>
      <c r="B570" s="20"/>
      <c r="C570" s="11"/>
      <c r="D570" s="11"/>
      <c r="E570" s="11"/>
      <c r="F570" s="11"/>
      <c r="G570" s="11"/>
      <c r="H570" s="11"/>
      <c r="I570" s="11"/>
      <c r="J570" s="11"/>
      <c r="K570" s="11"/>
      <c r="L570" s="11"/>
      <c r="M570" s="11"/>
      <c r="N570" s="11"/>
      <c r="O570" s="11"/>
      <c r="P570" s="12"/>
      <c r="Q570" s="11"/>
      <c r="R570" s="11"/>
      <c r="S570" s="17"/>
      <c r="T570" s="18"/>
    </row>
    <row r="571" s="3" customFormat="1" customHeight="1" spans="1:20">
      <c r="A571" s="84"/>
      <c r="B571" s="20"/>
      <c r="C571" s="11"/>
      <c r="D571" s="11"/>
      <c r="E571" s="11"/>
      <c r="F571" s="11"/>
      <c r="G571" s="11"/>
      <c r="H571" s="11"/>
      <c r="I571" s="11"/>
      <c r="J571" s="11"/>
      <c r="K571" s="11"/>
      <c r="L571" s="11"/>
      <c r="M571" s="11"/>
      <c r="N571" s="11"/>
      <c r="O571" s="11"/>
      <c r="P571" s="12"/>
      <c r="Q571" s="11"/>
      <c r="R571" s="11"/>
      <c r="S571" s="17"/>
      <c r="T571" s="18"/>
    </row>
    <row r="572" s="3" customFormat="1" customHeight="1" spans="1:20">
      <c r="A572" s="84"/>
      <c r="B572" s="20"/>
      <c r="C572" s="11"/>
      <c r="D572" s="11"/>
      <c r="E572" s="11"/>
      <c r="F572" s="11"/>
      <c r="G572" s="11"/>
      <c r="H572" s="11"/>
      <c r="I572" s="11"/>
      <c r="J572" s="11"/>
      <c r="K572" s="11"/>
      <c r="L572" s="11"/>
      <c r="M572" s="11"/>
      <c r="N572" s="11"/>
      <c r="O572" s="11"/>
      <c r="P572" s="12"/>
      <c r="Q572" s="11"/>
      <c r="R572" s="11"/>
      <c r="S572" s="17"/>
      <c r="T572" s="18"/>
    </row>
    <row r="573" s="3" customFormat="1" customHeight="1" spans="1:20">
      <c r="A573" s="84">
        <v>1</v>
      </c>
      <c r="B573" s="177" t="s">
        <v>679</v>
      </c>
      <c r="C573" s="167" t="s">
        <v>165</v>
      </c>
      <c r="D573" s="167" t="s">
        <v>680</v>
      </c>
      <c r="E573" s="11">
        <v>15079252278</v>
      </c>
      <c r="F573" s="167" t="s">
        <v>384</v>
      </c>
      <c r="G573" s="167" t="s">
        <v>21</v>
      </c>
      <c r="H573" s="11">
        <v>202101023</v>
      </c>
      <c r="I573" s="167" t="s">
        <v>157</v>
      </c>
      <c r="J573" s="167" t="s">
        <v>233</v>
      </c>
      <c r="K573" s="167" t="s">
        <v>682</v>
      </c>
      <c r="L573" s="167" t="s">
        <v>170</v>
      </c>
      <c r="M573" s="167" t="s">
        <v>261</v>
      </c>
      <c r="N573" s="167" t="s">
        <v>683</v>
      </c>
      <c r="O573" s="11">
        <v>0</v>
      </c>
      <c r="P573" s="12" t="str">
        <f>_xlfn.DISPIMG("ID_6F0A1E5B97CE4F0C8967B602A8189E7F",1)</f>
        <v>=DISPIMG("ID_6F0A1E5B97CE4F0C8967B602A8189E7F",1)</v>
      </c>
      <c r="Q573" s="11" t="s">
        <v>684</v>
      </c>
      <c r="R573" s="11">
        <v>63</v>
      </c>
      <c r="S573" s="17" t="s">
        <v>4817</v>
      </c>
      <c r="T573" s="18" t="s">
        <v>84</v>
      </c>
    </row>
    <row r="574" s="3" customFormat="1" customHeight="1" spans="1:20">
      <c r="A574" s="84">
        <v>2</v>
      </c>
      <c r="B574" s="177" t="s">
        <v>1584</v>
      </c>
      <c r="C574" s="167" t="s">
        <v>153</v>
      </c>
      <c r="D574" s="167" t="s">
        <v>1585</v>
      </c>
      <c r="E574" s="11">
        <v>18460003044</v>
      </c>
      <c r="F574" s="167" t="s">
        <v>268</v>
      </c>
      <c r="G574" s="167" t="s">
        <v>21</v>
      </c>
      <c r="H574" s="11">
        <v>202101022</v>
      </c>
      <c r="I574" s="167" t="s">
        <v>157</v>
      </c>
      <c r="J574" s="167" t="s">
        <v>827</v>
      </c>
      <c r="K574" s="167" t="s">
        <v>682</v>
      </c>
      <c r="L574" s="167" t="s">
        <v>170</v>
      </c>
      <c r="M574" s="167" t="s">
        <v>455</v>
      </c>
      <c r="N574" s="167" t="s">
        <v>1587</v>
      </c>
      <c r="O574" s="11">
        <v>0</v>
      </c>
      <c r="P574" s="12" t="str">
        <f>_xlfn.DISPIMG("ID_E364C79C5CB74A97A356C87CFF697310",1)</f>
        <v>=DISPIMG("ID_E364C79C5CB74A97A356C87CFF697310",1)</v>
      </c>
      <c r="Q574" s="11" t="s">
        <v>1588</v>
      </c>
      <c r="R574" s="11">
        <v>177</v>
      </c>
      <c r="S574" s="17" t="s">
        <v>4819</v>
      </c>
      <c r="T574" s="18" t="s">
        <v>84</v>
      </c>
    </row>
    <row r="575" s="3" customFormat="1" customHeight="1" spans="1:20">
      <c r="A575" s="84">
        <v>3</v>
      </c>
      <c r="B575" s="177" t="s">
        <v>1590</v>
      </c>
      <c r="C575" s="167" t="s">
        <v>153</v>
      </c>
      <c r="D575" s="167" t="s">
        <v>1591</v>
      </c>
      <c r="E575" s="11">
        <v>19165078910</v>
      </c>
      <c r="F575" s="167" t="s">
        <v>268</v>
      </c>
      <c r="G575" s="167" t="s">
        <v>21</v>
      </c>
      <c r="H575" s="11">
        <v>202101022</v>
      </c>
      <c r="I575" s="167" t="s">
        <v>157</v>
      </c>
      <c r="J575" s="167" t="s">
        <v>827</v>
      </c>
      <c r="K575" s="167" t="s">
        <v>682</v>
      </c>
      <c r="L575" s="167" t="s">
        <v>170</v>
      </c>
      <c r="M575" s="167" t="s">
        <v>455</v>
      </c>
      <c r="N575" s="167" t="s">
        <v>1593</v>
      </c>
      <c r="O575" s="11">
        <v>0</v>
      </c>
      <c r="P575" s="12" t="str">
        <f>_xlfn.DISPIMG("ID_A40AE5361B8D44C884FA7CDADC74343E",1)</f>
        <v>=DISPIMG("ID_A40AE5361B8D44C884FA7CDADC74343E",1)</v>
      </c>
      <c r="Q575" s="11" t="s">
        <v>1594</v>
      </c>
      <c r="R575" s="11">
        <v>178</v>
      </c>
      <c r="S575" s="17" t="s">
        <v>4820</v>
      </c>
      <c r="T575" s="18" t="s">
        <v>84</v>
      </c>
    </row>
    <row r="576" s="3" customFormat="1" customHeight="1" spans="1:20">
      <c r="A576" s="84">
        <v>4</v>
      </c>
      <c r="B576" s="177" t="s">
        <v>1737</v>
      </c>
      <c r="C576" s="167" t="s">
        <v>153</v>
      </c>
      <c r="D576" s="167" t="s">
        <v>1738</v>
      </c>
      <c r="E576" s="11">
        <v>19815092923</v>
      </c>
      <c r="F576" s="167" t="s">
        <v>384</v>
      </c>
      <c r="G576" s="167" t="s">
        <v>21</v>
      </c>
      <c r="H576" s="11">
        <v>202101023</v>
      </c>
      <c r="I576" s="167" t="s">
        <v>157</v>
      </c>
      <c r="J576" s="167" t="s">
        <v>1740</v>
      </c>
      <c r="K576" s="167" t="s">
        <v>682</v>
      </c>
      <c r="L576" s="167" t="s">
        <v>170</v>
      </c>
      <c r="M576" s="167" t="s">
        <v>281</v>
      </c>
      <c r="N576" s="167" t="s">
        <v>21</v>
      </c>
      <c r="O576" s="11">
        <v>0</v>
      </c>
      <c r="P576" s="12" t="str">
        <f>_xlfn.DISPIMG("ID_5626D0773278487D84DF299D01619D61",1)</f>
        <v>=DISPIMG("ID_5626D0773278487D84DF299D01619D61",1)</v>
      </c>
      <c r="Q576" s="11" t="s">
        <v>1741</v>
      </c>
      <c r="R576" s="11">
        <v>197</v>
      </c>
      <c r="S576" s="17" t="s">
        <v>4822</v>
      </c>
      <c r="T576" s="18" t="s">
        <v>84</v>
      </c>
    </row>
    <row r="577" s="3" customFormat="1" customHeight="1" spans="1:20">
      <c r="A577" s="84">
        <v>5</v>
      </c>
      <c r="B577" s="177" t="s">
        <v>2524</v>
      </c>
      <c r="C577" s="167" t="s">
        <v>153</v>
      </c>
      <c r="D577" s="167" t="s">
        <v>2525</v>
      </c>
      <c r="E577" s="11">
        <v>13133668154</v>
      </c>
      <c r="F577" s="167" t="s">
        <v>268</v>
      </c>
      <c r="G577" s="167" t="s">
        <v>21</v>
      </c>
      <c r="H577" s="11">
        <v>202101022</v>
      </c>
      <c r="I577" s="167" t="s">
        <v>157</v>
      </c>
      <c r="J577" s="167" t="s">
        <v>876</v>
      </c>
      <c r="K577" s="167" t="s">
        <v>682</v>
      </c>
      <c r="L577" s="167" t="s">
        <v>170</v>
      </c>
      <c r="M577" s="167" t="s">
        <v>180</v>
      </c>
      <c r="N577" s="167" t="s">
        <v>2527</v>
      </c>
      <c r="O577" s="167" t="s">
        <v>2528</v>
      </c>
      <c r="P577" s="12" t="str">
        <f>_xlfn.DISPIMG("ID_C8BB1148198145FCA2837FAC9D925FDE",1)</f>
        <v>=DISPIMG("ID_C8BB1148198145FCA2837FAC9D925FDE",1)</v>
      </c>
      <c r="Q577" s="11" t="s">
        <v>2529</v>
      </c>
      <c r="R577" s="11">
        <v>302</v>
      </c>
      <c r="S577" s="17" t="s">
        <v>4823</v>
      </c>
      <c r="T577" s="18" t="s">
        <v>84</v>
      </c>
    </row>
    <row r="578" s="3" customFormat="1" customHeight="1" spans="1:20">
      <c r="A578" s="84">
        <v>6</v>
      </c>
      <c r="B578" s="177" t="s">
        <v>2539</v>
      </c>
      <c r="C578" s="167" t="s">
        <v>153</v>
      </c>
      <c r="D578" s="167" t="s">
        <v>2540</v>
      </c>
      <c r="E578" s="11">
        <v>18507928899</v>
      </c>
      <c r="F578" s="167" t="s">
        <v>384</v>
      </c>
      <c r="G578" s="167" t="s">
        <v>21</v>
      </c>
      <c r="H578" s="11">
        <v>202101023</v>
      </c>
      <c r="I578" s="167" t="s">
        <v>157</v>
      </c>
      <c r="J578" s="167" t="s">
        <v>876</v>
      </c>
      <c r="K578" s="167" t="s">
        <v>682</v>
      </c>
      <c r="L578" s="167" t="s">
        <v>170</v>
      </c>
      <c r="M578" s="167" t="s">
        <v>180</v>
      </c>
      <c r="N578" s="167" t="s">
        <v>2542</v>
      </c>
      <c r="O578" s="167" t="s">
        <v>2543</v>
      </c>
      <c r="P578" s="12" t="str">
        <f>_xlfn.DISPIMG("ID_718ACAD550894B0696EED0DE65C7554F",1)</f>
        <v>=DISPIMG("ID_718ACAD550894B0696EED0DE65C7554F",1)</v>
      </c>
      <c r="Q578" s="11" t="s">
        <v>2544</v>
      </c>
      <c r="R578" s="11">
        <v>304</v>
      </c>
      <c r="S578" s="17" t="s">
        <v>4825</v>
      </c>
      <c r="T578" s="18" t="s">
        <v>84</v>
      </c>
    </row>
    <row r="579" s="3" customFormat="1" customHeight="1" spans="1:20">
      <c r="A579" s="84">
        <v>7</v>
      </c>
      <c r="B579" s="177" t="s">
        <v>2969</v>
      </c>
      <c r="C579" s="167" t="s">
        <v>153</v>
      </c>
      <c r="D579" s="167" t="s">
        <v>2970</v>
      </c>
      <c r="E579" s="11">
        <v>18579193689</v>
      </c>
      <c r="F579" s="167" t="s">
        <v>268</v>
      </c>
      <c r="G579" s="167" t="s">
        <v>21</v>
      </c>
      <c r="H579" s="11">
        <v>202101022</v>
      </c>
      <c r="I579" s="167" t="s">
        <v>157</v>
      </c>
      <c r="J579" s="167" t="s">
        <v>827</v>
      </c>
      <c r="K579" s="167" t="s">
        <v>682</v>
      </c>
      <c r="L579" s="167" t="s">
        <v>170</v>
      </c>
      <c r="M579" s="167" t="s">
        <v>252</v>
      </c>
      <c r="N579" s="167" t="s">
        <v>2972</v>
      </c>
      <c r="O579" s="11">
        <v>0</v>
      </c>
      <c r="P579" s="12" t="str">
        <f>_xlfn.DISPIMG("ID_99E38CC0E4B2437A8E74F9D976F948B9",1)</f>
        <v>=DISPIMG("ID_99E38CC0E4B2437A8E74F9D976F948B9",1)</v>
      </c>
      <c r="Q579" s="11" t="s">
        <v>2973</v>
      </c>
      <c r="R579" s="11">
        <v>365</v>
      </c>
      <c r="S579" s="17" t="s">
        <v>4818</v>
      </c>
      <c r="T579" s="18" t="s">
        <v>84</v>
      </c>
    </row>
    <row r="580" s="3" customFormat="1" customHeight="1" spans="1:20">
      <c r="A580" s="84">
        <v>8</v>
      </c>
      <c r="B580" s="177" t="s">
        <v>3107</v>
      </c>
      <c r="C580" s="167" t="s">
        <v>165</v>
      </c>
      <c r="D580" s="167" t="s">
        <v>3108</v>
      </c>
      <c r="E580" s="11">
        <v>15070251262</v>
      </c>
      <c r="F580" s="167" t="s">
        <v>384</v>
      </c>
      <c r="G580" s="167" t="s">
        <v>21</v>
      </c>
      <c r="H580" s="11">
        <v>202101023</v>
      </c>
      <c r="I580" s="167" t="s">
        <v>157</v>
      </c>
      <c r="J580" s="167" t="s">
        <v>1203</v>
      </c>
      <c r="K580" s="167" t="s">
        <v>682</v>
      </c>
      <c r="L580" s="167" t="s">
        <v>170</v>
      </c>
      <c r="M580" s="167" t="s">
        <v>3110</v>
      </c>
      <c r="N580" s="167" t="s">
        <v>3111</v>
      </c>
      <c r="O580" s="167" t="s">
        <v>3112</v>
      </c>
      <c r="P580" s="12" t="str">
        <f>_xlfn.DISPIMG("ID_865FFCD2F6414202A972206BA39BAB94",1)</f>
        <v>=DISPIMG("ID_865FFCD2F6414202A972206BA39BAB94",1)</v>
      </c>
      <c r="Q580" s="11" t="s">
        <v>3113</v>
      </c>
      <c r="R580" s="11">
        <v>384</v>
      </c>
      <c r="S580" s="17" t="s">
        <v>4821</v>
      </c>
      <c r="T580" s="18" t="s">
        <v>84</v>
      </c>
    </row>
    <row r="581" s="3" customFormat="1" customHeight="1" spans="1:20">
      <c r="A581" s="84">
        <v>9</v>
      </c>
      <c r="B581" s="177" t="s">
        <v>3159</v>
      </c>
      <c r="C581" s="167" t="s">
        <v>153</v>
      </c>
      <c r="D581" s="167" t="s">
        <v>3160</v>
      </c>
      <c r="E581" s="11">
        <v>15070024256</v>
      </c>
      <c r="F581" s="167" t="s">
        <v>268</v>
      </c>
      <c r="G581" s="167" t="s">
        <v>21</v>
      </c>
      <c r="H581" s="11">
        <v>202101022</v>
      </c>
      <c r="I581" s="167" t="s">
        <v>157</v>
      </c>
      <c r="J581" s="167" t="s">
        <v>827</v>
      </c>
      <c r="K581" s="167" t="s">
        <v>682</v>
      </c>
      <c r="L581" s="167" t="s">
        <v>170</v>
      </c>
      <c r="M581" s="167" t="s">
        <v>281</v>
      </c>
      <c r="N581" s="167" t="s">
        <v>2244</v>
      </c>
      <c r="O581" s="167" t="s">
        <v>3162</v>
      </c>
      <c r="P581" s="12" t="str">
        <f>_xlfn.DISPIMG("ID_2F448B7CE8524D1AA48554771DC3D4AB",1)</f>
        <v>=DISPIMG("ID_2F448B7CE8524D1AA48554771DC3D4AB",1)</v>
      </c>
      <c r="Q581" s="11" t="s">
        <v>3163</v>
      </c>
      <c r="R581" s="11">
        <v>392</v>
      </c>
      <c r="S581" s="17" t="s">
        <v>4824</v>
      </c>
      <c r="T581" s="18" t="s">
        <v>84</v>
      </c>
    </row>
    <row r="582" s="3" customFormat="1" customHeight="1" spans="1:20">
      <c r="A582" s="84">
        <v>10</v>
      </c>
      <c r="B582" s="177" t="s">
        <v>3178</v>
      </c>
      <c r="C582" s="167" t="s">
        <v>153</v>
      </c>
      <c r="D582" s="167" t="s">
        <v>3179</v>
      </c>
      <c r="E582" s="11">
        <v>15257934004</v>
      </c>
      <c r="F582" s="167" t="s">
        <v>384</v>
      </c>
      <c r="G582" s="167" t="s">
        <v>21</v>
      </c>
      <c r="H582" s="11">
        <v>202101023</v>
      </c>
      <c r="I582" s="167" t="s">
        <v>157</v>
      </c>
      <c r="J582" s="167" t="s">
        <v>1258</v>
      </c>
      <c r="K582" s="167" t="s">
        <v>682</v>
      </c>
      <c r="L582" s="167" t="s">
        <v>170</v>
      </c>
      <c r="M582" s="167" t="s">
        <v>587</v>
      </c>
      <c r="N582" s="167" t="s">
        <v>1824</v>
      </c>
      <c r="O582" s="167" t="s">
        <v>3181</v>
      </c>
      <c r="P582" s="12" t="str">
        <f>_xlfn.DISPIMG("ID_D70CF13D201844A6B6408BAB9F88D034",1)</f>
        <v>=DISPIMG("ID_D70CF13D201844A6B6408BAB9F88D034",1)</v>
      </c>
      <c r="Q582" s="11" t="s">
        <v>3182</v>
      </c>
      <c r="R582" s="11">
        <v>395</v>
      </c>
      <c r="S582" s="17" t="s">
        <v>4826</v>
      </c>
      <c r="T582" s="18" t="s">
        <v>84</v>
      </c>
    </row>
    <row r="583" s="3" customFormat="1" customHeight="1" spans="1:20">
      <c r="A583" s="84">
        <v>11</v>
      </c>
      <c r="B583" s="177" t="s">
        <v>2831</v>
      </c>
      <c r="C583" s="167" t="s">
        <v>165</v>
      </c>
      <c r="D583" s="167" t="s">
        <v>3200</v>
      </c>
      <c r="E583" s="11">
        <v>15079253920</v>
      </c>
      <c r="F583" s="167" t="s">
        <v>384</v>
      </c>
      <c r="G583" s="167" t="s">
        <v>21</v>
      </c>
      <c r="H583" s="11">
        <v>202101023</v>
      </c>
      <c r="I583" s="167" t="s">
        <v>157</v>
      </c>
      <c r="J583" s="167" t="s">
        <v>1413</v>
      </c>
      <c r="K583" s="167" t="s">
        <v>682</v>
      </c>
      <c r="L583" s="167" t="s">
        <v>170</v>
      </c>
      <c r="M583" s="167" t="s">
        <v>261</v>
      </c>
      <c r="N583" s="167" t="s">
        <v>1824</v>
      </c>
      <c r="O583" s="11">
        <v>0</v>
      </c>
      <c r="P583" s="12" t="str">
        <f>_xlfn.DISPIMG("ID_6FA15DDD4AA745CAA44305EB8A7C29E0",1)</f>
        <v>=DISPIMG("ID_6FA15DDD4AA745CAA44305EB8A7C29E0",1)</v>
      </c>
      <c r="Q583" s="11" t="s">
        <v>4312</v>
      </c>
      <c r="R583" s="20">
        <v>398</v>
      </c>
      <c r="S583" s="17" t="s">
        <v>4827</v>
      </c>
      <c r="T583" s="18" t="s">
        <v>84</v>
      </c>
    </row>
    <row r="584" s="3" customFormat="1" customHeight="1" spans="1:20">
      <c r="A584" s="84">
        <v>12</v>
      </c>
      <c r="B584" s="177" t="s">
        <v>3531</v>
      </c>
      <c r="C584" s="167" t="s">
        <v>153</v>
      </c>
      <c r="D584" s="167" t="s">
        <v>3532</v>
      </c>
      <c r="E584" s="11">
        <v>17687910769</v>
      </c>
      <c r="F584" s="167" t="s">
        <v>384</v>
      </c>
      <c r="G584" s="167" t="s">
        <v>21</v>
      </c>
      <c r="H584" s="11">
        <v>202101023</v>
      </c>
      <c r="I584" s="167" t="s">
        <v>157</v>
      </c>
      <c r="J584" s="167" t="s">
        <v>3518</v>
      </c>
      <c r="K584" s="167" t="s">
        <v>3534</v>
      </c>
      <c r="L584" s="167" t="s">
        <v>160</v>
      </c>
      <c r="M584" s="167" t="s">
        <v>455</v>
      </c>
      <c r="N584" s="167" t="s">
        <v>2462</v>
      </c>
      <c r="O584" s="11">
        <v>0</v>
      </c>
      <c r="P584" s="12" t="str">
        <f>_xlfn.DISPIMG("ID_B9B540B424394A6290A83DEC0AB8F385",1)</f>
        <v>=DISPIMG("ID_B9B540B424394A6290A83DEC0AB8F385",1)</v>
      </c>
      <c r="Q584" s="11" t="s">
        <v>3535</v>
      </c>
      <c r="R584" s="20">
        <v>448</v>
      </c>
      <c r="S584" s="17" t="s">
        <v>4810</v>
      </c>
      <c r="T584" s="18" t="s">
        <v>84</v>
      </c>
    </row>
    <row r="585" s="3" customFormat="1" customHeight="1" spans="1:20">
      <c r="A585" s="84">
        <v>13</v>
      </c>
      <c r="B585" s="177" t="s">
        <v>3699</v>
      </c>
      <c r="C585" s="167" t="s">
        <v>153</v>
      </c>
      <c r="D585" s="167" t="s">
        <v>3700</v>
      </c>
      <c r="E585" s="11">
        <v>18046710217</v>
      </c>
      <c r="F585" s="167" t="s">
        <v>384</v>
      </c>
      <c r="G585" s="167" t="s">
        <v>21</v>
      </c>
      <c r="H585" s="11">
        <v>202101023</v>
      </c>
      <c r="I585" s="167" t="s">
        <v>157</v>
      </c>
      <c r="J585" s="167" t="s">
        <v>233</v>
      </c>
      <c r="K585" s="167" t="s">
        <v>682</v>
      </c>
      <c r="L585" s="167" t="s">
        <v>170</v>
      </c>
      <c r="M585" s="167" t="s">
        <v>306</v>
      </c>
      <c r="N585" s="167" t="s">
        <v>1579</v>
      </c>
      <c r="O585" s="167" t="s">
        <v>3702</v>
      </c>
      <c r="P585" s="12" t="str">
        <f>_xlfn.DISPIMG("ID_E2F022B7DBF04DECBE980BB970833FC7",1)</f>
        <v>=DISPIMG("ID_E2F022B7DBF04DECBE980BB970833FC7",1)</v>
      </c>
      <c r="Q585" s="11" t="s">
        <v>3703</v>
      </c>
      <c r="R585" s="20">
        <v>471</v>
      </c>
      <c r="S585" s="17" t="s">
        <v>4811</v>
      </c>
      <c r="T585" s="18" t="s">
        <v>84</v>
      </c>
    </row>
    <row r="586" s="3" customFormat="1" customHeight="1" spans="1:20">
      <c r="A586" s="84">
        <v>14</v>
      </c>
      <c r="B586" s="177" t="s">
        <v>3751</v>
      </c>
      <c r="C586" s="167" t="s">
        <v>153</v>
      </c>
      <c r="D586" s="167" t="s">
        <v>3752</v>
      </c>
      <c r="E586" s="11">
        <v>15180696881</v>
      </c>
      <c r="F586" s="167" t="s">
        <v>384</v>
      </c>
      <c r="G586" s="167" t="s">
        <v>21</v>
      </c>
      <c r="H586" s="11">
        <v>202101023</v>
      </c>
      <c r="I586" s="167" t="s">
        <v>157</v>
      </c>
      <c r="J586" s="167" t="s">
        <v>827</v>
      </c>
      <c r="K586" s="167" t="s">
        <v>682</v>
      </c>
      <c r="L586" s="167" t="s">
        <v>170</v>
      </c>
      <c r="M586" s="167" t="s">
        <v>161</v>
      </c>
      <c r="N586" s="167" t="s">
        <v>3754</v>
      </c>
      <c r="O586" s="11">
        <v>0</v>
      </c>
      <c r="P586" s="12" t="str">
        <f>_xlfn.DISPIMG("ID_0C4C873C986C4E8A8DE913748576F208",1)</f>
        <v>=DISPIMG("ID_0C4C873C986C4E8A8DE913748576F208",1)</v>
      </c>
      <c r="Q586" s="11" t="s">
        <v>3755</v>
      </c>
      <c r="R586" s="20">
        <v>478</v>
      </c>
      <c r="S586" s="17" t="s">
        <v>4814</v>
      </c>
      <c r="T586" s="18" t="s">
        <v>84</v>
      </c>
    </row>
    <row r="587" s="3" customFormat="1" customHeight="1" spans="1:20">
      <c r="A587" s="84">
        <v>15</v>
      </c>
      <c r="B587" s="177" t="s">
        <v>1143</v>
      </c>
      <c r="C587" s="167" t="s">
        <v>165</v>
      </c>
      <c r="D587" s="167" t="s">
        <v>1144</v>
      </c>
      <c r="E587" s="11">
        <v>15777198130</v>
      </c>
      <c r="F587" s="167" t="s">
        <v>384</v>
      </c>
      <c r="G587" s="167" t="s">
        <v>23</v>
      </c>
      <c r="H587" s="11">
        <v>202101025</v>
      </c>
      <c r="I587" s="167" t="s">
        <v>157</v>
      </c>
      <c r="J587" s="167" t="s">
        <v>1146</v>
      </c>
      <c r="K587" s="167" t="s">
        <v>1147</v>
      </c>
      <c r="L587" s="167" t="s">
        <v>170</v>
      </c>
      <c r="M587" s="167" t="s">
        <v>455</v>
      </c>
      <c r="N587" s="167" t="s">
        <v>1148</v>
      </c>
      <c r="O587" s="167" t="s">
        <v>1149</v>
      </c>
      <c r="P587" s="12" t="str">
        <f>_xlfn.DISPIMG("ID_0415E10C85C94C988A22FA5D4842DE09",1)</f>
        <v>=DISPIMG("ID_0415E10C85C94C988A22FA5D4842DE09",1)</v>
      </c>
      <c r="Q587" s="11" t="s">
        <v>1150</v>
      </c>
      <c r="R587" s="11">
        <v>120</v>
      </c>
      <c r="S587" s="17" t="s">
        <v>4815</v>
      </c>
      <c r="T587" s="18" t="s">
        <v>84</v>
      </c>
    </row>
    <row r="588" s="3" customFormat="1" customHeight="1" spans="1:20">
      <c r="A588" s="84">
        <v>16</v>
      </c>
      <c r="B588" s="177" t="s">
        <v>2036</v>
      </c>
      <c r="C588" s="167" t="s">
        <v>165</v>
      </c>
      <c r="D588" s="167" t="s">
        <v>2037</v>
      </c>
      <c r="E588" s="11">
        <v>17770040821</v>
      </c>
      <c r="F588" s="167" t="s">
        <v>297</v>
      </c>
      <c r="G588" s="167" t="s">
        <v>23</v>
      </c>
      <c r="H588" s="11">
        <v>202101031</v>
      </c>
      <c r="I588" s="167" t="s">
        <v>157</v>
      </c>
      <c r="J588" s="167" t="s">
        <v>2039</v>
      </c>
      <c r="K588" s="167" t="s">
        <v>1147</v>
      </c>
      <c r="L588" s="167" t="s">
        <v>170</v>
      </c>
      <c r="M588" s="167" t="s">
        <v>368</v>
      </c>
      <c r="N588" s="167" t="s">
        <v>23</v>
      </c>
      <c r="O588" s="167" t="s">
        <v>2040</v>
      </c>
      <c r="P588" s="12" t="str">
        <f>_xlfn.DISPIMG("ID_99E16B0934D843998C9152B322CD2339",1)</f>
        <v>=DISPIMG("ID_99E16B0934D843998C9152B322CD2339",1)</v>
      </c>
      <c r="Q588" s="11" t="s">
        <v>2041</v>
      </c>
      <c r="R588" s="11">
        <v>237</v>
      </c>
      <c r="S588" s="17" t="s">
        <v>4828</v>
      </c>
      <c r="T588" s="18" t="s">
        <v>84</v>
      </c>
    </row>
    <row r="589" s="3" customFormat="1" customHeight="1" spans="1:20">
      <c r="A589" s="84">
        <v>17</v>
      </c>
      <c r="B589" s="177" t="s">
        <v>4028</v>
      </c>
      <c r="C589" s="167" t="s">
        <v>165</v>
      </c>
      <c r="D589" s="167" t="s">
        <v>4029</v>
      </c>
      <c r="E589" s="11">
        <v>13820505031</v>
      </c>
      <c r="F589" s="167" t="s">
        <v>384</v>
      </c>
      <c r="G589" s="167" t="s">
        <v>23</v>
      </c>
      <c r="H589" s="11">
        <v>202101025</v>
      </c>
      <c r="I589" s="167" t="s">
        <v>157</v>
      </c>
      <c r="J589" s="167" t="s">
        <v>3737</v>
      </c>
      <c r="K589" s="167" t="s">
        <v>1616</v>
      </c>
      <c r="L589" s="167" t="s">
        <v>170</v>
      </c>
      <c r="M589" s="167" t="s">
        <v>235</v>
      </c>
      <c r="N589" s="167" t="s">
        <v>4031</v>
      </c>
      <c r="O589" s="167" t="s">
        <v>4032</v>
      </c>
      <c r="P589" s="12" t="str">
        <f>_xlfn.DISPIMG("ID_4D845800D3864A2B99D106DDD9FD3F5D",1)</f>
        <v>=DISPIMG("ID_4D845800D3864A2B99D106DDD9FD3F5D",1)</v>
      </c>
      <c r="Q589" s="11" t="s">
        <v>4033</v>
      </c>
      <c r="R589" s="20">
        <v>515</v>
      </c>
      <c r="S589" s="17" t="s">
        <v>4829</v>
      </c>
      <c r="T589" s="18" t="s">
        <v>84</v>
      </c>
    </row>
    <row r="590" s="3" customFormat="1" customHeight="1" spans="1:20">
      <c r="A590" s="84">
        <v>18</v>
      </c>
      <c r="B590" s="177" t="s">
        <v>4051</v>
      </c>
      <c r="C590" s="167" t="s">
        <v>153</v>
      </c>
      <c r="D590" s="167" t="s">
        <v>4052</v>
      </c>
      <c r="E590" s="11">
        <v>15170932237</v>
      </c>
      <c r="F590" s="167" t="s">
        <v>384</v>
      </c>
      <c r="G590" s="167" t="s">
        <v>23</v>
      </c>
      <c r="H590" s="11">
        <v>202101025</v>
      </c>
      <c r="I590" s="167" t="s">
        <v>157</v>
      </c>
      <c r="J590" s="167" t="s">
        <v>269</v>
      </c>
      <c r="K590" s="167" t="s">
        <v>1147</v>
      </c>
      <c r="L590" s="167" t="s">
        <v>170</v>
      </c>
      <c r="M590" s="167" t="s">
        <v>235</v>
      </c>
      <c r="N590" s="167" t="s">
        <v>4053</v>
      </c>
      <c r="O590" s="167" t="s">
        <v>4054</v>
      </c>
      <c r="P590" s="12" t="str">
        <f>_xlfn.DISPIMG("ID_D924765B597248FDA57FB5DFF006BD17",1)</f>
        <v>=DISPIMG("ID_D924765B597248FDA57FB5DFF006BD17",1)</v>
      </c>
      <c r="Q590" s="11" t="s">
        <v>4055</v>
      </c>
      <c r="R590" s="11">
        <v>518</v>
      </c>
      <c r="S590" s="17" t="s">
        <v>4830</v>
      </c>
      <c r="T590" s="18" t="s">
        <v>84</v>
      </c>
    </row>
    <row r="591" s="3" customFormat="1" customHeight="1" spans="1:20">
      <c r="A591" s="87">
        <v>19</v>
      </c>
      <c r="B591" s="180" t="s">
        <v>4142</v>
      </c>
      <c r="C591" s="181" t="s">
        <v>153</v>
      </c>
      <c r="D591" s="181" t="s">
        <v>4143</v>
      </c>
      <c r="E591" s="28">
        <v>13330123354</v>
      </c>
      <c r="F591" s="181" t="s">
        <v>297</v>
      </c>
      <c r="G591" s="162" t="s">
        <v>30</v>
      </c>
      <c r="H591" s="28">
        <v>202101032</v>
      </c>
      <c r="I591" s="181" t="s">
        <v>705</v>
      </c>
      <c r="J591" s="181" t="s">
        <v>4145</v>
      </c>
      <c r="K591" s="181" t="s">
        <v>4146</v>
      </c>
      <c r="L591" s="181" t="s">
        <v>160</v>
      </c>
      <c r="M591" s="181" t="s">
        <v>235</v>
      </c>
      <c r="N591" s="181" t="s">
        <v>4147</v>
      </c>
      <c r="O591" s="181" t="s">
        <v>4148</v>
      </c>
      <c r="P591" s="29" t="str">
        <f>_xlfn.DISPIMG("ID_28A32B60C96343E48DA79AC0817DB8B2",1)</f>
        <v>=DISPIMG("ID_28A32B60C96343E48DA79AC0817DB8B2",1)</v>
      </c>
      <c r="Q591" s="28" t="s">
        <v>4149</v>
      </c>
      <c r="R591" s="28">
        <v>530</v>
      </c>
      <c r="S591" s="31" t="s">
        <v>4831</v>
      </c>
      <c r="T591" s="32" t="s">
        <v>84</v>
      </c>
    </row>
  </sheetData>
  <sheetProtection formatCells="0" insertHyperlinks="0" autoFilter="0"/>
  <autoFilter ref="A2:XFD591">
    <extLst/>
  </autoFilter>
  <mergeCells count="1">
    <mergeCell ref="A1:T1"/>
  </mergeCells>
  <printOptions horizontalCentered="1"/>
  <pageMargins left="0.751388888888889" right="0.751388888888889" top="1" bottom="1"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91"/>
  <sheetViews>
    <sheetView workbookViewId="0">
      <pane xSplit="2" ySplit="2" topLeftCell="C58" activePane="bottomRight" state="frozen"/>
      <selection/>
      <selection pane="topRight"/>
      <selection pane="bottomLeft"/>
      <selection pane="bottomRight" activeCell="AA73" sqref="AA73"/>
    </sheetView>
  </sheetViews>
  <sheetFormatPr defaultColWidth="9" defaultRowHeight="22.5" customHeight="1"/>
  <cols>
    <col min="1" max="1" width="5.87962962962963" style="81" customWidth="1"/>
    <col min="2" max="2" width="9.12962962962963" style="36" customWidth="1"/>
    <col min="3" max="3" width="6.37962962962963" style="36" customWidth="1"/>
    <col min="4" max="4" width="22.1296296296296" style="36" customWidth="1"/>
    <col min="5" max="5" width="14.3796296296296" style="36" hidden="1" customWidth="1"/>
    <col min="6" max="6" width="13" style="36" customWidth="1"/>
    <col min="7" max="7" width="18.5" style="36" customWidth="1"/>
    <col min="8" max="8" width="14.3796296296296" style="36" customWidth="1"/>
    <col min="9" max="18" width="13" style="36" hidden="1" customWidth="1"/>
    <col min="19" max="19" width="13" style="36" customWidth="1"/>
    <col min="20" max="20" width="10.5" style="36" customWidth="1"/>
    <col min="21" max="21" width="8.5" style="36" customWidth="1"/>
    <col min="22" max="22" width="11.75" style="81" customWidth="1"/>
    <col min="23" max="16384" width="9" style="81" customWidth="1"/>
  </cols>
  <sheetData>
    <row r="1" customHeight="1" spans="1:22">
      <c r="A1" s="82" t="s">
        <v>4857</v>
      </c>
      <c r="B1" s="82"/>
      <c r="C1" s="82"/>
      <c r="D1" s="82"/>
      <c r="E1" s="82"/>
      <c r="F1" s="82"/>
      <c r="G1" s="82"/>
      <c r="H1" s="82"/>
      <c r="I1" s="82"/>
      <c r="J1" s="82"/>
      <c r="K1" s="82"/>
      <c r="L1" s="82"/>
      <c r="M1" s="82"/>
      <c r="N1" s="82"/>
      <c r="O1" s="82"/>
      <c r="P1" s="82"/>
      <c r="Q1" s="82"/>
      <c r="R1" s="82"/>
      <c r="S1" s="82"/>
      <c r="T1" s="82"/>
      <c r="U1" s="82"/>
      <c r="V1" s="82"/>
    </row>
    <row r="2" s="3" customFormat="1" customHeight="1" spans="1:22">
      <c r="A2" s="83" t="s">
        <v>116</v>
      </c>
      <c r="B2" s="39" t="s">
        <v>133</v>
      </c>
      <c r="C2" s="39" t="s">
        <v>134</v>
      </c>
      <c r="D2" s="39" t="s">
        <v>135</v>
      </c>
      <c r="E2" s="39" t="s">
        <v>136</v>
      </c>
      <c r="F2" s="39" t="s">
        <v>138</v>
      </c>
      <c r="G2" s="39" t="s">
        <v>1</v>
      </c>
      <c r="H2" s="39" t="s">
        <v>139</v>
      </c>
      <c r="I2" s="39" t="s">
        <v>140</v>
      </c>
      <c r="J2" s="39" t="s">
        <v>141</v>
      </c>
      <c r="K2" s="39" t="s">
        <v>142</v>
      </c>
      <c r="L2" s="39" t="s">
        <v>143</v>
      </c>
      <c r="M2" s="39" t="s">
        <v>144</v>
      </c>
      <c r="N2" s="39" t="s">
        <v>145</v>
      </c>
      <c r="O2" s="39" t="s">
        <v>146</v>
      </c>
      <c r="P2" s="39" t="s">
        <v>147</v>
      </c>
      <c r="Q2" s="39" t="s">
        <v>148</v>
      </c>
      <c r="R2" s="39" t="s">
        <v>149</v>
      </c>
      <c r="S2" s="39" t="s">
        <v>4313</v>
      </c>
      <c r="T2" s="39" t="s">
        <v>32</v>
      </c>
      <c r="U2" s="39" t="s">
        <v>4314</v>
      </c>
      <c r="V2" s="83" t="s">
        <v>4858</v>
      </c>
    </row>
    <row r="3" s="3" customFormat="1" customHeight="1" spans="1:22">
      <c r="A3" s="84">
        <v>26</v>
      </c>
      <c r="B3" s="175" t="s">
        <v>957</v>
      </c>
      <c r="C3" s="175" t="s">
        <v>165</v>
      </c>
      <c r="D3" s="175" t="s">
        <v>958</v>
      </c>
      <c r="E3" s="25">
        <v>15579232085</v>
      </c>
      <c r="F3" s="175" t="s">
        <v>278</v>
      </c>
      <c r="G3" s="175" t="s">
        <v>28</v>
      </c>
      <c r="H3" s="25">
        <v>202103001</v>
      </c>
      <c r="I3" s="175" t="s">
        <v>279</v>
      </c>
      <c r="J3" s="175" t="s">
        <v>367</v>
      </c>
      <c r="K3" s="175" t="s">
        <v>960</v>
      </c>
      <c r="L3" s="175" t="s">
        <v>160</v>
      </c>
      <c r="M3" s="175" t="s">
        <v>261</v>
      </c>
      <c r="N3" s="175" t="s">
        <v>961</v>
      </c>
      <c r="O3" s="25">
        <v>0</v>
      </c>
      <c r="P3" s="26" t="str">
        <f>_xlfn.DISPIMG("ID_4CCFD0700027401988C293FD5FDA33FE",1)</f>
        <v>=DISPIMG("ID_4CCFD0700027401988C293FD5FDA33FE",1)</v>
      </c>
      <c r="Q3" s="25" t="s">
        <v>962</v>
      </c>
      <c r="R3" s="25">
        <v>97</v>
      </c>
      <c r="S3" s="40" t="s">
        <v>4340</v>
      </c>
      <c r="T3" s="18" t="s">
        <v>36</v>
      </c>
      <c r="U3" s="25">
        <v>1</v>
      </c>
      <c r="V3" s="84">
        <v>68.5</v>
      </c>
    </row>
    <row r="4" s="3" customFormat="1" customHeight="1" spans="1:22">
      <c r="A4" s="84">
        <v>21</v>
      </c>
      <c r="B4" s="175" t="s">
        <v>848</v>
      </c>
      <c r="C4" s="175" t="s">
        <v>165</v>
      </c>
      <c r="D4" s="175" t="s">
        <v>849</v>
      </c>
      <c r="E4" s="25">
        <v>18379626219</v>
      </c>
      <c r="F4" s="175" t="s">
        <v>278</v>
      </c>
      <c r="G4" s="175" t="s">
        <v>28</v>
      </c>
      <c r="H4" s="25">
        <v>202103001</v>
      </c>
      <c r="I4" s="175" t="s">
        <v>279</v>
      </c>
      <c r="J4" s="175" t="s">
        <v>851</v>
      </c>
      <c r="K4" s="175" t="s">
        <v>280</v>
      </c>
      <c r="L4" s="175" t="s">
        <v>170</v>
      </c>
      <c r="M4" s="175" t="s">
        <v>235</v>
      </c>
      <c r="N4" s="175" t="s">
        <v>340</v>
      </c>
      <c r="O4" s="175" t="s">
        <v>852</v>
      </c>
      <c r="P4" s="26" t="str">
        <f>_xlfn.DISPIMG("ID_42372BFB4B414C38BA1598FF5C930944",1)</f>
        <v>=DISPIMG("ID_42372BFB4B414C38BA1598FF5C930944",1)</v>
      </c>
      <c r="Q4" s="25" t="s">
        <v>853</v>
      </c>
      <c r="R4" s="25">
        <v>84</v>
      </c>
      <c r="S4" s="40" t="s">
        <v>4335</v>
      </c>
      <c r="T4" s="18" t="s">
        <v>36</v>
      </c>
      <c r="U4" s="25">
        <v>2</v>
      </c>
      <c r="V4" s="84">
        <v>77.5</v>
      </c>
    </row>
    <row r="5" s="3" customFormat="1" customHeight="1" spans="1:22">
      <c r="A5" s="84">
        <v>16</v>
      </c>
      <c r="B5" s="175" t="s">
        <v>754</v>
      </c>
      <c r="C5" s="175" t="s">
        <v>165</v>
      </c>
      <c r="D5" s="175" t="s">
        <v>755</v>
      </c>
      <c r="E5" s="25">
        <v>18679201139</v>
      </c>
      <c r="F5" s="175" t="s">
        <v>278</v>
      </c>
      <c r="G5" s="175" t="s">
        <v>28</v>
      </c>
      <c r="H5" s="25">
        <v>202103001</v>
      </c>
      <c r="I5" s="175" t="s">
        <v>585</v>
      </c>
      <c r="J5" s="175" t="s">
        <v>576</v>
      </c>
      <c r="K5" s="175" t="s">
        <v>757</v>
      </c>
      <c r="L5" s="175" t="s">
        <v>170</v>
      </c>
      <c r="M5" s="175" t="s">
        <v>224</v>
      </c>
      <c r="N5" s="175" t="s">
        <v>376</v>
      </c>
      <c r="O5" s="175" t="s">
        <v>758</v>
      </c>
      <c r="P5" s="26" t="str">
        <f>_xlfn.DISPIMG("ID_7BB67F893C7640E3B6FEA6424D027990",1)</f>
        <v>=DISPIMG("ID_7BB67F893C7640E3B6FEA6424D027990",1)</v>
      </c>
      <c r="Q5" s="25" t="s">
        <v>759</v>
      </c>
      <c r="R5" s="25">
        <v>72</v>
      </c>
      <c r="S5" s="40" t="s">
        <v>4330</v>
      </c>
      <c r="T5" s="18" t="s">
        <v>36</v>
      </c>
      <c r="U5" s="25">
        <v>3</v>
      </c>
      <c r="V5" s="84">
        <v>75</v>
      </c>
    </row>
    <row r="6" s="3" customFormat="1" customHeight="1" spans="1:22">
      <c r="A6" s="84">
        <v>11</v>
      </c>
      <c r="B6" s="175" t="s">
        <v>620</v>
      </c>
      <c r="C6" s="175" t="s">
        <v>165</v>
      </c>
      <c r="D6" s="175" t="s">
        <v>621</v>
      </c>
      <c r="E6" s="25">
        <v>18370123772</v>
      </c>
      <c r="F6" s="175" t="s">
        <v>278</v>
      </c>
      <c r="G6" s="175" t="s">
        <v>28</v>
      </c>
      <c r="H6" s="25">
        <v>202103001</v>
      </c>
      <c r="I6" s="175" t="s">
        <v>585</v>
      </c>
      <c r="J6" s="175" t="s">
        <v>595</v>
      </c>
      <c r="K6" s="175" t="s">
        <v>280</v>
      </c>
      <c r="L6" s="175" t="s">
        <v>170</v>
      </c>
      <c r="M6" s="175" t="s">
        <v>368</v>
      </c>
      <c r="N6" s="175" t="s">
        <v>28</v>
      </c>
      <c r="O6" s="175" t="s">
        <v>623</v>
      </c>
      <c r="P6" s="26" t="str">
        <f>_xlfn.DISPIMG("ID_109F9871D9934FD3B362EB8D2EAFD060",1)</f>
        <v>=DISPIMG("ID_109F9871D9934FD3B362EB8D2EAFD060",1)</v>
      </c>
      <c r="Q6" s="25" t="s">
        <v>624</v>
      </c>
      <c r="R6" s="25">
        <v>56</v>
      </c>
      <c r="S6" s="40" t="s">
        <v>4325</v>
      </c>
      <c r="T6" s="18" t="s">
        <v>36</v>
      </c>
      <c r="U6" s="25">
        <v>4</v>
      </c>
      <c r="V6" s="84">
        <v>63</v>
      </c>
    </row>
    <row r="7" s="3" customFormat="1" customHeight="1" spans="1:22">
      <c r="A7" s="84">
        <v>6</v>
      </c>
      <c r="B7" s="175" t="s">
        <v>512</v>
      </c>
      <c r="C7" s="175" t="s">
        <v>165</v>
      </c>
      <c r="D7" s="175" t="s">
        <v>513</v>
      </c>
      <c r="E7" s="25">
        <v>15007008219</v>
      </c>
      <c r="F7" s="175" t="s">
        <v>278</v>
      </c>
      <c r="G7" s="175" t="s">
        <v>28</v>
      </c>
      <c r="H7" s="25">
        <v>202103001</v>
      </c>
      <c r="I7" s="175" t="s">
        <v>279</v>
      </c>
      <c r="J7" s="175" t="s">
        <v>515</v>
      </c>
      <c r="K7" s="175" t="s">
        <v>280</v>
      </c>
      <c r="L7" s="175" t="s">
        <v>170</v>
      </c>
      <c r="M7" s="175" t="s">
        <v>516</v>
      </c>
      <c r="N7" s="175" t="s">
        <v>517</v>
      </c>
      <c r="O7" s="175" t="s">
        <v>518</v>
      </c>
      <c r="P7" s="26" t="str">
        <f>_xlfn.DISPIMG("ID_07A071EC50BE4110A9ABC6B339CCBE2D",1)</f>
        <v>=DISPIMG("ID_07A071EC50BE4110A9ABC6B339CCBE2D",1)</v>
      </c>
      <c r="Q7" s="25" t="s">
        <v>519</v>
      </c>
      <c r="R7" s="25">
        <v>43</v>
      </c>
      <c r="S7" s="40" t="s">
        <v>4320</v>
      </c>
      <c r="T7" s="18" t="s">
        <v>36</v>
      </c>
      <c r="U7" s="25">
        <v>5</v>
      </c>
      <c r="V7" s="84">
        <v>74.5</v>
      </c>
    </row>
    <row r="8" s="3" customFormat="1" customHeight="1" spans="1:22">
      <c r="A8" s="84">
        <v>1</v>
      </c>
      <c r="B8" s="175" t="s">
        <v>275</v>
      </c>
      <c r="C8" s="175" t="s">
        <v>165</v>
      </c>
      <c r="D8" s="175" t="s">
        <v>276</v>
      </c>
      <c r="E8" s="25">
        <v>15180601470</v>
      </c>
      <c r="F8" s="175" t="s">
        <v>278</v>
      </c>
      <c r="G8" s="175" t="s">
        <v>28</v>
      </c>
      <c r="H8" s="25">
        <v>202103001</v>
      </c>
      <c r="I8" s="175" t="s">
        <v>279</v>
      </c>
      <c r="J8" s="175" t="s">
        <v>233</v>
      </c>
      <c r="K8" s="175" t="s">
        <v>280</v>
      </c>
      <c r="L8" s="175" t="s">
        <v>170</v>
      </c>
      <c r="M8" s="175" t="s">
        <v>281</v>
      </c>
      <c r="N8" s="175" t="s">
        <v>280</v>
      </c>
      <c r="O8" s="175" t="s">
        <v>282</v>
      </c>
      <c r="P8" s="26" t="str">
        <f>_xlfn.DISPIMG("ID_B65C52FC26C14A83A9F7B47ADDC75EF7",1)</f>
        <v>=DISPIMG("ID_B65C52FC26C14A83A9F7B47ADDC75EF7",1)</v>
      </c>
      <c r="Q8" s="25" t="s">
        <v>283</v>
      </c>
      <c r="R8" s="25">
        <v>15</v>
      </c>
      <c r="S8" s="40" t="s">
        <v>4315</v>
      </c>
      <c r="T8" s="18" t="s">
        <v>36</v>
      </c>
      <c r="U8" s="25">
        <v>6</v>
      </c>
      <c r="V8" s="84">
        <v>62</v>
      </c>
    </row>
    <row r="9" s="3" customFormat="1" customHeight="1" spans="1:22">
      <c r="A9" s="84">
        <v>2</v>
      </c>
      <c r="B9" s="175" t="s">
        <v>336</v>
      </c>
      <c r="C9" s="175" t="s">
        <v>165</v>
      </c>
      <c r="D9" s="175" t="s">
        <v>337</v>
      </c>
      <c r="E9" s="25">
        <v>18397927213</v>
      </c>
      <c r="F9" s="175" t="s">
        <v>278</v>
      </c>
      <c r="G9" s="175" t="s">
        <v>28</v>
      </c>
      <c r="H9" s="25">
        <v>202103001</v>
      </c>
      <c r="I9" s="175" t="s">
        <v>279</v>
      </c>
      <c r="J9" s="175" t="s">
        <v>339</v>
      </c>
      <c r="K9" s="175" t="s">
        <v>280</v>
      </c>
      <c r="L9" s="175" t="s">
        <v>170</v>
      </c>
      <c r="M9" s="175" t="s">
        <v>180</v>
      </c>
      <c r="N9" s="175" t="s">
        <v>340</v>
      </c>
      <c r="O9" s="175" t="s">
        <v>341</v>
      </c>
      <c r="P9" s="26" t="str">
        <f>_xlfn.DISPIMG("ID_FA546082303144F6A5FD61F335F92D18",1)</f>
        <v>=DISPIMG("ID_FA546082303144F6A5FD61F335F92D18",1)</v>
      </c>
      <c r="Q9" s="25" t="s">
        <v>342</v>
      </c>
      <c r="R9" s="25">
        <v>22</v>
      </c>
      <c r="S9" s="40" t="s">
        <v>4316</v>
      </c>
      <c r="T9" s="18" t="s">
        <v>36</v>
      </c>
      <c r="U9" s="25">
        <v>7</v>
      </c>
      <c r="V9" s="84">
        <v>0</v>
      </c>
    </row>
    <row r="10" s="4" customFormat="1" customHeight="1" spans="1:22">
      <c r="A10" s="84">
        <v>7</v>
      </c>
      <c r="B10" s="175" t="s">
        <v>573</v>
      </c>
      <c r="C10" s="175" t="s">
        <v>165</v>
      </c>
      <c r="D10" s="175" t="s">
        <v>574</v>
      </c>
      <c r="E10" s="25">
        <v>13387029092</v>
      </c>
      <c r="F10" s="175" t="s">
        <v>278</v>
      </c>
      <c r="G10" s="175" t="s">
        <v>28</v>
      </c>
      <c r="H10" s="25">
        <v>202103001</v>
      </c>
      <c r="I10" s="175" t="s">
        <v>279</v>
      </c>
      <c r="J10" s="175" t="s">
        <v>576</v>
      </c>
      <c r="K10" s="175" t="s">
        <v>280</v>
      </c>
      <c r="L10" s="175" t="s">
        <v>170</v>
      </c>
      <c r="M10" s="175" t="s">
        <v>577</v>
      </c>
      <c r="N10" s="175" t="s">
        <v>280</v>
      </c>
      <c r="O10" s="175" t="s">
        <v>578</v>
      </c>
      <c r="P10" s="26" t="str">
        <f>_xlfn.DISPIMG("ID_82D3A4866E584D37A328F1F75C226980",1)</f>
        <v>=DISPIMG("ID_82D3A4866E584D37A328F1F75C226980",1)</v>
      </c>
      <c r="Q10" s="25" t="s">
        <v>579</v>
      </c>
      <c r="R10" s="25">
        <v>50</v>
      </c>
      <c r="S10" s="40" t="s">
        <v>4321</v>
      </c>
      <c r="T10" s="18" t="s">
        <v>36</v>
      </c>
      <c r="U10" s="25">
        <v>8</v>
      </c>
      <c r="V10" s="84">
        <v>60</v>
      </c>
    </row>
    <row r="11" s="3" customFormat="1" customHeight="1" spans="1:22">
      <c r="A11" s="84">
        <v>12</v>
      </c>
      <c r="B11" s="175" t="s">
        <v>659</v>
      </c>
      <c r="C11" s="175" t="s">
        <v>165</v>
      </c>
      <c r="D11" s="175" t="s">
        <v>660</v>
      </c>
      <c r="E11" s="25">
        <v>18370120304</v>
      </c>
      <c r="F11" s="175" t="s">
        <v>278</v>
      </c>
      <c r="G11" s="175" t="s">
        <v>28</v>
      </c>
      <c r="H11" s="25">
        <v>202103001</v>
      </c>
      <c r="I11" s="175" t="s">
        <v>279</v>
      </c>
      <c r="J11" s="175" t="s">
        <v>662</v>
      </c>
      <c r="K11" s="175" t="s">
        <v>280</v>
      </c>
      <c r="L11" s="175" t="s">
        <v>170</v>
      </c>
      <c r="M11" s="175" t="s">
        <v>368</v>
      </c>
      <c r="N11" s="175" t="s">
        <v>663</v>
      </c>
      <c r="O11" s="175" t="s">
        <v>664</v>
      </c>
      <c r="P11" s="26" t="str">
        <f>_xlfn.DISPIMG("ID_4AE3C77D21184B118F491A1655043931",1)</f>
        <v>=DISPIMG("ID_4AE3C77D21184B118F491A1655043931",1)</v>
      </c>
      <c r="Q11" s="25" t="s">
        <v>665</v>
      </c>
      <c r="R11" s="25">
        <v>61</v>
      </c>
      <c r="S11" s="40" t="s">
        <v>4326</v>
      </c>
      <c r="T11" s="18" t="s">
        <v>36</v>
      </c>
      <c r="U11" s="25">
        <v>9</v>
      </c>
      <c r="V11" s="84">
        <v>70.5</v>
      </c>
    </row>
    <row r="12" s="3" customFormat="1" customHeight="1" spans="1:22">
      <c r="A12" s="84">
        <v>17</v>
      </c>
      <c r="B12" s="175" t="s">
        <v>762</v>
      </c>
      <c r="C12" s="175" t="s">
        <v>165</v>
      </c>
      <c r="D12" s="175" t="s">
        <v>763</v>
      </c>
      <c r="E12" s="25">
        <v>13697921659</v>
      </c>
      <c r="F12" s="175" t="s">
        <v>278</v>
      </c>
      <c r="G12" s="175" t="s">
        <v>28</v>
      </c>
      <c r="H12" s="25">
        <v>202103001</v>
      </c>
      <c r="I12" s="175" t="s">
        <v>279</v>
      </c>
      <c r="J12" s="175" t="s">
        <v>765</v>
      </c>
      <c r="K12" s="175" t="s">
        <v>280</v>
      </c>
      <c r="L12" s="175" t="s">
        <v>170</v>
      </c>
      <c r="M12" s="175" t="s">
        <v>235</v>
      </c>
      <c r="N12" s="175" t="s">
        <v>340</v>
      </c>
      <c r="O12" s="175" t="s">
        <v>766</v>
      </c>
      <c r="P12" s="26" t="str">
        <f>_xlfn.DISPIMG("ID_4E1CCA66E504445CA5B7AB8D0FB70FB1",1)</f>
        <v>=DISPIMG("ID_4E1CCA66E504445CA5B7AB8D0FB70FB1",1)</v>
      </c>
      <c r="Q12" s="25" t="s">
        <v>767</v>
      </c>
      <c r="R12" s="25">
        <v>73</v>
      </c>
      <c r="S12" s="40" t="s">
        <v>4331</v>
      </c>
      <c r="T12" s="18" t="s">
        <v>36</v>
      </c>
      <c r="U12" s="25">
        <v>10</v>
      </c>
      <c r="V12" s="84">
        <v>0</v>
      </c>
    </row>
    <row r="13" s="3" customFormat="1" customHeight="1" spans="1:22">
      <c r="A13" s="84">
        <v>22</v>
      </c>
      <c r="B13" s="175" t="s">
        <v>873</v>
      </c>
      <c r="C13" s="175" t="s">
        <v>165</v>
      </c>
      <c r="D13" s="175" t="s">
        <v>874</v>
      </c>
      <c r="E13" s="25">
        <v>15070424036</v>
      </c>
      <c r="F13" s="175" t="s">
        <v>278</v>
      </c>
      <c r="G13" s="175" t="s">
        <v>28</v>
      </c>
      <c r="H13" s="25">
        <v>202103001</v>
      </c>
      <c r="I13" s="175" t="s">
        <v>279</v>
      </c>
      <c r="J13" s="175" t="s">
        <v>876</v>
      </c>
      <c r="K13" s="175" t="s">
        <v>280</v>
      </c>
      <c r="L13" s="175" t="s">
        <v>170</v>
      </c>
      <c r="M13" s="175" t="s">
        <v>180</v>
      </c>
      <c r="N13" s="175" t="s">
        <v>517</v>
      </c>
      <c r="O13" s="175" t="s">
        <v>877</v>
      </c>
      <c r="P13" s="26" t="str">
        <f>_xlfn.DISPIMG("ID_FA24C7A6F2FA44B892B9DF563FC4E960",1)</f>
        <v>=DISPIMG("ID_FA24C7A6F2FA44B892B9DF563FC4E960",1)</v>
      </c>
      <c r="Q13" s="25" t="s">
        <v>878</v>
      </c>
      <c r="R13" s="25">
        <v>87</v>
      </c>
      <c r="S13" s="40" t="s">
        <v>4336</v>
      </c>
      <c r="T13" s="18" t="s">
        <v>36</v>
      </c>
      <c r="U13" s="25">
        <v>11</v>
      </c>
      <c r="V13" s="84">
        <v>0</v>
      </c>
    </row>
    <row r="14" s="3" customFormat="1" customHeight="1" spans="1:22">
      <c r="A14" s="84">
        <v>27</v>
      </c>
      <c r="B14" s="175" t="s">
        <v>1010</v>
      </c>
      <c r="C14" s="175" t="s">
        <v>165</v>
      </c>
      <c r="D14" s="175" t="s">
        <v>1011</v>
      </c>
      <c r="E14" s="25">
        <v>13065115241</v>
      </c>
      <c r="F14" s="175" t="s">
        <v>278</v>
      </c>
      <c r="G14" s="175" t="s">
        <v>28</v>
      </c>
      <c r="H14" s="25">
        <v>202103001</v>
      </c>
      <c r="I14" s="175" t="s">
        <v>279</v>
      </c>
      <c r="J14" s="175" t="s">
        <v>662</v>
      </c>
      <c r="K14" s="175" t="s">
        <v>280</v>
      </c>
      <c r="L14" s="175" t="s">
        <v>170</v>
      </c>
      <c r="M14" s="175" t="s">
        <v>161</v>
      </c>
      <c r="N14" s="175" t="s">
        <v>1013</v>
      </c>
      <c r="O14" s="175" t="s">
        <v>1014</v>
      </c>
      <c r="P14" s="26" t="str">
        <f>_xlfn.DISPIMG("ID_723B44C496604BFA92AC4D10BD64E9FC",1)</f>
        <v>=DISPIMG("ID_723B44C496604BFA92AC4D10BD64E9FC",1)</v>
      </c>
      <c r="Q14" s="25" t="s">
        <v>1015</v>
      </c>
      <c r="R14" s="25">
        <v>103</v>
      </c>
      <c r="S14" s="40" t="s">
        <v>4341</v>
      </c>
      <c r="T14" s="18" t="s">
        <v>36</v>
      </c>
      <c r="U14" s="25">
        <v>12</v>
      </c>
      <c r="V14" s="84">
        <v>72</v>
      </c>
    </row>
    <row r="15" s="3" customFormat="1" customHeight="1" spans="1:22">
      <c r="A15" s="84">
        <v>28</v>
      </c>
      <c r="B15" s="175" t="s">
        <v>1027</v>
      </c>
      <c r="C15" s="175" t="s">
        <v>165</v>
      </c>
      <c r="D15" s="175" t="s">
        <v>1028</v>
      </c>
      <c r="E15" s="25">
        <v>15579180298</v>
      </c>
      <c r="F15" s="175" t="s">
        <v>278</v>
      </c>
      <c r="G15" s="175" t="s">
        <v>28</v>
      </c>
      <c r="H15" s="25">
        <v>202103001</v>
      </c>
      <c r="I15" s="175" t="s">
        <v>279</v>
      </c>
      <c r="J15" s="175" t="s">
        <v>662</v>
      </c>
      <c r="K15" s="175" t="s">
        <v>280</v>
      </c>
      <c r="L15" s="175" t="s">
        <v>170</v>
      </c>
      <c r="M15" s="175" t="s">
        <v>161</v>
      </c>
      <c r="N15" s="175" t="s">
        <v>376</v>
      </c>
      <c r="O15" s="175" t="s">
        <v>1030</v>
      </c>
      <c r="P15" s="26" t="str">
        <f>_xlfn.DISPIMG("ID_1619E0FF3AE04637958459633AD8C1B8",1)</f>
        <v>=DISPIMG("ID_1619E0FF3AE04637958459633AD8C1B8",1)</v>
      </c>
      <c r="Q15" s="25" t="s">
        <v>1031</v>
      </c>
      <c r="R15" s="25">
        <v>105</v>
      </c>
      <c r="S15" s="40" t="s">
        <v>4342</v>
      </c>
      <c r="T15" s="18" t="s">
        <v>36</v>
      </c>
      <c r="U15" s="25">
        <v>13</v>
      </c>
      <c r="V15" s="84">
        <v>77.5</v>
      </c>
    </row>
    <row r="16" s="3" customFormat="1" customHeight="1" spans="1:22">
      <c r="A16" s="84">
        <v>23</v>
      </c>
      <c r="B16" s="175" t="s">
        <v>881</v>
      </c>
      <c r="C16" s="175" t="s">
        <v>165</v>
      </c>
      <c r="D16" s="175" t="s">
        <v>882</v>
      </c>
      <c r="E16" s="25">
        <v>15279260286</v>
      </c>
      <c r="F16" s="175" t="s">
        <v>278</v>
      </c>
      <c r="G16" s="175" t="s">
        <v>28</v>
      </c>
      <c r="H16" s="25">
        <v>202103001</v>
      </c>
      <c r="I16" s="175" t="s">
        <v>279</v>
      </c>
      <c r="J16" s="175" t="s">
        <v>884</v>
      </c>
      <c r="K16" s="175" t="s">
        <v>223</v>
      </c>
      <c r="L16" s="175" t="s">
        <v>170</v>
      </c>
      <c r="M16" s="175" t="s">
        <v>733</v>
      </c>
      <c r="N16" s="175" t="s">
        <v>885</v>
      </c>
      <c r="O16" s="175" t="s">
        <v>886</v>
      </c>
      <c r="P16" s="26" t="str">
        <f>_xlfn.DISPIMG("ID_79374B2C837849A79ABAFBB6FF76D11C",1)</f>
        <v>=DISPIMG("ID_79374B2C837849A79ABAFBB6FF76D11C",1)</v>
      </c>
      <c r="Q16" s="25" t="s">
        <v>887</v>
      </c>
      <c r="R16" s="25">
        <v>88</v>
      </c>
      <c r="S16" s="40" t="s">
        <v>4337</v>
      </c>
      <c r="T16" s="18" t="s">
        <v>36</v>
      </c>
      <c r="U16" s="25">
        <v>14</v>
      </c>
      <c r="V16" s="85">
        <v>61</v>
      </c>
    </row>
    <row r="17" s="3" customFormat="1" customHeight="1" spans="1:22">
      <c r="A17" s="84">
        <v>18</v>
      </c>
      <c r="B17" s="175" t="s">
        <v>794</v>
      </c>
      <c r="C17" s="175" t="s">
        <v>165</v>
      </c>
      <c r="D17" s="175" t="s">
        <v>795</v>
      </c>
      <c r="E17" s="25">
        <v>18707021672</v>
      </c>
      <c r="F17" s="175" t="s">
        <v>278</v>
      </c>
      <c r="G17" s="175" t="s">
        <v>28</v>
      </c>
      <c r="H17" s="25">
        <v>202103001</v>
      </c>
      <c r="I17" s="175" t="s">
        <v>279</v>
      </c>
      <c r="J17" s="175" t="s">
        <v>367</v>
      </c>
      <c r="K17" s="175" t="s">
        <v>280</v>
      </c>
      <c r="L17" s="175" t="s">
        <v>170</v>
      </c>
      <c r="M17" s="175" t="s">
        <v>306</v>
      </c>
      <c r="N17" s="175" t="s">
        <v>376</v>
      </c>
      <c r="O17" s="175" t="s">
        <v>797</v>
      </c>
      <c r="P17" s="26" t="str">
        <f>_xlfn.DISPIMG("ID_639B898E1B304FC0A6FA0E13C551BEC4",1)</f>
        <v>=DISPIMG("ID_639B898E1B304FC0A6FA0E13C551BEC4",1)</v>
      </c>
      <c r="Q17" s="25" t="s">
        <v>798</v>
      </c>
      <c r="R17" s="25">
        <v>77</v>
      </c>
      <c r="S17" s="40" t="s">
        <v>4332</v>
      </c>
      <c r="T17" s="18" t="s">
        <v>36</v>
      </c>
      <c r="U17" s="25">
        <v>15</v>
      </c>
      <c r="V17" s="84">
        <v>61</v>
      </c>
    </row>
    <row r="18" s="3" customFormat="1" customHeight="1" spans="1:22">
      <c r="A18" s="84">
        <v>13</v>
      </c>
      <c r="B18" s="175" t="s">
        <v>694</v>
      </c>
      <c r="C18" s="175" t="s">
        <v>165</v>
      </c>
      <c r="D18" s="175" t="s">
        <v>695</v>
      </c>
      <c r="E18" s="25">
        <v>15779270127</v>
      </c>
      <c r="F18" s="175" t="s">
        <v>278</v>
      </c>
      <c r="G18" s="175" t="s">
        <v>28</v>
      </c>
      <c r="H18" s="25">
        <v>202103001</v>
      </c>
      <c r="I18" s="175" t="s">
        <v>279</v>
      </c>
      <c r="J18" s="175" t="s">
        <v>697</v>
      </c>
      <c r="K18" s="175" t="s">
        <v>280</v>
      </c>
      <c r="L18" s="175" t="s">
        <v>160</v>
      </c>
      <c r="M18" s="175" t="s">
        <v>180</v>
      </c>
      <c r="N18" s="175" t="s">
        <v>28</v>
      </c>
      <c r="O18" s="175" t="s">
        <v>698</v>
      </c>
      <c r="P18" s="26" t="str">
        <f>_xlfn.DISPIMG("ID_E6AFBB076E18415F8E4E8CB1E3BFC1A0",1)</f>
        <v>=DISPIMG("ID_E6AFBB076E18415F8E4E8CB1E3BFC1A0",1)</v>
      </c>
      <c r="Q18" s="25" t="s">
        <v>699</v>
      </c>
      <c r="R18" s="25">
        <v>65</v>
      </c>
      <c r="S18" s="40" t="s">
        <v>4327</v>
      </c>
      <c r="T18" s="18" t="s">
        <v>36</v>
      </c>
      <c r="U18" s="25">
        <v>16</v>
      </c>
      <c r="V18" s="84">
        <v>76.5</v>
      </c>
    </row>
    <row r="19" s="3" customFormat="1" customHeight="1" spans="1:22">
      <c r="A19" s="84">
        <v>8</v>
      </c>
      <c r="B19" s="175" t="s">
        <v>582</v>
      </c>
      <c r="C19" s="175" t="s">
        <v>165</v>
      </c>
      <c r="D19" s="175" t="s">
        <v>583</v>
      </c>
      <c r="E19" s="25">
        <v>18879297924</v>
      </c>
      <c r="F19" s="175" t="s">
        <v>278</v>
      </c>
      <c r="G19" s="175" t="s">
        <v>28</v>
      </c>
      <c r="H19" s="25">
        <v>202103001</v>
      </c>
      <c r="I19" s="175" t="s">
        <v>585</v>
      </c>
      <c r="J19" s="175" t="s">
        <v>367</v>
      </c>
      <c r="K19" s="175" t="s">
        <v>586</v>
      </c>
      <c r="L19" s="175" t="s">
        <v>170</v>
      </c>
      <c r="M19" s="175" t="s">
        <v>587</v>
      </c>
      <c r="N19" s="175" t="s">
        <v>588</v>
      </c>
      <c r="O19" s="175" t="s">
        <v>589</v>
      </c>
      <c r="P19" s="26" t="str">
        <f>_xlfn.DISPIMG("ID_6DA92F60F38D4176A8885E139DCAD5AE",1)</f>
        <v>=DISPIMG("ID_6DA92F60F38D4176A8885E139DCAD5AE",1)</v>
      </c>
      <c r="Q19" s="25" t="s">
        <v>590</v>
      </c>
      <c r="R19" s="25">
        <v>51</v>
      </c>
      <c r="S19" s="40" t="s">
        <v>4322</v>
      </c>
      <c r="T19" s="18" t="s">
        <v>36</v>
      </c>
      <c r="U19" s="25">
        <v>17</v>
      </c>
      <c r="V19" s="70">
        <v>72</v>
      </c>
    </row>
    <row r="20" s="3" customFormat="1" customHeight="1" spans="1:22">
      <c r="A20" s="84">
        <v>3</v>
      </c>
      <c r="B20" s="175" t="s">
        <v>373</v>
      </c>
      <c r="C20" s="175" t="s">
        <v>165</v>
      </c>
      <c r="D20" s="175" t="s">
        <v>374</v>
      </c>
      <c r="E20" s="25">
        <v>15170964571</v>
      </c>
      <c r="F20" s="175" t="s">
        <v>278</v>
      </c>
      <c r="G20" s="175" t="s">
        <v>28</v>
      </c>
      <c r="H20" s="25">
        <v>202103001</v>
      </c>
      <c r="I20" s="175" t="s">
        <v>279</v>
      </c>
      <c r="J20" s="175" t="s">
        <v>367</v>
      </c>
      <c r="K20" s="175" t="s">
        <v>280</v>
      </c>
      <c r="L20" s="175" t="s">
        <v>170</v>
      </c>
      <c r="M20" s="175" t="s">
        <v>224</v>
      </c>
      <c r="N20" s="175" t="s">
        <v>376</v>
      </c>
      <c r="O20" s="175" t="s">
        <v>377</v>
      </c>
      <c r="P20" s="26" t="str">
        <f>_xlfn.DISPIMG("ID_C8327FEC732A4CC39200F90994F97069",1)</f>
        <v>=DISPIMG("ID_C8327FEC732A4CC39200F90994F97069",1)</v>
      </c>
      <c r="Q20" s="25" t="s">
        <v>378</v>
      </c>
      <c r="R20" s="25">
        <v>26</v>
      </c>
      <c r="S20" s="40" t="s">
        <v>4317</v>
      </c>
      <c r="T20" s="18" t="s">
        <v>36</v>
      </c>
      <c r="U20" s="25">
        <v>18</v>
      </c>
      <c r="V20" s="84">
        <v>82.5</v>
      </c>
    </row>
    <row r="21" s="3" customFormat="1" customHeight="1" spans="1:22">
      <c r="A21" s="84">
        <v>4</v>
      </c>
      <c r="B21" s="175" t="s">
        <v>418</v>
      </c>
      <c r="C21" s="175" t="s">
        <v>165</v>
      </c>
      <c r="D21" s="175" t="s">
        <v>419</v>
      </c>
      <c r="E21" s="25">
        <v>13870260927</v>
      </c>
      <c r="F21" s="175" t="s">
        <v>278</v>
      </c>
      <c r="G21" s="175" t="s">
        <v>28</v>
      </c>
      <c r="H21" s="25">
        <v>202103001</v>
      </c>
      <c r="I21" s="175" t="s">
        <v>279</v>
      </c>
      <c r="J21" s="175" t="s">
        <v>367</v>
      </c>
      <c r="K21" s="175" t="s">
        <v>280</v>
      </c>
      <c r="L21" s="175" t="s">
        <v>170</v>
      </c>
      <c r="M21" s="175" t="s">
        <v>224</v>
      </c>
      <c r="N21" s="175" t="s">
        <v>28</v>
      </c>
      <c r="O21" s="175" t="s">
        <v>421</v>
      </c>
      <c r="P21" s="26" t="str">
        <f>_xlfn.DISPIMG("ID_37FC201A56874EEA918314432BBE8D22",1)</f>
        <v>=DISPIMG("ID_37FC201A56874EEA918314432BBE8D22",1)</v>
      </c>
      <c r="Q21" s="25" t="s">
        <v>422</v>
      </c>
      <c r="R21" s="25">
        <v>31</v>
      </c>
      <c r="S21" s="40" t="s">
        <v>4318</v>
      </c>
      <c r="T21" s="18" t="s">
        <v>36</v>
      </c>
      <c r="U21" s="25">
        <v>19</v>
      </c>
      <c r="V21" s="84">
        <v>48</v>
      </c>
    </row>
    <row r="22" s="3" customFormat="1" customHeight="1" spans="1:22">
      <c r="A22" s="84">
        <v>9</v>
      </c>
      <c r="B22" s="175" t="s">
        <v>592</v>
      </c>
      <c r="C22" s="175" t="s">
        <v>165</v>
      </c>
      <c r="D22" s="175" t="s">
        <v>593</v>
      </c>
      <c r="E22" s="25">
        <v>13177706682</v>
      </c>
      <c r="F22" s="175" t="s">
        <v>278</v>
      </c>
      <c r="G22" s="175" t="s">
        <v>28</v>
      </c>
      <c r="H22" s="25">
        <v>202103001</v>
      </c>
      <c r="I22" s="175" t="s">
        <v>279</v>
      </c>
      <c r="J22" s="175" t="s">
        <v>595</v>
      </c>
      <c r="K22" s="175" t="s">
        <v>280</v>
      </c>
      <c r="L22" s="175" t="s">
        <v>170</v>
      </c>
      <c r="M22" s="175" t="s">
        <v>281</v>
      </c>
      <c r="N22" s="175" t="s">
        <v>28</v>
      </c>
      <c r="O22" s="175" t="s">
        <v>596</v>
      </c>
      <c r="P22" s="26" t="str">
        <f>_xlfn.DISPIMG("ID_4A2B45245E6541EDAAF502188C295214",1)</f>
        <v>=DISPIMG("ID_4A2B45245E6541EDAAF502188C295214",1)</v>
      </c>
      <c r="Q22" s="25" t="s">
        <v>597</v>
      </c>
      <c r="R22" s="25">
        <v>52</v>
      </c>
      <c r="S22" s="40" t="s">
        <v>4323</v>
      </c>
      <c r="T22" s="18" t="s">
        <v>36</v>
      </c>
      <c r="U22" s="25">
        <v>20</v>
      </c>
      <c r="V22" s="84">
        <v>54</v>
      </c>
    </row>
    <row r="23" s="3" customFormat="1" customHeight="1" spans="1:22">
      <c r="A23" s="84">
        <v>14</v>
      </c>
      <c r="B23" s="175" t="s">
        <v>712</v>
      </c>
      <c r="C23" s="175" t="s">
        <v>165</v>
      </c>
      <c r="D23" s="175" t="s">
        <v>713</v>
      </c>
      <c r="E23" s="25">
        <v>18379282600</v>
      </c>
      <c r="F23" s="175" t="s">
        <v>278</v>
      </c>
      <c r="G23" s="175" t="s">
        <v>28</v>
      </c>
      <c r="H23" s="25">
        <v>202103001</v>
      </c>
      <c r="I23" s="175" t="s">
        <v>279</v>
      </c>
      <c r="J23" s="175" t="s">
        <v>168</v>
      </c>
      <c r="K23" s="175" t="s">
        <v>280</v>
      </c>
      <c r="L23" s="175" t="s">
        <v>170</v>
      </c>
      <c r="M23" s="175" t="s">
        <v>199</v>
      </c>
      <c r="N23" s="175" t="s">
        <v>715</v>
      </c>
      <c r="O23" s="175" t="s">
        <v>716</v>
      </c>
      <c r="P23" s="26" t="str">
        <f>_xlfn.DISPIMG("ID_CF0B9D1514D24BCEBECEF1FC59445AFE",1)</f>
        <v>=DISPIMG("ID_CF0B9D1514D24BCEBECEF1FC59445AFE",1)</v>
      </c>
      <c r="Q23" s="25" t="s">
        <v>717</v>
      </c>
      <c r="R23" s="25">
        <v>67</v>
      </c>
      <c r="S23" s="40" t="s">
        <v>4328</v>
      </c>
      <c r="T23" s="18" t="s">
        <v>36</v>
      </c>
      <c r="U23" s="25">
        <v>21</v>
      </c>
      <c r="V23" s="84">
        <v>81</v>
      </c>
    </row>
    <row r="24" s="3" customFormat="1" customHeight="1" spans="1:22">
      <c r="A24" s="84">
        <v>19</v>
      </c>
      <c r="B24" s="175" t="s">
        <v>801</v>
      </c>
      <c r="C24" s="175" t="s">
        <v>165</v>
      </c>
      <c r="D24" s="175" t="s">
        <v>802</v>
      </c>
      <c r="E24" s="25">
        <v>13698021995</v>
      </c>
      <c r="F24" s="175" t="s">
        <v>278</v>
      </c>
      <c r="G24" s="175" t="s">
        <v>28</v>
      </c>
      <c r="H24" s="25">
        <v>202103001</v>
      </c>
      <c r="I24" s="175" t="s">
        <v>585</v>
      </c>
      <c r="J24" s="175" t="s">
        <v>804</v>
      </c>
      <c r="K24" s="175" t="s">
        <v>280</v>
      </c>
      <c r="L24" s="175" t="s">
        <v>170</v>
      </c>
      <c r="M24" s="175" t="s">
        <v>805</v>
      </c>
      <c r="N24" s="175" t="s">
        <v>376</v>
      </c>
      <c r="O24" s="175" t="s">
        <v>806</v>
      </c>
      <c r="P24" s="26" t="str">
        <f>_xlfn.DISPIMG("ID_AEB241E66C41495DBC633E36C32A72C8",1)</f>
        <v>=DISPIMG("ID_AEB241E66C41495DBC633E36C32A72C8",1)</v>
      </c>
      <c r="Q24" s="25" t="s">
        <v>807</v>
      </c>
      <c r="R24" s="25">
        <v>78</v>
      </c>
      <c r="S24" s="40" t="s">
        <v>4333</v>
      </c>
      <c r="T24" s="18" t="s">
        <v>36</v>
      </c>
      <c r="U24" s="25">
        <v>22</v>
      </c>
      <c r="V24" s="84">
        <v>89</v>
      </c>
    </row>
    <row r="25" s="5" customFormat="1" customHeight="1" spans="1:22">
      <c r="A25" s="84">
        <v>24</v>
      </c>
      <c r="B25" s="175" t="s">
        <v>890</v>
      </c>
      <c r="C25" s="175" t="s">
        <v>165</v>
      </c>
      <c r="D25" s="175" t="s">
        <v>891</v>
      </c>
      <c r="E25" s="25">
        <v>15270271332</v>
      </c>
      <c r="F25" s="175" t="s">
        <v>278</v>
      </c>
      <c r="G25" s="175" t="s">
        <v>28</v>
      </c>
      <c r="H25" s="25">
        <v>202103001</v>
      </c>
      <c r="I25" s="175" t="s">
        <v>279</v>
      </c>
      <c r="J25" s="175" t="s">
        <v>765</v>
      </c>
      <c r="K25" s="175" t="s">
        <v>893</v>
      </c>
      <c r="L25" s="175" t="s">
        <v>170</v>
      </c>
      <c r="M25" s="175" t="s">
        <v>161</v>
      </c>
      <c r="N25" s="175" t="s">
        <v>340</v>
      </c>
      <c r="O25" s="175" t="s">
        <v>894</v>
      </c>
      <c r="P25" s="26" t="str">
        <f>_xlfn.DISPIMG("ID_85B3DA5A290A4196889B653600FB42ED",1)</f>
        <v>=DISPIMG("ID_85B3DA5A290A4196889B653600FB42ED",1)</v>
      </c>
      <c r="Q25" s="25" t="s">
        <v>895</v>
      </c>
      <c r="R25" s="25">
        <v>89</v>
      </c>
      <c r="S25" s="40" t="s">
        <v>4338</v>
      </c>
      <c r="T25" s="18" t="s">
        <v>36</v>
      </c>
      <c r="U25" s="25">
        <v>23</v>
      </c>
      <c r="V25" s="84">
        <v>62</v>
      </c>
    </row>
    <row r="26" s="3" customFormat="1" customHeight="1" spans="1:22">
      <c r="A26" s="84">
        <v>29</v>
      </c>
      <c r="B26" s="175" t="s">
        <v>1043</v>
      </c>
      <c r="C26" s="175" t="s">
        <v>165</v>
      </c>
      <c r="D26" s="175" t="s">
        <v>1044</v>
      </c>
      <c r="E26" s="25">
        <v>13257081497</v>
      </c>
      <c r="F26" s="175" t="s">
        <v>278</v>
      </c>
      <c r="G26" s="175" t="s">
        <v>28</v>
      </c>
      <c r="H26" s="25">
        <v>202103001</v>
      </c>
      <c r="I26" s="175" t="s">
        <v>279</v>
      </c>
      <c r="J26" s="175" t="s">
        <v>515</v>
      </c>
      <c r="K26" s="175" t="s">
        <v>280</v>
      </c>
      <c r="L26" s="175" t="s">
        <v>170</v>
      </c>
      <c r="M26" s="175" t="s">
        <v>216</v>
      </c>
      <c r="N26" s="175" t="s">
        <v>28</v>
      </c>
      <c r="O26" s="175" t="s">
        <v>1046</v>
      </c>
      <c r="P26" s="26" t="str">
        <f>_xlfn.DISPIMG("ID_95C77A057E51453F847E60BE7A6D3C93",1)</f>
        <v>=DISPIMG("ID_95C77A057E51453F847E60BE7A6D3C93",1)</v>
      </c>
      <c r="Q26" s="25" t="s">
        <v>1047</v>
      </c>
      <c r="R26" s="25">
        <v>107</v>
      </c>
      <c r="S26" s="40" t="s">
        <v>4343</v>
      </c>
      <c r="T26" s="18" t="s">
        <v>36</v>
      </c>
      <c r="U26" s="25">
        <v>24</v>
      </c>
      <c r="V26" s="84">
        <v>75.5</v>
      </c>
    </row>
    <row r="27" s="3" customFormat="1" customHeight="1" spans="1:22">
      <c r="A27" s="84">
        <v>30</v>
      </c>
      <c r="B27" s="175" t="s">
        <v>1094</v>
      </c>
      <c r="C27" s="175" t="s">
        <v>165</v>
      </c>
      <c r="D27" s="175" t="s">
        <v>1095</v>
      </c>
      <c r="E27" s="25">
        <v>18279284539</v>
      </c>
      <c r="F27" s="175" t="s">
        <v>278</v>
      </c>
      <c r="G27" s="175" t="s">
        <v>28</v>
      </c>
      <c r="H27" s="25">
        <v>202103001</v>
      </c>
      <c r="I27" s="175" t="s">
        <v>279</v>
      </c>
      <c r="J27" s="175" t="s">
        <v>1097</v>
      </c>
      <c r="K27" s="175" t="s">
        <v>280</v>
      </c>
      <c r="L27" s="175" t="s">
        <v>170</v>
      </c>
      <c r="M27" s="175" t="s">
        <v>455</v>
      </c>
      <c r="N27" s="175" t="s">
        <v>1098</v>
      </c>
      <c r="O27" s="25">
        <v>0</v>
      </c>
      <c r="P27" s="26" t="str">
        <f>_xlfn.DISPIMG("ID_FAFFBB147A2A46E5B294F9119A127E5F",1)</f>
        <v>=DISPIMG("ID_FAFFBB147A2A46E5B294F9119A127E5F",1)</v>
      </c>
      <c r="Q27" s="25" t="s">
        <v>1099</v>
      </c>
      <c r="R27" s="25">
        <v>114</v>
      </c>
      <c r="S27" s="40" t="s">
        <v>4344</v>
      </c>
      <c r="T27" s="18" t="s">
        <v>36</v>
      </c>
      <c r="U27" s="25">
        <v>25</v>
      </c>
      <c r="V27" s="84">
        <v>0</v>
      </c>
    </row>
    <row r="28" s="3" customFormat="1" customHeight="1" spans="1:22">
      <c r="A28" s="84">
        <v>25</v>
      </c>
      <c r="B28" s="175" t="s">
        <v>924</v>
      </c>
      <c r="C28" s="175" t="s">
        <v>165</v>
      </c>
      <c r="D28" s="175" t="s">
        <v>925</v>
      </c>
      <c r="E28" s="25">
        <v>13979203425</v>
      </c>
      <c r="F28" s="175" t="s">
        <v>278</v>
      </c>
      <c r="G28" s="175" t="s">
        <v>28</v>
      </c>
      <c r="H28" s="25">
        <v>202103001</v>
      </c>
      <c r="I28" s="175" t="s">
        <v>585</v>
      </c>
      <c r="J28" s="175" t="s">
        <v>927</v>
      </c>
      <c r="K28" s="175" t="s">
        <v>928</v>
      </c>
      <c r="L28" s="175" t="s">
        <v>170</v>
      </c>
      <c r="M28" s="175" t="s">
        <v>349</v>
      </c>
      <c r="N28" s="175" t="s">
        <v>376</v>
      </c>
      <c r="O28" s="175" t="s">
        <v>929</v>
      </c>
      <c r="P28" s="26" t="str">
        <f>_xlfn.DISPIMG("ID_8862CF8F67E94F49BA25AF43C58A74CB",1)</f>
        <v>=DISPIMG("ID_8862CF8F67E94F49BA25AF43C58A74CB",1)</v>
      </c>
      <c r="Q28" s="25" t="s">
        <v>930</v>
      </c>
      <c r="R28" s="25">
        <v>93</v>
      </c>
      <c r="S28" s="40" t="s">
        <v>4339</v>
      </c>
      <c r="T28" s="18" t="s">
        <v>36</v>
      </c>
      <c r="U28" s="25">
        <v>26</v>
      </c>
      <c r="V28" s="84">
        <v>74</v>
      </c>
    </row>
    <row r="29" s="3" customFormat="1" customHeight="1" spans="1:22">
      <c r="A29" s="84">
        <v>20</v>
      </c>
      <c r="B29" s="175" t="s">
        <v>840</v>
      </c>
      <c r="C29" s="175" t="s">
        <v>165</v>
      </c>
      <c r="D29" s="175" t="s">
        <v>841</v>
      </c>
      <c r="E29" s="25">
        <v>15059878679</v>
      </c>
      <c r="F29" s="175" t="s">
        <v>278</v>
      </c>
      <c r="G29" s="175" t="s">
        <v>28</v>
      </c>
      <c r="H29" s="25">
        <v>202103001</v>
      </c>
      <c r="I29" s="175" t="s">
        <v>279</v>
      </c>
      <c r="J29" s="175" t="s">
        <v>339</v>
      </c>
      <c r="K29" s="175" t="s">
        <v>280</v>
      </c>
      <c r="L29" s="175" t="s">
        <v>170</v>
      </c>
      <c r="M29" s="175" t="s">
        <v>843</v>
      </c>
      <c r="N29" s="175" t="s">
        <v>376</v>
      </c>
      <c r="O29" s="175" t="s">
        <v>844</v>
      </c>
      <c r="P29" s="26" t="str">
        <f>_xlfn.DISPIMG("ID_424B9BE152D1418A818313627A199A3A",1)</f>
        <v>=DISPIMG("ID_424B9BE152D1418A818313627A199A3A",1)</v>
      </c>
      <c r="Q29" s="25" t="s">
        <v>845</v>
      </c>
      <c r="R29" s="25">
        <v>83</v>
      </c>
      <c r="S29" s="40" t="s">
        <v>4334</v>
      </c>
      <c r="T29" s="18" t="s">
        <v>36</v>
      </c>
      <c r="U29" s="25">
        <v>27</v>
      </c>
      <c r="V29" s="84">
        <v>64</v>
      </c>
    </row>
    <row r="30" s="3" customFormat="1" customHeight="1" spans="1:22">
      <c r="A30" s="84">
        <v>15</v>
      </c>
      <c r="B30" s="175" t="s">
        <v>729</v>
      </c>
      <c r="C30" s="175" t="s">
        <v>165</v>
      </c>
      <c r="D30" s="175" t="s">
        <v>730</v>
      </c>
      <c r="E30" s="25">
        <v>18270279001</v>
      </c>
      <c r="F30" s="175" t="s">
        <v>278</v>
      </c>
      <c r="G30" s="175" t="s">
        <v>28</v>
      </c>
      <c r="H30" s="25">
        <v>202103001</v>
      </c>
      <c r="I30" s="175" t="s">
        <v>279</v>
      </c>
      <c r="J30" s="175" t="s">
        <v>732</v>
      </c>
      <c r="K30" s="175" t="s">
        <v>280</v>
      </c>
      <c r="L30" s="175" t="s">
        <v>170</v>
      </c>
      <c r="M30" s="175" t="s">
        <v>733</v>
      </c>
      <c r="N30" s="175" t="s">
        <v>517</v>
      </c>
      <c r="O30" s="175" t="s">
        <v>734</v>
      </c>
      <c r="P30" s="26" t="str">
        <f>_xlfn.DISPIMG("ID_9786F64DF5E04D0EBFF7257960884627",1)</f>
        <v>=DISPIMG("ID_9786F64DF5E04D0EBFF7257960884627",1)</v>
      </c>
      <c r="Q30" s="25" t="s">
        <v>735</v>
      </c>
      <c r="R30" s="25">
        <v>69</v>
      </c>
      <c r="S30" s="40" t="s">
        <v>4329</v>
      </c>
      <c r="T30" s="18" t="s">
        <v>36</v>
      </c>
      <c r="U30" s="25">
        <v>28</v>
      </c>
      <c r="V30" s="84">
        <v>55</v>
      </c>
    </row>
    <row r="31" s="3" customFormat="1" customHeight="1" spans="1:22">
      <c r="A31" s="84">
        <v>10</v>
      </c>
      <c r="B31" s="175" t="s">
        <v>614</v>
      </c>
      <c r="C31" s="175" t="s">
        <v>165</v>
      </c>
      <c r="D31" s="175" t="s">
        <v>615</v>
      </c>
      <c r="E31" s="25">
        <v>13755265925</v>
      </c>
      <c r="F31" s="175" t="s">
        <v>278</v>
      </c>
      <c r="G31" s="175" t="s">
        <v>28</v>
      </c>
      <c r="H31" s="25">
        <v>202103001</v>
      </c>
      <c r="I31" s="175" t="s">
        <v>585</v>
      </c>
      <c r="J31" s="175" t="s">
        <v>595</v>
      </c>
      <c r="K31" s="175" t="s">
        <v>280</v>
      </c>
      <c r="L31" s="175" t="s">
        <v>170</v>
      </c>
      <c r="M31" s="175" t="s">
        <v>281</v>
      </c>
      <c r="N31" s="175" t="s">
        <v>28</v>
      </c>
      <c r="O31" s="175" t="s">
        <v>617</v>
      </c>
      <c r="P31" s="26" t="str">
        <f>_xlfn.DISPIMG("ID_85355BEE288D4456A9F8FBBF22F43B44",1)</f>
        <v>=DISPIMG("ID_85355BEE288D4456A9F8FBBF22F43B44",1)</v>
      </c>
      <c r="Q31" s="25" t="s">
        <v>618</v>
      </c>
      <c r="R31" s="25">
        <v>55</v>
      </c>
      <c r="S31" s="40" t="s">
        <v>4324</v>
      </c>
      <c r="T31" s="18" t="s">
        <v>36</v>
      </c>
      <c r="U31" s="25">
        <v>29</v>
      </c>
      <c r="V31" s="84">
        <v>0</v>
      </c>
    </row>
    <row r="32" s="3" customFormat="1" customHeight="1" spans="1:22">
      <c r="A32" s="84">
        <v>5</v>
      </c>
      <c r="B32" s="175" t="s">
        <v>477</v>
      </c>
      <c r="C32" s="175" t="s">
        <v>165</v>
      </c>
      <c r="D32" s="175" t="s">
        <v>478</v>
      </c>
      <c r="E32" s="25">
        <v>18770282894</v>
      </c>
      <c r="F32" s="175" t="s">
        <v>278</v>
      </c>
      <c r="G32" s="175" t="s">
        <v>28</v>
      </c>
      <c r="H32" s="25">
        <v>202103001</v>
      </c>
      <c r="I32" s="175" t="s">
        <v>279</v>
      </c>
      <c r="J32" s="175" t="s">
        <v>367</v>
      </c>
      <c r="K32" s="175" t="s">
        <v>280</v>
      </c>
      <c r="L32" s="175" t="s">
        <v>170</v>
      </c>
      <c r="M32" s="175" t="s">
        <v>216</v>
      </c>
      <c r="N32" s="175" t="s">
        <v>340</v>
      </c>
      <c r="O32" s="175" t="s">
        <v>480</v>
      </c>
      <c r="P32" s="26" t="str">
        <f>_xlfn.DISPIMG("ID_CA960935E07F423087EFDE1A92D5AFE3",1)</f>
        <v>=DISPIMG("ID_CA960935E07F423087EFDE1A92D5AFE3",1)</v>
      </c>
      <c r="Q32" s="25" t="s">
        <v>481</v>
      </c>
      <c r="R32" s="25">
        <v>38</v>
      </c>
      <c r="S32" s="40" t="s">
        <v>4319</v>
      </c>
      <c r="T32" s="18" t="s">
        <v>36</v>
      </c>
      <c r="U32" s="25">
        <v>30</v>
      </c>
      <c r="V32" s="84">
        <v>82</v>
      </c>
    </row>
    <row r="33" s="3" customFormat="1" customHeight="1" spans="1:22">
      <c r="A33" s="84">
        <v>26</v>
      </c>
      <c r="B33" s="175" t="s">
        <v>2249</v>
      </c>
      <c r="C33" s="175" t="s">
        <v>165</v>
      </c>
      <c r="D33" s="175" t="s">
        <v>2250</v>
      </c>
      <c r="E33" s="25">
        <v>15270289287</v>
      </c>
      <c r="F33" s="175" t="s">
        <v>278</v>
      </c>
      <c r="G33" s="175" t="s">
        <v>28</v>
      </c>
      <c r="H33" s="25">
        <v>202103001</v>
      </c>
      <c r="I33" s="175" t="s">
        <v>279</v>
      </c>
      <c r="J33" s="175" t="s">
        <v>1258</v>
      </c>
      <c r="K33" s="175" t="s">
        <v>280</v>
      </c>
      <c r="L33" s="175" t="s">
        <v>170</v>
      </c>
      <c r="M33" s="175" t="s">
        <v>180</v>
      </c>
      <c r="N33" s="175" t="s">
        <v>340</v>
      </c>
      <c r="O33" s="175" t="s">
        <v>2252</v>
      </c>
      <c r="P33" s="26" t="str">
        <f>_xlfn.DISPIMG("ID_7985CE250554486189D8524B45608623",1)</f>
        <v>=DISPIMG("ID_7985CE250554486189D8524B45608623",1)</v>
      </c>
      <c r="Q33" s="25" t="s">
        <v>2253</v>
      </c>
      <c r="R33" s="25">
        <v>265</v>
      </c>
      <c r="S33" s="40" t="s">
        <v>4370</v>
      </c>
      <c r="T33" s="18" t="s">
        <v>38</v>
      </c>
      <c r="U33" s="25">
        <v>1</v>
      </c>
      <c r="V33" s="84">
        <v>61.5</v>
      </c>
    </row>
    <row r="34" s="3" customFormat="1" customHeight="1" spans="1:22">
      <c r="A34" s="84">
        <v>21</v>
      </c>
      <c r="B34" s="175" t="s">
        <v>1969</v>
      </c>
      <c r="C34" s="175" t="s">
        <v>165</v>
      </c>
      <c r="D34" s="175" t="s">
        <v>1970</v>
      </c>
      <c r="E34" s="25">
        <v>13767214799</v>
      </c>
      <c r="F34" s="175" t="s">
        <v>278</v>
      </c>
      <c r="G34" s="175" t="s">
        <v>28</v>
      </c>
      <c r="H34" s="25">
        <v>202103001</v>
      </c>
      <c r="I34" s="175" t="s">
        <v>279</v>
      </c>
      <c r="J34" s="175" t="s">
        <v>1972</v>
      </c>
      <c r="K34" s="175" t="s">
        <v>280</v>
      </c>
      <c r="L34" s="175" t="s">
        <v>170</v>
      </c>
      <c r="M34" s="175" t="s">
        <v>368</v>
      </c>
      <c r="N34" s="175" t="s">
        <v>121</v>
      </c>
      <c r="O34" s="175" t="s">
        <v>1973</v>
      </c>
      <c r="P34" s="26" t="str">
        <f>_xlfn.DISPIMG("ID_AAF95BF9A1304A0693E0346D90E4CF2C",1)</f>
        <v>=DISPIMG("ID_AAF95BF9A1304A0693E0346D90E4CF2C",1)</v>
      </c>
      <c r="Q34" s="25" t="s">
        <v>1974</v>
      </c>
      <c r="R34" s="25">
        <v>228</v>
      </c>
      <c r="S34" s="40" t="s">
        <v>4365</v>
      </c>
      <c r="T34" s="18" t="s">
        <v>38</v>
      </c>
      <c r="U34" s="25">
        <v>2</v>
      </c>
      <c r="V34" s="84">
        <v>0</v>
      </c>
    </row>
    <row r="35" s="3" customFormat="1" customHeight="1" spans="1:22">
      <c r="A35" s="84">
        <v>16</v>
      </c>
      <c r="B35" s="175" t="s">
        <v>1751</v>
      </c>
      <c r="C35" s="175" t="s">
        <v>165</v>
      </c>
      <c r="D35" s="175" t="s">
        <v>1752</v>
      </c>
      <c r="E35" s="25">
        <v>18770825920</v>
      </c>
      <c r="F35" s="175" t="s">
        <v>278</v>
      </c>
      <c r="G35" s="175" t="s">
        <v>28</v>
      </c>
      <c r="H35" s="25">
        <v>202103001</v>
      </c>
      <c r="I35" s="175" t="s">
        <v>585</v>
      </c>
      <c r="J35" s="175" t="s">
        <v>367</v>
      </c>
      <c r="K35" s="175" t="s">
        <v>280</v>
      </c>
      <c r="L35" s="175" t="s">
        <v>160</v>
      </c>
      <c r="M35" s="175" t="s">
        <v>396</v>
      </c>
      <c r="N35" s="175" t="s">
        <v>1754</v>
      </c>
      <c r="O35" s="175" t="s">
        <v>1755</v>
      </c>
      <c r="P35" s="26" t="str">
        <f>_xlfn.DISPIMG("ID_11BD6E6070704D3C9E8B19CABEC53565",1)</f>
        <v>=DISPIMG("ID_11BD6E6070704D3C9E8B19CABEC53565",1)</v>
      </c>
      <c r="Q35" s="25" t="s">
        <v>1756</v>
      </c>
      <c r="R35" s="25">
        <v>199</v>
      </c>
      <c r="S35" s="40" t="s">
        <v>4360</v>
      </c>
      <c r="T35" s="18" t="s">
        <v>38</v>
      </c>
      <c r="U35" s="25">
        <v>3</v>
      </c>
      <c r="V35" s="84">
        <v>60</v>
      </c>
    </row>
    <row r="36" s="3" customFormat="1" customHeight="1" spans="1:22">
      <c r="A36" s="84">
        <v>11</v>
      </c>
      <c r="B36" s="175" t="s">
        <v>1520</v>
      </c>
      <c r="C36" s="175" t="s">
        <v>165</v>
      </c>
      <c r="D36" s="175" t="s">
        <v>1521</v>
      </c>
      <c r="E36" s="25">
        <v>18370105501</v>
      </c>
      <c r="F36" s="175" t="s">
        <v>278</v>
      </c>
      <c r="G36" s="175" t="s">
        <v>28</v>
      </c>
      <c r="H36" s="25">
        <v>202103001</v>
      </c>
      <c r="I36" s="175" t="s">
        <v>279</v>
      </c>
      <c r="J36" s="175" t="s">
        <v>1523</v>
      </c>
      <c r="K36" s="175" t="s">
        <v>280</v>
      </c>
      <c r="L36" s="175" t="s">
        <v>170</v>
      </c>
      <c r="M36" s="175" t="s">
        <v>235</v>
      </c>
      <c r="N36" s="175" t="s">
        <v>28</v>
      </c>
      <c r="O36" s="175" t="s">
        <v>1524</v>
      </c>
      <c r="P36" s="26" t="str">
        <f>_xlfn.DISPIMG("ID_289CC567200648A4AB5780D725CC9684",1)</f>
        <v>=DISPIMG("ID_289CC567200648A4AB5780D725CC9684",1)</v>
      </c>
      <c r="Q36" s="25" t="s">
        <v>1525</v>
      </c>
      <c r="R36" s="25">
        <v>169</v>
      </c>
      <c r="S36" s="40" t="s">
        <v>4355</v>
      </c>
      <c r="T36" s="18" t="s">
        <v>38</v>
      </c>
      <c r="U36" s="25">
        <v>4</v>
      </c>
      <c r="V36" s="84">
        <v>70</v>
      </c>
    </row>
    <row r="37" s="3" customFormat="1" customHeight="1" spans="1:22">
      <c r="A37" s="84">
        <v>6</v>
      </c>
      <c r="B37" s="175" t="s">
        <v>1286</v>
      </c>
      <c r="C37" s="175" t="s">
        <v>165</v>
      </c>
      <c r="D37" s="175" t="s">
        <v>1287</v>
      </c>
      <c r="E37" s="25">
        <v>18296159811</v>
      </c>
      <c r="F37" s="175" t="s">
        <v>278</v>
      </c>
      <c r="G37" s="175" t="s">
        <v>28</v>
      </c>
      <c r="H37" s="25">
        <v>202103001</v>
      </c>
      <c r="I37" s="175" t="s">
        <v>279</v>
      </c>
      <c r="J37" s="175" t="s">
        <v>1289</v>
      </c>
      <c r="K37" s="175" t="s">
        <v>280</v>
      </c>
      <c r="L37" s="175" t="s">
        <v>170</v>
      </c>
      <c r="M37" s="175" t="s">
        <v>216</v>
      </c>
      <c r="N37" s="175" t="s">
        <v>960</v>
      </c>
      <c r="O37" s="175" t="s">
        <v>1290</v>
      </c>
      <c r="P37" s="26" t="str">
        <f>_xlfn.DISPIMG("ID_FACC95E727304010BE372974F21E9256",1)</f>
        <v>=DISPIMG("ID_FACC95E727304010BE372974F21E9256",1)</v>
      </c>
      <c r="Q37" s="25" t="s">
        <v>1291</v>
      </c>
      <c r="R37" s="25">
        <v>139</v>
      </c>
      <c r="S37" s="40" t="s">
        <v>4350</v>
      </c>
      <c r="T37" s="18" t="s">
        <v>38</v>
      </c>
      <c r="U37" s="25">
        <v>5</v>
      </c>
      <c r="V37" s="70">
        <v>0</v>
      </c>
    </row>
    <row r="38" s="4" customFormat="1" customHeight="1" spans="1:22">
      <c r="A38" s="84">
        <v>1</v>
      </c>
      <c r="B38" s="175" t="s">
        <v>1218</v>
      </c>
      <c r="C38" s="175" t="s">
        <v>165</v>
      </c>
      <c r="D38" s="175" t="s">
        <v>1219</v>
      </c>
      <c r="E38" s="25">
        <v>17679241558</v>
      </c>
      <c r="F38" s="175" t="s">
        <v>278</v>
      </c>
      <c r="G38" s="175" t="s">
        <v>28</v>
      </c>
      <c r="H38" s="25">
        <v>202103001</v>
      </c>
      <c r="I38" s="175" t="s">
        <v>279</v>
      </c>
      <c r="J38" s="175" t="s">
        <v>1221</v>
      </c>
      <c r="K38" s="175" t="s">
        <v>280</v>
      </c>
      <c r="L38" s="175" t="s">
        <v>170</v>
      </c>
      <c r="M38" s="175" t="s">
        <v>161</v>
      </c>
      <c r="N38" s="175" t="s">
        <v>1222</v>
      </c>
      <c r="O38" s="175" t="s">
        <v>1223</v>
      </c>
      <c r="P38" s="26" t="str">
        <f>_xlfn.DISPIMG("ID_9D5D5082709049DE9F85EE45C9D21765",1)</f>
        <v>=DISPIMG("ID_9D5D5082709049DE9F85EE45C9D21765",1)</v>
      </c>
      <c r="Q38" s="25" t="s">
        <v>1224</v>
      </c>
      <c r="R38" s="25">
        <v>129</v>
      </c>
      <c r="S38" s="40" t="s">
        <v>4345</v>
      </c>
      <c r="T38" s="18" t="s">
        <v>38</v>
      </c>
      <c r="U38" s="25">
        <v>6</v>
      </c>
      <c r="V38" s="84">
        <v>0</v>
      </c>
    </row>
    <row r="39" s="5" customFormat="1" customHeight="1" spans="1:22">
      <c r="A39" s="84">
        <v>2</v>
      </c>
      <c r="B39" s="175" t="s">
        <v>1234</v>
      </c>
      <c r="C39" s="175" t="s">
        <v>165</v>
      </c>
      <c r="D39" s="175" t="s">
        <v>1235</v>
      </c>
      <c r="E39" s="25">
        <v>18870682713</v>
      </c>
      <c r="F39" s="175" t="s">
        <v>278</v>
      </c>
      <c r="G39" s="175" t="s">
        <v>28</v>
      </c>
      <c r="H39" s="25">
        <v>202103001</v>
      </c>
      <c r="I39" s="175" t="s">
        <v>279</v>
      </c>
      <c r="J39" s="175" t="s">
        <v>1237</v>
      </c>
      <c r="K39" s="175" t="s">
        <v>280</v>
      </c>
      <c r="L39" s="175" t="s">
        <v>170</v>
      </c>
      <c r="M39" s="175" t="s">
        <v>161</v>
      </c>
      <c r="N39" s="175" t="s">
        <v>340</v>
      </c>
      <c r="O39" s="175" t="s">
        <v>1238</v>
      </c>
      <c r="P39" s="26" t="str">
        <f>_xlfn.DISPIMG("ID_BE82B2F060544F05BBDE4FAB7F0C0521",1)</f>
        <v>=DISPIMG("ID_BE82B2F060544F05BBDE4FAB7F0C0521",1)</v>
      </c>
      <c r="Q39" s="25" t="s">
        <v>1239</v>
      </c>
      <c r="R39" s="25">
        <v>131</v>
      </c>
      <c r="S39" s="40" t="s">
        <v>4346</v>
      </c>
      <c r="T39" s="18" t="s">
        <v>38</v>
      </c>
      <c r="U39" s="25">
        <v>7</v>
      </c>
      <c r="V39" s="84">
        <v>0</v>
      </c>
    </row>
    <row r="40" s="3" customFormat="1" customHeight="1" spans="1:22">
      <c r="A40" s="84">
        <v>7</v>
      </c>
      <c r="B40" s="175" t="s">
        <v>1344</v>
      </c>
      <c r="C40" s="175" t="s">
        <v>165</v>
      </c>
      <c r="D40" s="175" t="s">
        <v>1345</v>
      </c>
      <c r="E40" s="25">
        <v>15179298712</v>
      </c>
      <c r="F40" s="175" t="s">
        <v>278</v>
      </c>
      <c r="G40" s="175" t="s">
        <v>28</v>
      </c>
      <c r="H40" s="25">
        <v>202103001</v>
      </c>
      <c r="I40" s="175" t="s">
        <v>279</v>
      </c>
      <c r="J40" s="175" t="s">
        <v>158</v>
      </c>
      <c r="K40" s="175" t="s">
        <v>179</v>
      </c>
      <c r="L40" s="175" t="s">
        <v>170</v>
      </c>
      <c r="M40" s="175" t="s">
        <v>1346</v>
      </c>
      <c r="N40" s="175" t="s">
        <v>1013</v>
      </c>
      <c r="O40" s="25">
        <v>0</v>
      </c>
      <c r="P40" s="26" t="str">
        <f>_xlfn.DISPIMG("ID_249FF3C1A0EA4CE88757DD6F52651ECC",1)</f>
        <v>=DISPIMG("ID_249FF3C1A0EA4CE88757DD6F52651ECC",1)</v>
      </c>
      <c r="Q40" s="25" t="s">
        <v>1347</v>
      </c>
      <c r="R40" s="25">
        <v>146</v>
      </c>
      <c r="S40" s="40" t="s">
        <v>4351</v>
      </c>
      <c r="T40" s="18" t="s">
        <v>38</v>
      </c>
      <c r="U40" s="25">
        <v>8</v>
      </c>
      <c r="V40" s="85">
        <v>78</v>
      </c>
    </row>
    <row r="41" s="3" customFormat="1" customHeight="1" spans="1:22">
      <c r="A41" s="84">
        <v>12</v>
      </c>
      <c r="B41" s="175" t="s">
        <v>1535</v>
      </c>
      <c r="C41" s="175" t="s">
        <v>165</v>
      </c>
      <c r="D41" s="175" t="s">
        <v>1536</v>
      </c>
      <c r="E41" s="25">
        <v>17779207332</v>
      </c>
      <c r="F41" s="175" t="s">
        <v>278</v>
      </c>
      <c r="G41" s="175" t="s">
        <v>28</v>
      </c>
      <c r="H41" s="25">
        <v>202103001</v>
      </c>
      <c r="I41" s="175" t="s">
        <v>279</v>
      </c>
      <c r="J41" s="175" t="s">
        <v>765</v>
      </c>
      <c r="K41" s="175" t="s">
        <v>280</v>
      </c>
      <c r="L41" s="175" t="s">
        <v>170</v>
      </c>
      <c r="M41" s="175" t="s">
        <v>235</v>
      </c>
      <c r="N41" s="175" t="s">
        <v>517</v>
      </c>
      <c r="O41" s="175" t="s">
        <v>1538</v>
      </c>
      <c r="P41" s="26" t="str">
        <f>_xlfn.DISPIMG("ID_E53DAA599F9A40239F1135427FCA9C4F",1)</f>
        <v>=DISPIMG("ID_E53DAA599F9A40239F1135427FCA9C4F",1)</v>
      </c>
      <c r="Q41" s="25" t="s">
        <v>1539</v>
      </c>
      <c r="R41" s="25">
        <v>171</v>
      </c>
      <c r="S41" s="40" t="s">
        <v>4356</v>
      </c>
      <c r="T41" s="18" t="s">
        <v>38</v>
      </c>
      <c r="U41" s="25">
        <v>9</v>
      </c>
      <c r="V41" s="84">
        <v>0</v>
      </c>
    </row>
    <row r="42" s="3" customFormat="1" customHeight="1" spans="1:22">
      <c r="A42" s="84">
        <v>17</v>
      </c>
      <c r="B42" s="175" t="s">
        <v>1773</v>
      </c>
      <c r="C42" s="175" t="s">
        <v>165</v>
      </c>
      <c r="D42" s="175" t="s">
        <v>1774</v>
      </c>
      <c r="E42" s="25">
        <v>15070865413</v>
      </c>
      <c r="F42" s="175" t="s">
        <v>278</v>
      </c>
      <c r="G42" s="175" t="s">
        <v>28</v>
      </c>
      <c r="H42" s="25">
        <v>202103001</v>
      </c>
      <c r="I42" s="175" t="s">
        <v>279</v>
      </c>
      <c r="J42" s="175" t="s">
        <v>662</v>
      </c>
      <c r="K42" s="175" t="s">
        <v>280</v>
      </c>
      <c r="L42" s="175" t="s">
        <v>170</v>
      </c>
      <c r="M42" s="175" t="s">
        <v>161</v>
      </c>
      <c r="N42" s="175" t="s">
        <v>1776</v>
      </c>
      <c r="O42" s="175" t="s">
        <v>1777</v>
      </c>
      <c r="P42" s="26" t="str">
        <f>_xlfn.DISPIMG("ID_870E78DB9450493E87561F4FC105D429",1)</f>
        <v>=DISPIMG("ID_870E78DB9450493E87561F4FC105D429",1)</v>
      </c>
      <c r="Q42" s="25" t="s">
        <v>1778</v>
      </c>
      <c r="R42" s="25">
        <v>202</v>
      </c>
      <c r="S42" s="40" t="s">
        <v>4361</v>
      </c>
      <c r="T42" s="18" t="s">
        <v>38</v>
      </c>
      <c r="U42" s="25">
        <v>10</v>
      </c>
      <c r="V42" s="84">
        <v>0</v>
      </c>
    </row>
    <row r="43" s="3" customFormat="1" customHeight="1" spans="1:22">
      <c r="A43" s="84">
        <v>22</v>
      </c>
      <c r="B43" s="175" t="s">
        <v>2060</v>
      </c>
      <c r="C43" s="175" t="s">
        <v>165</v>
      </c>
      <c r="D43" s="175" t="s">
        <v>2061</v>
      </c>
      <c r="E43" s="25">
        <v>15112002923</v>
      </c>
      <c r="F43" s="175" t="s">
        <v>278</v>
      </c>
      <c r="G43" s="175" t="s">
        <v>28</v>
      </c>
      <c r="H43" s="25">
        <v>202103001</v>
      </c>
      <c r="I43" s="175" t="s">
        <v>157</v>
      </c>
      <c r="J43" s="175" t="s">
        <v>2063</v>
      </c>
      <c r="K43" s="175" t="s">
        <v>280</v>
      </c>
      <c r="L43" s="175" t="s">
        <v>170</v>
      </c>
      <c r="M43" s="175" t="s">
        <v>2064</v>
      </c>
      <c r="N43" s="175" t="s">
        <v>517</v>
      </c>
      <c r="O43" s="175" t="s">
        <v>2065</v>
      </c>
      <c r="P43" s="26" t="str">
        <f>_xlfn.DISPIMG("ID_BF9AE392AFDD4458A2909A9A2C941241",1)</f>
        <v>=DISPIMG("ID_BF9AE392AFDD4458A2909A9A2C941241",1)</v>
      </c>
      <c r="Q43" s="25" t="s">
        <v>2066</v>
      </c>
      <c r="R43" s="25">
        <v>240</v>
      </c>
      <c r="S43" s="40" t="s">
        <v>4366</v>
      </c>
      <c r="T43" s="18" t="s">
        <v>38</v>
      </c>
      <c r="U43" s="25">
        <v>11</v>
      </c>
      <c r="V43" s="84">
        <v>90.5</v>
      </c>
    </row>
    <row r="44" s="3" customFormat="1" customHeight="1" spans="1:22">
      <c r="A44" s="84">
        <v>27</v>
      </c>
      <c r="B44" s="175" t="s">
        <v>2273</v>
      </c>
      <c r="C44" s="175" t="s">
        <v>165</v>
      </c>
      <c r="D44" s="175" t="s">
        <v>2274</v>
      </c>
      <c r="E44" s="25">
        <v>18897920642</v>
      </c>
      <c r="F44" s="175" t="s">
        <v>278</v>
      </c>
      <c r="G44" s="175" t="s">
        <v>28</v>
      </c>
      <c r="H44" s="25">
        <v>202103001</v>
      </c>
      <c r="I44" s="175" t="s">
        <v>279</v>
      </c>
      <c r="J44" s="175" t="s">
        <v>367</v>
      </c>
      <c r="K44" s="175" t="s">
        <v>960</v>
      </c>
      <c r="L44" s="175" t="s">
        <v>170</v>
      </c>
      <c r="M44" s="175" t="s">
        <v>171</v>
      </c>
      <c r="N44" s="175" t="s">
        <v>340</v>
      </c>
      <c r="O44" s="175" t="s">
        <v>2276</v>
      </c>
      <c r="P44" s="26" t="str">
        <f>_xlfn.DISPIMG("ID_61B07218C9EC426CBE977F3567B765DD",1)</f>
        <v>=DISPIMG("ID_61B07218C9EC426CBE977F3567B765DD",1)</v>
      </c>
      <c r="Q44" s="25" t="s">
        <v>2277</v>
      </c>
      <c r="R44" s="25">
        <v>268</v>
      </c>
      <c r="S44" s="40" t="s">
        <v>4371</v>
      </c>
      <c r="T44" s="18" t="s">
        <v>38</v>
      </c>
      <c r="U44" s="25">
        <v>12</v>
      </c>
      <c r="V44" s="84">
        <v>68.5</v>
      </c>
    </row>
    <row r="45" s="3" customFormat="1" customHeight="1" spans="1:22">
      <c r="A45" s="84">
        <v>28</v>
      </c>
      <c r="B45" s="175" t="s">
        <v>2323</v>
      </c>
      <c r="C45" s="175" t="s">
        <v>165</v>
      </c>
      <c r="D45" s="175" t="s">
        <v>2324</v>
      </c>
      <c r="E45" s="25">
        <v>15979178539</v>
      </c>
      <c r="F45" s="175" t="s">
        <v>278</v>
      </c>
      <c r="G45" s="175" t="s">
        <v>28</v>
      </c>
      <c r="H45" s="25">
        <v>202103001</v>
      </c>
      <c r="I45" s="175" t="s">
        <v>157</v>
      </c>
      <c r="J45" s="175" t="s">
        <v>1071</v>
      </c>
      <c r="K45" s="175" t="s">
        <v>2326</v>
      </c>
      <c r="L45" s="175" t="s">
        <v>160</v>
      </c>
      <c r="M45" s="175" t="s">
        <v>1942</v>
      </c>
      <c r="N45" s="175" t="s">
        <v>340</v>
      </c>
      <c r="O45" s="175" t="s">
        <v>2327</v>
      </c>
      <c r="P45" s="26" t="str">
        <f>_xlfn.DISPIMG("ID_A33976891DCF46C9B1DFAD5ADCC8729D",1)</f>
        <v>=DISPIMG("ID_A33976891DCF46C9B1DFAD5ADCC8729D",1)</v>
      </c>
      <c r="Q45" s="25" t="s">
        <v>2328</v>
      </c>
      <c r="R45" s="25">
        <v>275</v>
      </c>
      <c r="S45" s="40" t="s">
        <v>4372</v>
      </c>
      <c r="T45" s="18" t="s">
        <v>38</v>
      </c>
      <c r="U45" s="25">
        <v>13</v>
      </c>
      <c r="V45" s="84">
        <v>76</v>
      </c>
    </row>
    <row r="46" s="3" customFormat="1" customHeight="1" spans="1:22">
      <c r="A46" s="84">
        <v>23</v>
      </c>
      <c r="B46" s="175" t="s">
        <v>2083</v>
      </c>
      <c r="C46" s="175" t="s">
        <v>165</v>
      </c>
      <c r="D46" s="175" t="s">
        <v>2084</v>
      </c>
      <c r="E46" s="25">
        <v>18816407325</v>
      </c>
      <c r="F46" s="175" t="s">
        <v>278</v>
      </c>
      <c r="G46" s="175" t="s">
        <v>28</v>
      </c>
      <c r="H46" s="25">
        <v>202103001</v>
      </c>
      <c r="I46" s="175" t="s">
        <v>157</v>
      </c>
      <c r="J46" s="175" t="s">
        <v>1258</v>
      </c>
      <c r="K46" s="175" t="s">
        <v>280</v>
      </c>
      <c r="L46" s="175" t="s">
        <v>170</v>
      </c>
      <c r="M46" s="175" t="s">
        <v>180</v>
      </c>
      <c r="N46" s="175" t="s">
        <v>340</v>
      </c>
      <c r="O46" s="175" t="s">
        <v>2086</v>
      </c>
      <c r="P46" s="26" t="str">
        <f>_xlfn.DISPIMG("ID_B2FD46FB94FD4BE298F143BADCF00B8C",1)</f>
        <v>=DISPIMG("ID_B2FD46FB94FD4BE298F143BADCF00B8C",1)</v>
      </c>
      <c r="Q46" s="25" t="s">
        <v>2087</v>
      </c>
      <c r="R46" s="25">
        <v>243</v>
      </c>
      <c r="S46" s="40" t="s">
        <v>4367</v>
      </c>
      <c r="T46" s="18" t="s">
        <v>38</v>
      </c>
      <c r="U46" s="25">
        <v>14</v>
      </c>
      <c r="V46" s="84">
        <v>72.5</v>
      </c>
    </row>
    <row r="47" s="3" customFormat="1" customHeight="1" spans="1:22">
      <c r="A47" s="84">
        <v>18</v>
      </c>
      <c r="B47" s="175" t="s">
        <v>1814</v>
      </c>
      <c r="C47" s="175" t="s">
        <v>165</v>
      </c>
      <c r="D47" s="175" t="s">
        <v>1815</v>
      </c>
      <c r="E47" s="25">
        <v>15879170317</v>
      </c>
      <c r="F47" s="175" t="s">
        <v>278</v>
      </c>
      <c r="G47" s="175" t="s">
        <v>28</v>
      </c>
      <c r="H47" s="25">
        <v>202103001</v>
      </c>
      <c r="I47" s="175" t="s">
        <v>279</v>
      </c>
      <c r="J47" s="175" t="s">
        <v>732</v>
      </c>
      <c r="K47" s="175" t="s">
        <v>280</v>
      </c>
      <c r="L47" s="175" t="s">
        <v>170</v>
      </c>
      <c r="M47" s="175" t="s">
        <v>306</v>
      </c>
      <c r="N47" s="175" t="s">
        <v>1013</v>
      </c>
      <c r="O47" s="175" t="s">
        <v>1817</v>
      </c>
      <c r="P47" s="26" t="str">
        <f>_xlfn.DISPIMG("ID_6DE4E02A017F4BA2AD59ACE3034B4E4E",1)</f>
        <v>=DISPIMG("ID_6DE4E02A017F4BA2AD59ACE3034B4E4E",1)</v>
      </c>
      <c r="Q47" s="25" t="s">
        <v>1818</v>
      </c>
      <c r="R47" s="25">
        <v>207</v>
      </c>
      <c r="S47" s="40" t="s">
        <v>4362</v>
      </c>
      <c r="T47" s="18" t="s">
        <v>38</v>
      </c>
      <c r="U47" s="25">
        <v>15</v>
      </c>
      <c r="V47" s="84">
        <v>83</v>
      </c>
    </row>
    <row r="48" s="3" customFormat="1" customHeight="1" spans="1:22">
      <c r="A48" s="84">
        <v>13</v>
      </c>
      <c r="B48" s="175" t="s">
        <v>1559</v>
      </c>
      <c r="C48" s="175" t="s">
        <v>165</v>
      </c>
      <c r="D48" s="175" t="s">
        <v>1560</v>
      </c>
      <c r="E48" s="25">
        <v>18720242536</v>
      </c>
      <c r="F48" s="175" t="s">
        <v>278</v>
      </c>
      <c r="G48" s="175" t="s">
        <v>28</v>
      </c>
      <c r="H48" s="25">
        <v>202103001</v>
      </c>
      <c r="I48" s="175" t="s">
        <v>279</v>
      </c>
      <c r="J48" s="175" t="s">
        <v>876</v>
      </c>
      <c r="K48" s="175" t="s">
        <v>960</v>
      </c>
      <c r="L48" s="175" t="s">
        <v>170</v>
      </c>
      <c r="M48" s="175" t="s">
        <v>171</v>
      </c>
      <c r="N48" s="175" t="s">
        <v>340</v>
      </c>
      <c r="O48" s="175" t="s">
        <v>1562</v>
      </c>
      <c r="P48" s="26" t="str">
        <f>_xlfn.DISPIMG("ID_9804FB5AA98E4D44BBA382539FDAF7F0",1)</f>
        <v>=DISPIMG("ID_9804FB5AA98E4D44BBA382539FDAF7F0",1)</v>
      </c>
      <c r="Q48" s="25" t="s">
        <v>1563</v>
      </c>
      <c r="R48" s="25">
        <v>174</v>
      </c>
      <c r="S48" s="40" t="s">
        <v>4357</v>
      </c>
      <c r="T48" s="18" t="s">
        <v>38</v>
      </c>
      <c r="U48" s="25">
        <v>16</v>
      </c>
      <c r="V48" s="84">
        <v>0</v>
      </c>
    </row>
    <row r="49" s="3" customFormat="1" customHeight="1" spans="1:22">
      <c r="A49" s="84">
        <v>8</v>
      </c>
      <c r="B49" s="175" t="s">
        <v>1327</v>
      </c>
      <c r="C49" s="175" t="s">
        <v>165</v>
      </c>
      <c r="D49" s="175" t="s">
        <v>1328</v>
      </c>
      <c r="E49" s="25">
        <v>15870865214</v>
      </c>
      <c r="F49" s="175" t="s">
        <v>278</v>
      </c>
      <c r="G49" s="175" t="s">
        <v>28</v>
      </c>
      <c r="H49" s="25">
        <v>202103001</v>
      </c>
      <c r="I49" s="175" t="s">
        <v>279</v>
      </c>
      <c r="J49" s="175" t="s">
        <v>1330</v>
      </c>
      <c r="K49" s="175" t="s">
        <v>1331</v>
      </c>
      <c r="L49" s="175" t="s">
        <v>160</v>
      </c>
      <c r="M49" s="175" t="s">
        <v>368</v>
      </c>
      <c r="N49" s="175" t="s">
        <v>1418</v>
      </c>
      <c r="O49" s="25">
        <v>0</v>
      </c>
      <c r="P49" s="26" t="str">
        <f>_xlfn.DISPIMG("ID_042121583D6C4BE29ACF5C4CE545F254",1)</f>
        <v>=DISPIMG("ID_042121583D6C4BE29ACF5C4CE545F254",1)</v>
      </c>
      <c r="Q49" s="25" t="s">
        <v>1333</v>
      </c>
      <c r="R49" s="25">
        <v>156</v>
      </c>
      <c r="S49" s="40" t="s">
        <v>4352</v>
      </c>
      <c r="T49" s="18" t="s">
        <v>38</v>
      </c>
      <c r="U49" s="25">
        <v>17</v>
      </c>
      <c r="V49" s="84">
        <v>0</v>
      </c>
    </row>
    <row r="50" s="3" customFormat="1" customHeight="1" spans="1:22">
      <c r="A50" s="84">
        <v>3</v>
      </c>
      <c r="B50" s="175" t="s">
        <v>1242</v>
      </c>
      <c r="C50" s="175" t="s">
        <v>165</v>
      </c>
      <c r="D50" s="175" t="s">
        <v>1243</v>
      </c>
      <c r="E50" s="25">
        <v>18870899233</v>
      </c>
      <c r="F50" s="175" t="s">
        <v>278</v>
      </c>
      <c r="G50" s="175" t="s">
        <v>28</v>
      </c>
      <c r="H50" s="25">
        <v>202103001</v>
      </c>
      <c r="I50" s="175" t="s">
        <v>279</v>
      </c>
      <c r="J50" s="175" t="s">
        <v>1237</v>
      </c>
      <c r="K50" s="175" t="s">
        <v>280</v>
      </c>
      <c r="L50" s="175" t="s">
        <v>170</v>
      </c>
      <c r="M50" s="175" t="s">
        <v>161</v>
      </c>
      <c r="N50" s="175" t="s">
        <v>340</v>
      </c>
      <c r="O50" s="175" t="s">
        <v>1245</v>
      </c>
      <c r="P50" s="26" t="str">
        <f>_xlfn.DISPIMG("ID_1047B30E34C949B594403C816BBC2C68",1)</f>
        <v>=DISPIMG("ID_1047B30E34C949B594403C816BBC2C68",1)</v>
      </c>
      <c r="Q50" s="25" t="s">
        <v>1246</v>
      </c>
      <c r="R50" s="25">
        <v>132</v>
      </c>
      <c r="S50" s="40" t="s">
        <v>4347</v>
      </c>
      <c r="T50" s="18" t="s">
        <v>38</v>
      </c>
      <c r="U50" s="25">
        <v>18</v>
      </c>
      <c r="V50" s="84">
        <v>0</v>
      </c>
    </row>
    <row r="51" s="5" customFormat="1" customHeight="1" spans="1:22">
      <c r="A51" s="84">
        <v>4</v>
      </c>
      <c r="B51" s="175" t="s">
        <v>1249</v>
      </c>
      <c r="C51" s="175" t="s">
        <v>153</v>
      </c>
      <c r="D51" s="175" t="s">
        <v>1250</v>
      </c>
      <c r="E51" s="25">
        <v>13687914090</v>
      </c>
      <c r="F51" s="175" t="s">
        <v>278</v>
      </c>
      <c r="G51" s="175" t="s">
        <v>28</v>
      </c>
      <c r="H51" s="25">
        <v>202103001</v>
      </c>
      <c r="I51" s="175" t="s">
        <v>279</v>
      </c>
      <c r="J51" s="175" t="s">
        <v>515</v>
      </c>
      <c r="K51" s="175" t="s">
        <v>280</v>
      </c>
      <c r="L51" s="175" t="s">
        <v>170</v>
      </c>
      <c r="M51" s="175" t="s">
        <v>541</v>
      </c>
      <c r="N51" s="175" t="s">
        <v>376</v>
      </c>
      <c r="O51" s="25">
        <v>0</v>
      </c>
      <c r="P51" s="26" t="str">
        <f>_xlfn.DISPIMG("ID_42B7E9B54AA84CB08052198053CBAE81",1)</f>
        <v>=DISPIMG("ID_42B7E9B54AA84CB08052198053CBAE81",1)</v>
      </c>
      <c r="Q51" s="25" t="s">
        <v>1252</v>
      </c>
      <c r="R51" s="25">
        <v>133</v>
      </c>
      <c r="S51" s="40" t="s">
        <v>4348</v>
      </c>
      <c r="T51" s="18" t="s">
        <v>38</v>
      </c>
      <c r="U51" s="25">
        <v>19</v>
      </c>
      <c r="V51" s="84">
        <v>0</v>
      </c>
    </row>
    <row r="52" s="3" customFormat="1" customHeight="1" spans="1:22">
      <c r="A52" s="84">
        <v>9</v>
      </c>
      <c r="B52" s="175" t="s">
        <v>1446</v>
      </c>
      <c r="C52" s="175" t="s">
        <v>165</v>
      </c>
      <c r="D52" s="175" t="s">
        <v>1447</v>
      </c>
      <c r="E52" s="25">
        <v>13970292674</v>
      </c>
      <c r="F52" s="175" t="s">
        <v>278</v>
      </c>
      <c r="G52" s="175" t="s">
        <v>28</v>
      </c>
      <c r="H52" s="25">
        <v>202103001</v>
      </c>
      <c r="I52" s="175" t="s">
        <v>585</v>
      </c>
      <c r="J52" s="175" t="s">
        <v>367</v>
      </c>
      <c r="K52" s="175" t="s">
        <v>280</v>
      </c>
      <c r="L52" s="175" t="s">
        <v>170</v>
      </c>
      <c r="M52" s="175" t="s">
        <v>306</v>
      </c>
      <c r="N52" s="175" t="s">
        <v>1449</v>
      </c>
      <c r="O52" s="175" t="s">
        <v>1450</v>
      </c>
      <c r="P52" s="26" t="str">
        <f>_xlfn.DISPIMG("ID_C58710654847468A83F51047999B3A07",1)</f>
        <v>=DISPIMG("ID_C58710654847468A83F51047999B3A07",1)</v>
      </c>
      <c r="Q52" s="25" t="s">
        <v>1451</v>
      </c>
      <c r="R52" s="25">
        <v>160</v>
      </c>
      <c r="S52" s="40" t="s">
        <v>4353</v>
      </c>
      <c r="T52" s="18" t="s">
        <v>38</v>
      </c>
      <c r="U52" s="25">
        <v>20</v>
      </c>
      <c r="V52" s="84">
        <v>80.5</v>
      </c>
    </row>
    <row r="53" s="3" customFormat="1" customHeight="1" spans="1:22">
      <c r="A53" s="84">
        <v>14</v>
      </c>
      <c r="B53" s="175" t="s">
        <v>1665</v>
      </c>
      <c r="C53" s="175" t="s">
        <v>165</v>
      </c>
      <c r="D53" s="175" t="s">
        <v>1666</v>
      </c>
      <c r="E53" s="25">
        <v>19126781619</v>
      </c>
      <c r="F53" s="175" t="s">
        <v>278</v>
      </c>
      <c r="G53" s="175" t="s">
        <v>28</v>
      </c>
      <c r="H53" s="25">
        <v>202103001</v>
      </c>
      <c r="I53" s="175" t="s">
        <v>585</v>
      </c>
      <c r="J53" s="175" t="s">
        <v>168</v>
      </c>
      <c r="K53" s="175" t="s">
        <v>280</v>
      </c>
      <c r="L53" s="175" t="s">
        <v>170</v>
      </c>
      <c r="M53" s="175" t="s">
        <v>548</v>
      </c>
      <c r="N53" s="175" t="s">
        <v>376</v>
      </c>
      <c r="O53" s="175" t="s">
        <v>1668</v>
      </c>
      <c r="P53" s="26" t="str">
        <f>_xlfn.DISPIMG("ID_B5AB63FC8A81490B8ED2FED7AE302A44",1)</f>
        <v>=DISPIMG("ID_B5AB63FC8A81490B8ED2FED7AE302A44",1)</v>
      </c>
      <c r="Q53" s="25" t="s">
        <v>1669</v>
      </c>
      <c r="R53" s="25">
        <v>188</v>
      </c>
      <c r="S53" s="40" t="s">
        <v>4358</v>
      </c>
      <c r="T53" s="18" t="s">
        <v>38</v>
      </c>
      <c r="U53" s="25">
        <v>21</v>
      </c>
      <c r="V53" s="84">
        <v>69</v>
      </c>
    </row>
    <row r="54" s="3" customFormat="1" customHeight="1" spans="1:22">
      <c r="A54" s="84">
        <v>19</v>
      </c>
      <c r="B54" s="175" t="s">
        <v>1855</v>
      </c>
      <c r="C54" s="175" t="s">
        <v>165</v>
      </c>
      <c r="D54" s="175" t="s">
        <v>1856</v>
      </c>
      <c r="E54" s="25">
        <v>18070128291</v>
      </c>
      <c r="F54" s="175" t="s">
        <v>278</v>
      </c>
      <c r="G54" s="175" t="s">
        <v>28</v>
      </c>
      <c r="H54" s="25">
        <v>202103001</v>
      </c>
      <c r="I54" s="175" t="s">
        <v>279</v>
      </c>
      <c r="J54" s="175" t="s">
        <v>732</v>
      </c>
      <c r="K54" s="175" t="s">
        <v>1489</v>
      </c>
      <c r="L54" s="175" t="s">
        <v>170</v>
      </c>
      <c r="M54" s="175" t="s">
        <v>733</v>
      </c>
      <c r="N54" s="175" t="s">
        <v>517</v>
      </c>
      <c r="O54" s="175" t="s">
        <v>1858</v>
      </c>
      <c r="P54" s="26" t="str">
        <f>_xlfn.DISPIMG("ID_2E8A5FF2C7EA4CF3BCF137C2FDB07272",1)</f>
        <v>=DISPIMG("ID_2E8A5FF2C7EA4CF3BCF137C2FDB07272",1)</v>
      </c>
      <c r="Q54" s="25" t="s">
        <v>1859</v>
      </c>
      <c r="R54" s="25">
        <v>212</v>
      </c>
      <c r="S54" s="40" t="s">
        <v>4363</v>
      </c>
      <c r="T54" s="18" t="s">
        <v>38</v>
      </c>
      <c r="U54" s="25">
        <v>22</v>
      </c>
      <c r="V54" s="85">
        <v>77</v>
      </c>
    </row>
    <row r="55" s="3" customFormat="1" customHeight="1" spans="1:22">
      <c r="A55" s="84">
        <v>24</v>
      </c>
      <c r="B55" s="175" t="s">
        <v>2098</v>
      </c>
      <c r="C55" s="175" t="s">
        <v>165</v>
      </c>
      <c r="D55" s="175" t="s">
        <v>2099</v>
      </c>
      <c r="E55" s="25">
        <v>18070222825</v>
      </c>
      <c r="F55" s="175" t="s">
        <v>278</v>
      </c>
      <c r="G55" s="175" t="s">
        <v>28</v>
      </c>
      <c r="H55" s="25">
        <v>202103001</v>
      </c>
      <c r="I55" s="175" t="s">
        <v>279</v>
      </c>
      <c r="J55" s="175" t="s">
        <v>732</v>
      </c>
      <c r="K55" s="175" t="s">
        <v>169</v>
      </c>
      <c r="L55" s="175" t="s">
        <v>170</v>
      </c>
      <c r="M55" s="175" t="s">
        <v>733</v>
      </c>
      <c r="N55" s="175" t="s">
        <v>517</v>
      </c>
      <c r="O55" s="175" t="s">
        <v>2101</v>
      </c>
      <c r="P55" s="26" t="str">
        <f>_xlfn.DISPIMG("ID_005BE0017F024C98A2D8AF15B9E0DE6A",1)</f>
        <v>=DISPIMG("ID_005BE0017F024C98A2D8AF15B9E0DE6A",1)</v>
      </c>
      <c r="Q55" s="25" t="s">
        <v>2102</v>
      </c>
      <c r="R55" s="25">
        <v>245</v>
      </c>
      <c r="S55" s="40" t="s">
        <v>4368</v>
      </c>
      <c r="T55" s="18" t="s">
        <v>38</v>
      </c>
      <c r="U55" s="25">
        <v>23</v>
      </c>
      <c r="V55" s="84">
        <v>72.5</v>
      </c>
    </row>
    <row r="56" s="3" customFormat="1" customHeight="1" spans="1:22">
      <c r="A56" s="84">
        <v>29</v>
      </c>
      <c r="B56" s="175" t="s">
        <v>2354</v>
      </c>
      <c r="C56" s="175" t="s">
        <v>165</v>
      </c>
      <c r="D56" s="175" t="s">
        <v>2355</v>
      </c>
      <c r="E56" s="25">
        <v>18870202615</v>
      </c>
      <c r="F56" s="175" t="s">
        <v>278</v>
      </c>
      <c r="G56" s="175" t="s">
        <v>28</v>
      </c>
      <c r="H56" s="25">
        <v>202103001</v>
      </c>
      <c r="I56" s="175" t="s">
        <v>279</v>
      </c>
      <c r="J56" s="175" t="s">
        <v>765</v>
      </c>
      <c r="K56" s="175" t="s">
        <v>280</v>
      </c>
      <c r="L56" s="175" t="s">
        <v>170</v>
      </c>
      <c r="M56" s="175" t="s">
        <v>252</v>
      </c>
      <c r="N56" s="175" t="s">
        <v>340</v>
      </c>
      <c r="O56" s="175" t="s">
        <v>2357</v>
      </c>
      <c r="P56" s="26" t="str">
        <f>_xlfn.DISPIMG("ID_1E1BF7CF64ED4C9392E00D748E2CFF78",1)</f>
        <v>=DISPIMG("ID_1E1BF7CF64ED4C9392E00D748E2CFF78",1)</v>
      </c>
      <c r="Q56" s="25" t="s">
        <v>2358</v>
      </c>
      <c r="R56" s="25">
        <v>279</v>
      </c>
      <c r="S56" s="40" t="s">
        <v>4373</v>
      </c>
      <c r="T56" s="18" t="s">
        <v>38</v>
      </c>
      <c r="U56" s="25">
        <v>24</v>
      </c>
      <c r="V56" s="84">
        <v>71.5</v>
      </c>
    </row>
    <row r="57" s="3" customFormat="1" customHeight="1" spans="1:22">
      <c r="A57" s="84">
        <v>30</v>
      </c>
      <c r="B57" s="175" t="s">
        <v>2368</v>
      </c>
      <c r="C57" s="175" t="s">
        <v>165</v>
      </c>
      <c r="D57" s="175" t="s">
        <v>2369</v>
      </c>
      <c r="E57" s="25">
        <v>13870275403</v>
      </c>
      <c r="F57" s="175" t="s">
        <v>278</v>
      </c>
      <c r="G57" s="175" t="s">
        <v>28</v>
      </c>
      <c r="H57" s="25">
        <v>202103001</v>
      </c>
      <c r="I57" s="175" t="s">
        <v>279</v>
      </c>
      <c r="J57" s="175" t="s">
        <v>367</v>
      </c>
      <c r="K57" s="175" t="s">
        <v>960</v>
      </c>
      <c r="L57" s="175" t="s">
        <v>170</v>
      </c>
      <c r="M57" s="175" t="s">
        <v>161</v>
      </c>
      <c r="N57" s="175" t="s">
        <v>2371</v>
      </c>
      <c r="O57" s="175" t="s">
        <v>2372</v>
      </c>
      <c r="P57" s="26" t="str">
        <f>_xlfn.DISPIMG("ID_8367FF7FCE354E85A6B58C07A55F59C4",1)</f>
        <v>=DISPIMG("ID_8367FF7FCE354E85A6B58C07A55F59C4",1)</v>
      </c>
      <c r="Q57" s="25" t="s">
        <v>2373</v>
      </c>
      <c r="R57" s="25">
        <v>281</v>
      </c>
      <c r="S57" s="40" t="s">
        <v>4374</v>
      </c>
      <c r="T57" s="18" t="s">
        <v>38</v>
      </c>
      <c r="U57" s="25">
        <v>25</v>
      </c>
      <c r="V57" s="84">
        <v>81.5</v>
      </c>
    </row>
    <row r="58" s="3" customFormat="1" customHeight="1" spans="1:22">
      <c r="A58" s="84">
        <v>25</v>
      </c>
      <c r="B58" s="175" t="s">
        <v>2226</v>
      </c>
      <c r="C58" s="175" t="s">
        <v>165</v>
      </c>
      <c r="D58" s="175" t="s">
        <v>2227</v>
      </c>
      <c r="E58" s="25">
        <v>15720952167</v>
      </c>
      <c r="F58" s="175" t="s">
        <v>278</v>
      </c>
      <c r="G58" s="175" t="s">
        <v>28</v>
      </c>
      <c r="H58" s="25">
        <v>202103001</v>
      </c>
      <c r="I58" s="175" t="s">
        <v>279</v>
      </c>
      <c r="J58" s="175" t="s">
        <v>2229</v>
      </c>
      <c r="K58" s="175" t="s">
        <v>280</v>
      </c>
      <c r="L58" s="175" t="s">
        <v>170</v>
      </c>
      <c r="M58" s="175" t="s">
        <v>161</v>
      </c>
      <c r="N58" s="175" t="s">
        <v>517</v>
      </c>
      <c r="O58" s="25">
        <v>0</v>
      </c>
      <c r="P58" s="26" t="str">
        <f>_xlfn.DISPIMG("ID_D66F2E0905214E97988618639B1556CA",1)</f>
        <v>=DISPIMG("ID_D66F2E0905214E97988618639B1556CA",1)</v>
      </c>
      <c r="Q58" s="25" t="s">
        <v>2230</v>
      </c>
      <c r="R58" s="25">
        <v>262</v>
      </c>
      <c r="S58" s="40" t="s">
        <v>4369</v>
      </c>
      <c r="T58" s="18" t="s">
        <v>38</v>
      </c>
      <c r="U58" s="25">
        <v>26</v>
      </c>
      <c r="V58" s="84">
        <v>69.5</v>
      </c>
    </row>
    <row r="59" s="3" customFormat="1" customHeight="1" spans="1:22">
      <c r="A59" s="84">
        <v>20</v>
      </c>
      <c r="B59" s="175" t="s">
        <v>1919</v>
      </c>
      <c r="C59" s="175" t="s">
        <v>153</v>
      </c>
      <c r="D59" s="175" t="s">
        <v>1920</v>
      </c>
      <c r="E59" s="25">
        <v>18046826639</v>
      </c>
      <c r="F59" s="175" t="s">
        <v>278</v>
      </c>
      <c r="G59" s="175" t="s">
        <v>28</v>
      </c>
      <c r="H59" s="25">
        <v>202103001</v>
      </c>
      <c r="I59" s="175" t="s">
        <v>279</v>
      </c>
      <c r="J59" s="175" t="s">
        <v>765</v>
      </c>
      <c r="K59" s="175" t="s">
        <v>280</v>
      </c>
      <c r="L59" s="175" t="s">
        <v>170</v>
      </c>
      <c r="M59" s="175" t="s">
        <v>455</v>
      </c>
      <c r="N59" s="175" t="s">
        <v>376</v>
      </c>
      <c r="O59" s="25">
        <v>0</v>
      </c>
      <c r="P59" s="26" t="str">
        <f>_xlfn.DISPIMG("ID_A79FF9B64919489DB578A9ECC96B1C96",1)</f>
        <v>=DISPIMG("ID_A79FF9B64919489DB578A9ECC96B1C96",1)</v>
      </c>
      <c r="Q59" s="25" t="s">
        <v>1922</v>
      </c>
      <c r="R59" s="25">
        <v>221</v>
      </c>
      <c r="S59" s="40" t="s">
        <v>4364</v>
      </c>
      <c r="T59" s="18" t="s">
        <v>38</v>
      </c>
      <c r="U59" s="25">
        <v>27</v>
      </c>
      <c r="V59" s="84">
        <v>67</v>
      </c>
    </row>
    <row r="60" s="3" customFormat="1" customHeight="1" spans="1:22">
      <c r="A60" s="84">
        <v>15</v>
      </c>
      <c r="B60" s="175" t="s">
        <v>1681</v>
      </c>
      <c r="C60" s="175" t="s">
        <v>165</v>
      </c>
      <c r="D60" s="175" t="s">
        <v>1682</v>
      </c>
      <c r="E60" s="25">
        <v>15707021172</v>
      </c>
      <c r="F60" s="175" t="s">
        <v>278</v>
      </c>
      <c r="G60" s="175" t="s">
        <v>28</v>
      </c>
      <c r="H60" s="25">
        <v>202103001</v>
      </c>
      <c r="I60" s="175" t="s">
        <v>279</v>
      </c>
      <c r="J60" s="175" t="s">
        <v>367</v>
      </c>
      <c r="K60" s="175" t="s">
        <v>1684</v>
      </c>
      <c r="L60" s="175" t="s">
        <v>170</v>
      </c>
      <c r="M60" s="175" t="s">
        <v>368</v>
      </c>
      <c r="N60" s="175" t="s">
        <v>376</v>
      </c>
      <c r="O60" s="175" t="s">
        <v>1685</v>
      </c>
      <c r="P60" s="26" t="str">
        <f>_xlfn.DISPIMG("ID_F515C4DE5D464F10B51159D5558C7D1A",1)</f>
        <v>=DISPIMG("ID_F515C4DE5D464F10B51159D5558C7D1A",1)</v>
      </c>
      <c r="Q60" s="25" t="s">
        <v>1686</v>
      </c>
      <c r="R60" s="25">
        <v>190</v>
      </c>
      <c r="S60" s="40" t="s">
        <v>4359</v>
      </c>
      <c r="T60" s="18" t="s">
        <v>38</v>
      </c>
      <c r="U60" s="25">
        <v>28</v>
      </c>
      <c r="V60" s="84">
        <v>82</v>
      </c>
    </row>
    <row r="61" s="3" customFormat="1" customHeight="1" spans="1:22">
      <c r="A61" s="84">
        <v>10</v>
      </c>
      <c r="B61" s="175" t="s">
        <v>1454</v>
      </c>
      <c r="C61" s="175" t="s">
        <v>165</v>
      </c>
      <c r="D61" s="175" t="s">
        <v>1455</v>
      </c>
      <c r="E61" s="25">
        <v>15679261175</v>
      </c>
      <c r="F61" s="175" t="s">
        <v>278</v>
      </c>
      <c r="G61" s="175" t="s">
        <v>28</v>
      </c>
      <c r="H61" s="25">
        <v>202103001</v>
      </c>
      <c r="I61" s="175" t="s">
        <v>157</v>
      </c>
      <c r="J61" s="175" t="s">
        <v>1457</v>
      </c>
      <c r="K61" s="175" t="s">
        <v>280</v>
      </c>
      <c r="L61" s="175" t="s">
        <v>160</v>
      </c>
      <c r="M61" s="175" t="s">
        <v>368</v>
      </c>
      <c r="N61" s="175" t="s">
        <v>1458</v>
      </c>
      <c r="O61" s="175" t="s">
        <v>1459</v>
      </c>
      <c r="P61" s="26" t="str">
        <f>_xlfn.DISPIMG("ID_B3F35F8B340047F693855C9AE3461262",1)</f>
        <v>=DISPIMG("ID_B3F35F8B340047F693855C9AE3461262",1)</v>
      </c>
      <c r="Q61" s="25" t="s">
        <v>1460</v>
      </c>
      <c r="R61" s="25">
        <v>161</v>
      </c>
      <c r="S61" s="40" t="s">
        <v>4354</v>
      </c>
      <c r="T61" s="18" t="s">
        <v>38</v>
      </c>
      <c r="U61" s="25">
        <v>29</v>
      </c>
      <c r="V61" s="84">
        <v>0</v>
      </c>
    </row>
    <row r="62" s="3" customFormat="1" customHeight="1" spans="1:22">
      <c r="A62" s="84">
        <v>5</v>
      </c>
      <c r="B62" s="175" t="s">
        <v>1280</v>
      </c>
      <c r="C62" s="175" t="s">
        <v>165</v>
      </c>
      <c r="D62" s="175" t="s">
        <v>1281</v>
      </c>
      <c r="E62" s="25">
        <v>15779415003</v>
      </c>
      <c r="F62" s="175" t="s">
        <v>278</v>
      </c>
      <c r="G62" s="175" t="s">
        <v>28</v>
      </c>
      <c r="H62" s="25">
        <v>202103001</v>
      </c>
      <c r="I62" s="175" t="s">
        <v>279</v>
      </c>
      <c r="J62" s="175" t="s">
        <v>367</v>
      </c>
      <c r="K62" s="175" t="s">
        <v>280</v>
      </c>
      <c r="L62" s="175" t="s">
        <v>170</v>
      </c>
      <c r="M62" s="175" t="s">
        <v>368</v>
      </c>
      <c r="N62" s="175" t="s">
        <v>340</v>
      </c>
      <c r="O62" s="175" t="s">
        <v>1283</v>
      </c>
      <c r="P62" s="26" t="str">
        <f>_xlfn.DISPIMG("ID_7CFB1AF7BB454AE0866D54E1D87E03E1",1)</f>
        <v>=DISPIMG("ID_7CFB1AF7BB454AE0866D54E1D87E03E1",1)</v>
      </c>
      <c r="Q62" s="25" t="s">
        <v>1284</v>
      </c>
      <c r="R62" s="25">
        <v>138</v>
      </c>
      <c r="S62" s="40" t="s">
        <v>4349</v>
      </c>
      <c r="T62" s="18" t="s">
        <v>38</v>
      </c>
      <c r="U62" s="25">
        <v>30</v>
      </c>
      <c r="V62" s="84">
        <v>83.5</v>
      </c>
    </row>
    <row r="63" s="3" customFormat="1" customHeight="1" spans="1:22">
      <c r="A63" s="84">
        <v>26</v>
      </c>
      <c r="B63" s="175" t="s">
        <v>3320</v>
      </c>
      <c r="C63" s="175" t="s">
        <v>165</v>
      </c>
      <c r="D63" s="175" t="s">
        <v>3321</v>
      </c>
      <c r="E63" s="25">
        <v>13979205561</v>
      </c>
      <c r="F63" s="175" t="s">
        <v>278</v>
      </c>
      <c r="G63" s="175" t="s">
        <v>28</v>
      </c>
      <c r="H63" s="25">
        <v>202103001</v>
      </c>
      <c r="I63" s="175" t="s">
        <v>585</v>
      </c>
      <c r="J63" s="175" t="s">
        <v>168</v>
      </c>
      <c r="K63" s="175" t="s">
        <v>280</v>
      </c>
      <c r="L63" s="175" t="s">
        <v>170</v>
      </c>
      <c r="M63" s="175" t="s">
        <v>2047</v>
      </c>
      <c r="N63" s="175" t="s">
        <v>340</v>
      </c>
      <c r="O63" s="175" t="s">
        <v>3322</v>
      </c>
      <c r="P63" s="26" t="str">
        <f>_xlfn.DISPIMG("ID_98A98A82D5AD4E03ADF0E8FE54980276",1)</f>
        <v>=DISPIMG("ID_98A98A82D5AD4E03ADF0E8FE54980276",1)</v>
      </c>
      <c r="Q63" s="25" t="s">
        <v>3323</v>
      </c>
      <c r="R63" s="25">
        <v>417</v>
      </c>
      <c r="S63" s="40" t="s">
        <v>4400</v>
      </c>
      <c r="T63" s="18" t="s">
        <v>39</v>
      </c>
      <c r="U63" s="25">
        <v>1</v>
      </c>
      <c r="V63" s="84">
        <v>75</v>
      </c>
    </row>
    <row r="64" s="3" customFormat="1" customHeight="1" spans="1:22">
      <c r="A64" s="84">
        <v>21</v>
      </c>
      <c r="B64" s="175" t="s">
        <v>1429</v>
      </c>
      <c r="C64" s="175" t="s">
        <v>165</v>
      </c>
      <c r="D64" s="175" t="s">
        <v>1430</v>
      </c>
      <c r="E64" s="25">
        <v>15779219115</v>
      </c>
      <c r="F64" s="175" t="s">
        <v>278</v>
      </c>
      <c r="G64" s="175" t="s">
        <v>28</v>
      </c>
      <c r="H64" s="25">
        <v>202103001</v>
      </c>
      <c r="I64" s="175" t="s">
        <v>279</v>
      </c>
      <c r="J64" s="175" t="s">
        <v>1432</v>
      </c>
      <c r="K64" s="175" t="s">
        <v>1433</v>
      </c>
      <c r="L64" s="175" t="s">
        <v>170</v>
      </c>
      <c r="M64" s="175" t="s">
        <v>261</v>
      </c>
      <c r="N64" s="175" t="s">
        <v>1013</v>
      </c>
      <c r="O64" s="175" t="s">
        <v>1435</v>
      </c>
      <c r="P64" s="26" t="str">
        <f>_xlfn.DISPIMG("ID_2AA0C0867EDA4E25AC1B455524935955",1)</f>
        <v>=DISPIMG("ID_2AA0C0867EDA4E25AC1B455524935955",1)</v>
      </c>
      <c r="Q64" s="25" t="s">
        <v>1436</v>
      </c>
      <c r="R64" s="25">
        <v>391</v>
      </c>
      <c r="S64" s="40" t="s">
        <v>4395</v>
      </c>
      <c r="T64" s="18" t="s">
        <v>39</v>
      </c>
      <c r="U64" s="25">
        <v>2</v>
      </c>
      <c r="V64" s="84">
        <v>65</v>
      </c>
    </row>
    <row r="65" s="3" customFormat="1" customHeight="1" spans="1:22">
      <c r="A65" s="84">
        <v>16</v>
      </c>
      <c r="B65" s="175" t="s">
        <v>2887</v>
      </c>
      <c r="C65" s="175" t="s">
        <v>165</v>
      </c>
      <c r="D65" s="175" t="s">
        <v>2888</v>
      </c>
      <c r="E65" s="25">
        <v>15879243291</v>
      </c>
      <c r="F65" s="175" t="s">
        <v>278</v>
      </c>
      <c r="G65" s="175" t="s">
        <v>28</v>
      </c>
      <c r="H65" s="25">
        <v>202103001</v>
      </c>
      <c r="I65" s="175" t="s">
        <v>279</v>
      </c>
      <c r="J65" s="175" t="s">
        <v>2890</v>
      </c>
      <c r="K65" s="175" t="s">
        <v>280</v>
      </c>
      <c r="L65" s="175" t="s">
        <v>170</v>
      </c>
      <c r="M65" s="175" t="s">
        <v>261</v>
      </c>
      <c r="N65" s="175" t="s">
        <v>2462</v>
      </c>
      <c r="O65" s="175" t="s">
        <v>2891</v>
      </c>
      <c r="P65" s="26" t="str">
        <f>_xlfn.DISPIMG("ID_0C2059A8D9A84C38B1CE4EFB24FA358E",1)</f>
        <v>=DISPIMG("ID_0C2059A8D9A84C38B1CE4EFB24FA358E",1)</v>
      </c>
      <c r="Q65" s="25" t="s">
        <v>2892</v>
      </c>
      <c r="R65" s="25">
        <v>351</v>
      </c>
      <c r="S65" s="40" t="s">
        <v>4390</v>
      </c>
      <c r="T65" s="18" t="s">
        <v>39</v>
      </c>
      <c r="U65" s="25">
        <v>3</v>
      </c>
      <c r="V65" s="84">
        <v>0</v>
      </c>
    </row>
    <row r="66" s="3" customFormat="1" customHeight="1" spans="1:22">
      <c r="A66" s="84">
        <v>11</v>
      </c>
      <c r="B66" s="175" t="s">
        <v>2746</v>
      </c>
      <c r="C66" s="175" t="s">
        <v>165</v>
      </c>
      <c r="D66" s="175" t="s">
        <v>2747</v>
      </c>
      <c r="E66" s="25">
        <v>13479871563</v>
      </c>
      <c r="F66" s="175" t="s">
        <v>278</v>
      </c>
      <c r="G66" s="175" t="s">
        <v>28</v>
      </c>
      <c r="H66" s="25">
        <v>202103001</v>
      </c>
      <c r="I66" s="175" t="s">
        <v>279</v>
      </c>
      <c r="J66" s="175" t="s">
        <v>1432</v>
      </c>
      <c r="K66" s="175" t="s">
        <v>280</v>
      </c>
      <c r="L66" s="175" t="s">
        <v>170</v>
      </c>
      <c r="M66" s="175" t="s">
        <v>2221</v>
      </c>
      <c r="N66" s="175" t="s">
        <v>340</v>
      </c>
      <c r="O66" s="175" t="s">
        <v>2749</v>
      </c>
      <c r="P66" s="26" t="str">
        <f>_xlfn.DISPIMG("ID_88F87A068C9F46F1A08F32919B53F4F3",1)</f>
        <v>=DISPIMG("ID_88F87A068C9F46F1A08F32919B53F4F3",1)</v>
      </c>
      <c r="Q66" s="25" t="s">
        <v>2750</v>
      </c>
      <c r="R66" s="25">
        <v>332</v>
      </c>
      <c r="S66" s="40" t="s">
        <v>4385</v>
      </c>
      <c r="T66" s="18" t="s">
        <v>39</v>
      </c>
      <c r="U66" s="25">
        <v>4</v>
      </c>
      <c r="V66" s="84">
        <v>68</v>
      </c>
    </row>
    <row r="67" s="3" customFormat="1" customHeight="1" spans="1:22">
      <c r="A67" s="84">
        <v>6</v>
      </c>
      <c r="B67" s="175" t="s">
        <v>2615</v>
      </c>
      <c r="C67" s="175" t="s">
        <v>165</v>
      </c>
      <c r="D67" s="175" t="s">
        <v>2616</v>
      </c>
      <c r="E67" s="25">
        <v>18779299651</v>
      </c>
      <c r="F67" s="175" t="s">
        <v>278</v>
      </c>
      <c r="G67" s="175" t="s">
        <v>28</v>
      </c>
      <c r="H67" s="25">
        <v>202103001</v>
      </c>
      <c r="I67" s="175" t="s">
        <v>585</v>
      </c>
      <c r="J67" s="175" t="s">
        <v>367</v>
      </c>
      <c r="K67" s="175" t="s">
        <v>280</v>
      </c>
      <c r="L67" s="175" t="s">
        <v>170</v>
      </c>
      <c r="M67" s="175" t="s">
        <v>306</v>
      </c>
      <c r="N67" s="175" t="s">
        <v>585</v>
      </c>
      <c r="O67" s="175" t="s">
        <v>2617</v>
      </c>
      <c r="P67" s="26" t="str">
        <f>_xlfn.DISPIMG("ID_D88361D0AC4F40C29B491840D8C35568",1)</f>
        <v>=DISPIMG("ID_D88361D0AC4F40C29B491840D8C35568",1)</v>
      </c>
      <c r="Q67" s="25" t="s">
        <v>2618</v>
      </c>
      <c r="R67" s="25">
        <v>314</v>
      </c>
      <c r="S67" s="40" t="s">
        <v>4380</v>
      </c>
      <c r="T67" s="18" t="s">
        <v>39</v>
      </c>
      <c r="U67" s="25">
        <v>5</v>
      </c>
      <c r="V67" s="84">
        <v>66</v>
      </c>
    </row>
    <row r="68" s="3" customFormat="1" customHeight="1" spans="1:22">
      <c r="A68" s="84">
        <v>1</v>
      </c>
      <c r="B68" s="175" t="s">
        <v>2384</v>
      </c>
      <c r="C68" s="175" t="s">
        <v>165</v>
      </c>
      <c r="D68" s="175" t="s">
        <v>2385</v>
      </c>
      <c r="E68" s="25">
        <v>18779249182</v>
      </c>
      <c r="F68" s="175" t="s">
        <v>278</v>
      </c>
      <c r="G68" s="175" t="s">
        <v>28</v>
      </c>
      <c r="H68" s="25">
        <v>202103001</v>
      </c>
      <c r="I68" s="175" t="s">
        <v>279</v>
      </c>
      <c r="J68" s="175" t="s">
        <v>178</v>
      </c>
      <c r="K68" s="175" t="s">
        <v>280</v>
      </c>
      <c r="L68" s="175" t="s">
        <v>170</v>
      </c>
      <c r="M68" s="175" t="s">
        <v>548</v>
      </c>
      <c r="N68" s="175" t="s">
        <v>517</v>
      </c>
      <c r="O68" s="175" t="s">
        <v>2387</v>
      </c>
      <c r="P68" s="26" t="str">
        <f>_xlfn.DISPIMG("ID_8CF817D3A8834773857DA1D47188BF1C",1)</f>
        <v>=DISPIMG("ID_8CF817D3A8834773857DA1D47188BF1C",1)</v>
      </c>
      <c r="Q68" s="25" t="s">
        <v>2388</v>
      </c>
      <c r="R68" s="25">
        <v>283</v>
      </c>
      <c r="S68" s="40" t="s">
        <v>4375</v>
      </c>
      <c r="T68" s="18" t="s">
        <v>39</v>
      </c>
      <c r="U68" s="25">
        <v>6</v>
      </c>
      <c r="V68" s="84">
        <v>80</v>
      </c>
    </row>
    <row r="69" s="3" customFormat="1" customHeight="1" spans="1:22">
      <c r="A69" s="84">
        <v>2</v>
      </c>
      <c r="B69" s="175" t="s">
        <v>2445</v>
      </c>
      <c r="C69" s="175" t="s">
        <v>165</v>
      </c>
      <c r="D69" s="175" t="s">
        <v>2446</v>
      </c>
      <c r="E69" s="25">
        <v>15270593089</v>
      </c>
      <c r="F69" s="175" t="s">
        <v>278</v>
      </c>
      <c r="G69" s="175" t="s">
        <v>28</v>
      </c>
      <c r="H69" s="25">
        <v>202103001</v>
      </c>
      <c r="I69" s="175" t="s">
        <v>279</v>
      </c>
      <c r="J69" s="175" t="s">
        <v>367</v>
      </c>
      <c r="K69" s="175" t="s">
        <v>280</v>
      </c>
      <c r="L69" s="175" t="s">
        <v>170</v>
      </c>
      <c r="M69" s="175" t="s">
        <v>161</v>
      </c>
      <c r="N69" s="175" t="s">
        <v>517</v>
      </c>
      <c r="O69" s="175" t="s">
        <v>2448</v>
      </c>
      <c r="P69" s="26" t="str">
        <f>_xlfn.DISPIMG("ID_5A60F5CEF6FD4D2AB2A12133308D2C7D",1)</f>
        <v>=DISPIMG("ID_5A60F5CEF6FD4D2AB2A12133308D2C7D",1)</v>
      </c>
      <c r="Q69" s="25" t="s">
        <v>2449</v>
      </c>
      <c r="R69" s="25">
        <v>291</v>
      </c>
      <c r="S69" s="40" t="s">
        <v>4376</v>
      </c>
      <c r="T69" s="18" t="s">
        <v>39</v>
      </c>
      <c r="U69" s="25">
        <v>7</v>
      </c>
      <c r="V69" s="84">
        <v>0</v>
      </c>
    </row>
    <row r="70" s="3" customFormat="1" customHeight="1" spans="1:22">
      <c r="A70" s="84">
        <v>7</v>
      </c>
      <c r="B70" s="175" t="s">
        <v>2651</v>
      </c>
      <c r="C70" s="175" t="s">
        <v>165</v>
      </c>
      <c r="D70" s="175" t="s">
        <v>2652</v>
      </c>
      <c r="E70" s="25">
        <v>18779275146</v>
      </c>
      <c r="F70" s="175" t="s">
        <v>278</v>
      </c>
      <c r="G70" s="175" t="s">
        <v>28</v>
      </c>
      <c r="H70" s="25">
        <v>202103001</v>
      </c>
      <c r="I70" s="175" t="s">
        <v>279</v>
      </c>
      <c r="J70" s="175" t="s">
        <v>367</v>
      </c>
      <c r="K70" s="175" t="s">
        <v>960</v>
      </c>
      <c r="L70" s="175" t="s">
        <v>170</v>
      </c>
      <c r="M70" s="175" t="s">
        <v>261</v>
      </c>
      <c r="N70" s="175" t="s">
        <v>2654</v>
      </c>
      <c r="O70" s="175" t="s">
        <v>2655</v>
      </c>
      <c r="P70" s="26" t="str">
        <f>_xlfn.DISPIMG("ID_1078F268CB1D42879EB5D176263AD754",1)</f>
        <v>=DISPIMG("ID_1078F268CB1D42879EB5D176263AD754",1)</v>
      </c>
      <c r="Q70" s="25" t="s">
        <v>2656</v>
      </c>
      <c r="R70" s="25">
        <v>319</v>
      </c>
      <c r="S70" s="40" t="s">
        <v>4381</v>
      </c>
      <c r="T70" s="18" t="s">
        <v>39</v>
      </c>
      <c r="U70" s="25">
        <v>8</v>
      </c>
      <c r="V70" s="84">
        <v>66.5</v>
      </c>
    </row>
    <row r="71" s="3" customFormat="1" customHeight="1" spans="1:22">
      <c r="A71" s="84">
        <v>12</v>
      </c>
      <c r="B71" s="175" t="s">
        <v>2796</v>
      </c>
      <c r="C71" s="175" t="s">
        <v>165</v>
      </c>
      <c r="D71" s="175" t="s">
        <v>2797</v>
      </c>
      <c r="E71" s="25">
        <v>15079245341</v>
      </c>
      <c r="F71" s="175" t="s">
        <v>278</v>
      </c>
      <c r="G71" s="175" t="s">
        <v>28</v>
      </c>
      <c r="H71" s="25">
        <v>202103001</v>
      </c>
      <c r="I71" s="175" t="s">
        <v>279</v>
      </c>
      <c r="J71" s="175" t="s">
        <v>2799</v>
      </c>
      <c r="K71" s="175" t="s">
        <v>1489</v>
      </c>
      <c r="L71" s="175" t="s">
        <v>170</v>
      </c>
      <c r="M71" s="175" t="s">
        <v>2800</v>
      </c>
      <c r="N71" s="175" t="s">
        <v>28</v>
      </c>
      <c r="O71" s="175" t="s">
        <v>2801</v>
      </c>
      <c r="P71" s="26" t="str">
        <f>_xlfn.DISPIMG("ID_CE28F2C62DED40E5A2B6EB31752867C6",1)</f>
        <v>=DISPIMG("ID_CE28F2C62DED40E5A2B6EB31752867C6",1)</v>
      </c>
      <c r="Q71" s="25" t="s">
        <v>2802</v>
      </c>
      <c r="R71" s="25">
        <v>339</v>
      </c>
      <c r="S71" s="40" t="s">
        <v>4386</v>
      </c>
      <c r="T71" s="18" t="s">
        <v>39</v>
      </c>
      <c r="U71" s="25">
        <v>9</v>
      </c>
      <c r="V71" s="84">
        <v>47</v>
      </c>
    </row>
    <row r="72" s="3" customFormat="1" customHeight="1" spans="1:22">
      <c r="A72" s="84">
        <v>17</v>
      </c>
      <c r="B72" s="175" t="s">
        <v>2908</v>
      </c>
      <c r="C72" s="175" t="s">
        <v>165</v>
      </c>
      <c r="D72" s="175" t="s">
        <v>2909</v>
      </c>
      <c r="E72" s="25">
        <v>15180608812</v>
      </c>
      <c r="F72" s="175" t="s">
        <v>278</v>
      </c>
      <c r="G72" s="175" t="s">
        <v>28</v>
      </c>
      <c r="H72" s="25">
        <v>202103001</v>
      </c>
      <c r="I72" s="175" t="s">
        <v>279</v>
      </c>
      <c r="J72" s="175" t="s">
        <v>732</v>
      </c>
      <c r="K72" s="175" t="s">
        <v>280</v>
      </c>
      <c r="L72" s="175" t="s">
        <v>170</v>
      </c>
      <c r="M72" s="175" t="s">
        <v>216</v>
      </c>
      <c r="N72" s="175" t="s">
        <v>340</v>
      </c>
      <c r="O72" s="175" t="s">
        <v>2911</v>
      </c>
      <c r="P72" s="26" t="str">
        <f>_xlfn.DISPIMG("ID_2372D216C4084B2F90A1624776C89F44",1)</f>
        <v>=DISPIMG("ID_2372D216C4084B2F90A1624776C89F44",1)</v>
      </c>
      <c r="Q72" s="25" t="s">
        <v>2912</v>
      </c>
      <c r="R72" s="25">
        <v>354</v>
      </c>
      <c r="S72" s="40" t="s">
        <v>4391</v>
      </c>
      <c r="T72" s="18" t="s">
        <v>39</v>
      </c>
      <c r="U72" s="25">
        <v>10</v>
      </c>
      <c r="V72" s="84">
        <v>81</v>
      </c>
    </row>
    <row r="73" s="3" customFormat="1" customHeight="1" spans="1:22">
      <c r="A73" s="84">
        <v>22</v>
      </c>
      <c r="B73" s="175" t="s">
        <v>3172</v>
      </c>
      <c r="C73" s="175" t="s">
        <v>165</v>
      </c>
      <c r="D73" s="175" t="s">
        <v>3173</v>
      </c>
      <c r="E73" s="25">
        <v>18970280941</v>
      </c>
      <c r="F73" s="175" t="s">
        <v>278</v>
      </c>
      <c r="G73" s="175" t="s">
        <v>28</v>
      </c>
      <c r="H73" s="25">
        <v>202103001</v>
      </c>
      <c r="I73" s="175" t="s">
        <v>585</v>
      </c>
      <c r="J73" s="175" t="s">
        <v>3174</v>
      </c>
      <c r="K73" s="175" t="s">
        <v>586</v>
      </c>
      <c r="L73" s="175" t="s">
        <v>170</v>
      </c>
      <c r="M73" s="175" t="s">
        <v>3039</v>
      </c>
      <c r="N73" s="175" t="s">
        <v>340</v>
      </c>
      <c r="O73" s="175" t="s">
        <v>3175</v>
      </c>
      <c r="P73" s="26" t="str">
        <f>_xlfn.DISPIMG("ID_0094E289D6FF483F911D447623CD2A7B",1)</f>
        <v>=DISPIMG("ID_0094E289D6FF483F911D447623CD2A7B",1)</v>
      </c>
      <c r="Q73" s="25" t="s">
        <v>3176</v>
      </c>
      <c r="R73" s="25">
        <v>394</v>
      </c>
      <c r="S73" s="40" t="s">
        <v>4396</v>
      </c>
      <c r="T73" s="18" t="s">
        <v>39</v>
      </c>
      <c r="U73" s="25">
        <v>11</v>
      </c>
      <c r="V73" s="84">
        <v>0</v>
      </c>
    </row>
    <row r="74" s="3" customFormat="1" customHeight="1" spans="1:22">
      <c r="A74" s="84">
        <v>27</v>
      </c>
      <c r="B74" s="175" t="s">
        <v>3326</v>
      </c>
      <c r="C74" s="175" t="s">
        <v>165</v>
      </c>
      <c r="D74" s="175" t="s">
        <v>3327</v>
      </c>
      <c r="E74" s="25">
        <v>15979970756</v>
      </c>
      <c r="F74" s="175" t="s">
        <v>278</v>
      </c>
      <c r="G74" s="175" t="s">
        <v>28</v>
      </c>
      <c r="H74" s="25">
        <v>202103001</v>
      </c>
      <c r="I74" s="175" t="s">
        <v>279</v>
      </c>
      <c r="J74" s="175" t="s">
        <v>3329</v>
      </c>
      <c r="K74" s="175" t="s">
        <v>280</v>
      </c>
      <c r="L74" s="175" t="s">
        <v>170</v>
      </c>
      <c r="M74" s="175" t="s">
        <v>368</v>
      </c>
      <c r="N74" s="175" t="s">
        <v>376</v>
      </c>
      <c r="O74" s="175" t="s">
        <v>3330</v>
      </c>
      <c r="P74" s="26" t="str">
        <f>_xlfn.DISPIMG("ID_35E61F5727C7442282FC0637F60D57FC",1)</f>
        <v>=DISPIMG("ID_35E61F5727C7442282FC0637F60D57FC",1)</v>
      </c>
      <c r="Q74" s="25" t="s">
        <v>3331</v>
      </c>
      <c r="R74" s="25">
        <v>418</v>
      </c>
      <c r="S74" s="40" t="s">
        <v>4401</v>
      </c>
      <c r="T74" s="18" t="s">
        <v>39</v>
      </c>
      <c r="U74" s="25">
        <v>12</v>
      </c>
      <c r="V74" s="70">
        <v>64</v>
      </c>
    </row>
    <row r="75" s="3" customFormat="1" customHeight="1" spans="1:22">
      <c r="A75" s="84">
        <v>28</v>
      </c>
      <c r="B75" s="175" t="s">
        <v>2682</v>
      </c>
      <c r="C75" s="175" t="s">
        <v>165</v>
      </c>
      <c r="D75" s="175" t="s">
        <v>2683</v>
      </c>
      <c r="E75" s="25">
        <v>18079206353</v>
      </c>
      <c r="F75" s="175" t="s">
        <v>278</v>
      </c>
      <c r="G75" s="175" t="s">
        <v>28</v>
      </c>
      <c r="H75" s="25">
        <v>202103001</v>
      </c>
      <c r="I75" s="175" t="s">
        <v>585</v>
      </c>
      <c r="J75" s="175" t="s">
        <v>367</v>
      </c>
      <c r="K75" s="175" t="s">
        <v>586</v>
      </c>
      <c r="L75" s="175" t="s">
        <v>170</v>
      </c>
      <c r="M75" s="175" t="s">
        <v>2685</v>
      </c>
      <c r="N75" s="175" t="s">
        <v>2686</v>
      </c>
      <c r="O75" s="175" t="s">
        <v>2687</v>
      </c>
      <c r="P75" s="26" t="str">
        <f>_xlfn.DISPIMG("ID_5B48971EF1B54F2AA5263A5C67E87781",1)</f>
        <v>=DISPIMG("ID_5B48971EF1B54F2AA5263A5C67E87781",1)</v>
      </c>
      <c r="Q75" s="25" t="s">
        <v>2688</v>
      </c>
      <c r="R75" s="25">
        <v>419</v>
      </c>
      <c r="S75" s="40" t="s">
        <v>4402</v>
      </c>
      <c r="T75" s="18" t="s">
        <v>39</v>
      </c>
      <c r="U75" s="25">
        <v>13</v>
      </c>
      <c r="V75" s="84">
        <v>74</v>
      </c>
    </row>
    <row r="76" s="3" customFormat="1" customHeight="1" spans="1:22">
      <c r="A76" s="84">
        <v>23</v>
      </c>
      <c r="B76" s="175" t="s">
        <v>3234</v>
      </c>
      <c r="C76" s="175" t="s">
        <v>165</v>
      </c>
      <c r="D76" s="175" t="s">
        <v>3235</v>
      </c>
      <c r="E76" s="25">
        <v>15083801983</v>
      </c>
      <c r="F76" s="175" t="s">
        <v>278</v>
      </c>
      <c r="G76" s="175" t="s">
        <v>28</v>
      </c>
      <c r="H76" s="25">
        <v>202103001</v>
      </c>
      <c r="I76" s="175" t="s">
        <v>279</v>
      </c>
      <c r="J76" s="175" t="s">
        <v>339</v>
      </c>
      <c r="K76" s="175" t="s">
        <v>960</v>
      </c>
      <c r="L76" s="175" t="s">
        <v>170</v>
      </c>
      <c r="M76" s="175" t="s">
        <v>2935</v>
      </c>
      <c r="N76" s="175" t="s">
        <v>376</v>
      </c>
      <c r="O76" s="175" t="s">
        <v>3237</v>
      </c>
      <c r="P76" s="26" t="str">
        <f>_xlfn.DISPIMG("ID_6E77F2441F654B1DACC44E4FDEC025B1",1)</f>
        <v>=DISPIMG("ID_6E77F2441F654B1DACC44E4FDEC025B1",1)</v>
      </c>
      <c r="Q76" s="25" t="s">
        <v>3238</v>
      </c>
      <c r="R76" s="25">
        <v>403</v>
      </c>
      <c r="S76" s="40" t="s">
        <v>4397</v>
      </c>
      <c r="T76" s="18" t="s">
        <v>39</v>
      </c>
      <c r="U76" s="25">
        <v>14</v>
      </c>
      <c r="V76" s="84">
        <v>71</v>
      </c>
    </row>
    <row r="77" s="3" customFormat="1" customHeight="1" spans="1:22">
      <c r="A77" s="84">
        <v>18</v>
      </c>
      <c r="B77" s="175" t="s">
        <v>3015</v>
      </c>
      <c r="C77" s="175" t="s">
        <v>165</v>
      </c>
      <c r="D77" s="175" t="s">
        <v>3016</v>
      </c>
      <c r="E77" s="25">
        <v>15779237225</v>
      </c>
      <c r="F77" s="175" t="s">
        <v>278</v>
      </c>
      <c r="G77" s="175" t="s">
        <v>28</v>
      </c>
      <c r="H77" s="25">
        <v>202103001</v>
      </c>
      <c r="I77" s="175" t="s">
        <v>585</v>
      </c>
      <c r="J77" s="175" t="s">
        <v>3018</v>
      </c>
      <c r="K77" s="175" t="s">
        <v>586</v>
      </c>
      <c r="L77" s="175" t="s">
        <v>170</v>
      </c>
      <c r="M77" s="175" t="s">
        <v>1346</v>
      </c>
      <c r="N77" s="175" t="s">
        <v>340</v>
      </c>
      <c r="O77" s="175" t="s">
        <v>3019</v>
      </c>
      <c r="P77" s="26" t="str">
        <f>_xlfn.DISPIMG("ID_5D71807FA9B14D55B579AC354805CDFB",1)</f>
        <v>=DISPIMG("ID_5D71807FA9B14D55B579AC354805CDFB",1)</v>
      </c>
      <c r="Q77" s="25" t="s">
        <v>3020</v>
      </c>
      <c r="R77" s="25">
        <v>372</v>
      </c>
      <c r="S77" s="40" t="s">
        <v>4392</v>
      </c>
      <c r="T77" s="18" t="s">
        <v>39</v>
      </c>
      <c r="U77" s="25">
        <v>15</v>
      </c>
      <c r="V77" s="84">
        <v>64.5</v>
      </c>
    </row>
    <row r="78" s="3" customFormat="1" customHeight="1" spans="1:22">
      <c r="A78" s="84">
        <v>13</v>
      </c>
      <c r="B78" s="175" t="s">
        <v>2825</v>
      </c>
      <c r="C78" s="175" t="s">
        <v>165</v>
      </c>
      <c r="D78" s="175" t="s">
        <v>2826</v>
      </c>
      <c r="E78" s="25">
        <v>13177721280</v>
      </c>
      <c r="F78" s="175" t="s">
        <v>278</v>
      </c>
      <c r="G78" s="175" t="s">
        <v>28</v>
      </c>
      <c r="H78" s="25">
        <v>202103001</v>
      </c>
      <c r="I78" s="175" t="s">
        <v>279</v>
      </c>
      <c r="J78" s="175" t="s">
        <v>1237</v>
      </c>
      <c r="K78" s="175" t="s">
        <v>280</v>
      </c>
      <c r="L78" s="175" t="s">
        <v>170</v>
      </c>
      <c r="M78" s="175" t="s">
        <v>261</v>
      </c>
      <c r="N78" s="175" t="s">
        <v>340</v>
      </c>
      <c r="O78" s="25">
        <v>0</v>
      </c>
      <c r="P78" s="26" t="str">
        <f>_xlfn.DISPIMG("ID_F08BB5C3B75D4962A37212B4DDDA960C",1)</f>
        <v>=DISPIMG("ID_F08BB5C3B75D4962A37212B4DDDA960C",1)</v>
      </c>
      <c r="Q78" s="25" t="s">
        <v>2828</v>
      </c>
      <c r="R78" s="25">
        <v>343</v>
      </c>
      <c r="S78" s="40" t="s">
        <v>4387</v>
      </c>
      <c r="T78" s="18" t="s">
        <v>39</v>
      </c>
      <c r="U78" s="25">
        <v>16</v>
      </c>
      <c r="V78" s="84">
        <v>71</v>
      </c>
    </row>
    <row r="79" s="3" customFormat="1" customHeight="1" spans="1:22">
      <c r="A79" s="84">
        <v>8</v>
      </c>
      <c r="B79" s="175" t="s">
        <v>2666</v>
      </c>
      <c r="C79" s="175" t="s">
        <v>165</v>
      </c>
      <c r="D79" s="175" t="s">
        <v>2667</v>
      </c>
      <c r="E79" s="25">
        <v>13367011157</v>
      </c>
      <c r="F79" s="175" t="s">
        <v>278</v>
      </c>
      <c r="G79" s="175" t="s">
        <v>28</v>
      </c>
      <c r="H79" s="25">
        <v>202103001</v>
      </c>
      <c r="I79" s="175" t="s">
        <v>279</v>
      </c>
      <c r="J79" s="175" t="s">
        <v>2669</v>
      </c>
      <c r="K79" s="175" t="s">
        <v>280</v>
      </c>
      <c r="L79" s="175" t="s">
        <v>170</v>
      </c>
      <c r="M79" s="175" t="s">
        <v>368</v>
      </c>
      <c r="N79" s="175" t="s">
        <v>340</v>
      </c>
      <c r="O79" s="175" t="s">
        <v>2670</v>
      </c>
      <c r="P79" s="26" t="str">
        <f>_xlfn.DISPIMG("ID_F3E1E6ADC00F4323859304E86EC6B8D9",1)</f>
        <v>=DISPIMG("ID_F3E1E6ADC00F4323859304E86EC6B8D9",1)</v>
      </c>
      <c r="Q79" s="25" t="s">
        <v>2671</v>
      </c>
      <c r="R79" s="25">
        <v>321</v>
      </c>
      <c r="S79" s="40" t="s">
        <v>4382</v>
      </c>
      <c r="T79" s="18" t="s">
        <v>39</v>
      </c>
      <c r="U79" s="25">
        <v>17</v>
      </c>
      <c r="V79" s="84">
        <v>0</v>
      </c>
    </row>
    <row r="80" s="3" customFormat="1" customHeight="1" spans="1:22">
      <c r="A80" s="84">
        <v>3</v>
      </c>
      <c r="B80" s="175" t="s">
        <v>2487</v>
      </c>
      <c r="C80" s="175" t="s">
        <v>165</v>
      </c>
      <c r="D80" s="175" t="s">
        <v>2488</v>
      </c>
      <c r="E80" s="25">
        <v>18979216011</v>
      </c>
      <c r="F80" s="175" t="s">
        <v>278</v>
      </c>
      <c r="G80" s="175" t="s">
        <v>28</v>
      </c>
      <c r="H80" s="25">
        <v>202103001</v>
      </c>
      <c r="I80" s="175" t="s">
        <v>157</v>
      </c>
      <c r="J80" s="175" t="s">
        <v>178</v>
      </c>
      <c r="K80" s="175" t="s">
        <v>280</v>
      </c>
      <c r="L80" s="175" t="s">
        <v>170</v>
      </c>
      <c r="M80" s="175" t="s">
        <v>2490</v>
      </c>
      <c r="N80" s="175" t="s">
        <v>28</v>
      </c>
      <c r="O80" s="175" t="s">
        <v>2491</v>
      </c>
      <c r="P80" s="26" t="str">
        <f>_xlfn.DISPIMG("ID_53B9839AEAC4407495ABBD356F420DDD",1)</f>
        <v>=DISPIMG("ID_53B9839AEAC4407495ABBD356F420DDD",1)</v>
      </c>
      <c r="Q80" s="25" t="s">
        <v>2492</v>
      </c>
      <c r="R80" s="25">
        <v>297</v>
      </c>
      <c r="S80" s="40" t="s">
        <v>4377</v>
      </c>
      <c r="T80" s="18" t="s">
        <v>39</v>
      </c>
      <c r="U80" s="25">
        <v>18</v>
      </c>
      <c r="V80" s="84">
        <v>84</v>
      </c>
    </row>
    <row r="81" s="4" customFormat="1" customHeight="1" spans="1:22">
      <c r="A81" s="84">
        <v>4</v>
      </c>
      <c r="B81" s="175" t="s">
        <v>2501</v>
      </c>
      <c r="C81" s="175" t="s">
        <v>165</v>
      </c>
      <c r="D81" s="175" t="s">
        <v>2502</v>
      </c>
      <c r="E81" s="25">
        <v>18779413916</v>
      </c>
      <c r="F81" s="175" t="s">
        <v>278</v>
      </c>
      <c r="G81" s="175" t="s">
        <v>28</v>
      </c>
      <c r="H81" s="25">
        <v>202103001</v>
      </c>
      <c r="I81" s="175" t="s">
        <v>279</v>
      </c>
      <c r="J81" s="175" t="s">
        <v>876</v>
      </c>
      <c r="K81" s="175" t="s">
        <v>1684</v>
      </c>
      <c r="L81" s="175" t="s">
        <v>170</v>
      </c>
      <c r="M81" s="175" t="s">
        <v>171</v>
      </c>
      <c r="N81" s="175" t="s">
        <v>2504</v>
      </c>
      <c r="O81" s="175" t="s">
        <v>2505</v>
      </c>
      <c r="P81" s="26" t="str">
        <f>_xlfn.DISPIMG("ID_515277FD8D2D40318D429A7BA8ADC69C",1)</f>
        <v>=DISPIMG("ID_515277FD8D2D40318D429A7BA8ADC69C",1)</v>
      </c>
      <c r="Q81" s="25" t="s">
        <v>2506</v>
      </c>
      <c r="R81" s="25">
        <v>299</v>
      </c>
      <c r="S81" s="40" t="s">
        <v>4378</v>
      </c>
      <c r="T81" s="18" t="s">
        <v>39</v>
      </c>
      <c r="U81" s="25">
        <v>19</v>
      </c>
      <c r="V81" s="84">
        <v>69.5</v>
      </c>
    </row>
    <row r="82" s="3" customFormat="1" customHeight="1" spans="1:22">
      <c r="A82" s="84">
        <v>9</v>
      </c>
      <c r="B82" s="175" t="s">
        <v>2691</v>
      </c>
      <c r="C82" s="175" t="s">
        <v>165</v>
      </c>
      <c r="D82" s="175" t="s">
        <v>2692</v>
      </c>
      <c r="E82" s="25">
        <v>13361724916</v>
      </c>
      <c r="F82" s="175" t="s">
        <v>278</v>
      </c>
      <c r="G82" s="175" t="s">
        <v>28</v>
      </c>
      <c r="H82" s="25">
        <v>202103001</v>
      </c>
      <c r="I82" s="175" t="s">
        <v>585</v>
      </c>
      <c r="J82" s="175" t="s">
        <v>367</v>
      </c>
      <c r="K82" s="175" t="s">
        <v>586</v>
      </c>
      <c r="L82" s="175" t="s">
        <v>170</v>
      </c>
      <c r="M82" s="175" t="s">
        <v>2685</v>
      </c>
      <c r="N82" s="175" t="s">
        <v>2686</v>
      </c>
      <c r="O82" s="175" t="s">
        <v>2694</v>
      </c>
      <c r="P82" s="26" t="str">
        <f>_xlfn.DISPIMG("ID_80BD79931C0D4F069B4BB278F0D6EACF",1)</f>
        <v>=DISPIMG("ID_80BD79931C0D4F069B4BB278F0D6EACF",1)</v>
      </c>
      <c r="Q82" s="25" t="s">
        <v>2695</v>
      </c>
      <c r="R82" s="25">
        <v>324</v>
      </c>
      <c r="S82" s="40" t="s">
        <v>4383</v>
      </c>
      <c r="T82" s="18" t="s">
        <v>39</v>
      </c>
      <c r="U82" s="25">
        <v>20</v>
      </c>
      <c r="V82" s="84">
        <v>70</v>
      </c>
    </row>
    <row r="83" s="3" customFormat="1" customHeight="1" spans="1:22">
      <c r="A83" s="84">
        <v>14</v>
      </c>
      <c r="B83" s="175" t="s">
        <v>2854</v>
      </c>
      <c r="C83" s="175" t="s">
        <v>165</v>
      </c>
      <c r="D83" s="175" t="s">
        <v>2855</v>
      </c>
      <c r="E83" s="25">
        <v>18720256092</v>
      </c>
      <c r="F83" s="175" t="s">
        <v>278</v>
      </c>
      <c r="G83" s="175" t="s">
        <v>28</v>
      </c>
      <c r="H83" s="25">
        <v>202103001</v>
      </c>
      <c r="I83" s="175" t="s">
        <v>279</v>
      </c>
      <c r="J83" s="175" t="s">
        <v>2857</v>
      </c>
      <c r="K83" s="175" t="s">
        <v>586</v>
      </c>
      <c r="L83" s="175" t="s">
        <v>170</v>
      </c>
      <c r="M83" s="175" t="s">
        <v>235</v>
      </c>
      <c r="N83" s="175" t="s">
        <v>586</v>
      </c>
      <c r="O83" s="175" t="s">
        <v>2858</v>
      </c>
      <c r="P83" s="26" t="str">
        <f>_xlfn.DISPIMG("ID_11ED1DBBC626428D97C7101FAED1566F",1)</f>
        <v>=DISPIMG("ID_11ED1DBBC626428D97C7101FAED1566F",1)</v>
      </c>
      <c r="Q83" s="25" t="s">
        <v>2859</v>
      </c>
      <c r="R83" s="25">
        <v>347</v>
      </c>
      <c r="S83" s="40" t="s">
        <v>4388</v>
      </c>
      <c r="T83" s="18" t="s">
        <v>39</v>
      </c>
      <c r="U83" s="25">
        <v>21</v>
      </c>
      <c r="V83" s="84">
        <v>72</v>
      </c>
    </row>
    <row r="84" s="3" customFormat="1" customHeight="1" spans="1:22">
      <c r="A84" s="84">
        <v>19</v>
      </c>
      <c r="B84" s="175" t="s">
        <v>3136</v>
      </c>
      <c r="C84" s="175" t="s">
        <v>165</v>
      </c>
      <c r="D84" s="175" t="s">
        <v>3137</v>
      </c>
      <c r="E84" s="25">
        <v>13207912916</v>
      </c>
      <c r="F84" s="175" t="s">
        <v>278</v>
      </c>
      <c r="G84" s="175" t="s">
        <v>28</v>
      </c>
      <c r="H84" s="25">
        <v>202103001</v>
      </c>
      <c r="I84" s="175" t="s">
        <v>157</v>
      </c>
      <c r="J84" s="175" t="s">
        <v>233</v>
      </c>
      <c r="K84" s="175" t="s">
        <v>280</v>
      </c>
      <c r="L84" s="175" t="s">
        <v>170</v>
      </c>
      <c r="M84" s="175" t="s">
        <v>199</v>
      </c>
      <c r="N84" s="175" t="s">
        <v>517</v>
      </c>
      <c r="O84" s="175" t="s">
        <v>3139</v>
      </c>
      <c r="P84" s="26" t="str">
        <f>_xlfn.DISPIMG("ID_5DD0D632EE9F43A696BEAC7A2AD60F9E",1)</f>
        <v>=DISPIMG("ID_5DD0D632EE9F43A696BEAC7A2AD60F9E",1)</v>
      </c>
      <c r="Q84" s="25" t="s">
        <v>3140</v>
      </c>
      <c r="R84" s="25">
        <v>388</v>
      </c>
      <c r="S84" s="40" t="s">
        <v>4393</v>
      </c>
      <c r="T84" s="18" t="s">
        <v>39</v>
      </c>
      <c r="U84" s="25">
        <v>22</v>
      </c>
      <c r="V84" s="70">
        <v>0</v>
      </c>
    </row>
    <row r="85" s="3" customFormat="1" customHeight="1" spans="1:22">
      <c r="A85" s="84">
        <v>24</v>
      </c>
      <c r="B85" s="175" t="s">
        <v>3293</v>
      </c>
      <c r="C85" s="175" t="s">
        <v>165</v>
      </c>
      <c r="D85" s="175" t="s">
        <v>3294</v>
      </c>
      <c r="E85" s="25">
        <v>18170265828</v>
      </c>
      <c r="F85" s="175" t="s">
        <v>278</v>
      </c>
      <c r="G85" s="175" t="s">
        <v>28</v>
      </c>
      <c r="H85" s="25">
        <v>202103001</v>
      </c>
      <c r="I85" s="175" t="s">
        <v>157</v>
      </c>
      <c r="J85" s="175" t="s">
        <v>233</v>
      </c>
      <c r="K85" s="175" t="s">
        <v>280</v>
      </c>
      <c r="L85" s="175" t="s">
        <v>170</v>
      </c>
      <c r="M85" s="175" t="s">
        <v>3061</v>
      </c>
      <c r="N85" s="175" t="s">
        <v>3296</v>
      </c>
      <c r="O85" s="175" t="s">
        <v>3297</v>
      </c>
      <c r="P85" s="26" t="str">
        <f>_xlfn.DISPIMG("ID_1A8F20F988244300AFCAF70BDC1F337C",1)</f>
        <v>=DISPIMG("ID_1A8F20F988244300AFCAF70BDC1F337C",1)</v>
      </c>
      <c r="Q85" s="25" t="s">
        <v>3298</v>
      </c>
      <c r="R85" s="25">
        <v>413</v>
      </c>
      <c r="S85" s="40" t="s">
        <v>4398</v>
      </c>
      <c r="T85" s="18" t="s">
        <v>39</v>
      </c>
      <c r="U85" s="25">
        <v>23</v>
      </c>
      <c r="V85" s="84">
        <v>82</v>
      </c>
    </row>
    <row r="86" s="3" customFormat="1" customHeight="1" spans="1:22">
      <c r="A86" s="84">
        <v>29</v>
      </c>
      <c r="B86" s="175" t="s">
        <v>3342</v>
      </c>
      <c r="C86" s="175" t="s">
        <v>165</v>
      </c>
      <c r="D86" s="175" t="s">
        <v>3343</v>
      </c>
      <c r="E86" s="25">
        <v>18320666217</v>
      </c>
      <c r="F86" s="175" t="s">
        <v>278</v>
      </c>
      <c r="G86" s="175" t="s">
        <v>28</v>
      </c>
      <c r="H86" s="25">
        <v>202103001</v>
      </c>
      <c r="I86" s="175" t="s">
        <v>157</v>
      </c>
      <c r="J86" s="175" t="s">
        <v>3345</v>
      </c>
      <c r="K86" s="175" t="s">
        <v>280</v>
      </c>
      <c r="L86" s="175" t="s">
        <v>170</v>
      </c>
      <c r="M86" s="175" t="s">
        <v>235</v>
      </c>
      <c r="N86" s="175" t="s">
        <v>3346</v>
      </c>
      <c r="O86" s="175" t="s">
        <v>3347</v>
      </c>
      <c r="P86" s="26" t="str">
        <f>_xlfn.DISPIMG("ID_E18EEBC59F6A4BD3BA9929CD3773910D",1)</f>
        <v>=DISPIMG("ID_E18EEBC59F6A4BD3BA9929CD3773910D",1)</v>
      </c>
      <c r="Q86" s="25" t="s">
        <v>3348</v>
      </c>
      <c r="R86" s="25">
        <v>421</v>
      </c>
      <c r="S86" s="40" t="s">
        <v>4403</v>
      </c>
      <c r="T86" s="18" t="s">
        <v>39</v>
      </c>
      <c r="U86" s="25">
        <v>24</v>
      </c>
      <c r="V86" s="84">
        <v>0</v>
      </c>
    </row>
    <row r="87" s="3" customFormat="1" customHeight="1" spans="1:22">
      <c r="A87" s="84">
        <v>30</v>
      </c>
      <c r="B87" s="175" t="s">
        <v>3403</v>
      </c>
      <c r="C87" s="175" t="s">
        <v>165</v>
      </c>
      <c r="D87" s="175" t="s">
        <v>3404</v>
      </c>
      <c r="E87" s="25">
        <v>18000721221</v>
      </c>
      <c r="F87" s="175" t="s">
        <v>278</v>
      </c>
      <c r="G87" s="175" t="s">
        <v>28</v>
      </c>
      <c r="H87" s="25">
        <v>202103001</v>
      </c>
      <c r="I87" s="175" t="s">
        <v>279</v>
      </c>
      <c r="J87" s="175" t="s">
        <v>168</v>
      </c>
      <c r="K87" s="175" t="s">
        <v>280</v>
      </c>
      <c r="L87" s="175" t="s">
        <v>170</v>
      </c>
      <c r="M87" s="175" t="s">
        <v>516</v>
      </c>
      <c r="N87" s="175" t="s">
        <v>280</v>
      </c>
      <c r="O87" s="175" t="s">
        <v>3405</v>
      </c>
      <c r="P87" s="26" t="str">
        <f>_xlfn.DISPIMG("ID_7EFAC0679406489199323C08AE652767",1)</f>
        <v>=DISPIMG("ID_7EFAC0679406489199323C08AE652767",1)</v>
      </c>
      <c r="Q87" s="25" t="s">
        <v>3406</v>
      </c>
      <c r="R87" s="25">
        <v>429</v>
      </c>
      <c r="S87" s="40" t="s">
        <v>4404</v>
      </c>
      <c r="T87" s="18" t="s">
        <v>39</v>
      </c>
      <c r="U87" s="25">
        <v>25</v>
      </c>
      <c r="V87" s="70">
        <v>0</v>
      </c>
    </row>
    <row r="88" s="3" customFormat="1" customHeight="1" spans="1:22">
      <c r="A88" s="84">
        <v>25</v>
      </c>
      <c r="B88" s="175" t="s">
        <v>3307</v>
      </c>
      <c r="C88" s="175" t="s">
        <v>165</v>
      </c>
      <c r="D88" s="175" t="s">
        <v>3308</v>
      </c>
      <c r="E88" s="25">
        <v>15570243314</v>
      </c>
      <c r="F88" s="175" t="s">
        <v>278</v>
      </c>
      <c r="G88" s="175" t="s">
        <v>28</v>
      </c>
      <c r="H88" s="25">
        <v>202103001</v>
      </c>
      <c r="I88" s="175" t="s">
        <v>279</v>
      </c>
      <c r="J88" s="175" t="s">
        <v>3309</v>
      </c>
      <c r="K88" s="175" t="s">
        <v>2326</v>
      </c>
      <c r="L88" s="175" t="s">
        <v>170</v>
      </c>
      <c r="M88" s="175" t="s">
        <v>396</v>
      </c>
      <c r="N88" s="175" t="s">
        <v>517</v>
      </c>
      <c r="O88" s="175" t="s">
        <v>3310</v>
      </c>
      <c r="P88" s="26" t="str">
        <f>_xlfn.DISPIMG("ID_354EF343CD5243F482E0D228CE19598F",1)</f>
        <v>=DISPIMG("ID_354EF343CD5243F482E0D228CE19598F",1)</v>
      </c>
      <c r="Q88" s="25" t="s">
        <v>3311</v>
      </c>
      <c r="R88" s="25">
        <v>415</v>
      </c>
      <c r="S88" s="40" t="s">
        <v>4399</v>
      </c>
      <c r="T88" s="18" t="s">
        <v>39</v>
      </c>
      <c r="U88" s="25">
        <v>26</v>
      </c>
      <c r="V88" s="84">
        <v>60</v>
      </c>
    </row>
    <row r="89" s="4" customFormat="1" customHeight="1" spans="1:22">
      <c r="A89" s="84">
        <v>20</v>
      </c>
      <c r="B89" s="175" t="s">
        <v>3143</v>
      </c>
      <c r="C89" s="175" t="s">
        <v>165</v>
      </c>
      <c r="D89" s="175" t="s">
        <v>3144</v>
      </c>
      <c r="E89" s="25">
        <v>18046721566</v>
      </c>
      <c r="F89" s="175" t="s">
        <v>278</v>
      </c>
      <c r="G89" s="175" t="s">
        <v>28</v>
      </c>
      <c r="H89" s="25">
        <v>202103001</v>
      </c>
      <c r="I89" s="175" t="s">
        <v>279</v>
      </c>
      <c r="J89" s="175" t="s">
        <v>367</v>
      </c>
      <c r="K89" s="175" t="s">
        <v>169</v>
      </c>
      <c r="L89" s="175" t="s">
        <v>170</v>
      </c>
      <c r="M89" s="175" t="s">
        <v>2685</v>
      </c>
      <c r="N89" s="175" t="s">
        <v>3146</v>
      </c>
      <c r="O89" s="175" t="s">
        <v>3147</v>
      </c>
      <c r="P89" s="26" t="str">
        <f>_xlfn.DISPIMG("ID_A94A4E6038894CA88A82184D1877D675",1)</f>
        <v>=DISPIMG("ID_A94A4E6038894CA88A82184D1877D675",1)</v>
      </c>
      <c r="Q89" s="25" t="s">
        <v>3148</v>
      </c>
      <c r="R89" s="25">
        <v>389</v>
      </c>
      <c r="S89" s="40" t="s">
        <v>4394</v>
      </c>
      <c r="T89" s="18" t="s">
        <v>39</v>
      </c>
      <c r="U89" s="25">
        <v>27</v>
      </c>
      <c r="V89" s="84">
        <v>38</v>
      </c>
    </row>
    <row r="90" s="3" customFormat="1" customHeight="1" spans="1:22">
      <c r="A90" s="84">
        <v>15</v>
      </c>
      <c r="B90" s="175" t="s">
        <v>2862</v>
      </c>
      <c r="C90" s="175" t="s">
        <v>165</v>
      </c>
      <c r="D90" s="175" t="s">
        <v>2863</v>
      </c>
      <c r="E90" s="25">
        <v>16623154389</v>
      </c>
      <c r="F90" s="175" t="s">
        <v>278</v>
      </c>
      <c r="G90" s="175" t="s">
        <v>28</v>
      </c>
      <c r="H90" s="25">
        <v>202103001</v>
      </c>
      <c r="I90" s="175" t="s">
        <v>585</v>
      </c>
      <c r="J90" s="175" t="s">
        <v>2865</v>
      </c>
      <c r="K90" s="175" t="s">
        <v>280</v>
      </c>
      <c r="L90" s="175" t="s">
        <v>170</v>
      </c>
      <c r="M90" s="175" t="s">
        <v>577</v>
      </c>
      <c r="N90" s="175" t="s">
        <v>2866</v>
      </c>
      <c r="O90" s="175" t="s">
        <v>2867</v>
      </c>
      <c r="P90" s="26" t="str">
        <f>_xlfn.DISPIMG("ID_2A4EA762BC734560A58995F31757BD03",1)</f>
        <v>=DISPIMG("ID_2A4EA762BC734560A58995F31757BD03",1)</v>
      </c>
      <c r="Q90" s="25" t="s">
        <v>2868</v>
      </c>
      <c r="R90" s="25">
        <v>348</v>
      </c>
      <c r="S90" s="40" t="s">
        <v>4389</v>
      </c>
      <c r="T90" s="18" t="s">
        <v>39</v>
      </c>
      <c r="U90" s="25">
        <v>28</v>
      </c>
      <c r="V90" s="84">
        <v>0</v>
      </c>
    </row>
    <row r="91" s="3" customFormat="1" customHeight="1" spans="1:22">
      <c r="A91" s="84">
        <v>10</v>
      </c>
      <c r="B91" s="175" t="s">
        <v>2739</v>
      </c>
      <c r="C91" s="175" t="s">
        <v>165</v>
      </c>
      <c r="D91" s="175" t="s">
        <v>2740</v>
      </c>
      <c r="E91" s="25">
        <v>15180645133</v>
      </c>
      <c r="F91" s="175" t="s">
        <v>278</v>
      </c>
      <c r="G91" s="175" t="s">
        <v>28</v>
      </c>
      <c r="H91" s="25">
        <v>202103001</v>
      </c>
      <c r="I91" s="175" t="s">
        <v>279</v>
      </c>
      <c r="J91" s="175" t="s">
        <v>2741</v>
      </c>
      <c r="K91" s="175" t="s">
        <v>2742</v>
      </c>
      <c r="L91" s="175" t="s">
        <v>160</v>
      </c>
      <c r="M91" s="175" t="s">
        <v>577</v>
      </c>
      <c r="N91" s="175" t="s">
        <v>28</v>
      </c>
      <c r="O91" s="25">
        <v>0</v>
      </c>
      <c r="P91" s="26" t="str">
        <f>_xlfn.DISPIMG("ID_DBC66D2ED4394B2EABDB1526C646D9F0",1)</f>
        <v>=DISPIMG("ID_DBC66D2ED4394B2EABDB1526C646D9F0",1)</v>
      </c>
      <c r="Q91" s="25" t="s">
        <v>2743</v>
      </c>
      <c r="R91" s="25">
        <v>331</v>
      </c>
      <c r="S91" s="40" t="s">
        <v>4384</v>
      </c>
      <c r="T91" s="18" t="s">
        <v>39</v>
      </c>
      <c r="U91" s="25">
        <v>29</v>
      </c>
      <c r="V91" s="84">
        <v>0</v>
      </c>
    </row>
    <row r="92" s="4" customFormat="1" customHeight="1" spans="1:22">
      <c r="A92" s="84">
        <v>5</v>
      </c>
      <c r="B92" s="175" t="s">
        <v>2509</v>
      </c>
      <c r="C92" s="175" t="s">
        <v>165</v>
      </c>
      <c r="D92" s="175" t="s">
        <v>2510</v>
      </c>
      <c r="E92" s="25">
        <v>15170261589</v>
      </c>
      <c r="F92" s="175" t="s">
        <v>278</v>
      </c>
      <c r="G92" s="175" t="s">
        <v>28</v>
      </c>
      <c r="H92" s="25">
        <v>202103001</v>
      </c>
      <c r="I92" s="175" t="s">
        <v>279</v>
      </c>
      <c r="J92" s="175" t="s">
        <v>168</v>
      </c>
      <c r="K92" s="175" t="s">
        <v>280</v>
      </c>
      <c r="L92" s="175" t="s">
        <v>170</v>
      </c>
      <c r="M92" s="175" t="s">
        <v>171</v>
      </c>
      <c r="N92" s="175" t="s">
        <v>28</v>
      </c>
      <c r="O92" s="175" t="s">
        <v>2512</v>
      </c>
      <c r="P92" s="26" t="str">
        <f>_xlfn.DISPIMG("ID_7074182E322C4D868E189D169988DEEF",1)</f>
        <v>=DISPIMG("ID_7074182E322C4D868E189D169988DEEF",1)</v>
      </c>
      <c r="Q92" s="25" t="s">
        <v>2513</v>
      </c>
      <c r="R92" s="25">
        <v>300</v>
      </c>
      <c r="S92" s="40" t="s">
        <v>4379</v>
      </c>
      <c r="T92" s="18" t="s">
        <v>39</v>
      </c>
      <c r="U92" s="25">
        <v>30</v>
      </c>
      <c r="V92" s="84">
        <v>85</v>
      </c>
    </row>
    <row r="93" s="3" customFormat="1" customHeight="1" spans="1:22">
      <c r="A93" s="84">
        <v>9</v>
      </c>
      <c r="B93" s="175" t="s">
        <v>4259</v>
      </c>
      <c r="C93" s="175" t="s">
        <v>165</v>
      </c>
      <c r="D93" s="175" t="s">
        <v>4260</v>
      </c>
      <c r="E93" s="25">
        <v>15270817874</v>
      </c>
      <c r="F93" s="175" t="s">
        <v>278</v>
      </c>
      <c r="G93" s="175" t="s">
        <v>28</v>
      </c>
      <c r="H93" s="25">
        <v>202103001</v>
      </c>
      <c r="I93" s="175" t="s">
        <v>279</v>
      </c>
      <c r="J93" s="175" t="s">
        <v>339</v>
      </c>
      <c r="K93" s="175" t="s">
        <v>280</v>
      </c>
      <c r="L93" s="175" t="s">
        <v>170</v>
      </c>
      <c r="M93" s="175" t="s">
        <v>368</v>
      </c>
      <c r="N93" s="175" t="s">
        <v>4262</v>
      </c>
      <c r="O93" s="175" t="s">
        <v>4263</v>
      </c>
      <c r="P93" s="26" t="str">
        <f>_xlfn.DISPIMG("ID_7ED866D6DEDB4511B970FE38712BEDF5",1)</f>
        <v>=DISPIMG("ID_7ED866D6DEDB4511B970FE38712BEDF5",1)</v>
      </c>
      <c r="Q93" s="25" t="s">
        <v>4264</v>
      </c>
      <c r="R93" s="25">
        <v>545</v>
      </c>
      <c r="S93" s="40" t="s">
        <v>4421</v>
      </c>
      <c r="T93" s="18" t="s">
        <v>40</v>
      </c>
      <c r="U93" s="25">
        <v>1</v>
      </c>
      <c r="V93" s="84">
        <v>0</v>
      </c>
    </row>
    <row r="94" s="3" customFormat="1" customHeight="1" spans="1:22">
      <c r="A94" s="84">
        <v>8</v>
      </c>
      <c r="B94" s="175" t="s">
        <v>4237</v>
      </c>
      <c r="C94" s="175" t="s">
        <v>165</v>
      </c>
      <c r="D94" s="175" t="s">
        <v>4238</v>
      </c>
      <c r="E94" s="25">
        <v>15170274665</v>
      </c>
      <c r="F94" s="175" t="s">
        <v>278</v>
      </c>
      <c r="G94" s="175" t="s">
        <v>28</v>
      </c>
      <c r="H94" s="25">
        <v>202103001</v>
      </c>
      <c r="I94" s="175" t="s">
        <v>585</v>
      </c>
      <c r="J94" s="175" t="s">
        <v>367</v>
      </c>
      <c r="K94" s="175" t="s">
        <v>280</v>
      </c>
      <c r="L94" s="175" t="s">
        <v>170</v>
      </c>
      <c r="M94" s="175" t="s">
        <v>368</v>
      </c>
      <c r="N94" s="175" t="s">
        <v>376</v>
      </c>
      <c r="O94" s="175" t="s">
        <v>4240</v>
      </c>
      <c r="P94" s="26" t="str">
        <f>_xlfn.DISPIMG("ID_7116E6EB313E4CDBB6AEC2C13A4D6810",1)</f>
        <v>=DISPIMG("ID_7116E6EB313E4CDBB6AEC2C13A4D6810",1)</v>
      </c>
      <c r="Q94" s="25" t="s">
        <v>4241</v>
      </c>
      <c r="R94" s="25">
        <v>542</v>
      </c>
      <c r="S94" s="40" t="s">
        <v>4419</v>
      </c>
      <c r="T94" s="18" t="s">
        <v>40</v>
      </c>
      <c r="U94" s="25">
        <v>2</v>
      </c>
      <c r="V94" s="84">
        <v>0</v>
      </c>
    </row>
    <row r="95" s="3" customFormat="1" customHeight="1" spans="1:22">
      <c r="A95" s="84">
        <v>7</v>
      </c>
      <c r="B95" s="175" t="s">
        <v>3720</v>
      </c>
      <c r="C95" s="175" t="s">
        <v>165</v>
      </c>
      <c r="D95" s="175" t="s">
        <v>3721</v>
      </c>
      <c r="E95" s="25">
        <v>15970603423</v>
      </c>
      <c r="F95" s="175" t="s">
        <v>278</v>
      </c>
      <c r="G95" s="175" t="s">
        <v>28</v>
      </c>
      <c r="H95" s="25">
        <v>202103001</v>
      </c>
      <c r="I95" s="175" t="s">
        <v>157</v>
      </c>
      <c r="J95" s="175" t="s">
        <v>178</v>
      </c>
      <c r="K95" s="175" t="s">
        <v>960</v>
      </c>
      <c r="L95" s="175" t="s">
        <v>170</v>
      </c>
      <c r="M95" s="175" t="s">
        <v>180</v>
      </c>
      <c r="N95" s="175" t="s">
        <v>340</v>
      </c>
      <c r="O95" s="175" t="s">
        <v>3723</v>
      </c>
      <c r="P95" s="26" t="str">
        <f>_xlfn.DISPIMG("ID_38A4C94876C044A5A6F3E884E1CD36B4",1)</f>
        <v>=DISPIMG("ID_38A4C94876C044A5A6F3E884E1CD36B4",1)</v>
      </c>
      <c r="Q95" s="25" t="s">
        <v>3724</v>
      </c>
      <c r="R95" s="25">
        <v>474</v>
      </c>
      <c r="S95" s="40" t="s">
        <v>4418</v>
      </c>
      <c r="T95" s="18" t="s">
        <v>40</v>
      </c>
      <c r="U95" s="25">
        <v>3</v>
      </c>
      <c r="V95" s="84">
        <v>0</v>
      </c>
    </row>
    <row r="96" s="3" customFormat="1" customHeight="1" spans="1:22">
      <c r="A96" s="84">
        <v>5</v>
      </c>
      <c r="B96" s="175" t="s">
        <v>3676</v>
      </c>
      <c r="C96" s="175" t="s">
        <v>165</v>
      </c>
      <c r="D96" s="175" t="s">
        <v>3677</v>
      </c>
      <c r="E96" s="25">
        <v>18296221374</v>
      </c>
      <c r="F96" s="175" t="s">
        <v>278</v>
      </c>
      <c r="G96" s="175" t="s">
        <v>28</v>
      </c>
      <c r="H96" s="25">
        <v>202103001</v>
      </c>
      <c r="I96" s="175" t="s">
        <v>585</v>
      </c>
      <c r="J96" s="175" t="s">
        <v>3679</v>
      </c>
      <c r="K96" s="175" t="s">
        <v>586</v>
      </c>
      <c r="L96" s="175" t="s">
        <v>170</v>
      </c>
      <c r="M96" s="175" t="s">
        <v>1089</v>
      </c>
      <c r="N96" s="175" t="s">
        <v>3680</v>
      </c>
      <c r="O96" s="175" t="s">
        <v>3681</v>
      </c>
      <c r="P96" s="26" t="str">
        <f>_xlfn.DISPIMG("ID_B6A72806890947DEB45EA914FD393A84",1)</f>
        <v>=DISPIMG("ID_B6A72806890947DEB45EA914FD393A84",1)</v>
      </c>
      <c r="Q96" s="25" t="s">
        <v>3682</v>
      </c>
      <c r="R96" s="25">
        <v>468</v>
      </c>
      <c r="S96" s="40" t="s">
        <v>4415</v>
      </c>
      <c r="T96" s="18" t="s">
        <v>40</v>
      </c>
      <c r="U96" s="25">
        <v>4</v>
      </c>
      <c r="V96" s="84">
        <v>54.5</v>
      </c>
    </row>
    <row r="97" s="3" customFormat="1" customHeight="1" spans="1:22">
      <c r="A97" s="84">
        <v>3</v>
      </c>
      <c r="B97" s="175" t="s">
        <v>3488</v>
      </c>
      <c r="C97" s="175" t="s">
        <v>165</v>
      </c>
      <c r="D97" s="175" t="s">
        <v>3489</v>
      </c>
      <c r="E97" s="25">
        <v>13755200519</v>
      </c>
      <c r="F97" s="175" t="s">
        <v>278</v>
      </c>
      <c r="G97" s="175" t="s">
        <v>28</v>
      </c>
      <c r="H97" s="25">
        <v>202103001</v>
      </c>
      <c r="I97" s="175" t="s">
        <v>279</v>
      </c>
      <c r="J97" s="175" t="s">
        <v>3490</v>
      </c>
      <c r="K97" s="175" t="s">
        <v>404</v>
      </c>
      <c r="L97" s="175" t="s">
        <v>160</v>
      </c>
      <c r="M97" s="175" t="s">
        <v>1346</v>
      </c>
      <c r="N97" s="175" t="s">
        <v>517</v>
      </c>
      <c r="O97" s="175" t="s">
        <v>3491</v>
      </c>
      <c r="P97" s="26" t="str">
        <f>_xlfn.DISPIMG("ID_6A8C51914B494C9CBD5F245F39A2E519",1)</f>
        <v>=DISPIMG("ID_6A8C51914B494C9CBD5F245F39A2E519",1)</v>
      </c>
      <c r="Q97" s="25" t="s">
        <v>3492</v>
      </c>
      <c r="R97" s="25">
        <v>441</v>
      </c>
      <c r="S97" s="40" t="s">
        <v>4411</v>
      </c>
      <c r="T97" s="18" t="s">
        <v>40</v>
      </c>
      <c r="U97" s="25">
        <v>5</v>
      </c>
      <c r="V97" s="84">
        <v>87</v>
      </c>
    </row>
    <row r="98" s="3" customFormat="1" customHeight="1" spans="1:22">
      <c r="A98" s="84">
        <v>1</v>
      </c>
      <c r="B98" s="175" t="s">
        <v>3429</v>
      </c>
      <c r="C98" s="175" t="s">
        <v>165</v>
      </c>
      <c r="D98" s="175" t="s">
        <v>3430</v>
      </c>
      <c r="E98" s="25">
        <v>18279285118</v>
      </c>
      <c r="F98" s="175" t="s">
        <v>278</v>
      </c>
      <c r="G98" s="175" t="s">
        <v>28</v>
      </c>
      <c r="H98" s="25">
        <v>202103001</v>
      </c>
      <c r="I98" s="175" t="s">
        <v>585</v>
      </c>
      <c r="J98" s="175" t="s">
        <v>3018</v>
      </c>
      <c r="K98" s="175" t="s">
        <v>586</v>
      </c>
      <c r="L98" s="175" t="s">
        <v>170</v>
      </c>
      <c r="M98" s="175" t="s">
        <v>3431</v>
      </c>
      <c r="N98" s="175" t="s">
        <v>586</v>
      </c>
      <c r="O98" s="175" t="s">
        <v>3432</v>
      </c>
      <c r="P98" s="26" t="str">
        <f>_xlfn.DISPIMG("ID_E1216B8DC47A44DFAB6AC1BAFDBCD62B",1)</f>
        <v>=DISPIMG("ID_E1216B8DC47A44DFAB6AC1BAFDBCD62B",1)</v>
      </c>
      <c r="Q98" s="25" t="s">
        <v>3433</v>
      </c>
      <c r="R98" s="25">
        <v>433</v>
      </c>
      <c r="S98" s="40" t="s">
        <v>4405</v>
      </c>
      <c r="T98" s="18" t="s">
        <v>40</v>
      </c>
      <c r="U98" s="25">
        <v>6</v>
      </c>
      <c r="V98" s="84">
        <v>55.5</v>
      </c>
    </row>
    <row r="99" s="3" customFormat="1" customHeight="1" spans="1:22">
      <c r="A99" s="84">
        <v>2</v>
      </c>
      <c r="B99" s="175" t="s">
        <v>3443</v>
      </c>
      <c r="C99" s="175" t="s">
        <v>165</v>
      </c>
      <c r="D99" s="175" t="s">
        <v>3444</v>
      </c>
      <c r="E99" s="25">
        <v>18607912074</v>
      </c>
      <c r="F99" s="175" t="s">
        <v>278</v>
      </c>
      <c r="G99" s="175" t="s">
        <v>28</v>
      </c>
      <c r="H99" s="25">
        <v>202103001</v>
      </c>
      <c r="I99" s="175" t="s">
        <v>279</v>
      </c>
      <c r="J99" s="175" t="s">
        <v>515</v>
      </c>
      <c r="K99" s="175" t="s">
        <v>280</v>
      </c>
      <c r="L99" s="175" t="s">
        <v>170</v>
      </c>
      <c r="M99" s="175" t="s">
        <v>224</v>
      </c>
      <c r="N99" s="175" t="s">
        <v>517</v>
      </c>
      <c r="O99" s="175" t="s">
        <v>3446</v>
      </c>
      <c r="P99" s="26" t="str">
        <f>_xlfn.DISPIMG("ID_BD52B8A2C60C41F6B5F6C165401F5CB1",1)</f>
        <v>=DISPIMG("ID_BD52B8A2C60C41F6B5F6C165401F5CB1",1)</v>
      </c>
      <c r="Q99" s="25" t="s">
        <v>3447</v>
      </c>
      <c r="R99" s="25">
        <v>435</v>
      </c>
      <c r="S99" s="40" t="s">
        <v>4406</v>
      </c>
      <c r="T99" s="18" t="s">
        <v>40</v>
      </c>
      <c r="U99" s="25">
        <v>7</v>
      </c>
      <c r="V99" s="84">
        <v>84.5</v>
      </c>
    </row>
    <row r="100" s="3" customFormat="1" customHeight="1" spans="1:22">
      <c r="A100" s="84">
        <v>4</v>
      </c>
      <c r="B100" s="175" t="s">
        <v>3608</v>
      </c>
      <c r="C100" s="175" t="s">
        <v>165</v>
      </c>
      <c r="D100" s="175" t="s">
        <v>3609</v>
      </c>
      <c r="E100" s="25">
        <v>18279283769</v>
      </c>
      <c r="F100" s="175" t="s">
        <v>278</v>
      </c>
      <c r="G100" s="175" t="s">
        <v>28</v>
      </c>
      <c r="H100" s="25">
        <v>202103001</v>
      </c>
      <c r="I100" s="175" t="s">
        <v>585</v>
      </c>
      <c r="J100" s="175" t="s">
        <v>3174</v>
      </c>
      <c r="K100" s="175" t="s">
        <v>280</v>
      </c>
      <c r="L100" s="175" t="s">
        <v>170</v>
      </c>
      <c r="M100" s="175" t="s">
        <v>3039</v>
      </c>
      <c r="N100" s="175" t="s">
        <v>2686</v>
      </c>
      <c r="O100" s="175" t="s">
        <v>3611</v>
      </c>
      <c r="P100" s="26" t="str">
        <f>_xlfn.DISPIMG("ID_39BF594A37E3442B8E4FFF60E8863D45",1)</f>
        <v>=DISPIMG("ID_39BF594A37E3442B8E4FFF60E8863D45",1)</v>
      </c>
      <c r="Q100" s="25" t="s">
        <v>3612</v>
      </c>
      <c r="R100" s="25">
        <v>459</v>
      </c>
      <c r="S100" s="40" t="s">
        <v>4412</v>
      </c>
      <c r="T100" s="18" t="s">
        <v>40</v>
      </c>
      <c r="U100" s="25">
        <v>8</v>
      </c>
      <c r="V100" s="84">
        <v>60.5</v>
      </c>
    </row>
    <row r="101" s="3" customFormat="1" customHeight="1" spans="1:22">
      <c r="A101" s="84">
        <v>6</v>
      </c>
      <c r="B101" s="175" t="s">
        <v>3712</v>
      </c>
      <c r="C101" s="175" t="s">
        <v>165</v>
      </c>
      <c r="D101" s="175" t="s">
        <v>3713</v>
      </c>
      <c r="E101" s="25">
        <v>18720196269</v>
      </c>
      <c r="F101" s="175" t="s">
        <v>278</v>
      </c>
      <c r="G101" s="175" t="s">
        <v>28</v>
      </c>
      <c r="H101" s="25">
        <v>202103001</v>
      </c>
      <c r="I101" s="175" t="s">
        <v>585</v>
      </c>
      <c r="J101" s="175" t="s">
        <v>367</v>
      </c>
      <c r="K101" s="175" t="s">
        <v>2686</v>
      </c>
      <c r="L101" s="175" t="s">
        <v>160</v>
      </c>
      <c r="M101" s="175" t="s">
        <v>3039</v>
      </c>
      <c r="N101" s="175" t="s">
        <v>3715</v>
      </c>
      <c r="O101" s="175" t="s">
        <v>3716</v>
      </c>
      <c r="P101" s="26" t="str">
        <f>_xlfn.DISPIMG("ID_059DAEED1F3E457C93C0A1610046F2A5",1)</f>
        <v>=DISPIMG("ID_059DAEED1F3E457C93C0A1610046F2A5",1)</v>
      </c>
      <c r="Q101" s="25" t="s">
        <v>3717</v>
      </c>
      <c r="R101" s="25">
        <v>473</v>
      </c>
      <c r="S101" s="40" t="s">
        <v>4416</v>
      </c>
      <c r="T101" s="18" t="s">
        <v>40</v>
      </c>
      <c r="U101" s="25">
        <v>9</v>
      </c>
      <c r="V101" s="84">
        <v>0</v>
      </c>
    </row>
    <row r="102" s="3" customFormat="1" customHeight="1" spans="1:22">
      <c r="A102" s="84">
        <v>10</v>
      </c>
      <c r="B102" s="175" t="s">
        <v>175</v>
      </c>
      <c r="C102" s="175" t="s">
        <v>165</v>
      </c>
      <c r="D102" s="175" t="s">
        <v>176</v>
      </c>
      <c r="E102" s="25">
        <v>18046603817</v>
      </c>
      <c r="F102" s="175" t="s">
        <v>156</v>
      </c>
      <c r="G102" s="175" t="s">
        <v>14</v>
      </c>
      <c r="H102" s="25">
        <v>202102001</v>
      </c>
      <c r="I102" s="175" t="s">
        <v>157</v>
      </c>
      <c r="J102" s="175" t="s">
        <v>178</v>
      </c>
      <c r="K102" s="175" t="s">
        <v>179</v>
      </c>
      <c r="L102" s="175" t="s">
        <v>170</v>
      </c>
      <c r="M102" s="175" t="s">
        <v>180</v>
      </c>
      <c r="N102" s="175" t="s">
        <v>14</v>
      </c>
      <c r="O102" s="25">
        <v>0</v>
      </c>
      <c r="P102" s="26" t="str">
        <f>_xlfn.DISPIMG("ID_BD43028E6BB24443B06241FE37DC179A",1)</f>
        <v>=DISPIMG("ID_BD43028E6BB24443B06241FE37DC179A",1)</v>
      </c>
      <c r="Q102" s="25" t="s">
        <v>181</v>
      </c>
      <c r="R102" s="25">
        <v>4</v>
      </c>
      <c r="S102" s="40" t="s">
        <v>4422</v>
      </c>
      <c r="T102" s="18" t="s">
        <v>40</v>
      </c>
      <c r="U102" s="25">
        <v>10</v>
      </c>
      <c r="V102" s="84">
        <v>82</v>
      </c>
    </row>
    <row r="103" s="3" customFormat="1" customHeight="1" spans="1:22">
      <c r="A103" s="84">
        <v>11</v>
      </c>
      <c r="B103" s="175" t="s">
        <v>345</v>
      </c>
      <c r="C103" s="175" t="s">
        <v>165</v>
      </c>
      <c r="D103" s="175" t="s">
        <v>346</v>
      </c>
      <c r="E103" s="25">
        <v>15179246525</v>
      </c>
      <c r="F103" s="175" t="s">
        <v>156</v>
      </c>
      <c r="G103" s="175" t="s">
        <v>14</v>
      </c>
      <c r="H103" s="25">
        <v>202102001</v>
      </c>
      <c r="I103" s="175" t="s">
        <v>279</v>
      </c>
      <c r="J103" s="175" t="s">
        <v>158</v>
      </c>
      <c r="K103" s="175" t="s">
        <v>348</v>
      </c>
      <c r="L103" s="175" t="s">
        <v>170</v>
      </c>
      <c r="M103" s="175" t="s">
        <v>349</v>
      </c>
      <c r="N103" s="175" t="s">
        <v>350</v>
      </c>
      <c r="O103" s="175" t="s">
        <v>351</v>
      </c>
      <c r="P103" s="26" t="str">
        <f>_xlfn.DISPIMG("ID_0FE66397D3464536A23D26C93FD62495",1)</f>
        <v>=DISPIMG("ID_0FE66397D3464536A23D26C93FD62495",1)</v>
      </c>
      <c r="Q103" s="25" t="s">
        <v>352</v>
      </c>
      <c r="R103" s="25">
        <v>23</v>
      </c>
      <c r="S103" s="40" t="s">
        <v>4424</v>
      </c>
      <c r="T103" s="18" t="s">
        <v>40</v>
      </c>
      <c r="U103" s="25">
        <v>11</v>
      </c>
      <c r="V103" s="84">
        <v>78</v>
      </c>
    </row>
    <row r="104" s="3" customFormat="1" customHeight="1" spans="1:22">
      <c r="A104" s="84">
        <v>13</v>
      </c>
      <c r="B104" s="175" t="s">
        <v>451</v>
      </c>
      <c r="C104" s="175" t="s">
        <v>165</v>
      </c>
      <c r="D104" s="175" t="s">
        <v>452</v>
      </c>
      <c r="E104" s="25">
        <v>15870856801</v>
      </c>
      <c r="F104" s="175" t="s">
        <v>156</v>
      </c>
      <c r="G104" s="175" t="s">
        <v>14</v>
      </c>
      <c r="H104" s="25">
        <v>202102001</v>
      </c>
      <c r="I104" s="175" t="s">
        <v>157</v>
      </c>
      <c r="J104" s="175" t="s">
        <v>158</v>
      </c>
      <c r="K104" s="175" t="s">
        <v>454</v>
      </c>
      <c r="L104" s="175" t="s">
        <v>170</v>
      </c>
      <c r="M104" s="175" t="s">
        <v>455</v>
      </c>
      <c r="N104" s="175" t="s">
        <v>14</v>
      </c>
      <c r="O104" s="25">
        <v>0</v>
      </c>
      <c r="P104" s="26" t="str">
        <f>_xlfn.DISPIMG("ID_B55181394FEF4B858E10F092AB43BFBB",1)</f>
        <v>=DISPIMG("ID_B55181394FEF4B858E10F092AB43BFBB",1)</v>
      </c>
      <c r="Q104" s="25" t="s">
        <v>456</v>
      </c>
      <c r="R104" s="25">
        <v>35</v>
      </c>
      <c r="S104" s="40" t="s">
        <v>4407</v>
      </c>
      <c r="T104" s="18" t="s">
        <v>40</v>
      </c>
      <c r="U104" s="25">
        <v>12</v>
      </c>
      <c r="V104" s="84">
        <v>88</v>
      </c>
    </row>
    <row r="105" s="3" customFormat="1" customHeight="1" spans="1:22">
      <c r="A105" s="84">
        <v>14</v>
      </c>
      <c r="B105" s="175" t="s">
        <v>529</v>
      </c>
      <c r="C105" s="175" t="s">
        <v>165</v>
      </c>
      <c r="D105" s="175" t="s">
        <v>530</v>
      </c>
      <c r="E105" s="25">
        <v>13870852168</v>
      </c>
      <c r="F105" s="175" t="s">
        <v>156</v>
      </c>
      <c r="G105" s="175" t="s">
        <v>14</v>
      </c>
      <c r="H105" s="25">
        <v>202102001</v>
      </c>
      <c r="I105" s="175" t="s">
        <v>157</v>
      </c>
      <c r="J105" s="175" t="s">
        <v>532</v>
      </c>
      <c r="K105" s="175" t="s">
        <v>533</v>
      </c>
      <c r="L105" s="175" t="s">
        <v>160</v>
      </c>
      <c r="M105" s="175" t="s">
        <v>516</v>
      </c>
      <c r="N105" s="175" t="s">
        <v>14</v>
      </c>
      <c r="O105" s="25">
        <v>0</v>
      </c>
      <c r="P105" s="26" t="str">
        <f>_xlfn.DISPIMG("ID_DE54808A64424090BF3B2071C574D915",1)</f>
        <v>=DISPIMG("ID_DE54808A64424090BF3B2071C574D915",1)</v>
      </c>
      <c r="Q105" s="25" t="s">
        <v>534</v>
      </c>
      <c r="R105" s="25">
        <v>45</v>
      </c>
      <c r="S105" s="40" t="s">
        <v>4408</v>
      </c>
      <c r="T105" s="18" t="s">
        <v>40</v>
      </c>
      <c r="U105" s="25">
        <v>13</v>
      </c>
      <c r="V105" s="84">
        <v>0</v>
      </c>
    </row>
    <row r="106" s="3" customFormat="1" customHeight="1" spans="1:22">
      <c r="A106" s="84">
        <v>12</v>
      </c>
      <c r="B106" s="175" t="s">
        <v>364</v>
      </c>
      <c r="C106" s="175" t="s">
        <v>153</v>
      </c>
      <c r="D106" s="175" t="s">
        <v>365</v>
      </c>
      <c r="E106" s="25">
        <v>15879225309</v>
      </c>
      <c r="F106" s="175" t="s">
        <v>156</v>
      </c>
      <c r="G106" s="175" t="s">
        <v>14</v>
      </c>
      <c r="H106" s="25">
        <v>202102001</v>
      </c>
      <c r="I106" s="175" t="s">
        <v>157</v>
      </c>
      <c r="J106" s="175" t="s">
        <v>367</v>
      </c>
      <c r="K106" s="175" t="s">
        <v>348</v>
      </c>
      <c r="L106" s="175" t="s">
        <v>170</v>
      </c>
      <c r="M106" s="175" t="s">
        <v>368</v>
      </c>
      <c r="N106" s="175" t="s">
        <v>14</v>
      </c>
      <c r="O106" s="175" t="s">
        <v>369</v>
      </c>
      <c r="P106" s="26" t="str">
        <f>_xlfn.DISPIMG("ID_08B1C5991BF641D590EC606BAB378CA1",1)</f>
        <v>=DISPIMG("ID_08B1C5991BF641D590EC606BAB378CA1",1)</v>
      </c>
      <c r="Q106" s="25" t="s">
        <v>370</v>
      </c>
      <c r="R106" s="25">
        <v>25</v>
      </c>
      <c r="S106" s="40" t="s">
        <v>4425</v>
      </c>
      <c r="T106" s="18" t="s">
        <v>40</v>
      </c>
      <c r="U106" s="25">
        <v>14</v>
      </c>
      <c r="V106" s="84">
        <v>81</v>
      </c>
    </row>
    <row r="107" s="3" customFormat="1" customHeight="1" spans="1:22">
      <c r="A107" s="84"/>
      <c r="B107" s="25"/>
      <c r="C107" s="25"/>
      <c r="D107" s="25"/>
      <c r="E107" s="25"/>
      <c r="F107" s="25"/>
      <c r="G107" s="25"/>
      <c r="H107" s="25"/>
      <c r="I107" s="25"/>
      <c r="J107" s="25"/>
      <c r="K107" s="25"/>
      <c r="L107" s="25"/>
      <c r="M107" s="25"/>
      <c r="N107" s="25"/>
      <c r="O107" s="25"/>
      <c r="P107" s="26"/>
      <c r="Q107" s="25"/>
      <c r="R107" s="25"/>
      <c r="S107" s="40"/>
      <c r="T107" s="18"/>
      <c r="U107" s="25"/>
      <c r="V107" s="84"/>
    </row>
    <row r="108" s="3" customFormat="1" customHeight="1" spans="1:22">
      <c r="A108" s="84"/>
      <c r="B108" s="25"/>
      <c r="C108" s="25"/>
      <c r="D108" s="25"/>
      <c r="E108" s="25"/>
      <c r="F108" s="25"/>
      <c r="G108" s="25"/>
      <c r="H108" s="25"/>
      <c r="I108" s="25"/>
      <c r="J108" s="25"/>
      <c r="K108" s="25"/>
      <c r="L108" s="25"/>
      <c r="M108" s="25"/>
      <c r="N108" s="25"/>
      <c r="O108" s="25"/>
      <c r="P108" s="26"/>
      <c r="Q108" s="25"/>
      <c r="R108" s="25"/>
      <c r="S108" s="40"/>
      <c r="T108" s="18"/>
      <c r="U108" s="25"/>
      <c r="V108" s="84"/>
    </row>
    <row r="109" s="3" customFormat="1" customHeight="1" spans="1:22">
      <c r="A109" s="84"/>
      <c r="B109" s="25"/>
      <c r="C109" s="25"/>
      <c r="D109" s="25"/>
      <c r="E109" s="25"/>
      <c r="F109" s="25"/>
      <c r="G109" s="25"/>
      <c r="H109" s="25"/>
      <c r="I109" s="25"/>
      <c r="J109" s="25"/>
      <c r="K109" s="25"/>
      <c r="L109" s="25"/>
      <c r="M109" s="25"/>
      <c r="N109" s="25"/>
      <c r="O109" s="25"/>
      <c r="P109" s="26"/>
      <c r="Q109" s="25"/>
      <c r="R109" s="25"/>
      <c r="S109" s="40"/>
      <c r="T109" s="18"/>
      <c r="U109" s="25"/>
      <c r="V109" s="84"/>
    </row>
    <row r="110" s="3" customFormat="1" customHeight="1" spans="1:22">
      <c r="A110" s="84"/>
      <c r="B110" s="25"/>
      <c r="C110" s="25"/>
      <c r="D110" s="25"/>
      <c r="E110" s="25"/>
      <c r="F110" s="25"/>
      <c r="G110" s="25"/>
      <c r="H110" s="25"/>
      <c r="I110" s="25"/>
      <c r="J110" s="25"/>
      <c r="K110" s="25"/>
      <c r="L110" s="25"/>
      <c r="M110" s="25"/>
      <c r="N110" s="25"/>
      <c r="O110" s="25"/>
      <c r="P110" s="26"/>
      <c r="Q110" s="25"/>
      <c r="R110" s="25"/>
      <c r="S110" s="40"/>
      <c r="T110" s="18"/>
      <c r="U110" s="25"/>
      <c r="V110" s="84"/>
    </row>
    <row r="111" s="3" customFormat="1" customHeight="1" spans="1:22">
      <c r="A111" s="84"/>
      <c r="B111" s="25"/>
      <c r="C111" s="25"/>
      <c r="D111" s="25"/>
      <c r="E111" s="25"/>
      <c r="F111" s="25"/>
      <c r="G111" s="25"/>
      <c r="H111" s="25"/>
      <c r="I111" s="25"/>
      <c r="J111" s="25"/>
      <c r="K111" s="25"/>
      <c r="L111" s="25"/>
      <c r="M111" s="25"/>
      <c r="N111" s="25"/>
      <c r="O111" s="25"/>
      <c r="P111" s="26"/>
      <c r="Q111" s="25"/>
      <c r="R111" s="25"/>
      <c r="S111" s="40"/>
      <c r="T111" s="18"/>
      <c r="U111" s="25"/>
      <c r="V111" s="84"/>
    </row>
    <row r="112" s="3" customFormat="1" customHeight="1" spans="1:22">
      <c r="A112" s="84"/>
      <c r="B112" s="25"/>
      <c r="C112" s="25"/>
      <c r="D112" s="25"/>
      <c r="E112" s="25"/>
      <c r="F112" s="25"/>
      <c r="G112" s="25"/>
      <c r="H112" s="25"/>
      <c r="I112" s="25"/>
      <c r="J112" s="25"/>
      <c r="K112" s="25"/>
      <c r="L112" s="25"/>
      <c r="M112" s="25"/>
      <c r="N112" s="25"/>
      <c r="O112" s="25"/>
      <c r="P112" s="26"/>
      <c r="Q112" s="25"/>
      <c r="R112" s="25"/>
      <c r="S112" s="40"/>
      <c r="T112" s="18"/>
      <c r="U112" s="25"/>
      <c r="V112" s="84"/>
    </row>
    <row r="113" s="3" customFormat="1" customHeight="1" spans="1:22">
      <c r="A113" s="84"/>
      <c r="B113" s="25"/>
      <c r="C113" s="25"/>
      <c r="D113" s="25"/>
      <c r="E113" s="25"/>
      <c r="F113" s="25"/>
      <c r="G113" s="25"/>
      <c r="H113" s="25"/>
      <c r="I113" s="25"/>
      <c r="J113" s="25"/>
      <c r="K113" s="25"/>
      <c r="L113" s="25"/>
      <c r="M113" s="25"/>
      <c r="N113" s="25"/>
      <c r="O113" s="25"/>
      <c r="P113" s="26"/>
      <c r="Q113" s="25"/>
      <c r="R113" s="25"/>
      <c r="S113" s="40"/>
      <c r="T113" s="18"/>
      <c r="U113" s="25"/>
      <c r="V113" s="84"/>
    </row>
    <row r="114" s="3" customFormat="1" customHeight="1" spans="1:22">
      <c r="A114" s="84"/>
      <c r="B114" s="25"/>
      <c r="C114" s="25"/>
      <c r="D114" s="25"/>
      <c r="E114" s="25"/>
      <c r="F114" s="25"/>
      <c r="G114" s="25"/>
      <c r="H114" s="25"/>
      <c r="I114" s="25"/>
      <c r="J114" s="25"/>
      <c r="K114" s="25"/>
      <c r="L114" s="25"/>
      <c r="M114" s="25"/>
      <c r="N114" s="25"/>
      <c r="O114" s="25"/>
      <c r="P114" s="26"/>
      <c r="Q114" s="25"/>
      <c r="R114" s="25"/>
      <c r="S114" s="40"/>
      <c r="T114" s="18"/>
      <c r="U114" s="25"/>
      <c r="V114" s="84"/>
    </row>
    <row r="115" s="3" customFormat="1" customHeight="1" spans="1:22">
      <c r="A115" s="84"/>
      <c r="B115" s="25"/>
      <c r="C115" s="25"/>
      <c r="D115" s="25"/>
      <c r="E115" s="25"/>
      <c r="F115" s="25"/>
      <c r="G115" s="25"/>
      <c r="H115" s="25"/>
      <c r="I115" s="25"/>
      <c r="J115" s="25"/>
      <c r="K115" s="25"/>
      <c r="L115" s="25"/>
      <c r="M115" s="25"/>
      <c r="N115" s="25"/>
      <c r="O115" s="25"/>
      <c r="P115" s="26"/>
      <c r="Q115" s="25"/>
      <c r="R115" s="25"/>
      <c r="S115" s="40"/>
      <c r="T115" s="18"/>
      <c r="U115" s="25"/>
      <c r="V115" s="84"/>
    </row>
    <row r="116" s="3" customFormat="1" customHeight="1" spans="1:22">
      <c r="A116" s="84"/>
      <c r="B116" s="25"/>
      <c r="C116" s="25"/>
      <c r="D116" s="25"/>
      <c r="E116" s="25"/>
      <c r="F116" s="25"/>
      <c r="G116" s="25"/>
      <c r="H116" s="25"/>
      <c r="I116" s="25"/>
      <c r="J116" s="25"/>
      <c r="K116" s="25"/>
      <c r="L116" s="25"/>
      <c r="M116" s="25"/>
      <c r="N116" s="25"/>
      <c r="O116" s="25"/>
      <c r="P116" s="26"/>
      <c r="Q116" s="25"/>
      <c r="R116" s="25"/>
      <c r="S116" s="40"/>
      <c r="T116" s="18"/>
      <c r="U116" s="25"/>
      <c r="V116" s="84"/>
    </row>
    <row r="117" s="3" customFormat="1" customHeight="1" spans="1:22">
      <c r="A117" s="84"/>
      <c r="B117" s="25"/>
      <c r="C117" s="25"/>
      <c r="D117" s="25"/>
      <c r="E117" s="25"/>
      <c r="F117" s="25"/>
      <c r="G117" s="25"/>
      <c r="H117" s="25"/>
      <c r="I117" s="25"/>
      <c r="J117" s="25"/>
      <c r="K117" s="25"/>
      <c r="L117" s="25"/>
      <c r="M117" s="25"/>
      <c r="N117" s="25"/>
      <c r="O117" s="25"/>
      <c r="P117" s="26"/>
      <c r="Q117" s="25"/>
      <c r="R117" s="25"/>
      <c r="S117" s="40"/>
      <c r="T117" s="18"/>
      <c r="U117" s="25"/>
      <c r="V117" s="84"/>
    </row>
    <row r="118" s="3" customFormat="1" customHeight="1" spans="1:22">
      <c r="A118" s="84"/>
      <c r="B118" s="25"/>
      <c r="C118" s="25"/>
      <c r="D118" s="25"/>
      <c r="E118" s="25"/>
      <c r="F118" s="25"/>
      <c r="G118" s="25"/>
      <c r="H118" s="25"/>
      <c r="I118" s="25"/>
      <c r="J118" s="25"/>
      <c r="K118" s="25"/>
      <c r="L118" s="25"/>
      <c r="M118" s="25"/>
      <c r="N118" s="25"/>
      <c r="O118" s="25"/>
      <c r="P118" s="26"/>
      <c r="Q118" s="25"/>
      <c r="R118" s="25"/>
      <c r="S118" s="40"/>
      <c r="T118" s="18"/>
      <c r="U118" s="25"/>
      <c r="V118" s="84"/>
    </row>
    <row r="119" s="3" customFormat="1" customHeight="1" spans="1:22">
      <c r="A119" s="84"/>
      <c r="B119" s="25"/>
      <c r="C119" s="25"/>
      <c r="D119" s="25"/>
      <c r="E119" s="25"/>
      <c r="F119" s="25"/>
      <c r="G119" s="25"/>
      <c r="H119" s="25"/>
      <c r="I119" s="25"/>
      <c r="J119" s="25"/>
      <c r="K119" s="25"/>
      <c r="L119" s="25"/>
      <c r="M119" s="25"/>
      <c r="N119" s="25"/>
      <c r="O119" s="25"/>
      <c r="P119" s="26"/>
      <c r="Q119" s="25"/>
      <c r="R119" s="25"/>
      <c r="S119" s="40"/>
      <c r="T119" s="18"/>
      <c r="U119" s="25"/>
      <c r="V119" s="84"/>
    </row>
    <row r="120" s="3" customFormat="1" customHeight="1" spans="1:22">
      <c r="A120" s="84"/>
      <c r="B120" s="25"/>
      <c r="C120" s="25"/>
      <c r="D120" s="25"/>
      <c r="E120" s="25"/>
      <c r="F120" s="25"/>
      <c r="G120" s="25"/>
      <c r="H120" s="25"/>
      <c r="I120" s="25"/>
      <c r="J120" s="25"/>
      <c r="K120" s="25"/>
      <c r="L120" s="25"/>
      <c r="M120" s="25"/>
      <c r="N120" s="25"/>
      <c r="O120" s="25"/>
      <c r="P120" s="26"/>
      <c r="Q120" s="25"/>
      <c r="R120" s="25"/>
      <c r="S120" s="40"/>
      <c r="T120" s="18"/>
      <c r="U120" s="25"/>
      <c r="V120" s="84"/>
    </row>
    <row r="121" s="3" customFormat="1" customHeight="1" spans="1:22">
      <c r="A121" s="84"/>
      <c r="B121" s="25"/>
      <c r="C121" s="25"/>
      <c r="D121" s="25"/>
      <c r="E121" s="25"/>
      <c r="F121" s="25"/>
      <c r="G121" s="25"/>
      <c r="H121" s="25"/>
      <c r="I121" s="25"/>
      <c r="J121" s="25"/>
      <c r="K121" s="25"/>
      <c r="L121" s="25"/>
      <c r="M121" s="25"/>
      <c r="N121" s="25"/>
      <c r="O121" s="25"/>
      <c r="P121" s="26"/>
      <c r="Q121" s="25"/>
      <c r="R121" s="25"/>
      <c r="S121" s="40"/>
      <c r="T121" s="18"/>
      <c r="U121" s="25"/>
      <c r="V121" s="84"/>
    </row>
    <row r="122" s="3" customFormat="1" customHeight="1" spans="1:22">
      <c r="A122" s="84"/>
      <c r="B122" s="25"/>
      <c r="C122" s="25"/>
      <c r="D122" s="25"/>
      <c r="E122" s="25"/>
      <c r="F122" s="25"/>
      <c r="G122" s="25"/>
      <c r="H122" s="25"/>
      <c r="I122" s="25"/>
      <c r="J122" s="25"/>
      <c r="K122" s="25"/>
      <c r="L122" s="25"/>
      <c r="M122" s="25"/>
      <c r="N122" s="25"/>
      <c r="O122" s="25"/>
      <c r="P122" s="26"/>
      <c r="Q122" s="25"/>
      <c r="R122" s="25"/>
      <c r="S122" s="40"/>
      <c r="T122" s="18"/>
      <c r="U122" s="25"/>
      <c r="V122" s="84"/>
    </row>
    <row r="123" s="3" customFormat="1" customHeight="1" spans="1:22">
      <c r="A123" s="84">
        <v>26</v>
      </c>
      <c r="B123" s="175" t="s">
        <v>2400</v>
      </c>
      <c r="C123" s="175" t="s">
        <v>165</v>
      </c>
      <c r="D123" s="175" t="s">
        <v>2401</v>
      </c>
      <c r="E123" s="25">
        <v>18879267195</v>
      </c>
      <c r="F123" s="175" t="s">
        <v>156</v>
      </c>
      <c r="G123" s="175" t="s">
        <v>14</v>
      </c>
      <c r="H123" s="25">
        <v>202102001</v>
      </c>
      <c r="I123" s="175" t="s">
        <v>279</v>
      </c>
      <c r="J123" s="175" t="s">
        <v>339</v>
      </c>
      <c r="K123" s="175" t="s">
        <v>348</v>
      </c>
      <c r="L123" s="175" t="s">
        <v>170</v>
      </c>
      <c r="M123" s="175" t="s">
        <v>180</v>
      </c>
      <c r="N123" s="175" t="s">
        <v>14</v>
      </c>
      <c r="O123" s="175" t="s">
        <v>2403</v>
      </c>
      <c r="P123" s="26" t="str">
        <f>_xlfn.DISPIMG("ID_FE029F69B78E439BA992D666A5ADF87E",1)</f>
        <v>=DISPIMG("ID_FE029F69B78E439BA992D666A5ADF87E",1)</v>
      </c>
      <c r="Q123" s="25" t="s">
        <v>2404</v>
      </c>
      <c r="R123" s="25">
        <v>285</v>
      </c>
      <c r="S123" s="40" t="s">
        <v>4446</v>
      </c>
      <c r="T123" s="18" t="s">
        <v>43</v>
      </c>
      <c r="U123" s="25">
        <v>1</v>
      </c>
      <c r="V123" s="84">
        <v>63</v>
      </c>
    </row>
    <row r="124" s="3" customFormat="1" customHeight="1" spans="1:22">
      <c r="A124" s="84">
        <v>21</v>
      </c>
      <c r="B124" s="175" t="s">
        <v>1989</v>
      </c>
      <c r="C124" s="175" t="s">
        <v>165</v>
      </c>
      <c r="D124" s="175" t="s">
        <v>1990</v>
      </c>
      <c r="E124" s="25">
        <v>18720291086</v>
      </c>
      <c r="F124" s="175" t="s">
        <v>156</v>
      </c>
      <c r="G124" s="175" t="s">
        <v>14</v>
      </c>
      <c r="H124" s="25">
        <v>202102001</v>
      </c>
      <c r="I124" s="175" t="s">
        <v>279</v>
      </c>
      <c r="J124" s="175" t="s">
        <v>367</v>
      </c>
      <c r="K124" s="175" t="s">
        <v>348</v>
      </c>
      <c r="L124" s="175" t="s">
        <v>170</v>
      </c>
      <c r="M124" s="175" t="s">
        <v>180</v>
      </c>
      <c r="N124" s="175" t="s">
        <v>1992</v>
      </c>
      <c r="O124" s="175" t="s">
        <v>1993</v>
      </c>
      <c r="P124" s="26" t="str">
        <f>_xlfn.DISPIMG("ID_08685AD380B84575A97C010891A129EA",1)</f>
        <v>=DISPIMG("ID_08685AD380B84575A97C010891A129EA",1)</v>
      </c>
      <c r="Q124" s="25" t="s">
        <v>1994</v>
      </c>
      <c r="R124" s="25">
        <v>231</v>
      </c>
      <c r="S124" s="40" t="s">
        <v>4441</v>
      </c>
      <c r="T124" s="18" t="s">
        <v>43</v>
      </c>
      <c r="U124" s="25">
        <v>2</v>
      </c>
      <c r="V124" s="84">
        <v>85</v>
      </c>
    </row>
    <row r="125" s="3" customFormat="1" customHeight="1" spans="1:22">
      <c r="A125" s="84">
        <v>16</v>
      </c>
      <c r="B125" s="175" t="s">
        <v>1939</v>
      </c>
      <c r="C125" s="175" t="s">
        <v>165</v>
      </c>
      <c r="D125" s="175" t="s">
        <v>1940</v>
      </c>
      <c r="E125" s="25">
        <v>15727538228</v>
      </c>
      <c r="F125" s="175" t="s">
        <v>156</v>
      </c>
      <c r="G125" s="175" t="s">
        <v>14</v>
      </c>
      <c r="H125" s="25">
        <v>202102001</v>
      </c>
      <c r="I125" s="175" t="s">
        <v>157</v>
      </c>
      <c r="J125" s="175" t="s">
        <v>233</v>
      </c>
      <c r="K125" s="175" t="s">
        <v>454</v>
      </c>
      <c r="L125" s="175" t="s">
        <v>170</v>
      </c>
      <c r="M125" s="175" t="s">
        <v>1942</v>
      </c>
      <c r="N125" s="175" t="s">
        <v>498</v>
      </c>
      <c r="O125" s="175" t="s">
        <v>1943</v>
      </c>
      <c r="P125" s="26" t="str">
        <f>_xlfn.DISPIMG("ID_1C58977D34D3459483FD1AF3B2109430",1)</f>
        <v>=DISPIMG("ID_1C58977D34D3459483FD1AF3B2109430",1)</v>
      </c>
      <c r="Q125" s="25" t="s">
        <v>1944</v>
      </c>
      <c r="R125" s="25">
        <v>224</v>
      </c>
      <c r="S125" s="40" t="s">
        <v>4436</v>
      </c>
      <c r="T125" s="18" t="s">
        <v>43</v>
      </c>
      <c r="U125" s="25">
        <v>3</v>
      </c>
      <c r="V125" s="84">
        <v>77</v>
      </c>
    </row>
    <row r="126" s="3" customFormat="1" customHeight="1" spans="1:22">
      <c r="A126" s="84">
        <v>11</v>
      </c>
      <c r="B126" s="175" t="s">
        <v>1496</v>
      </c>
      <c r="C126" s="175" t="s">
        <v>165</v>
      </c>
      <c r="D126" s="175" t="s">
        <v>1497</v>
      </c>
      <c r="E126" s="25">
        <v>18770916920</v>
      </c>
      <c r="F126" s="175" t="s">
        <v>156</v>
      </c>
      <c r="G126" s="175" t="s">
        <v>14</v>
      </c>
      <c r="H126" s="25">
        <v>202102001</v>
      </c>
      <c r="I126" s="175" t="s">
        <v>157</v>
      </c>
      <c r="J126" s="175" t="s">
        <v>876</v>
      </c>
      <c r="K126" s="175" t="s">
        <v>1499</v>
      </c>
      <c r="L126" s="175" t="s">
        <v>160</v>
      </c>
      <c r="M126" s="175" t="s">
        <v>396</v>
      </c>
      <c r="N126" s="175" t="s">
        <v>14</v>
      </c>
      <c r="O126" s="25">
        <v>0</v>
      </c>
      <c r="P126" s="26" t="str">
        <f>_xlfn.DISPIMG("ID_F699C2D8D57643CC8A99CF3C2C6B152A",1)</f>
        <v>=DISPIMG("ID_F699C2D8D57643CC8A99CF3C2C6B152A",1)</v>
      </c>
      <c r="Q126" s="25" t="s">
        <v>1500</v>
      </c>
      <c r="R126" s="25">
        <v>166</v>
      </c>
      <c r="S126" s="40" t="s">
        <v>4431</v>
      </c>
      <c r="T126" s="18" t="s">
        <v>43</v>
      </c>
      <c r="U126" s="25">
        <v>4</v>
      </c>
      <c r="V126" s="84">
        <v>88</v>
      </c>
    </row>
    <row r="127" s="5" customFormat="1" customHeight="1" spans="1:22">
      <c r="A127" s="84">
        <v>6</v>
      </c>
      <c r="B127" s="175" t="s">
        <v>916</v>
      </c>
      <c r="C127" s="175" t="s">
        <v>165</v>
      </c>
      <c r="D127" s="175" t="s">
        <v>917</v>
      </c>
      <c r="E127" s="25">
        <v>15070951954</v>
      </c>
      <c r="F127" s="175" t="s">
        <v>156</v>
      </c>
      <c r="G127" s="175" t="s">
        <v>14</v>
      </c>
      <c r="H127" s="25">
        <v>202102001</v>
      </c>
      <c r="I127" s="175" t="s">
        <v>157</v>
      </c>
      <c r="J127" s="175" t="s">
        <v>233</v>
      </c>
      <c r="K127" s="175" t="s">
        <v>454</v>
      </c>
      <c r="L127" s="175" t="s">
        <v>160</v>
      </c>
      <c r="M127" s="175" t="s">
        <v>919</v>
      </c>
      <c r="N127" s="175" t="s">
        <v>14</v>
      </c>
      <c r="O127" s="175" t="s">
        <v>920</v>
      </c>
      <c r="P127" s="26" t="str">
        <f>_xlfn.DISPIMG("ID_ADE94A403A29454787C6186CC5AA20B8",1)</f>
        <v>=DISPIMG("ID_ADE94A403A29454787C6186CC5AA20B8",1)</v>
      </c>
      <c r="Q127" s="25" t="s">
        <v>921</v>
      </c>
      <c r="R127" s="25">
        <v>92</v>
      </c>
      <c r="S127" s="40" t="s">
        <v>4426</v>
      </c>
      <c r="T127" s="18" t="s">
        <v>43</v>
      </c>
      <c r="U127" s="25">
        <v>5</v>
      </c>
      <c r="V127" s="84">
        <v>87</v>
      </c>
    </row>
    <row r="128" s="3" customFormat="1" customHeight="1" spans="1:22">
      <c r="A128" s="84">
        <v>1</v>
      </c>
      <c r="B128" s="175" t="s">
        <v>635</v>
      </c>
      <c r="C128" s="175" t="s">
        <v>165</v>
      </c>
      <c r="D128" s="175" t="s">
        <v>636</v>
      </c>
      <c r="E128" s="25">
        <v>15070232391</v>
      </c>
      <c r="F128" s="175" t="s">
        <v>156</v>
      </c>
      <c r="G128" s="175" t="s">
        <v>14</v>
      </c>
      <c r="H128" s="25">
        <v>202102001</v>
      </c>
      <c r="I128" s="175" t="s">
        <v>279</v>
      </c>
      <c r="J128" s="175" t="s">
        <v>158</v>
      </c>
      <c r="K128" s="175" t="s">
        <v>348</v>
      </c>
      <c r="L128" s="175" t="s">
        <v>170</v>
      </c>
      <c r="M128" s="175" t="s">
        <v>548</v>
      </c>
      <c r="N128" s="175" t="s">
        <v>638</v>
      </c>
      <c r="O128" s="175" t="s">
        <v>639</v>
      </c>
      <c r="P128" s="26" t="str">
        <f>_xlfn.DISPIMG("ID_89E406E2AE894B018BFF7E7198130BCA",1)</f>
        <v>=DISPIMG("ID_89E406E2AE894B018BFF7E7198130BCA",1)</v>
      </c>
      <c r="Q128" s="25" t="s">
        <v>640</v>
      </c>
      <c r="R128" s="25">
        <v>58</v>
      </c>
      <c r="S128" s="40" t="s">
        <v>4413</v>
      </c>
      <c r="T128" s="18" t="s">
        <v>43</v>
      </c>
      <c r="U128" s="25">
        <v>6</v>
      </c>
      <c r="V128" s="84">
        <v>0</v>
      </c>
    </row>
    <row r="129" s="3" customFormat="1" customHeight="1" spans="1:22">
      <c r="A129" s="84">
        <v>2</v>
      </c>
      <c r="B129" s="175" t="s">
        <v>643</v>
      </c>
      <c r="C129" s="175" t="s">
        <v>165</v>
      </c>
      <c r="D129" s="175" t="s">
        <v>644</v>
      </c>
      <c r="E129" s="25">
        <v>17808826021</v>
      </c>
      <c r="F129" s="175" t="s">
        <v>156</v>
      </c>
      <c r="G129" s="175" t="s">
        <v>14</v>
      </c>
      <c r="H129" s="25">
        <v>202102001</v>
      </c>
      <c r="I129" s="175" t="s">
        <v>157</v>
      </c>
      <c r="J129" s="175" t="s">
        <v>646</v>
      </c>
      <c r="K129" s="175" t="s">
        <v>454</v>
      </c>
      <c r="L129" s="175" t="s">
        <v>160</v>
      </c>
      <c r="M129" s="175" t="s">
        <v>224</v>
      </c>
      <c r="N129" s="175" t="s">
        <v>14</v>
      </c>
      <c r="O129" s="175" t="s">
        <v>647</v>
      </c>
      <c r="P129" s="26" t="str">
        <f>_xlfn.DISPIMG("ID_905C387E694F4B30B6CB8B8291B01F38",1)</f>
        <v>=DISPIMG("ID_905C387E694F4B30B6CB8B8291B01F38",1)</v>
      </c>
      <c r="Q129" s="25" t="s">
        <v>648</v>
      </c>
      <c r="R129" s="25">
        <v>59</v>
      </c>
      <c r="S129" s="40" t="s">
        <v>4414</v>
      </c>
      <c r="T129" s="18" t="s">
        <v>43</v>
      </c>
      <c r="U129" s="25">
        <v>7</v>
      </c>
      <c r="V129" s="84">
        <v>0</v>
      </c>
    </row>
    <row r="130" s="3" customFormat="1" customHeight="1" spans="1:22">
      <c r="A130" s="84">
        <v>7</v>
      </c>
      <c r="B130" s="175" t="s">
        <v>1102</v>
      </c>
      <c r="C130" s="175" t="s">
        <v>165</v>
      </c>
      <c r="D130" s="175" t="s">
        <v>1103</v>
      </c>
      <c r="E130" s="25">
        <v>18890061239</v>
      </c>
      <c r="F130" s="175" t="s">
        <v>156</v>
      </c>
      <c r="G130" s="175" t="s">
        <v>14</v>
      </c>
      <c r="H130" s="25">
        <v>202102001</v>
      </c>
      <c r="I130" s="175" t="s">
        <v>157</v>
      </c>
      <c r="J130" s="175" t="s">
        <v>1105</v>
      </c>
      <c r="K130" s="175" t="s">
        <v>454</v>
      </c>
      <c r="L130" s="175" t="s">
        <v>160</v>
      </c>
      <c r="M130" s="175" t="s">
        <v>161</v>
      </c>
      <c r="N130" s="175" t="s">
        <v>14</v>
      </c>
      <c r="O130" s="25">
        <v>0</v>
      </c>
      <c r="P130" s="26" t="str">
        <f>_xlfn.DISPIMG("ID_85B66E0F069149898E44BCE57E5EBF40",1)</f>
        <v>=DISPIMG("ID_85B66E0F069149898E44BCE57E5EBF40",1)</v>
      </c>
      <c r="Q130" s="25" t="s">
        <v>1106</v>
      </c>
      <c r="R130" s="25">
        <v>115</v>
      </c>
      <c r="S130" s="40" t="s">
        <v>4427</v>
      </c>
      <c r="T130" s="18" t="s">
        <v>43</v>
      </c>
      <c r="U130" s="25">
        <v>8</v>
      </c>
      <c r="V130" s="84">
        <v>82</v>
      </c>
    </row>
    <row r="131" s="3" customFormat="1" customHeight="1" spans="1:22">
      <c r="A131" s="84">
        <v>12</v>
      </c>
      <c r="B131" s="175" t="s">
        <v>1542</v>
      </c>
      <c r="C131" s="175" t="s">
        <v>153</v>
      </c>
      <c r="D131" s="175" t="s">
        <v>1543</v>
      </c>
      <c r="E131" s="25">
        <v>15270866526</v>
      </c>
      <c r="F131" s="175" t="s">
        <v>156</v>
      </c>
      <c r="G131" s="175" t="s">
        <v>14</v>
      </c>
      <c r="H131" s="25">
        <v>202102001</v>
      </c>
      <c r="I131" s="175" t="s">
        <v>157</v>
      </c>
      <c r="J131" s="175" t="s">
        <v>1545</v>
      </c>
      <c r="K131" s="175" t="s">
        <v>1546</v>
      </c>
      <c r="L131" s="175" t="s">
        <v>170</v>
      </c>
      <c r="M131" s="175" t="s">
        <v>235</v>
      </c>
      <c r="N131" s="175" t="s">
        <v>1547</v>
      </c>
      <c r="O131" s="175" t="s">
        <v>1548</v>
      </c>
      <c r="P131" s="26" t="str">
        <f>_xlfn.DISPIMG("ID_08EA3F14C88D463E8A5342E5A111BC99",1)</f>
        <v>=DISPIMG("ID_08EA3F14C88D463E8A5342E5A111BC99",1)</v>
      </c>
      <c r="Q131" s="25" t="s">
        <v>1549</v>
      </c>
      <c r="R131" s="25">
        <v>172</v>
      </c>
      <c r="S131" s="40" t="s">
        <v>4432</v>
      </c>
      <c r="T131" s="18" t="s">
        <v>43</v>
      </c>
      <c r="U131" s="25">
        <v>9</v>
      </c>
      <c r="V131" s="84">
        <v>0</v>
      </c>
    </row>
    <row r="132" s="3" customFormat="1" customHeight="1" spans="1:22">
      <c r="A132" s="84">
        <v>17</v>
      </c>
      <c r="B132" s="175" t="s">
        <v>1947</v>
      </c>
      <c r="C132" s="175" t="s">
        <v>165</v>
      </c>
      <c r="D132" s="175" t="s">
        <v>1948</v>
      </c>
      <c r="E132" s="25">
        <v>15070578947</v>
      </c>
      <c r="F132" s="175" t="s">
        <v>156</v>
      </c>
      <c r="G132" s="175" t="s">
        <v>14</v>
      </c>
      <c r="H132" s="25">
        <v>202102001</v>
      </c>
      <c r="I132" s="175" t="s">
        <v>279</v>
      </c>
      <c r="J132" s="175" t="s">
        <v>1523</v>
      </c>
      <c r="K132" s="175" t="s">
        <v>1950</v>
      </c>
      <c r="L132" s="175" t="s">
        <v>170</v>
      </c>
      <c r="M132" s="175" t="s">
        <v>396</v>
      </c>
      <c r="N132" s="175" t="s">
        <v>14</v>
      </c>
      <c r="O132" s="175" t="s">
        <v>1951</v>
      </c>
      <c r="P132" s="26" t="str">
        <f>_xlfn.DISPIMG("ID_86A99051306F46439DFFA2E8604105B2",1)</f>
        <v>=DISPIMG("ID_86A99051306F46439DFFA2E8604105B2",1)</v>
      </c>
      <c r="Q132" s="25" t="s">
        <v>1952</v>
      </c>
      <c r="R132" s="25">
        <v>225</v>
      </c>
      <c r="S132" s="40" t="s">
        <v>4437</v>
      </c>
      <c r="T132" s="18" t="s">
        <v>43</v>
      </c>
      <c r="U132" s="25">
        <v>10</v>
      </c>
      <c r="V132" s="84">
        <v>84</v>
      </c>
    </row>
    <row r="133" s="3" customFormat="1" customHeight="1" spans="1:22">
      <c r="A133" s="84">
        <v>22</v>
      </c>
      <c r="B133" s="175" t="s">
        <v>2028</v>
      </c>
      <c r="C133" s="175" t="s">
        <v>165</v>
      </c>
      <c r="D133" s="175" t="s">
        <v>2029</v>
      </c>
      <c r="E133" s="25">
        <v>18379220348</v>
      </c>
      <c r="F133" s="175" t="s">
        <v>156</v>
      </c>
      <c r="G133" s="175" t="s">
        <v>14</v>
      </c>
      <c r="H133" s="25">
        <v>202102001</v>
      </c>
      <c r="I133" s="175" t="s">
        <v>157</v>
      </c>
      <c r="J133" s="175" t="s">
        <v>158</v>
      </c>
      <c r="K133" s="175" t="s">
        <v>1546</v>
      </c>
      <c r="L133" s="175" t="s">
        <v>170</v>
      </c>
      <c r="M133" s="175" t="s">
        <v>161</v>
      </c>
      <c r="N133" s="175" t="s">
        <v>2031</v>
      </c>
      <c r="O133" s="175" t="s">
        <v>2032</v>
      </c>
      <c r="P133" s="26" t="str">
        <f>_xlfn.DISPIMG("ID_23D2336FF3CB4EA6B1558E965302CC98",1)</f>
        <v>=DISPIMG("ID_23D2336FF3CB4EA6B1558E965302CC98",1)</v>
      </c>
      <c r="Q133" s="25" t="s">
        <v>2033</v>
      </c>
      <c r="R133" s="25">
        <v>236</v>
      </c>
      <c r="S133" s="40" t="s">
        <v>4442</v>
      </c>
      <c r="T133" s="18" t="s">
        <v>43</v>
      </c>
      <c r="U133" s="25">
        <v>11</v>
      </c>
      <c r="V133" s="84">
        <v>0</v>
      </c>
    </row>
    <row r="134" s="3" customFormat="1" customHeight="1" spans="1:22">
      <c r="A134" s="84">
        <v>27</v>
      </c>
      <c r="B134" s="175" t="s">
        <v>2430</v>
      </c>
      <c r="C134" s="175" t="s">
        <v>165</v>
      </c>
      <c r="D134" s="175" t="s">
        <v>2431</v>
      </c>
      <c r="E134" s="25">
        <v>18379086106</v>
      </c>
      <c r="F134" s="175" t="s">
        <v>156</v>
      </c>
      <c r="G134" s="175" t="s">
        <v>14</v>
      </c>
      <c r="H134" s="25">
        <v>202102001</v>
      </c>
      <c r="I134" s="175" t="s">
        <v>279</v>
      </c>
      <c r="J134" s="175" t="s">
        <v>178</v>
      </c>
      <c r="K134" s="175" t="s">
        <v>348</v>
      </c>
      <c r="L134" s="175" t="s">
        <v>170</v>
      </c>
      <c r="M134" s="175" t="s">
        <v>396</v>
      </c>
      <c r="N134" s="175" t="s">
        <v>14</v>
      </c>
      <c r="O134" s="175" t="s">
        <v>2433</v>
      </c>
      <c r="P134" s="26" t="str">
        <f>_xlfn.DISPIMG("ID_490114996A5646149508AE2796C7FCA8",1)</f>
        <v>=DISPIMG("ID_490114996A5646149508AE2796C7FCA8",1)</v>
      </c>
      <c r="Q134" s="25" t="s">
        <v>2434</v>
      </c>
      <c r="R134" s="25">
        <v>289</v>
      </c>
      <c r="S134" s="40" t="s">
        <v>4447</v>
      </c>
      <c r="T134" s="18" t="s">
        <v>43</v>
      </c>
      <c r="U134" s="25">
        <v>12</v>
      </c>
      <c r="V134" s="84">
        <v>0</v>
      </c>
    </row>
    <row r="135" s="3" customFormat="1" customHeight="1" spans="1:22">
      <c r="A135" s="84">
        <v>28</v>
      </c>
      <c r="B135" s="175" t="s">
        <v>2452</v>
      </c>
      <c r="C135" s="175" t="s">
        <v>165</v>
      </c>
      <c r="D135" s="175" t="s">
        <v>2453</v>
      </c>
      <c r="E135" s="25">
        <v>18720955003</v>
      </c>
      <c r="F135" s="175" t="s">
        <v>156</v>
      </c>
      <c r="G135" s="175" t="s">
        <v>14</v>
      </c>
      <c r="H135" s="25">
        <v>202102001</v>
      </c>
      <c r="I135" s="175" t="s">
        <v>157</v>
      </c>
      <c r="J135" s="175" t="s">
        <v>197</v>
      </c>
      <c r="K135" s="175" t="s">
        <v>454</v>
      </c>
      <c r="L135" s="175" t="s">
        <v>160</v>
      </c>
      <c r="M135" s="175" t="s">
        <v>216</v>
      </c>
      <c r="N135" s="175" t="s">
        <v>14</v>
      </c>
      <c r="O135" s="175" t="s">
        <v>2455</v>
      </c>
      <c r="P135" s="26" t="str">
        <f>_xlfn.DISPIMG("ID_FC7219DD86F84BE1856628C95CBE9A35",1)</f>
        <v>=DISPIMG("ID_FC7219DD86F84BE1856628C95CBE9A35",1)</v>
      </c>
      <c r="Q135" s="25" t="s">
        <v>2456</v>
      </c>
      <c r="R135" s="25">
        <v>292</v>
      </c>
      <c r="S135" s="40" t="s">
        <v>4448</v>
      </c>
      <c r="T135" s="18" t="s">
        <v>43</v>
      </c>
      <c r="U135" s="25">
        <v>13</v>
      </c>
      <c r="V135" s="84">
        <v>0</v>
      </c>
    </row>
    <row r="136" s="3" customFormat="1" customHeight="1" spans="1:22">
      <c r="A136" s="84">
        <v>23</v>
      </c>
      <c r="B136" s="175" t="s">
        <v>2053</v>
      </c>
      <c r="C136" s="175" t="s">
        <v>165</v>
      </c>
      <c r="D136" s="175" t="s">
        <v>2054</v>
      </c>
      <c r="E136" s="25">
        <v>15079910015</v>
      </c>
      <c r="F136" s="175" t="s">
        <v>156</v>
      </c>
      <c r="G136" s="175" t="s">
        <v>14</v>
      </c>
      <c r="H136" s="25">
        <v>202102001</v>
      </c>
      <c r="I136" s="175" t="s">
        <v>279</v>
      </c>
      <c r="J136" s="175" t="s">
        <v>1424</v>
      </c>
      <c r="K136" s="175" t="s">
        <v>348</v>
      </c>
      <c r="L136" s="175" t="s">
        <v>170</v>
      </c>
      <c r="M136" s="175" t="s">
        <v>199</v>
      </c>
      <c r="N136" s="175" t="s">
        <v>14</v>
      </c>
      <c r="O136" s="175" t="s">
        <v>2056</v>
      </c>
      <c r="P136" s="26" t="str">
        <f>_xlfn.DISPIMG("ID_4A26FAD7BD014883BE19E7EBABEADF70",1)</f>
        <v>=DISPIMG("ID_4A26FAD7BD014883BE19E7EBABEADF70",1)</v>
      </c>
      <c r="Q136" s="25" t="s">
        <v>2057</v>
      </c>
      <c r="R136" s="25">
        <v>239</v>
      </c>
      <c r="S136" s="40" t="s">
        <v>4443</v>
      </c>
      <c r="T136" s="18" t="s">
        <v>43</v>
      </c>
      <c r="U136" s="25">
        <v>14</v>
      </c>
      <c r="V136" s="84">
        <v>0</v>
      </c>
    </row>
    <row r="137" s="3" customFormat="1" customHeight="1" spans="1:22">
      <c r="A137" s="84">
        <v>18</v>
      </c>
      <c r="B137" s="175" t="s">
        <v>1955</v>
      </c>
      <c r="C137" s="175" t="s">
        <v>165</v>
      </c>
      <c r="D137" s="175" t="s">
        <v>1956</v>
      </c>
      <c r="E137" s="25">
        <v>13687028289</v>
      </c>
      <c r="F137" s="175" t="s">
        <v>156</v>
      </c>
      <c r="G137" s="175" t="s">
        <v>14</v>
      </c>
      <c r="H137" s="25">
        <v>202102001</v>
      </c>
      <c r="I137" s="175" t="s">
        <v>279</v>
      </c>
      <c r="J137" s="175" t="s">
        <v>339</v>
      </c>
      <c r="K137" s="175" t="s">
        <v>348</v>
      </c>
      <c r="L137" s="175" t="s">
        <v>170</v>
      </c>
      <c r="M137" s="175" t="s">
        <v>180</v>
      </c>
      <c r="N137" s="175" t="s">
        <v>638</v>
      </c>
      <c r="O137" s="175" t="s">
        <v>1958</v>
      </c>
      <c r="P137" s="26" t="str">
        <f>_xlfn.DISPIMG("ID_2D011236909B4AB48CEACAF4EB3A9013",1)</f>
        <v>=DISPIMG("ID_2D011236909B4AB48CEACAF4EB3A9013",1)</v>
      </c>
      <c r="Q137" s="25" t="s">
        <v>1959</v>
      </c>
      <c r="R137" s="25">
        <v>226</v>
      </c>
      <c r="S137" s="40" t="s">
        <v>4438</v>
      </c>
      <c r="T137" s="18" t="s">
        <v>43</v>
      </c>
      <c r="U137" s="25">
        <v>15</v>
      </c>
      <c r="V137" s="84">
        <v>0</v>
      </c>
    </row>
    <row r="138" s="3" customFormat="1" customHeight="1" spans="1:22">
      <c r="A138" s="84">
        <v>13</v>
      </c>
      <c r="B138" s="175" t="s">
        <v>1697</v>
      </c>
      <c r="C138" s="175" t="s">
        <v>165</v>
      </c>
      <c r="D138" s="175" t="s">
        <v>1698</v>
      </c>
      <c r="E138" s="25">
        <v>13732925421</v>
      </c>
      <c r="F138" s="175" t="s">
        <v>156</v>
      </c>
      <c r="G138" s="175" t="s">
        <v>14</v>
      </c>
      <c r="H138" s="25">
        <v>202102001</v>
      </c>
      <c r="I138" s="175" t="s">
        <v>157</v>
      </c>
      <c r="J138" s="175" t="s">
        <v>1654</v>
      </c>
      <c r="K138" s="175" t="s">
        <v>1700</v>
      </c>
      <c r="L138" s="175" t="s">
        <v>160</v>
      </c>
      <c r="M138" s="175" t="s">
        <v>235</v>
      </c>
      <c r="N138" s="175" t="s">
        <v>1701</v>
      </c>
      <c r="O138" s="175" t="s">
        <v>1702</v>
      </c>
      <c r="P138" s="26" t="str">
        <f>_xlfn.DISPIMG("ID_9C3AAF7BA09C4626832FC4C49E6F802D",1)</f>
        <v>=DISPIMG("ID_9C3AAF7BA09C4626832FC4C49E6F802D",1)</v>
      </c>
      <c r="Q138" s="25" t="s">
        <v>1703</v>
      </c>
      <c r="R138" s="25">
        <v>192</v>
      </c>
      <c r="S138" s="40" t="s">
        <v>4433</v>
      </c>
      <c r="T138" s="18" t="s">
        <v>43</v>
      </c>
      <c r="U138" s="25">
        <v>16</v>
      </c>
      <c r="V138" s="84">
        <v>0</v>
      </c>
    </row>
    <row r="139" s="3" customFormat="1" customHeight="1" spans="1:22">
      <c r="A139" s="84">
        <v>8</v>
      </c>
      <c r="B139" s="175" t="s">
        <v>1255</v>
      </c>
      <c r="C139" s="175" t="s">
        <v>165</v>
      </c>
      <c r="D139" s="175" t="s">
        <v>1256</v>
      </c>
      <c r="E139" s="25">
        <v>18370224457</v>
      </c>
      <c r="F139" s="175" t="s">
        <v>506</v>
      </c>
      <c r="G139" s="175" t="s">
        <v>14</v>
      </c>
      <c r="H139" s="25">
        <v>202102014</v>
      </c>
      <c r="I139" s="175" t="s">
        <v>279</v>
      </c>
      <c r="J139" s="175" t="s">
        <v>1258</v>
      </c>
      <c r="K139" s="175" t="s">
        <v>348</v>
      </c>
      <c r="L139" s="175" t="s">
        <v>170</v>
      </c>
      <c r="M139" s="175" t="s">
        <v>161</v>
      </c>
      <c r="N139" s="175" t="s">
        <v>121</v>
      </c>
      <c r="O139" s="175" t="s">
        <v>1259</v>
      </c>
      <c r="P139" s="26" t="str">
        <f>_xlfn.DISPIMG("ID_AF9D4A23BC36463DA48841C24B1BEB6F",1)</f>
        <v>=DISPIMG("ID_AF9D4A23BC36463DA48841C24B1BEB6F",1)</v>
      </c>
      <c r="Q139" s="25" t="s">
        <v>1260</v>
      </c>
      <c r="R139" s="25">
        <v>134</v>
      </c>
      <c r="S139" s="40" t="s">
        <v>4428</v>
      </c>
      <c r="T139" s="18" t="s">
        <v>43</v>
      </c>
      <c r="U139" s="25">
        <v>17</v>
      </c>
      <c r="V139" s="84">
        <v>0</v>
      </c>
    </row>
    <row r="140" s="3" customFormat="1" customHeight="1" spans="1:22">
      <c r="A140" s="84">
        <v>3</v>
      </c>
      <c r="B140" s="175" t="s">
        <v>651</v>
      </c>
      <c r="C140" s="175" t="s">
        <v>165</v>
      </c>
      <c r="D140" s="175" t="s">
        <v>652</v>
      </c>
      <c r="E140" s="25">
        <v>13677913381</v>
      </c>
      <c r="F140" s="175" t="s">
        <v>156</v>
      </c>
      <c r="G140" s="175" t="s">
        <v>14</v>
      </c>
      <c r="H140" s="25">
        <v>202102001</v>
      </c>
      <c r="I140" s="175" t="s">
        <v>279</v>
      </c>
      <c r="J140" s="175" t="s">
        <v>339</v>
      </c>
      <c r="K140" s="175" t="s">
        <v>348</v>
      </c>
      <c r="L140" s="175" t="s">
        <v>170</v>
      </c>
      <c r="M140" s="175" t="s">
        <v>171</v>
      </c>
      <c r="N140" s="175" t="s">
        <v>654</v>
      </c>
      <c r="O140" s="175" t="s">
        <v>655</v>
      </c>
      <c r="P140" s="26" t="str">
        <f>_xlfn.DISPIMG("ID_F245B8B6D20E4BBA8409FA8C63902E06",1)</f>
        <v>=DISPIMG("ID_F245B8B6D20E4BBA8409FA8C63902E06",1)</v>
      </c>
      <c r="Q140" s="25" t="s">
        <v>656</v>
      </c>
      <c r="R140" s="25">
        <v>60</v>
      </c>
      <c r="S140" s="40" t="s">
        <v>4417</v>
      </c>
      <c r="T140" s="18" t="s">
        <v>43</v>
      </c>
      <c r="U140" s="25">
        <v>18</v>
      </c>
      <c r="V140" s="84">
        <v>81</v>
      </c>
    </row>
    <row r="141" s="3" customFormat="1" customHeight="1" spans="1:22">
      <c r="A141" s="84">
        <v>4</v>
      </c>
      <c r="B141" s="175" t="s">
        <v>687</v>
      </c>
      <c r="C141" s="175" t="s">
        <v>153</v>
      </c>
      <c r="D141" s="175" t="s">
        <v>688</v>
      </c>
      <c r="E141" s="25">
        <v>18370106328</v>
      </c>
      <c r="F141" s="175" t="s">
        <v>156</v>
      </c>
      <c r="G141" s="175" t="s">
        <v>14</v>
      </c>
      <c r="H141" s="25">
        <v>202102001</v>
      </c>
      <c r="I141" s="175" t="s">
        <v>279</v>
      </c>
      <c r="J141" s="175" t="s">
        <v>158</v>
      </c>
      <c r="K141" s="175" t="s">
        <v>348</v>
      </c>
      <c r="L141" s="175" t="s">
        <v>170</v>
      </c>
      <c r="M141" s="175" t="s">
        <v>281</v>
      </c>
      <c r="N141" s="175" t="s">
        <v>689</v>
      </c>
      <c r="O141" s="175" t="s">
        <v>690</v>
      </c>
      <c r="P141" s="26" t="str">
        <f>_xlfn.DISPIMG("ID_54204C01855F423A99B7E1E3FD940E61",1)</f>
        <v>=DISPIMG("ID_54204C01855F423A99B7E1E3FD940E61",1)</v>
      </c>
      <c r="Q141" s="25" t="s">
        <v>691</v>
      </c>
      <c r="R141" s="25">
        <v>64</v>
      </c>
      <c r="S141" s="40" t="s">
        <v>4420</v>
      </c>
      <c r="T141" s="18" t="s">
        <v>43</v>
      </c>
      <c r="U141" s="25">
        <v>19</v>
      </c>
      <c r="V141" s="84">
        <v>74</v>
      </c>
    </row>
    <row r="142" s="3" customFormat="1" customHeight="1" spans="1:22">
      <c r="A142" s="84">
        <v>9</v>
      </c>
      <c r="B142" s="175" t="s">
        <v>1350</v>
      </c>
      <c r="C142" s="175" t="s">
        <v>165</v>
      </c>
      <c r="D142" s="175" t="s">
        <v>1351</v>
      </c>
      <c r="E142" s="25">
        <v>13767415091</v>
      </c>
      <c r="F142" s="175" t="s">
        <v>156</v>
      </c>
      <c r="G142" s="175" t="s">
        <v>14</v>
      </c>
      <c r="H142" s="25">
        <v>202102001</v>
      </c>
      <c r="I142" s="175" t="s">
        <v>157</v>
      </c>
      <c r="J142" s="175" t="s">
        <v>827</v>
      </c>
      <c r="K142" s="175" t="s">
        <v>223</v>
      </c>
      <c r="L142" s="175" t="s">
        <v>170</v>
      </c>
      <c r="M142" s="175" t="s">
        <v>306</v>
      </c>
      <c r="N142" s="175" t="s">
        <v>1353</v>
      </c>
      <c r="O142" s="25">
        <v>0</v>
      </c>
      <c r="P142" s="26" t="str">
        <f>_xlfn.DISPIMG("ID_7AB2E23FEFF940D9992E8955A95BEDD5",1)</f>
        <v>=DISPIMG("ID_7AB2E23FEFF940D9992E8955A95BEDD5",1)</v>
      </c>
      <c r="Q142" s="25" t="s">
        <v>1354</v>
      </c>
      <c r="R142" s="25">
        <v>147</v>
      </c>
      <c r="S142" s="40" t="s">
        <v>4429</v>
      </c>
      <c r="T142" s="18" t="s">
        <v>43</v>
      </c>
      <c r="U142" s="25">
        <v>20</v>
      </c>
      <c r="V142" s="84">
        <v>85</v>
      </c>
    </row>
    <row r="143" s="3" customFormat="1" customHeight="1" spans="1:22">
      <c r="A143" s="84">
        <v>14</v>
      </c>
      <c r="B143" s="175" t="s">
        <v>1723</v>
      </c>
      <c r="C143" s="175" t="s">
        <v>165</v>
      </c>
      <c r="D143" s="175" t="s">
        <v>1724</v>
      </c>
      <c r="E143" s="25">
        <v>13697028942</v>
      </c>
      <c r="F143" s="175" t="s">
        <v>156</v>
      </c>
      <c r="G143" s="175" t="s">
        <v>14</v>
      </c>
      <c r="H143" s="25">
        <v>202102001</v>
      </c>
      <c r="I143" s="175" t="s">
        <v>157</v>
      </c>
      <c r="J143" s="175" t="s">
        <v>827</v>
      </c>
      <c r="K143" s="175" t="s">
        <v>454</v>
      </c>
      <c r="L143" s="175" t="s">
        <v>170</v>
      </c>
      <c r="M143" s="175" t="s">
        <v>261</v>
      </c>
      <c r="N143" s="175" t="s">
        <v>26</v>
      </c>
      <c r="O143" s="25">
        <v>0</v>
      </c>
      <c r="P143" s="26" t="str">
        <f>_xlfn.DISPIMG("ID_9F3C5B09040D438283C530134A5BD84D",1)</f>
        <v>=DISPIMG("ID_9F3C5B09040D438283C530134A5BD84D",1)</v>
      </c>
      <c r="Q143" s="25" t="s">
        <v>1726</v>
      </c>
      <c r="R143" s="25">
        <v>195</v>
      </c>
      <c r="S143" s="40" t="s">
        <v>4434</v>
      </c>
      <c r="T143" s="18" t="s">
        <v>43</v>
      </c>
      <c r="U143" s="25">
        <v>21</v>
      </c>
      <c r="V143" s="84">
        <v>87</v>
      </c>
    </row>
    <row r="144" s="3" customFormat="1" customHeight="1" spans="1:22">
      <c r="A144" s="84">
        <v>19</v>
      </c>
      <c r="B144" s="175" t="s">
        <v>1962</v>
      </c>
      <c r="C144" s="175" t="s">
        <v>165</v>
      </c>
      <c r="D144" s="175" t="s">
        <v>1963</v>
      </c>
      <c r="E144" s="25">
        <v>18279199773</v>
      </c>
      <c r="F144" s="175" t="s">
        <v>156</v>
      </c>
      <c r="G144" s="175" t="s">
        <v>14</v>
      </c>
      <c r="H144" s="25">
        <v>202102001</v>
      </c>
      <c r="I144" s="175" t="s">
        <v>157</v>
      </c>
      <c r="J144" s="175" t="s">
        <v>1121</v>
      </c>
      <c r="K144" s="175" t="s">
        <v>813</v>
      </c>
      <c r="L144" s="175" t="s">
        <v>160</v>
      </c>
      <c r="M144" s="175" t="s">
        <v>199</v>
      </c>
      <c r="N144" s="175" t="s">
        <v>14</v>
      </c>
      <c r="O144" s="175" t="s">
        <v>1965</v>
      </c>
      <c r="P144" s="26" t="str">
        <f>_xlfn.DISPIMG("ID_978F05F9424741AE81F8E8335A7E991E",1)</f>
        <v>=DISPIMG("ID_978F05F9424741AE81F8E8335A7E991E",1)</v>
      </c>
      <c r="Q144" s="25" t="s">
        <v>1966</v>
      </c>
      <c r="R144" s="25">
        <v>227</v>
      </c>
      <c r="S144" s="40" t="s">
        <v>4439</v>
      </c>
      <c r="T144" s="18" t="s">
        <v>43</v>
      </c>
      <c r="U144" s="25">
        <v>22</v>
      </c>
      <c r="V144" s="84">
        <v>87</v>
      </c>
    </row>
    <row r="145" s="3" customFormat="1" customHeight="1" spans="1:22">
      <c r="A145" s="84">
        <v>24</v>
      </c>
      <c r="B145" s="175" t="s">
        <v>2165</v>
      </c>
      <c r="C145" s="175" t="s">
        <v>165</v>
      </c>
      <c r="D145" s="175" t="s">
        <v>2166</v>
      </c>
      <c r="E145" s="25">
        <v>15270256109</v>
      </c>
      <c r="F145" s="175" t="s">
        <v>156</v>
      </c>
      <c r="G145" s="175" t="s">
        <v>14</v>
      </c>
      <c r="H145" s="25">
        <v>202102001</v>
      </c>
      <c r="I145" s="175" t="s">
        <v>279</v>
      </c>
      <c r="J145" s="175" t="s">
        <v>158</v>
      </c>
      <c r="K145" s="175" t="s">
        <v>348</v>
      </c>
      <c r="L145" s="175" t="s">
        <v>170</v>
      </c>
      <c r="M145" s="175" t="s">
        <v>306</v>
      </c>
      <c r="N145" s="175" t="s">
        <v>638</v>
      </c>
      <c r="O145" s="175" t="s">
        <v>2168</v>
      </c>
      <c r="P145" s="26" t="str">
        <f>_xlfn.DISPIMG("ID_3CABC7DA53ED4401B09BC2C27086B239",1)</f>
        <v>=DISPIMG("ID_3CABC7DA53ED4401B09BC2C27086B239",1)</v>
      </c>
      <c r="Q145" s="25" t="s">
        <v>2169</v>
      </c>
      <c r="R145" s="25">
        <v>254</v>
      </c>
      <c r="S145" s="40" t="s">
        <v>4444</v>
      </c>
      <c r="T145" s="18" t="s">
        <v>43</v>
      </c>
      <c r="U145" s="25">
        <v>23</v>
      </c>
      <c r="V145" s="84">
        <v>86</v>
      </c>
    </row>
    <row r="146" s="3" customFormat="1" customHeight="1" spans="1:22">
      <c r="A146" s="84">
        <v>29</v>
      </c>
      <c r="B146" s="175" t="s">
        <v>2466</v>
      </c>
      <c r="C146" s="175" t="s">
        <v>165</v>
      </c>
      <c r="D146" s="175" t="s">
        <v>2467</v>
      </c>
      <c r="E146" s="25">
        <v>18296295635</v>
      </c>
      <c r="F146" s="175" t="s">
        <v>156</v>
      </c>
      <c r="G146" s="175" t="s">
        <v>14</v>
      </c>
      <c r="H146" s="25">
        <v>202102001</v>
      </c>
      <c r="I146" s="175" t="s">
        <v>279</v>
      </c>
      <c r="J146" s="175" t="s">
        <v>233</v>
      </c>
      <c r="K146" s="175" t="s">
        <v>348</v>
      </c>
      <c r="L146" s="175" t="s">
        <v>170</v>
      </c>
      <c r="M146" s="175" t="s">
        <v>368</v>
      </c>
      <c r="N146" s="175" t="s">
        <v>14</v>
      </c>
      <c r="O146" s="175" t="s">
        <v>2469</v>
      </c>
      <c r="P146" s="26" t="str">
        <f>_xlfn.DISPIMG("ID_F16EE101B40044CF89D1DFEEC618BA53",1)</f>
        <v>=DISPIMG("ID_F16EE101B40044CF89D1DFEEC618BA53",1)</v>
      </c>
      <c r="Q146" s="25" t="s">
        <v>2470</v>
      </c>
      <c r="R146" s="25">
        <v>294</v>
      </c>
      <c r="S146" s="40" t="s">
        <v>4449</v>
      </c>
      <c r="T146" s="18" t="s">
        <v>43</v>
      </c>
      <c r="U146" s="25">
        <v>24</v>
      </c>
      <c r="V146" s="84">
        <v>0</v>
      </c>
    </row>
    <row r="147" s="3" customFormat="1" customHeight="1" spans="1:22">
      <c r="A147" s="84">
        <v>30</v>
      </c>
      <c r="B147" s="175" t="s">
        <v>2562</v>
      </c>
      <c r="C147" s="175" t="s">
        <v>165</v>
      </c>
      <c r="D147" s="175" t="s">
        <v>2563</v>
      </c>
      <c r="E147" s="25">
        <v>18279531380</v>
      </c>
      <c r="F147" s="175" t="s">
        <v>156</v>
      </c>
      <c r="G147" s="175" t="s">
        <v>14</v>
      </c>
      <c r="H147" s="25">
        <v>202102001</v>
      </c>
      <c r="I147" s="175" t="s">
        <v>705</v>
      </c>
      <c r="J147" s="175" t="s">
        <v>2565</v>
      </c>
      <c r="K147" s="175" t="s">
        <v>790</v>
      </c>
      <c r="L147" s="175" t="s">
        <v>160</v>
      </c>
      <c r="M147" s="175" t="s">
        <v>455</v>
      </c>
      <c r="N147" s="175" t="s">
        <v>14</v>
      </c>
      <c r="O147" s="175" t="s">
        <v>2566</v>
      </c>
      <c r="P147" s="26" t="str">
        <f>_xlfn.DISPIMG("ID_DA928F2BE2B24AF3ABF5D40BAC268946",1)</f>
        <v>=DISPIMG("ID_DA928F2BE2B24AF3ABF5D40BAC268946",1)</v>
      </c>
      <c r="Q147" s="25" t="s">
        <v>2567</v>
      </c>
      <c r="R147" s="25">
        <v>307</v>
      </c>
      <c r="S147" s="40" t="s">
        <v>4450</v>
      </c>
      <c r="T147" s="18" t="s">
        <v>43</v>
      </c>
      <c r="U147" s="25">
        <v>25</v>
      </c>
      <c r="V147" s="84">
        <v>0</v>
      </c>
    </row>
    <row r="148" s="3" customFormat="1" customHeight="1" spans="1:22">
      <c r="A148" s="84">
        <v>25</v>
      </c>
      <c r="B148" s="175" t="s">
        <v>2218</v>
      </c>
      <c r="C148" s="175" t="s">
        <v>165</v>
      </c>
      <c r="D148" s="175" t="s">
        <v>2219</v>
      </c>
      <c r="E148" s="25">
        <v>15179156312</v>
      </c>
      <c r="F148" s="175" t="s">
        <v>156</v>
      </c>
      <c r="G148" s="175" t="s">
        <v>14</v>
      </c>
      <c r="H148" s="25">
        <v>202102001</v>
      </c>
      <c r="I148" s="175" t="s">
        <v>157</v>
      </c>
      <c r="J148" s="175" t="s">
        <v>233</v>
      </c>
      <c r="K148" s="175" t="s">
        <v>1195</v>
      </c>
      <c r="L148" s="175" t="s">
        <v>160</v>
      </c>
      <c r="M148" s="175" t="s">
        <v>2221</v>
      </c>
      <c r="N148" s="175" t="s">
        <v>638</v>
      </c>
      <c r="O148" s="175" t="s">
        <v>2222</v>
      </c>
      <c r="P148" s="26" t="str">
        <f>_xlfn.DISPIMG("ID_D4DBACC4389B49D6B9C508C515595D5D",1)</f>
        <v>=DISPIMG("ID_D4DBACC4389B49D6B9C508C515595D5D",1)</v>
      </c>
      <c r="Q148" s="25" t="s">
        <v>2223</v>
      </c>
      <c r="R148" s="25">
        <v>261</v>
      </c>
      <c r="S148" s="40" t="s">
        <v>4445</v>
      </c>
      <c r="T148" s="18" t="s">
        <v>43</v>
      </c>
      <c r="U148" s="25">
        <v>26</v>
      </c>
      <c r="V148" s="84">
        <v>81</v>
      </c>
    </row>
    <row r="149" s="3" customFormat="1" customHeight="1" spans="1:22">
      <c r="A149" s="84">
        <v>20</v>
      </c>
      <c r="B149" s="175" t="s">
        <v>1983</v>
      </c>
      <c r="C149" s="175" t="s">
        <v>165</v>
      </c>
      <c r="D149" s="175" t="s">
        <v>1984</v>
      </c>
      <c r="E149" s="25">
        <v>15070924105</v>
      </c>
      <c r="F149" s="175" t="s">
        <v>156</v>
      </c>
      <c r="G149" s="175" t="s">
        <v>14</v>
      </c>
      <c r="H149" s="25">
        <v>202102001</v>
      </c>
      <c r="I149" s="175" t="s">
        <v>279</v>
      </c>
      <c r="J149" s="175" t="s">
        <v>515</v>
      </c>
      <c r="K149" s="175" t="s">
        <v>223</v>
      </c>
      <c r="L149" s="175" t="s">
        <v>170</v>
      </c>
      <c r="M149" s="175" t="s">
        <v>224</v>
      </c>
      <c r="N149" s="175" t="s">
        <v>14</v>
      </c>
      <c r="O149" s="25">
        <v>0</v>
      </c>
      <c r="P149" s="26" t="str">
        <f>_xlfn.DISPIMG("ID_88D6D1C166864D0C988B38CB94A18A2D",1)</f>
        <v>=DISPIMG("ID_88D6D1C166864D0C988B38CB94A18A2D",1)</v>
      </c>
      <c r="Q149" s="25" t="s">
        <v>1986</v>
      </c>
      <c r="R149" s="25">
        <v>230</v>
      </c>
      <c r="S149" s="40" t="s">
        <v>4440</v>
      </c>
      <c r="T149" s="18" t="s">
        <v>43</v>
      </c>
      <c r="U149" s="25">
        <v>27</v>
      </c>
      <c r="V149" s="84">
        <v>0</v>
      </c>
    </row>
    <row r="150" s="3" customFormat="1" customHeight="1" spans="1:22">
      <c r="A150" s="84">
        <v>15</v>
      </c>
      <c r="B150" s="175" t="s">
        <v>1828</v>
      </c>
      <c r="C150" s="175" t="s">
        <v>165</v>
      </c>
      <c r="D150" s="175" t="s">
        <v>1829</v>
      </c>
      <c r="E150" s="25">
        <v>18797851564</v>
      </c>
      <c r="F150" s="175" t="s">
        <v>156</v>
      </c>
      <c r="G150" s="175" t="s">
        <v>14</v>
      </c>
      <c r="H150" s="25">
        <v>202102001</v>
      </c>
      <c r="I150" s="175" t="s">
        <v>157</v>
      </c>
      <c r="J150" s="175" t="s">
        <v>1831</v>
      </c>
      <c r="K150" s="175" t="s">
        <v>1832</v>
      </c>
      <c r="L150" s="175" t="s">
        <v>160</v>
      </c>
      <c r="M150" s="175" t="s">
        <v>171</v>
      </c>
      <c r="N150" s="175" t="s">
        <v>14</v>
      </c>
      <c r="O150" s="175" t="s">
        <v>1833</v>
      </c>
      <c r="P150" s="26" t="str">
        <f>_xlfn.DISPIMG("ID_9C01FBB9DB4A4DB19EA599EA9C699E26",1)</f>
        <v>=DISPIMG("ID_9C01FBB9DB4A4DB19EA599EA9C699E26",1)</v>
      </c>
      <c r="Q150" s="25" t="s">
        <v>1834</v>
      </c>
      <c r="R150" s="25">
        <v>209</v>
      </c>
      <c r="S150" s="40" t="s">
        <v>4435</v>
      </c>
      <c r="T150" s="18" t="s">
        <v>43</v>
      </c>
      <c r="U150" s="25">
        <v>28</v>
      </c>
      <c r="V150" s="84">
        <v>0</v>
      </c>
    </row>
    <row r="151" s="3" customFormat="1" customHeight="1" spans="1:22">
      <c r="A151" s="84">
        <v>10</v>
      </c>
      <c r="B151" s="175" t="s">
        <v>1380</v>
      </c>
      <c r="C151" s="175" t="s">
        <v>165</v>
      </c>
      <c r="D151" s="175" t="s">
        <v>1381</v>
      </c>
      <c r="E151" s="25">
        <v>15279288135</v>
      </c>
      <c r="F151" s="175" t="s">
        <v>156</v>
      </c>
      <c r="G151" s="175" t="s">
        <v>14</v>
      </c>
      <c r="H151" s="25">
        <v>202102001</v>
      </c>
      <c r="I151" s="175" t="s">
        <v>279</v>
      </c>
      <c r="J151" s="175" t="s">
        <v>339</v>
      </c>
      <c r="K151" s="175" t="s">
        <v>348</v>
      </c>
      <c r="L151" s="175" t="s">
        <v>170</v>
      </c>
      <c r="M151" s="175" t="s">
        <v>368</v>
      </c>
      <c r="N151" s="175" t="s">
        <v>350</v>
      </c>
      <c r="O151" s="175" t="s">
        <v>1383</v>
      </c>
      <c r="P151" s="26" t="str">
        <f>_xlfn.DISPIMG("ID_05A4371881E64A5ABCF18AC5C0DCA23F",1)</f>
        <v>=DISPIMG("ID_05A4371881E64A5ABCF18AC5C0DCA23F",1)</v>
      </c>
      <c r="Q151" s="25" t="s">
        <v>1384</v>
      </c>
      <c r="R151" s="25">
        <v>151</v>
      </c>
      <c r="S151" s="40" t="s">
        <v>4430</v>
      </c>
      <c r="T151" s="18" t="s">
        <v>43</v>
      </c>
      <c r="U151" s="25">
        <v>29</v>
      </c>
      <c r="V151" s="84">
        <v>0</v>
      </c>
    </row>
    <row r="152" s="3" customFormat="1" customHeight="1" spans="1:22">
      <c r="A152" s="84">
        <v>5</v>
      </c>
      <c r="B152" s="175" t="s">
        <v>738</v>
      </c>
      <c r="C152" s="175" t="s">
        <v>165</v>
      </c>
      <c r="D152" s="175" t="s">
        <v>739</v>
      </c>
      <c r="E152" s="25">
        <v>15279225160</v>
      </c>
      <c r="F152" s="175" t="s">
        <v>156</v>
      </c>
      <c r="G152" s="175" t="s">
        <v>14</v>
      </c>
      <c r="H152" s="25">
        <v>202102001</v>
      </c>
      <c r="I152" s="175" t="s">
        <v>279</v>
      </c>
      <c r="J152" s="175" t="s">
        <v>576</v>
      </c>
      <c r="K152" s="175" t="s">
        <v>348</v>
      </c>
      <c r="L152" s="175" t="s">
        <v>170</v>
      </c>
      <c r="M152" s="175" t="s">
        <v>224</v>
      </c>
      <c r="N152" s="175" t="s">
        <v>741</v>
      </c>
      <c r="O152" s="175" t="s">
        <v>742</v>
      </c>
      <c r="P152" s="26" t="str">
        <f>_xlfn.DISPIMG("ID_05F523224C924653A8F56CD5737A4E8C",1)</f>
        <v>=DISPIMG("ID_05F523224C924653A8F56CD5737A4E8C",1)</v>
      </c>
      <c r="Q152" s="25" t="s">
        <v>743</v>
      </c>
      <c r="R152" s="25">
        <v>70</v>
      </c>
      <c r="S152" s="40" t="s">
        <v>4423</v>
      </c>
      <c r="T152" s="18" t="s">
        <v>43</v>
      </c>
      <c r="U152" s="25">
        <v>30</v>
      </c>
      <c r="V152" s="85">
        <v>54</v>
      </c>
    </row>
    <row r="153" s="3" customFormat="1" customHeight="1" spans="1:22">
      <c r="A153" s="84">
        <v>26</v>
      </c>
      <c r="B153" s="175" t="s">
        <v>4082</v>
      </c>
      <c r="C153" s="175" t="s">
        <v>165</v>
      </c>
      <c r="D153" s="175" t="s">
        <v>4083</v>
      </c>
      <c r="E153" s="25">
        <v>17352963741</v>
      </c>
      <c r="F153" s="175" t="s">
        <v>506</v>
      </c>
      <c r="G153" s="175" t="s">
        <v>14</v>
      </c>
      <c r="H153" s="25">
        <v>202102014</v>
      </c>
      <c r="I153" s="175" t="s">
        <v>157</v>
      </c>
      <c r="J153" s="175" t="s">
        <v>178</v>
      </c>
      <c r="K153" s="175" t="s">
        <v>348</v>
      </c>
      <c r="L153" s="175" t="s">
        <v>170</v>
      </c>
      <c r="M153" s="175" t="s">
        <v>548</v>
      </c>
      <c r="N153" s="175" t="s">
        <v>4084</v>
      </c>
      <c r="O153" s="175" t="s">
        <v>4085</v>
      </c>
      <c r="P153" s="26" t="str">
        <f>_xlfn.DISPIMG("ID_C5311387C2FF404D8FA717D4979E175B",1)</f>
        <v>=DISPIMG("ID_C5311387C2FF404D8FA717D4979E175B",1)</v>
      </c>
      <c r="Q153" s="25" t="s">
        <v>4086</v>
      </c>
      <c r="R153" s="25">
        <v>522</v>
      </c>
      <c r="S153" s="40" t="s">
        <v>4476</v>
      </c>
      <c r="T153" s="18" t="s">
        <v>45</v>
      </c>
      <c r="U153" s="25">
        <v>1</v>
      </c>
      <c r="V153" s="84">
        <v>0</v>
      </c>
    </row>
    <row r="154" s="3" customFormat="1" customHeight="1" spans="1:22">
      <c r="A154" s="84">
        <v>21</v>
      </c>
      <c r="B154" s="175" t="s">
        <v>3881</v>
      </c>
      <c r="C154" s="175" t="s">
        <v>165</v>
      </c>
      <c r="D154" s="175" t="s">
        <v>3882</v>
      </c>
      <c r="E154" s="25">
        <v>18770914505</v>
      </c>
      <c r="F154" s="175" t="s">
        <v>156</v>
      </c>
      <c r="G154" s="175" t="s">
        <v>14</v>
      </c>
      <c r="H154" s="25">
        <v>202102001</v>
      </c>
      <c r="I154" s="175" t="s">
        <v>279</v>
      </c>
      <c r="J154" s="175" t="s">
        <v>178</v>
      </c>
      <c r="K154" s="175" t="s">
        <v>348</v>
      </c>
      <c r="L154" s="175" t="s">
        <v>170</v>
      </c>
      <c r="M154" s="175" t="s">
        <v>281</v>
      </c>
      <c r="N154" s="175" t="s">
        <v>498</v>
      </c>
      <c r="O154" s="175" t="s">
        <v>3884</v>
      </c>
      <c r="P154" s="26" t="str">
        <f>_xlfn.DISPIMG("ID_3C6B462D1CF047DC951D0874F80418DC",1)</f>
        <v>=DISPIMG("ID_3C6B462D1CF047DC951D0874F80418DC",1)</v>
      </c>
      <c r="Q154" s="25" t="s">
        <v>3885</v>
      </c>
      <c r="R154" s="25">
        <v>495</v>
      </c>
      <c r="S154" s="40" t="s">
        <v>4471</v>
      </c>
      <c r="T154" s="18" t="s">
        <v>45</v>
      </c>
      <c r="U154" s="25">
        <v>2</v>
      </c>
      <c r="V154" s="84">
        <v>0</v>
      </c>
    </row>
    <row r="155" s="3" customFormat="1" customHeight="1" spans="1:22">
      <c r="A155" s="84">
        <v>16</v>
      </c>
      <c r="B155" s="175" t="s">
        <v>3500</v>
      </c>
      <c r="C155" s="175" t="s">
        <v>165</v>
      </c>
      <c r="D155" s="175" t="s">
        <v>3501</v>
      </c>
      <c r="E155" s="25">
        <v>15070192175</v>
      </c>
      <c r="F155" s="175" t="s">
        <v>156</v>
      </c>
      <c r="G155" s="175" t="s">
        <v>14</v>
      </c>
      <c r="H155" s="25">
        <v>202102001</v>
      </c>
      <c r="I155" s="175" t="s">
        <v>279</v>
      </c>
      <c r="J155" s="175" t="s">
        <v>1545</v>
      </c>
      <c r="K155" s="175" t="s">
        <v>348</v>
      </c>
      <c r="L155" s="175" t="s">
        <v>170</v>
      </c>
      <c r="M155" s="175" t="s">
        <v>577</v>
      </c>
      <c r="N155" s="175" t="s">
        <v>638</v>
      </c>
      <c r="O155" s="175" t="s">
        <v>3503</v>
      </c>
      <c r="P155" s="26" t="str">
        <f>_xlfn.DISPIMG("ID_582DA32893494A1CB2F261C9DF30C5FF",1)</f>
        <v>=DISPIMG("ID_582DA32893494A1CB2F261C9DF30C5FF",1)</v>
      </c>
      <c r="Q155" s="25" t="s">
        <v>3504</v>
      </c>
      <c r="R155" s="25">
        <v>443</v>
      </c>
      <c r="S155" s="40" t="s">
        <v>4466</v>
      </c>
      <c r="T155" s="18" t="s">
        <v>45</v>
      </c>
      <c r="U155" s="25">
        <v>3</v>
      </c>
      <c r="V155" s="70">
        <v>0</v>
      </c>
    </row>
    <row r="156" s="3" customFormat="1" customHeight="1" spans="1:22">
      <c r="A156" s="84">
        <v>11</v>
      </c>
      <c r="B156" s="175" t="s">
        <v>3283</v>
      </c>
      <c r="C156" s="175" t="s">
        <v>165</v>
      </c>
      <c r="D156" s="175" t="s">
        <v>3284</v>
      </c>
      <c r="E156" s="25">
        <v>18970283911</v>
      </c>
      <c r="F156" s="175" t="s">
        <v>156</v>
      </c>
      <c r="G156" s="175" t="s">
        <v>14</v>
      </c>
      <c r="H156" s="25">
        <v>202102001</v>
      </c>
      <c r="I156" s="175" t="s">
        <v>157</v>
      </c>
      <c r="J156" s="175" t="s">
        <v>178</v>
      </c>
      <c r="K156" s="175" t="s">
        <v>3286</v>
      </c>
      <c r="L156" s="175" t="s">
        <v>170</v>
      </c>
      <c r="M156" s="175" t="s">
        <v>199</v>
      </c>
      <c r="N156" s="175" t="s">
        <v>14</v>
      </c>
      <c r="O156" s="175" t="s">
        <v>3287</v>
      </c>
      <c r="P156" s="26" t="str">
        <f>_xlfn.DISPIMG("ID_CEC6054CEEDC4B7EB64CEFDE8D077DB1",1)</f>
        <v>=DISPIMG("ID_CEC6054CEEDC4B7EB64CEFDE8D077DB1",1)</v>
      </c>
      <c r="Q156" s="25" t="s">
        <v>3288</v>
      </c>
      <c r="R156" s="25">
        <v>410</v>
      </c>
      <c r="S156" s="40" t="s">
        <v>4461</v>
      </c>
      <c r="T156" s="18" t="s">
        <v>45</v>
      </c>
      <c r="U156" s="25">
        <v>4</v>
      </c>
      <c r="V156" s="84">
        <v>78</v>
      </c>
    </row>
    <row r="157" s="3" customFormat="1" customHeight="1" spans="1:22">
      <c r="A157" s="84">
        <v>6</v>
      </c>
      <c r="B157" s="175" t="s">
        <v>3036</v>
      </c>
      <c r="C157" s="175" t="s">
        <v>165</v>
      </c>
      <c r="D157" s="175" t="s">
        <v>3037</v>
      </c>
      <c r="E157" s="25">
        <v>13755268380</v>
      </c>
      <c r="F157" s="175" t="s">
        <v>156</v>
      </c>
      <c r="G157" s="175" t="s">
        <v>14</v>
      </c>
      <c r="H157" s="25">
        <v>202102001</v>
      </c>
      <c r="I157" s="175" t="s">
        <v>279</v>
      </c>
      <c r="J157" s="175" t="s">
        <v>1674</v>
      </c>
      <c r="K157" s="175" t="s">
        <v>348</v>
      </c>
      <c r="L157" s="175" t="s">
        <v>170</v>
      </c>
      <c r="M157" s="175" t="s">
        <v>3039</v>
      </c>
      <c r="N157" s="175" t="s">
        <v>2395</v>
      </c>
      <c r="O157" s="175" t="s">
        <v>3040</v>
      </c>
      <c r="P157" s="26" t="str">
        <f>_xlfn.DISPIMG("ID_BCD8D492551D473299BE1D3404EC1A74",1)</f>
        <v>=DISPIMG("ID_BCD8D492551D473299BE1D3404EC1A74",1)</v>
      </c>
      <c r="Q157" s="25" t="s">
        <v>3041</v>
      </c>
      <c r="R157" s="25">
        <v>375</v>
      </c>
      <c r="S157" s="40" t="s">
        <v>4456</v>
      </c>
      <c r="T157" s="18" t="s">
        <v>45</v>
      </c>
      <c r="U157" s="25">
        <v>5</v>
      </c>
      <c r="V157" s="84">
        <v>0</v>
      </c>
    </row>
    <row r="158" s="3" customFormat="1" customHeight="1" spans="1:22">
      <c r="A158" s="84">
        <v>1</v>
      </c>
      <c r="B158" s="175" t="s">
        <v>2635</v>
      </c>
      <c r="C158" s="175" t="s">
        <v>165</v>
      </c>
      <c r="D158" s="175" t="s">
        <v>2636</v>
      </c>
      <c r="E158" s="25">
        <v>15170208662</v>
      </c>
      <c r="F158" s="175" t="s">
        <v>156</v>
      </c>
      <c r="G158" s="175" t="s">
        <v>14</v>
      </c>
      <c r="H158" s="25">
        <v>202102001</v>
      </c>
      <c r="I158" s="175" t="s">
        <v>157</v>
      </c>
      <c r="J158" s="175" t="s">
        <v>233</v>
      </c>
      <c r="K158" s="175" t="s">
        <v>454</v>
      </c>
      <c r="L158" s="175" t="s">
        <v>170</v>
      </c>
      <c r="M158" s="175" t="s">
        <v>349</v>
      </c>
      <c r="N158" s="175" t="s">
        <v>2638</v>
      </c>
      <c r="O158" s="175" t="s">
        <v>2639</v>
      </c>
      <c r="P158" s="26" t="str">
        <f>_xlfn.DISPIMG("ID_E1D95DAB49404461BEFC75E6320DFECC",1)</f>
        <v>=DISPIMG("ID_E1D95DAB49404461BEFC75E6320DFECC",1)</v>
      </c>
      <c r="Q158" s="25" t="s">
        <v>2640</v>
      </c>
      <c r="R158" s="25">
        <v>317</v>
      </c>
      <c r="S158" s="40" t="s">
        <v>4451</v>
      </c>
      <c r="T158" s="18" t="s">
        <v>45</v>
      </c>
      <c r="U158" s="25">
        <v>6</v>
      </c>
      <c r="V158" s="84">
        <v>82</v>
      </c>
    </row>
    <row r="159" s="3" customFormat="1" customHeight="1" spans="1:22">
      <c r="A159" s="84">
        <v>2</v>
      </c>
      <c r="B159" s="175" t="s">
        <v>2659</v>
      </c>
      <c r="C159" s="175" t="s">
        <v>165</v>
      </c>
      <c r="D159" s="175" t="s">
        <v>2660</v>
      </c>
      <c r="E159" s="25">
        <v>13627065761</v>
      </c>
      <c r="F159" s="175" t="s">
        <v>156</v>
      </c>
      <c r="G159" s="175" t="s">
        <v>14</v>
      </c>
      <c r="H159" s="25">
        <v>202102001</v>
      </c>
      <c r="I159" s="175" t="s">
        <v>157</v>
      </c>
      <c r="J159" s="175" t="s">
        <v>269</v>
      </c>
      <c r="K159" s="175" t="s">
        <v>454</v>
      </c>
      <c r="L159" s="175" t="s">
        <v>170</v>
      </c>
      <c r="M159" s="175" t="s">
        <v>161</v>
      </c>
      <c r="N159" s="175" t="s">
        <v>26</v>
      </c>
      <c r="O159" s="175" t="s">
        <v>2662</v>
      </c>
      <c r="P159" s="26" t="str">
        <f>_xlfn.DISPIMG("ID_4750BE615CAB4B2790251BC514AE2277",1)</f>
        <v>=DISPIMG("ID_4750BE615CAB4B2790251BC514AE2277",1)</v>
      </c>
      <c r="Q159" s="25" t="s">
        <v>2663</v>
      </c>
      <c r="R159" s="25">
        <v>320</v>
      </c>
      <c r="S159" s="40" t="s">
        <v>4452</v>
      </c>
      <c r="T159" s="18" t="s">
        <v>45</v>
      </c>
      <c r="U159" s="25">
        <v>7</v>
      </c>
      <c r="V159" s="84">
        <v>88</v>
      </c>
    </row>
    <row r="160" s="3" customFormat="1" customHeight="1" spans="1:22">
      <c r="A160" s="84">
        <v>7</v>
      </c>
      <c r="B160" s="175" t="s">
        <v>3058</v>
      </c>
      <c r="C160" s="175" t="s">
        <v>165</v>
      </c>
      <c r="D160" s="175" t="s">
        <v>3059</v>
      </c>
      <c r="E160" s="25">
        <v>18616047542</v>
      </c>
      <c r="F160" s="175" t="s">
        <v>156</v>
      </c>
      <c r="G160" s="175" t="s">
        <v>14</v>
      </c>
      <c r="H160" s="25">
        <v>202102001</v>
      </c>
      <c r="I160" s="175" t="s">
        <v>157</v>
      </c>
      <c r="J160" s="175" t="s">
        <v>233</v>
      </c>
      <c r="K160" s="175" t="s">
        <v>1489</v>
      </c>
      <c r="L160" s="175" t="s">
        <v>170</v>
      </c>
      <c r="M160" s="175" t="s">
        <v>3061</v>
      </c>
      <c r="N160" s="175" t="s">
        <v>3062</v>
      </c>
      <c r="O160" s="175" t="s">
        <v>3063</v>
      </c>
      <c r="P160" s="26" t="str">
        <f>_xlfn.DISPIMG("ID_0F24A07024DD4EC28C638A81C28E0099",1)</f>
        <v>=DISPIMG("ID_0F24A07024DD4EC28C638A81C28E0099",1)</v>
      </c>
      <c r="Q160" s="25" t="s">
        <v>3064</v>
      </c>
      <c r="R160" s="25">
        <v>378</v>
      </c>
      <c r="S160" s="40" t="s">
        <v>4457</v>
      </c>
      <c r="T160" s="18" t="s">
        <v>45</v>
      </c>
      <c r="U160" s="25">
        <v>8</v>
      </c>
      <c r="V160" s="84">
        <v>67</v>
      </c>
    </row>
    <row r="161" s="3" customFormat="1" customHeight="1" spans="1:22">
      <c r="A161" s="84">
        <v>12</v>
      </c>
      <c r="B161" s="175" t="s">
        <v>3374</v>
      </c>
      <c r="C161" s="175" t="s">
        <v>165</v>
      </c>
      <c r="D161" s="175" t="s">
        <v>3375</v>
      </c>
      <c r="E161" s="25">
        <v>18879135233</v>
      </c>
      <c r="F161" s="175" t="s">
        <v>156</v>
      </c>
      <c r="G161" s="175" t="s">
        <v>14</v>
      </c>
      <c r="H161" s="25">
        <v>202102001</v>
      </c>
      <c r="I161" s="175" t="s">
        <v>279</v>
      </c>
      <c r="J161" s="175" t="s">
        <v>339</v>
      </c>
      <c r="K161" s="175" t="s">
        <v>1950</v>
      </c>
      <c r="L161" s="175" t="s">
        <v>170</v>
      </c>
      <c r="M161" s="175" t="s">
        <v>216</v>
      </c>
      <c r="N161" s="175" t="s">
        <v>350</v>
      </c>
      <c r="O161" s="175" t="s">
        <v>3377</v>
      </c>
      <c r="P161" s="26" t="str">
        <f>_xlfn.DISPIMG("ID_A4F86B02E8AC4C77B083B94B4997B486",1)</f>
        <v>=DISPIMG("ID_A4F86B02E8AC4C77B083B94B4997B486",1)</v>
      </c>
      <c r="Q161" s="25" t="s">
        <v>3378</v>
      </c>
      <c r="R161" s="25">
        <v>425</v>
      </c>
      <c r="S161" s="40" t="s">
        <v>4462</v>
      </c>
      <c r="T161" s="18" t="s">
        <v>45</v>
      </c>
      <c r="U161" s="25">
        <v>9</v>
      </c>
      <c r="V161" s="84">
        <v>71</v>
      </c>
    </row>
    <row r="162" s="3" customFormat="1" customHeight="1" spans="1:22">
      <c r="A162" s="84">
        <v>17</v>
      </c>
      <c r="B162" s="175" t="s">
        <v>3602</v>
      </c>
      <c r="C162" s="175" t="s">
        <v>165</v>
      </c>
      <c r="D162" s="175" t="s">
        <v>3603</v>
      </c>
      <c r="E162" s="25">
        <v>18507927596</v>
      </c>
      <c r="F162" s="175" t="s">
        <v>156</v>
      </c>
      <c r="G162" s="175" t="s">
        <v>14</v>
      </c>
      <c r="H162" s="25">
        <v>202102001</v>
      </c>
      <c r="I162" s="175" t="s">
        <v>279</v>
      </c>
      <c r="J162" s="175" t="s">
        <v>158</v>
      </c>
      <c r="K162" s="175" t="s">
        <v>348</v>
      </c>
      <c r="L162" s="175" t="s">
        <v>170</v>
      </c>
      <c r="M162" s="175" t="s">
        <v>281</v>
      </c>
      <c r="N162" s="175" t="s">
        <v>14</v>
      </c>
      <c r="O162" s="175" t="s">
        <v>3604</v>
      </c>
      <c r="P162" s="26" t="str">
        <f>_xlfn.DISPIMG("ID_ADF263347E1B436A9E9869CDB170C299",1)</f>
        <v>=DISPIMG("ID_ADF263347E1B436A9E9869CDB170C299",1)</v>
      </c>
      <c r="Q162" s="25" t="s">
        <v>3605</v>
      </c>
      <c r="R162" s="25">
        <v>458</v>
      </c>
      <c r="S162" s="40" t="s">
        <v>4467</v>
      </c>
      <c r="T162" s="18" t="s">
        <v>45</v>
      </c>
      <c r="U162" s="25">
        <v>10</v>
      </c>
      <c r="V162" s="84">
        <v>69</v>
      </c>
    </row>
    <row r="163" s="3" customFormat="1" customHeight="1" spans="1:22">
      <c r="A163" s="84">
        <v>22</v>
      </c>
      <c r="B163" s="175" t="s">
        <v>3888</v>
      </c>
      <c r="C163" s="175" t="s">
        <v>165</v>
      </c>
      <c r="D163" s="175" t="s">
        <v>3889</v>
      </c>
      <c r="E163" s="25">
        <v>15949598955</v>
      </c>
      <c r="F163" s="175" t="s">
        <v>156</v>
      </c>
      <c r="G163" s="175" t="s">
        <v>14</v>
      </c>
      <c r="H163" s="25">
        <v>202102001</v>
      </c>
      <c r="I163" s="175" t="s">
        <v>279</v>
      </c>
      <c r="J163" s="175" t="s">
        <v>367</v>
      </c>
      <c r="K163" s="175" t="s">
        <v>348</v>
      </c>
      <c r="L163" s="175" t="s">
        <v>170</v>
      </c>
      <c r="M163" s="175" t="s">
        <v>587</v>
      </c>
      <c r="N163" s="175" t="s">
        <v>14</v>
      </c>
      <c r="O163" s="175" t="s">
        <v>3891</v>
      </c>
      <c r="P163" s="26" t="str">
        <f>_xlfn.DISPIMG("ID_2410E866E9B946F380BB65E1492A0355",1)</f>
        <v>=DISPIMG("ID_2410E866E9B946F380BB65E1492A0355",1)</v>
      </c>
      <c r="Q163" s="25" t="s">
        <v>3892</v>
      </c>
      <c r="R163" s="25">
        <v>496</v>
      </c>
      <c r="S163" s="40" t="s">
        <v>4472</v>
      </c>
      <c r="T163" s="18" t="s">
        <v>45</v>
      </c>
      <c r="U163" s="25">
        <v>11</v>
      </c>
      <c r="V163" s="84">
        <v>0</v>
      </c>
    </row>
    <row r="164" s="3" customFormat="1" customHeight="1" spans="1:22">
      <c r="A164" s="84">
        <v>27</v>
      </c>
      <c r="B164" s="176" t="s">
        <v>4103</v>
      </c>
      <c r="C164" s="176" t="s">
        <v>165</v>
      </c>
      <c r="D164" s="176" t="s">
        <v>4104</v>
      </c>
      <c r="E164" s="70">
        <v>15270173371</v>
      </c>
      <c r="F164" s="176" t="s">
        <v>384</v>
      </c>
      <c r="G164" s="176" t="s">
        <v>14</v>
      </c>
      <c r="H164" s="70">
        <v>202102001</v>
      </c>
      <c r="I164" s="176" t="s">
        <v>157</v>
      </c>
      <c r="J164" s="176" t="s">
        <v>233</v>
      </c>
      <c r="K164" s="176" t="s">
        <v>454</v>
      </c>
      <c r="L164" s="176" t="s">
        <v>170</v>
      </c>
      <c r="M164" s="176" t="s">
        <v>4106</v>
      </c>
      <c r="N164" s="176" t="s">
        <v>14</v>
      </c>
      <c r="O164" s="176" t="s">
        <v>4107</v>
      </c>
      <c r="P164" s="86" t="str">
        <f>_xlfn.DISPIMG("ID_EDE9A315C64A4BE2AC2F986557EA53FC",1)</f>
        <v>=DISPIMG("ID_EDE9A315C64A4BE2AC2F986557EA53FC",1)</v>
      </c>
      <c r="Q164" s="70" t="s">
        <v>4108</v>
      </c>
      <c r="R164" s="70">
        <v>525</v>
      </c>
      <c r="S164" s="40" t="s">
        <v>4477</v>
      </c>
      <c r="T164" s="18" t="s">
        <v>45</v>
      </c>
      <c r="U164" s="25">
        <v>12</v>
      </c>
      <c r="V164" s="70">
        <v>0</v>
      </c>
    </row>
    <row r="165" s="3" customFormat="1" customHeight="1" spans="1:22">
      <c r="A165" s="84">
        <v>28</v>
      </c>
      <c r="B165" s="175" t="s">
        <v>4177</v>
      </c>
      <c r="C165" s="175" t="s">
        <v>165</v>
      </c>
      <c r="D165" s="175" t="s">
        <v>4178</v>
      </c>
      <c r="E165" s="25">
        <v>18759251284</v>
      </c>
      <c r="F165" s="175" t="s">
        <v>156</v>
      </c>
      <c r="G165" s="175" t="s">
        <v>14</v>
      </c>
      <c r="H165" s="25">
        <v>202102001</v>
      </c>
      <c r="I165" s="175" t="s">
        <v>157</v>
      </c>
      <c r="J165" s="175" t="s">
        <v>2363</v>
      </c>
      <c r="K165" s="175" t="s">
        <v>454</v>
      </c>
      <c r="L165" s="175" t="s">
        <v>170</v>
      </c>
      <c r="M165" s="175" t="s">
        <v>455</v>
      </c>
      <c r="N165" s="175" t="s">
        <v>26</v>
      </c>
      <c r="O165" s="175" t="s">
        <v>4180</v>
      </c>
      <c r="P165" s="26" t="str">
        <f>_xlfn.DISPIMG("ID_E9338F1098B64D83A2AE0E9576D18B92",1)</f>
        <v>=DISPIMG("ID_E9338F1098B64D83A2AE0E9576D18B92",1)</v>
      </c>
      <c r="Q165" s="25" t="s">
        <v>4181</v>
      </c>
      <c r="R165" s="25">
        <v>534</v>
      </c>
      <c r="S165" s="40" t="s">
        <v>4478</v>
      </c>
      <c r="T165" s="18" t="s">
        <v>45</v>
      </c>
      <c r="U165" s="25">
        <v>13</v>
      </c>
      <c r="V165" s="84">
        <v>84</v>
      </c>
    </row>
    <row r="166" s="3" customFormat="1" customHeight="1" spans="1:22">
      <c r="A166" s="84">
        <v>23</v>
      </c>
      <c r="B166" s="175" t="s">
        <v>3910</v>
      </c>
      <c r="C166" s="175" t="s">
        <v>165</v>
      </c>
      <c r="D166" s="175" t="s">
        <v>3911</v>
      </c>
      <c r="E166" s="25">
        <v>13627096197</v>
      </c>
      <c r="F166" s="175" t="s">
        <v>156</v>
      </c>
      <c r="G166" s="175" t="s">
        <v>14</v>
      </c>
      <c r="H166" s="25">
        <v>202102001</v>
      </c>
      <c r="I166" s="175" t="s">
        <v>157</v>
      </c>
      <c r="J166" s="175" t="s">
        <v>233</v>
      </c>
      <c r="K166" s="175" t="s">
        <v>454</v>
      </c>
      <c r="L166" s="175" t="s">
        <v>170</v>
      </c>
      <c r="M166" s="175" t="s">
        <v>516</v>
      </c>
      <c r="N166" s="175" t="s">
        <v>3913</v>
      </c>
      <c r="O166" s="175" t="s">
        <v>3914</v>
      </c>
      <c r="P166" s="26" t="str">
        <f>_xlfn.DISPIMG("ID_2CCA277749F14624BD11838DCC078340",1)</f>
        <v>=DISPIMG("ID_2CCA277749F14624BD11838DCC078340",1)</v>
      </c>
      <c r="Q166" s="25" t="s">
        <v>3915</v>
      </c>
      <c r="R166" s="25">
        <v>499</v>
      </c>
      <c r="S166" s="40" t="s">
        <v>4473</v>
      </c>
      <c r="T166" s="18" t="s">
        <v>45</v>
      </c>
      <c r="U166" s="25">
        <v>14</v>
      </c>
      <c r="V166" s="84">
        <v>0</v>
      </c>
    </row>
    <row r="167" s="3" customFormat="1" customHeight="1" spans="1:22">
      <c r="A167" s="84">
        <v>18</v>
      </c>
      <c r="B167" s="175" t="s">
        <v>3705</v>
      </c>
      <c r="C167" s="175" t="s">
        <v>165</v>
      </c>
      <c r="D167" s="175" t="s">
        <v>3706</v>
      </c>
      <c r="E167" s="25">
        <v>15079123471</v>
      </c>
      <c r="F167" s="175" t="s">
        <v>156</v>
      </c>
      <c r="G167" s="175" t="s">
        <v>14</v>
      </c>
      <c r="H167" s="25">
        <v>202102011</v>
      </c>
      <c r="I167" s="175" t="s">
        <v>157</v>
      </c>
      <c r="J167" s="175" t="s">
        <v>233</v>
      </c>
      <c r="K167" s="175" t="s">
        <v>3708</v>
      </c>
      <c r="L167" s="175" t="s">
        <v>170</v>
      </c>
      <c r="M167" s="175" t="s">
        <v>216</v>
      </c>
      <c r="N167" s="175" t="s">
        <v>14</v>
      </c>
      <c r="O167" s="175" t="s">
        <v>3709</v>
      </c>
      <c r="P167" s="26" t="str">
        <f>_xlfn.DISPIMG("ID_BF7D6285C9C043E7887E7AA2FA4C62A7",1)</f>
        <v>=DISPIMG("ID_BF7D6285C9C043E7887E7AA2FA4C62A7",1)</v>
      </c>
      <c r="Q167" s="25" t="s">
        <v>3710</v>
      </c>
      <c r="R167" s="25">
        <v>472</v>
      </c>
      <c r="S167" s="40" t="s">
        <v>4468</v>
      </c>
      <c r="T167" s="18" t="s">
        <v>45</v>
      </c>
      <c r="U167" s="25">
        <v>15</v>
      </c>
      <c r="V167" s="84">
        <v>0</v>
      </c>
    </row>
    <row r="168" s="4" customFormat="1" customHeight="1" spans="1:22">
      <c r="A168" s="84">
        <v>13</v>
      </c>
      <c r="B168" s="175" t="s">
        <v>3381</v>
      </c>
      <c r="C168" s="175" t="s">
        <v>165</v>
      </c>
      <c r="D168" s="175" t="s">
        <v>3382</v>
      </c>
      <c r="E168" s="25">
        <v>15070017489</v>
      </c>
      <c r="F168" s="175" t="s">
        <v>156</v>
      </c>
      <c r="G168" s="175" t="s">
        <v>14</v>
      </c>
      <c r="H168" s="25">
        <v>202102001</v>
      </c>
      <c r="I168" s="175" t="s">
        <v>157</v>
      </c>
      <c r="J168" s="175" t="s">
        <v>1121</v>
      </c>
      <c r="K168" s="175" t="s">
        <v>1832</v>
      </c>
      <c r="L168" s="175" t="s">
        <v>160</v>
      </c>
      <c r="M168" s="175" t="s">
        <v>199</v>
      </c>
      <c r="N168" s="175" t="s">
        <v>14</v>
      </c>
      <c r="O168" s="25">
        <v>0</v>
      </c>
      <c r="P168" s="26" t="str">
        <f>_xlfn.DISPIMG("ID_755EB9C887424753BE38DCDA04F5D53F",1)</f>
        <v>=DISPIMG("ID_755EB9C887424753BE38DCDA04F5D53F",1)</v>
      </c>
      <c r="Q168" s="25" t="s">
        <v>3384</v>
      </c>
      <c r="R168" s="25">
        <v>426</v>
      </c>
      <c r="S168" s="40" t="s">
        <v>4463</v>
      </c>
      <c r="T168" s="18" t="s">
        <v>45</v>
      </c>
      <c r="U168" s="25">
        <v>16</v>
      </c>
      <c r="V168" s="84">
        <v>0</v>
      </c>
    </row>
    <row r="169" s="3" customFormat="1" customHeight="1" spans="1:22">
      <c r="A169" s="84">
        <v>8</v>
      </c>
      <c r="B169" s="175" t="s">
        <v>3067</v>
      </c>
      <c r="C169" s="175" t="s">
        <v>165</v>
      </c>
      <c r="D169" s="175" t="s">
        <v>3068</v>
      </c>
      <c r="E169" s="25">
        <v>18070525525</v>
      </c>
      <c r="F169" s="175" t="s">
        <v>156</v>
      </c>
      <c r="G169" s="175" t="s">
        <v>14</v>
      </c>
      <c r="H169" s="25">
        <v>202102001</v>
      </c>
      <c r="I169" s="175" t="s">
        <v>157</v>
      </c>
      <c r="J169" s="175" t="s">
        <v>3070</v>
      </c>
      <c r="K169" s="175" t="s">
        <v>454</v>
      </c>
      <c r="L169" s="175" t="s">
        <v>170</v>
      </c>
      <c r="M169" s="175" t="s">
        <v>577</v>
      </c>
      <c r="N169" s="175" t="s">
        <v>1579</v>
      </c>
      <c r="O169" s="175" t="s">
        <v>3071</v>
      </c>
      <c r="P169" s="26" t="str">
        <f>_xlfn.DISPIMG("ID_2CCF9645E24E4A3B81BAE72B8AED314D",1)</f>
        <v>=DISPIMG("ID_2CCF9645E24E4A3B81BAE72B8AED314D",1)</v>
      </c>
      <c r="Q169" s="25" t="s">
        <v>3072</v>
      </c>
      <c r="R169" s="25">
        <v>379</v>
      </c>
      <c r="S169" s="40" t="s">
        <v>4458</v>
      </c>
      <c r="T169" s="18" t="s">
        <v>45</v>
      </c>
      <c r="U169" s="25">
        <v>17</v>
      </c>
      <c r="V169" s="84">
        <v>0</v>
      </c>
    </row>
    <row r="170" s="3" customFormat="1" customHeight="1" spans="1:22">
      <c r="A170" s="84">
        <v>3</v>
      </c>
      <c r="B170" s="175" t="s">
        <v>2726</v>
      </c>
      <c r="C170" s="175" t="s">
        <v>165</v>
      </c>
      <c r="D170" s="175" t="s">
        <v>2727</v>
      </c>
      <c r="E170" s="25">
        <v>18770822590</v>
      </c>
      <c r="F170" s="175" t="s">
        <v>156</v>
      </c>
      <c r="G170" s="175" t="s">
        <v>14</v>
      </c>
      <c r="H170" s="25">
        <v>202102001</v>
      </c>
      <c r="I170" s="175" t="s">
        <v>157</v>
      </c>
      <c r="J170" s="175" t="s">
        <v>233</v>
      </c>
      <c r="K170" s="175" t="s">
        <v>1570</v>
      </c>
      <c r="L170" s="175" t="s">
        <v>160</v>
      </c>
      <c r="M170" s="175" t="s">
        <v>252</v>
      </c>
      <c r="N170" s="175" t="s">
        <v>26</v>
      </c>
      <c r="O170" s="175" t="s">
        <v>2728</v>
      </c>
      <c r="P170" s="26" t="str">
        <f>_xlfn.DISPIMG("ID_BA1DF7BF960547A0983F8DB11C878B07",1)</f>
        <v>=DISPIMG("ID_BA1DF7BF960547A0983F8DB11C878B07",1)</v>
      </c>
      <c r="Q170" s="25" t="s">
        <v>2729</v>
      </c>
      <c r="R170" s="25">
        <v>329</v>
      </c>
      <c r="S170" s="40" t="s">
        <v>4453</v>
      </c>
      <c r="T170" s="18" t="s">
        <v>45</v>
      </c>
      <c r="U170" s="25">
        <v>18</v>
      </c>
      <c r="V170" s="84">
        <v>93</v>
      </c>
    </row>
    <row r="171" s="3" customFormat="1" customHeight="1" spans="1:22">
      <c r="A171" s="84">
        <v>4</v>
      </c>
      <c r="B171" s="175" t="s">
        <v>2767</v>
      </c>
      <c r="C171" s="175" t="s">
        <v>165</v>
      </c>
      <c r="D171" s="175" t="s">
        <v>2768</v>
      </c>
      <c r="E171" s="25">
        <v>18270257502</v>
      </c>
      <c r="F171" s="175" t="s">
        <v>506</v>
      </c>
      <c r="G171" s="175" t="s">
        <v>14</v>
      </c>
      <c r="H171" s="25">
        <v>202102014</v>
      </c>
      <c r="I171" s="175" t="s">
        <v>279</v>
      </c>
      <c r="J171" s="175" t="s">
        <v>367</v>
      </c>
      <c r="K171" s="175" t="s">
        <v>1878</v>
      </c>
      <c r="L171" s="175" t="s">
        <v>170</v>
      </c>
      <c r="M171" s="175" t="s">
        <v>161</v>
      </c>
      <c r="N171" s="175" t="s">
        <v>14</v>
      </c>
      <c r="O171" s="175" t="s">
        <v>2770</v>
      </c>
      <c r="P171" s="26" t="str">
        <f>_xlfn.DISPIMG("ID_599781AB8A9B405FA1C45AEDC9F43F4B",1)</f>
        <v>=DISPIMG("ID_599781AB8A9B405FA1C45AEDC9F43F4B",1)</v>
      </c>
      <c r="Q171" s="25" t="s">
        <v>2771</v>
      </c>
      <c r="R171" s="25">
        <v>335</v>
      </c>
      <c r="S171" s="40" t="s">
        <v>4454</v>
      </c>
      <c r="T171" s="18" t="s">
        <v>45</v>
      </c>
      <c r="U171" s="25">
        <v>19</v>
      </c>
      <c r="V171" s="84">
        <v>71</v>
      </c>
    </row>
    <row r="172" s="3" customFormat="1" customHeight="1" spans="1:22">
      <c r="A172" s="84">
        <v>9</v>
      </c>
      <c r="B172" s="175" t="s">
        <v>3166</v>
      </c>
      <c r="C172" s="175" t="s">
        <v>165</v>
      </c>
      <c r="D172" s="175" t="s">
        <v>3167</v>
      </c>
      <c r="E172" s="25">
        <v>18797976473</v>
      </c>
      <c r="F172" s="175" t="s">
        <v>156</v>
      </c>
      <c r="G172" s="175" t="s">
        <v>14</v>
      </c>
      <c r="H172" s="25">
        <v>202102001</v>
      </c>
      <c r="I172" s="175" t="s">
        <v>157</v>
      </c>
      <c r="J172" s="175" t="s">
        <v>158</v>
      </c>
      <c r="K172" s="175" t="s">
        <v>395</v>
      </c>
      <c r="L172" s="175" t="s">
        <v>160</v>
      </c>
      <c r="M172" s="175" t="s">
        <v>587</v>
      </c>
      <c r="N172" s="175" t="s">
        <v>14</v>
      </c>
      <c r="O172" s="25">
        <v>0</v>
      </c>
      <c r="P172" s="26" t="str">
        <f>_xlfn.DISPIMG("ID_F2E559AD12664A6E81B51441D537B134",1)</f>
        <v>=DISPIMG("ID_F2E559AD12664A6E81B51441D537B134",1)</v>
      </c>
      <c r="Q172" s="25" t="s">
        <v>3169</v>
      </c>
      <c r="R172" s="25">
        <v>393</v>
      </c>
      <c r="S172" s="40" t="s">
        <v>4459</v>
      </c>
      <c r="T172" s="18" t="s">
        <v>45</v>
      </c>
      <c r="U172" s="25">
        <v>20</v>
      </c>
      <c r="V172" s="84">
        <v>80</v>
      </c>
    </row>
    <row r="173" s="3" customFormat="1" customHeight="1" spans="1:22">
      <c r="A173" s="84">
        <v>14</v>
      </c>
      <c r="B173" s="175" t="s">
        <v>3436</v>
      </c>
      <c r="C173" s="175" t="s">
        <v>165</v>
      </c>
      <c r="D173" s="175" t="s">
        <v>3437</v>
      </c>
      <c r="E173" s="25">
        <v>15396816962</v>
      </c>
      <c r="F173" s="175" t="s">
        <v>156</v>
      </c>
      <c r="G173" s="175" t="s">
        <v>14</v>
      </c>
      <c r="H173" s="25">
        <v>202102001</v>
      </c>
      <c r="I173" s="175" t="s">
        <v>279</v>
      </c>
      <c r="J173" s="175" t="s">
        <v>367</v>
      </c>
      <c r="K173" s="175" t="s">
        <v>348</v>
      </c>
      <c r="L173" s="175" t="s">
        <v>170</v>
      </c>
      <c r="M173" s="175" t="s">
        <v>180</v>
      </c>
      <c r="N173" s="175" t="s">
        <v>638</v>
      </c>
      <c r="O173" s="175" t="s">
        <v>3439</v>
      </c>
      <c r="P173" s="26" t="str">
        <f>_xlfn.DISPIMG("ID_82244367FBEE45C5B0219468F4CFBAF4",1)</f>
        <v>=DISPIMG("ID_82244367FBEE45C5B0219468F4CFBAF4",1)</v>
      </c>
      <c r="Q173" s="25" t="s">
        <v>3440</v>
      </c>
      <c r="R173" s="25">
        <v>434</v>
      </c>
      <c r="S173" s="40" t="s">
        <v>4464</v>
      </c>
      <c r="T173" s="18" t="s">
        <v>45</v>
      </c>
      <c r="U173" s="25">
        <v>21</v>
      </c>
      <c r="V173" s="84">
        <v>75</v>
      </c>
    </row>
    <row r="174" s="3" customFormat="1" customHeight="1" spans="1:22">
      <c r="A174" s="84">
        <v>19</v>
      </c>
      <c r="B174" s="175" t="s">
        <v>3773</v>
      </c>
      <c r="C174" s="175" t="s">
        <v>165</v>
      </c>
      <c r="D174" s="175" t="s">
        <v>3774</v>
      </c>
      <c r="E174" s="25">
        <v>15083553694</v>
      </c>
      <c r="F174" s="175" t="s">
        <v>156</v>
      </c>
      <c r="G174" s="175" t="s">
        <v>14</v>
      </c>
      <c r="H174" s="25">
        <v>202102001</v>
      </c>
      <c r="I174" s="175" t="s">
        <v>279</v>
      </c>
      <c r="J174" s="175" t="s">
        <v>178</v>
      </c>
      <c r="K174" s="175" t="s">
        <v>348</v>
      </c>
      <c r="L174" s="175" t="s">
        <v>170</v>
      </c>
      <c r="M174" s="175" t="s">
        <v>180</v>
      </c>
      <c r="N174" s="175" t="s">
        <v>14</v>
      </c>
      <c r="O174" s="175" t="s">
        <v>3776</v>
      </c>
      <c r="P174" s="26" t="str">
        <f>_xlfn.DISPIMG("ID_CF1C1431032D4C21956EAEFBC2630095",1)</f>
        <v>=DISPIMG("ID_CF1C1431032D4C21956EAEFBC2630095",1)</v>
      </c>
      <c r="Q174" s="25" t="s">
        <v>3777</v>
      </c>
      <c r="R174" s="25">
        <v>481</v>
      </c>
      <c r="S174" s="40" t="s">
        <v>4469</v>
      </c>
      <c r="T174" s="18" t="s">
        <v>45</v>
      </c>
      <c r="U174" s="25">
        <v>22</v>
      </c>
      <c r="V174" s="84">
        <v>0</v>
      </c>
    </row>
    <row r="175" s="3" customFormat="1" customHeight="1" spans="1:22">
      <c r="A175" s="84">
        <v>24</v>
      </c>
      <c r="B175" s="175" t="s">
        <v>3931</v>
      </c>
      <c r="C175" s="175" t="s">
        <v>165</v>
      </c>
      <c r="D175" s="175" t="s">
        <v>3932</v>
      </c>
      <c r="E175" s="25">
        <v>13064153607</v>
      </c>
      <c r="F175" s="175" t="s">
        <v>156</v>
      </c>
      <c r="G175" s="175" t="s">
        <v>14</v>
      </c>
      <c r="H175" s="25">
        <v>202102001</v>
      </c>
      <c r="I175" s="175" t="s">
        <v>279</v>
      </c>
      <c r="J175" s="175" t="s">
        <v>3934</v>
      </c>
      <c r="K175" s="175" t="s">
        <v>348</v>
      </c>
      <c r="L175" s="175" t="s">
        <v>170</v>
      </c>
      <c r="M175" s="175" t="s">
        <v>349</v>
      </c>
      <c r="N175" s="175" t="s">
        <v>3935</v>
      </c>
      <c r="O175" s="175" t="s">
        <v>3936</v>
      </c>
      <c r="P175" s="26" t="str">
        <f>_xlfn.DISPIMG("ID_FD6A12B7DDFB4497A1625AEB18B6C93E",1)</f>
        <v>=DISPIMG("ID_FD6A12B7DDFB4497A1625AEB18B6C93E",1)</v>
      </c>
      <c r="Q175" s="25" t="s">
        <v>3937</v>
      </c>
      <c r="R175" s="25">
        <v>502</v>
      </c>
      <c r="S175" s="40" t="s">
        <v>4474</v>
      </c>
      <c r="T175" s="18" t="s">
        <v>45</v>
      </c>
      <c r="U175" s="25">
        <v>23</v>
      </c>
      <c r="V175" s="84">
        <v>0</v>
      </c>
    </row>
    <row r="176" s="3" customFormat="1" customHeight="1" spans="1:22">
      <c r="A176" s="84">
        <v>29</v>
      </c>
      <c r="B176" s="175" t="s">
        <v>4214</v>
      </c>
      <c r="C176" s="175" t="s">
        <v>165</v>
      </c>
      <c r="D176" s="175" t="s">
        <v>4215</v>
      </c>
      <c r="E176" s="25">
        <v>19979263918</v>
      </c>
      <c r="F176" s="175" t="s">
        <v>156</v>
      </c>
      <c r="G176" s="175" t="s">
        <v>14</v>
      </c>
      <c r="H176" s="25">
        <v>202102001</v>
      </c>
      <c r="I176" s="175" t="s">
        <v>157</v>
      </c>
      <c r="J176" s="175" t="s">
        <v>412</v>
      </c>
      <c r="K176" s="175" t="s">
        <v>4217</v>
      </c>
      <c r="L176" s="175" t="s">
        <v>160</v>
      </c>
      <c r="M176" s="175" t="s">
        <v>180</v>
      </c>
      <c r="N176" s="175" t="s">
        <v>26</v>
      </c>
      <c r="O176" s="175" t="s">
        <v>4218</v>
      </c>
      <c r="P176" s="26" t="str">
        <f>_xlfn.DISPIMG("ID_458825B7ED724C7B8EAA7308C4517BC8",1)</f>
        <v>=DISPIMG("ID_458825B7ED724C7B8EAA7308C4517BC8",1)</v>
      </c>
      <c r="Q176" s="25" t="s">
        <v>4219</v>
      </c>
      <c r="R176" s="25">
        <v>539</v>
      </c>
      <c r="S176" s="40" t="s">
        <v>4479</v>
      </c>
      <c r="T176" s="18" t="s">
        <v>45</v>
      </c>
      <c r="U176" s="25">
        <v>24</v>
      </c>
      <c r="V176" s="84">
        <v>0</v>
      </c>
    </row>
    <row r="177" s="3" customFormat="1" customHeight="1" spans="1:22">
      <c r="A177" s="84">
        <v>30</v>
      </c>
      <c r="B177" s="175" t="s">
        <v>4308</v>
      </c>
      <c r="C177" s="175" t="s">
        <v>165</v>
      </c>
      <c r="D177" s="175" t="s">
        <v>4309</v>
      </c>
      <c r="E177" s="25">
        <v>17770159034</v>
      </c>
      <c r="F177" s="175" t="s">
        <v>156</v>
      </c>
      <c r="G177" s="175" t="s">
        <v>14</v>
      </c>
      <c r="H177" s="25">
        <v>202102001</v>
      </c>
      <c r="I177" s="175" t="s">
        <v>279</v>
      </c>
      <c r="J177" s="175" t="s">
        <v>1237</v>
      </c>
      <c r="K177" s="175" t="s">
        <v>348</v>
      </c>
      <c r="L177" s="175" t="s">
        <v>170</v>
      </c>
      <c r="M177" s="175" t="s">
        <v>180</v>
      </c>
      <c r="N177" s="175" t="s">
        <v>2395</v>
      </c>
      <c r="O177" s="175" t="s">
        <v>4310</v>
      </c>
      <c r="P177" s="26" t="str">
        <f>_xlfn.DISPIMG("ID_E6307ECF32B442B8A8FC80EADAF6E26D",1)</f>
        <v>=DISPIMG("ID_E6307ECF32B442B8A8FC80EADAF6E26D",1)</v>
      </c>
      <c r="Q177" s="25" t="s">
        <v>4311</v>
      </c>
      <c r="R177" s="25">
        <v>552</v>
      </c>
      <c r="S177" s="40" t="s">
        <v>4480</v>
      </c>
      <c r="T177" s="18" t="s">
        <v>45</v>
      </c>
      <c r="U177" s="25">
        <v>25</v>
      </c>
      <c r="V177" s="84">
        <v>79</v>
      </c>
    </row>
    <row r="178" s="3" customFormat="1" customHeight="1" spans="1:22">
      <c r="A178" s="84">
        <v>25</v>
      </c>
      <c r="B178" s="175" t="s">
        <v>4036</v>
      </c>
      <c r="C178" s="175" t="s">
        <v>165</v>
      </c>
      <c r="D178" s="175" t="s">
        <v>4037</v>
      </c>
      <c r="E178" s="25">
        <v>13755593629</v>
      </c>
      <c r="F178" s="175" t="s">
        <v>156</v>
      </c>
      <c r="G178" s="175" t="s">
        <v>14</v>
      </c>
      <c r="H178" s="25">
        <v>202102001</v>
      </c>
      <c r="I178" s="175" t="s">
        <v>279</v>
      </c>
      <c r="J178" s="175" t="s">
        <v>1545</v>
      </c>
      <c r="K178" s="175" t="s">
        <v>348</v>
      </c>
      <c r="L178" s="175" t="s">
        <v>170</v>
      </c>
      <c r="M178" s="175" t="s">
        <v>216</v>
      </c>
      <c r="N178" s="175" t="s">
        <v>14</v>
      </c>
      <c r="O178" s="175" t="s">
        <v>4039</v>
      </c>
      <c r="P178" s="26" t="str">
        <f>_xlfn.DISPIMG("ID_25A2772C2A4349D4AAD4F2B8F942612C",1)</f>
        <v>=DISPIMG("ID_25A2772C2A4349D4AAD4F2B8F942612C",1)</v>
      </c>
      <c r="Q178" s="25" t="s">
        <v>4040</v>
      </c>
      <c r="R178" s="25">
        <v>516</v>
      </c>
      <c r="S178" s="40" t="s">
        <v>4475</v>
      </c>
      <c r="T178" s="18" t="s">
        <v>45</v>
      </c>
      <c r="U178" s="25">
        <v>26</v>
      </c>
      <c r="V178" s="84">
        <v>84</v>
      </c>
    </row>
    <row r="179" s="4" customFormat="1" customHeight="1" spans="1:22">
      <c r="A179" s="84">
        <v>20</v>
      </c>
      <c r="B179" s="175" t="s">
        <v>3858</v>
      </c>
      <c r="C179" s="175" t="s">
        <v>165</v>
      </c>
      <c r="D179" s="175" t="s">
        <v>3859</v>
      </c>
      <c r="E179" s="25">
        <v>15374225748</v>
      </c>
      <c r="F179" s="175" t="s">
        <v>156</v>
      </c>
      <c r="G179" s="175" t="s">
        <v>14</v>
      </c>
      <c r="H179" s="25">
        <v>202102001</v>
      </c>
      <c r="I179" s="175" t="s">
        <v>279</v>
      </c>
      <c r="J179" s="175" t="s">
        <v>3861</v>
      </c>
      <c r="K179" s="175" t="s">
        <v>298</v>
      </c>
      <c r="L179" s="175" t="s">
        <v>160</v>
      </c>
      <c r="M179" s="175" t="s">
        <v>805</v>
      </c>
      <c r="N179" s="175" t="s">
        <v>121</v>
      </c>
      <c r="O179" s="25">
        <v>0</v>
      </c>
      <c r="P179" s="26" t="str">
        <f>_xlfn.DISPIMG("ID_8CF8C6C0A559454996AB6FB606BDA1DD",1)</f>
        <v>=DISPIMG("ID_8CF8C6C0A559454996AB6FB606BDA1DD",1)</v>
      </c>
      <c r="Q179" s="25" t="s">
        <v>3862</v>
      </c>
      <c r="R179" s="25">
        <v>492</v>
      </c>
      <c r="S179" s="40" t="s">
        <v>4470</v>
      </c>
      <c r="T179" s="18" t="s">
        <v>45</v>
      </c>
      <c r="U179" s="25">
        <v>27</v>
      </c>
      <c r="V179" s="84">
        <v>81</v>
      </c>
    </row>
    <row r="180" s="3" customFormat="1" customHeight="1" spans="1:22">
      <c r="A180" s="84">
        <v>15</v>
      </c>
      <c r="B180" s="175" t="s">
        <v>3494</v>
      </c>
      <c r="C180" s="175" t="s">
        <v>165</v>
      </c>
      <c r="D180" s="175" t="s">
        <v>3495</v>
      </c>
      <c r="E180" s="25">
        <v>18000225971</v>
      </c>
      <c r="F180" s="175" t="s">
        <v>156</v>
      </c>
      <c r="G180" s="175" t="s">
        <v>14</v>
      </c>
      <c r="H180" s="25">
        <v>202102001</v>
      </c>
      <c r="I180" s="175" t="s">
        <v>157</v>
      </c>
      <c r="J180" s="175" t="s">
        <v>158</v>
      </c>
      <c r="K180" s="175" t="s">
        <v>348</v>
      </c>
      <c r="L180" s="175" t="s">
        <v>170</v>
      </c>
      <c r="M180" s="175" t="s">
        <v>349</v>
      </c>
      <c r="N180" s="175" t="s">
        <v>689</v>
      </c>
      <c r="O180" s="175" t="s">
        <v>3496</v>
      </c>
      <c r="P180" s="26" t="str">
        <f>_xlfn.DISPIMG("ID_92399A40D7B44F3B89AA85711A99D812",1)</f>
        <v>=DISPIMG("ID_92399A40D7B44F3B89AA85711A99D812",1)</v>
      </c>
      <c r="Q180" s="25" t="s">
        <v>3497</v>
      </c>
      <c r="R180" s="25">
        <v>442</v>
      </c>
      <c r="S180" s="40" t="s">
        <v>4465</v>
      </c>
      <c r="T180" s="18" t="s">
        <v>45</v>
      </c>
      <c r="U180" s="25">
        <v>28</v>
      </c>
      <c r="V180" s="84">
        <v>83</v>
      </c>
    </row>
    <row r="181" s="3" customFormat="1" customHeight="1" spans="1:22">
      <c r="A181" s="84">
        <v>10</v>
      </c>
      <c r="B181" s="175" t="s">
        <v>3268</v>
      </c>
      <c r="C181" s="175" t="s">
        <v>165</v>
      </c>
      <c r="D181" s="175" t="s">
        <v>3269</v>
      </c>
      <c r="E181" s="25">
        <v>18770914454</v>
      </c>
      <c r="F181" s="175" t="s">
        <v>156</v>
      </c>
      <c r="G181" s="175" t="s">
        <v>14</v>
      </c>
      <c r="H181" s="25">
        <v>202102001</v>
      </c>
      <c r="I181" s="175" t="s">
        <v>279</v>
      </c>
      <c r="J181" s="175" t="s">
        <v>178</v>
      </c>
      <c r="K181" s="175" t="s">
        <v>348</v>
      </c>
      <c r="L181" s="175" t="s">
        <v>170</v>
      </c>
      <c r="M181" s="175" t="s">
        <v>216</v>
      </c>
      <c r="N181" s="175" t="s">
        <v>638</v>
      </c>
      <c r="O181" s="175" t="s">
        <v>3271</v>
      </c>
      <c r="P181" s="26" t="str">
        <f>_xlfn.DISPIMG("ID_A7E75D79E714426086202D465053808C",1)</f>
        <v>=DISPIMG("ID_A7E75D79E714426086202D465053808C",1)</v>
      </c>
      <c r="Q181" s="25" t="s">
        <v>3272</v>
      </c>
      <c r="R181" s="25">
        <v>408</v>
      </c>
      <c r="S181" s="40" t="s">
        <v>4460</v>
      </c>
      <c r="T181" s="18" t="s">
        <v>45</v>
      </c>
      <c r="U181" s="25">
        <v>29</v>
      </c>
      <c r="V181" s="84">
        <v>82</v>
      </c>
    </row>
    <row r="182" s="3" customFormat="1" customHeight="1" spans="1:22">
      <c r="A182" s="84">
        <v>5</v>
      </c>
      <c r="B182" s="175" t="s">
        <v>2991</v>
      </c>
      <c r="C182" s="175" t="s">
        <v>165</v>
      </c>
      <c r="D182" s="175" t="s">
        <v>2992</v>
      </c>
      <c r="E182" s="25">
        <v>18720220590</v>
      </c>
      <c r="F182" s="175" t="s">
        <v>156</v>
      </c>
      <c r="G182" s="175" t="s">
        <v>14</v>
      </c>
      <c r="H182" s="25">
        <v>202102001</v>
      </c>
      <c r="I182" s="175" t="s">
        <v>157</v>
      </c>
      <c r="J182" s="175" t="s">
        <v>611</v>
      </c>
      <c r="K182" s="175" t="s">
        <v>179</v>
      </c>
      <c r="L182" s="175" t="s">
        <v>160</v>
      </c>
      <c r="M182" s="175" t="s">
        <v>216</v>
      </c>
      <c r="N182" s="175" t="s">
        <v>14</v>
      </c>
      <c r="O182" s="25">
        <v>0</v>
      </c>
      <c r="P182" s="26" t="str">
        <f>_xlfn.DISPIMG("ID_AFAEC7F47E5847F688912010DE531FF7",1)</f>
        <v>=DISPIMG("ID_AFAEC7F47E5847F688912010DE531FF7",1)</v>
      </c>
      <c r="Q182" s="25" t="s">
        <v>2994</v>
      </c>
      <c r="R182" s="25">
        <v>368</v>
      </c>
      <c r="S182" s="40" t="s">
        <v>4455</v>
      </c>
      <c r="T182" s="18" t="s">
        <v>45</v>
      </c>
      <c r="U182" s="25">
        <v>30</v>
      </c>
      <c r="V182" s="84">
        <v>85</v>
      </c>
    </row>
    <row r="183" s="3" customFormat="1" customHeight="1" spans="1:22">
      <c r="A183" s="84">
        <v>26</v>
      </c>
      <c r="B183" s="175" t="s">
        <v>2345</v>
      </c>
      <c r="C183" s="175" t="s">
        <v>153</v>
      </c>
      <c r="D183" s="175" t="s">
        <v>2346</v>
      </c>
      <c r="E183" s="25">
        <v>15267177470</v>
      </c>
      <c r="F183" s="175" t="s">
        <v>156</v>
      </c>
      <c r="G183" s="175" t="s">
        <v>8</v>
      </c>
      <c r="H183" s="25">
        <v>202102002</v>
      </c>
      <c r="I183" s="175" t="s">
        <v>279</v>
      </c>
      <c r="J183" s="175" t="s">
        <v>2348</v>
      </c>
      <c r="K183" s="175" t="s">
        <v>1950</v>
      </c>
      <c r="L183" s="175" t="s">
        <v>170</v>
      </c>
      <c r="M183" s="175" t="s">
        <v>2047</v>
      </c>
      <c r="N183" s="175" t="s">
        <v>2349</v>
      </c>
      <c r="O183" s="175" t="s">
        <v>2350</v>
      </c>
      <c r="P183" s="26" t="str">
        <f>_xlfn.DISPIMG("ID_5E2BE4A32E0C443299D86A217DB8E55F",1)</f>
        <v>=DISPIMG("ID_5E2BE4A32E0C443299D86A217DB8E55F",1)</v>
      </c>
      <c r="Q183" s="25" t="s">
        <v>2351</v>
      </c>
      <c r="R183" s="25">
        <v>278</v>
      </c>
      <c r="S183" s="40" t="s">
        <v>4506</v>
      </c>
      <c r="T183" s="18" t="s">
        <v>46</v>
      </c>
      <c r="U183" s="25">
        <v>1</v>
      </c>
      <c r="V183" s="84">
        <v>63.5</v>
      </c>
    </row>
    <row r="184" s="3" customFormat="1" customHeight="1" spans="1:22">
      <c r="A184" s="84">
        <v>21</v>
      </c>
      <c r="B184" s="175" t="s">
        <v>2126</v>
      </c>
      <c r="C184" s="175" t="s">
        <v>165</v>
      </c>
      <c r="D184" s="175" t="s">
        <v>2127</v>
      </c>
      <c r="E184" s="25">
        <v>18370269701</v>
      </c>
      <c r="F184" s="175" t="s">
        <v>156</v>
      </c>
      <c r="G184" s="175" t="s">
        <v>8</v>
      </c>
      <c r="H184" s="25">
        <v>202102002</v>
      </c>
      <c r="I184" s="175" t="s">
        <v>157</v>
      </c>
      <c r="J184" s="175" t="s">
        <v>789</v>
      </c>
      <c r="K184" s="175" t="s">
        <v>2129</v>
      </c>
      <c r="L184" s="175" t="s">
        <v>160</v>
      </c>
      <c r="M184" s="175" t="s">
        <v>252</v>
      </c>
      <c r="N184" s="175" t="s">
        <v>20</v>
      </c>
      <c r="O184" s="25">
        <v>0</v>
      </c>
      <c r="P184" s="26" t="str">
        <f>_xlfn.DISPIMG("ID_03579C230E4B4D1F94606FFA97C412A2",1)</f>
        <v>=DISPIMG("ID_03579C230E4B4D1F94606FFA97C412A2",1)</v>
      </c>
      <c r="Q184" s="25" t="s">
        <v>2130</v>
      </c>
      <c r="R184" s="25">
        <v>249</v>
      </c>
      <c r="S184" s="40" t="s">
        <v>4501</v>
      </c>
      <c r="T184" s="18" t="s">
        <v>46</v>
      </c>
      <c r="U184" s="25">
        <v>2</v>
      </c>
      <c r="V184" s="84">
        <v>0</v>
      </c>
    </row>
    <row r="185" s="3" customFormat="1" customHeight="1" spans="1:22">
      <c r="A185" s="84">
        <v>16</v>
      </c>
      <c r="B185" s="175" t="s">
        <v>1766</v>
      </c>
      <c r="C185" s="175" t="s">
        <v>165</v>
      </c>
      <c r="D185" s="175" t="s">
        <v>1767</v>
      </c>
      <c r="E185" s="25">
        <v>18370038373</v>
      </c>
      <c r="F185" s="175" t="s">
        <v>156</v>
      </c>
      <c r="G185" s="175" t="s">
        <v>8</v>
      </c>
      <c r="H185" s="25">
        <v>202102002</v>
      </c>
      <c r="I185" s="175" t="s">
        <v>157</v>
      </c>
      <c r="J185" s="175" t="s">
        <v>269</v>
      </c>
      <c r="K185" s="175" t="s">
        <v>813</v>
      </c>
      <c r="L185" s="175" t="s">
        <v>160</v>
      </c>
      <c r="M185" s="175" t="s">
        <v>180</v>
      </c>
      <c r="N185" s="175" t="s">
        <v>8</v>
      </c>
      <c r="O185" s="175" t="s">
        <v>1769</v>
      </c>
      <c r="P185" s="26" t="str">
        <f>_xlfn.DISPIMG("ID_DCEB7245249347F4A2C197E5AB7C6C11",1)</f>
        <v>=DISPIMG("ID_DCEB7245249347F4A2C197E5AB7C6C11",1)</v>
      </c>
      <c r="Q185" s="25" t="s">
        <v>1770</v>
      </c>
      <c r="R185" s="25">
        <v>201</v>
      </c>
      <c r="S185" s="40" t="s">
        <v>4496</v>
      </c>
      <c r="T185" s="18" t="s">
        <v>46</v>
      </c>
      <c r="U185" s="25">
        <v>3</v>
      </c>
      <c r="V185" s="84">
        <v>0</v>
      </c>
    </row>
    <row r="186" s="3" customFormat="1" customHeight="1" spans="1:22">
      <c r="A186" s="84">
        <v>11</v>
      </c>
      <c r="B186" s="175" t="s">
        <v>1200</v>
      </c>
      <c r="C186" s="175" t="s">
        <v>165</v>
      </c>
      <c r="D186" s="175" t="s">
        <v>1201</v>
      </c>
      <c r="E186" s="25">
        <v>15270186776</v>
      </c>
      <c r="F186" s="175" t="s">
        <v>156</v>
      </c>
      <c r="G186" s="175" t="s">
        <v>8</v>
      </c>
      <c r="H186" s="25">
        <v>202102002</v>
      </c>
      <c r="I186" s="175" t="s">
        <v>157</v>
      </c>
      <c r="J186" s="175" t="s">
        <v>1203</v>
      </c>
      <c r="K186" s="175" t="s">
        <v>1204</v>
      </c>
      <c r="L186" s="175" t="s">
        <v>160</v>
      </c>
      <c r="M186" s="175" t="s">
        <v>1089</v>
      </c>
      <c r="N186" s="175" t="s">
        <v>1205</v>
      </c>
      <c r="O186" s="175" t="s">
        <v>1206</v>
      </c>
      <c r="P186" s="26" t="str">
        <f>_xlfn.DISPIMG("ID_0C966700704E44E6A4C50F763206BC81",1)</f>
        <v>=DISPIMG("ID_0C966700704E44E6A4C50F763206BC81",1)</v>
      </c>
      <c r="Q186" s="25" t="s">
        <v>1207</v>
      </c>
      <c r="R186" s="25">
        <v>127</v>
      </c>
      <c r="S186" s="40" t="s">
        <v>4491</v>
      </c>
      <c r="T186" s="18" t="s">
        <v>46</v>
      </c>
      <c r="U186" s="25">
        <v>4</v>
      </c>
      <c r="V186" s="84">
        <v>0</v>
      </c>
    </row>
    <row r="187" s="3" customFormat="1" customHeight="1" spans="1:22">
      <c r="A187" s="84">
        <v>6</v>
      </c>
      <c r="B187" s="175" t="s">
        <v>864</v>
      </c>
      <c r="C187" s="175" t="s">
        <v>165</v>
      </c>
      <c r="D187" s="175" t="s">
        <v>865</v>
      </c>
      <c r="E187" s="25">
        <v>18958190827</v>
      </c>
      <c r="F187" s="175" t="s">
        <v>156</v>
      </c>
      <c r="G187" s="175" t="s">
        <v>8</v>
      </c>
      <c r="H187" s="25">
        <v>202102002</v>
      </c>
      <c r="I187" s="175" t="s">
        <v>157</v>
      </c>
      <c r="J187" s="175" t="s">
        <v>867</v>
      </c>
      <c r="K187" s="175" t="s">
        <v>868</v>
      </c>
      <c r="L187" s="175" t="s">
        <v>160</v>
      </c>
      <c r="M187" s="175" t="s">
        <v>548</v>
      </c>
      <c r="N187" s="175" t="s">
        <v>8</v>
      </c>
      <c r="O187" s="175" t="s">
        <v>869</v>
      </c>
      <c r="P187" s="26" t="str">
        <f>_xlfn.DISPIMG("ID_019B47D80B6342B48EC2873E3CE82AE8",1)</f>
        <v>=DISPIMG("ID_019B47D80B6342B48EC2873E3CE82AE8",1)</v>
      </c>
      <c r="Q187" s="25" t="s">
        <v>870</v>
      </c>
      <c r="R187" s="25">
        <v>86</v>
      </c>
      <c r="S187" s="40" t="s">
        <v>4486</v>
      </c>
      <c r="T187" s="18" t="s">
        <v>46</v>
      </c>
      <c r="U187" s="25">
        <v>5</v>
      </c>
      <c r="V187" s="84">
        <v>75.5</v>
      </c>
    </row>
    <row r="188" s="3" customFormat="1" customHeight="1" spans="1:22">
      <c r="A188" s="84">
        <v>1</v>
      </c>
      <c r="B188" s="175" t="s">
        <v>494</v>
      </c>
      <c r="C188" s="175" t="s">
        <v>165</v>
      </c>
      <c r="D188" s="175" t="s">
        <v>495</v>
      </c>
      <c r="E188" s="25">
        <v>13662204471</v>
      </c>
      <c r="F188" s="175" t="s">
        <v>156</v>
      </c>
      <c r="G188" s="175" t="s">
        <v>8</v>
      </c>
      <c r="H188" s="25">
        <v>202102002</v>
      </c>
      <c r="I188" s="175" t="s">
        <v>279</v>
      </c>
      <c r="J188" s="175" t="s">
        <v>158</v>
      </c>
      <c r="K188" s="175" t="s">
        <v>497</v>
      </c>
      <c r="L188" s="175" t="s">
        <v>170</v>
      </c>
      <c r="M188" s="175" t="s">
        <v>180</v>
      </c>
      <c r="N188" s="175" t="s">
        <v>498</v>
      </c>
      <c r="O188" s="175" t="s">
        <v>499</v>
      </c>
      <c r="P188" s="26" t="str">
        <f>_xlfn.DISPIMG("ID_83DE97F5DD9E4626804875394FE0FC9C",1)</f>
        <v>=DISPIMG("ID_83DE97F5DD9E4626804875394FE0FC9C",1)</v>
      </c>
      <c r="Q188" s="25" t="s">
        <v>500</v>
      </c>
      <c r="R188" s="25">
        <v>41</v>
      </c>
      <c r="S188" s="40" t="s">
        <v>4481</v>
      </c>
      <c r="T188" s="18" t="s">
        <v>46</v>
      </c>
      <c r="U188" s="25">
        <v>6</v>
      </c>
      <c r="V188" s="84">
        <v>0</v>
      </c>
    </row>
    <row r="189" s="3" customFormat="1" customHeight="1" spans="1:22">
      <c r="A189" s="84">
        <v>2</v>
      </c>
      <c r="B189" s="175" t="s">
        <v>565</v>
      </c>
      <c r="C189" s="175" t="s">
        <v>165</v>
      </c>
      <c r="D189" s="175" t="s">
        <v>566</v>
      </c>
      <c r="E189" s="25">
        <v>13184588975</v>
      </c>
      <c r="F189" s="175" t="s">
        <v>156</v>
      </c>
      <c r="G189" s="175" t="s">
        <v>8</v>
      </c>
      <c r="H189" s="25">
        <v>202102002</v>
      </c>
      <c r="I189" s="175" t="s">
        <v>279</v>
      </c>
      <c r="J189" s="175" t="s">
        <v>178</v>
      </c>
      <c r="K189" s="175" t="s">
        <v>497</v>
      </c>
      <c r="L189" s="175" t="s">
        <v>170</v>
      </c>
      <c r="M189" s="175" t="s">
        <v>368</v>
      </c>
      <c r="N189" s="175" t="s">
        <v>568</v>
      </c>
      <c r="O189" s="175" t="s">
        <v>569</v>
      </c>
      <c r="P189" s="26" t="str">
        <f>_xlfn.DISPIMG("ID_937169E203CF4CFF91192737B547BFCD",1)</f>
        <v>=DISPIMG("ID_937169E203CF4CFF91192737B547BFCD",1)</v>
      </c>
      <c r="Q189" s="25" t="s">
        <v>570</v>
      </c>
      <c r="R189" s="25">
        <v>49</v>
      </c>
      <c r="S189" s="40" t="s">
        <v>4482</v>
      </c>
      <c r="T189" s="18" t="s">
        <v>46</v>
      </c>
      <c r="U189" s="25">
        <v>7</v>
      </c>
      <c r="V189" s="84">
        <v>88</v>
      </c>
    </row>
    <row r="190" s="4" customFormat="1" customHeight="1" spans="1:22">
      <c r="A190" s="84">
        <v>7</v>
      </c>
      <c r="B190" s="175" t="s">
        <v>941</v>
      </c>
      <c r="C190" s="175" t="s">
        <v>165</v>
      </c>
      <c r="D190" s="175" t="s">
        <v>942</v>
      </c>
      <c r="E190" s="25">
        <v>18379646602</v>
      </c>
      <c r="F190" s="175" t="s">
        <v>156</v>
      </c>
      <c r="G190" s="175" t="s">
        <v>8</v>
      </c>
      <c r="H190" s="25">
        <v>202102002</v>
      </c>
      <c r="I190" s="175" t="s">
        <v>157</v>
      </c>
      <c r="J190" s="175" t="s">
        <v>269</v>
      </c>
      <c r="K190" s="175" t="s">
        <v>944</v>
      </c>
      <c r="L190" s="175" t="s">
        <v>170</v>
      </c>
      <c r="M190" s="175" t="s">
        <v>261</v>
      </c>
      <c r="N190" s="175" t="s">
        <v>945</v>
      </c>
      <c r="O190" s="25">
        <v>0</v>
      </c>
      <c r="P190" s="26" t="str">
        <f>_xlfn.DISPIMG("ID_BCCBED5385A54C5D88278A56BF2ABF99",1)</f>
        <v>=DISPIMG("ID_BCCBED5385A54C5D88278A56BF2ABF99",1)</v>
      </c>
      <c r="Q190" s="25" t="s">
        <v>946</v>
      </c>
      <c r="R190" s="25">
        <v>95</v>
      </c>
      <c r="S190" s="40" t="s">
        <v>4487</v>
      </c>
      <c r="T190" s="18" t="s">
        <v>46</v>
      </c>
      <c r="U190" s="25">
        <v>8</v>
      </c>
      <c r="V190" s="84">
        <v>0</v>
      </c>
    </row>
    <row r="191" s="3" customFormat="1" customHeight="1" spans="1:22">
      <c r="A191" s="84">
        <v>12</v>
      </c>
      <c r="B191" s="175" t="s">
        <v>1262</v>
      </c>
      <c r="C191" s="175" t="s">
        <v>165</v>
      </c>
      <c r="D191" s="175" t="s">
        <v>1263</v>
      </c>
      <c r="E191" s="25">
        <v>18897926715</v>
      </c>
      <c r="F191" s="175" t="s">
        <v>156</v>
      </c>
      <c r="G191" s="175" t="s">
        <v>8</v>
      </c>
      <c r="H191" s="25">
        <v>202102002</v>
      </c>
      <c r="I191" s="175" t="s">
        <v>157</v>
      </c>
      <c r="J191" s="175" t="s">
        <v>1265</v>
      </c>
      <c r="K191" s="175" t="s">
        <v>813</v>
      </c>
      <c r="L191" s="175" t="s">
        <v>160</v>
      </c>
      <c r="M191" s="175" t="s">
        <v>199</v>
      </c>
      <c r="N191" s="175" t="s">
        <v>1266</v>
      </c>
      <c r="O191" s="25">
        <v>0</v>
      </c>
      <c r="P191" s="26" t="str">
        <f>_xlfn.DISPIMG("ID_5DC2209F39824089B70DAE46CB942DD1",1)</f>
        <v>=DISPIMG("ID_5DC2209F39824089B70DAE46CB942DD1",1)</v>
      </c>
      <c r="Q191" s="25" t="s">
        <v>1267</v>
      </c>
      <c r="R191" s="25">
        <v>135</v>
      </c>
      <c r="S191" s="40" t="s">
        <v>4492</v>
      </c>
      <c r="T191" s="18" t="s">
        <v>46</v>
      </c>
      <c r="U191" s="25">
        <v>9</v>
      </c>
      <c r="V191" s="84">
        <v>81</v>
      </c>
    </row>
    <row r="192" s="5" customFormat="1" customHeight="1" spans="1:22">
      <c r="A192" s="84">
        <v>17</v>
      </c>
      <c r="B192" s="175" t="s">
        <v>1837</v>
      </c>
      <c r="C192" s="175" t="s">
        <v>165</v>
      </c>
      <c r="D192" s="175" t="s">
        <v>1838</v>
      </c>
      <c r="E192" s="25">
        <v>13480509971</v>
      </c>
      <c r="F192" s="175" t="s">
        <v>156</v>
      </c>
      <c r="G192" s="175" t="s">
        <v>8</v>
      </c>
      <c r="H192" s="25">
        <v>202102002</v>
      </c>
      <c r="I192" s="175" t="s">
        <v>157</v>
      </c>
      <c r="J192" s="175" t="s">
        <v>540</v>
      </c>
      <c r="K192" s="175" t="s">
        <v>1840</v>
      </c>
      <c r="L192" s="175" t="s">
        <v>160</v>
      </c>
      <c r="M192" s="175" t="s">
        <v>587</v>
      </c>
      <c r="N192" s="175" t="s">
        <v>1841</v>
      </c>
      <c r="O192" s="175" t="s">
        <v>1842</v>
      </c>
      <c r="P192" s="26" t="str">
        <f>_xlfn.DISPIMG("ID_0F8BA8686B8D4F92BF1EF6F4CB55E695",1)</f>
        <v>=DISPIMG("ID_0F8BA8686B8D4F92BF1EF6F4CB55E695",1)</v>
      </c>
      <c r="Q192" s="25" t="s">
        <v>1843</v>
      </c>
      <c r="R192" s="25">
        <v>210</v>
      </c>
      <c r="S192" s="40" t="s">
        <v>4497</v>
      </c>
      <c r="T192" s="18" t="s">
        <v>46</v>
      </c>
      <c r="U192" s="25">
        <v>10</v>
      </c>
      <c r="V192" s="84">
        <v>87</v>
      </c>
    </row>
    <row r="193" s="3" customFormat="1" customHeight="1" spans="1:22">
      <c r="A193" s="84">
        <v>22</v>
      </c>
      <c r="B193" s="175" t="s">
        <v>2133</v>
      </c>
      <c r="C193" s="175" t="s">
        <v>165</v>
      </c>
      <c r="D193" s="175" t="s">
        <v>2134</v>
      </c>
      <c r="E193" s="25">
        <v>15079264291</v>
      </c>
      <c r="F193" s="175" t="s">
        <v>156</v>
      </c>
      <c r="G193" s="175" t="s">
        <v>8</v>
      </c>
      <c r="H193" s="25">
        <v>202102002</v>
      </c>
      <c r="I193" s="175" t="s">
        <v>157</v>
      </c>
      <c r="J193" s="175" t="s">
        <v>876</v>
      </c>
      <c r="K193" s="175" t="s">
        <v>270</v>
      </c>
      <c r="L193" s="175" t="s">
        <v>170</v>
      </c>
      <c r="M193" s="175" t="s">
        <v>455</v>
      </c>
      <c r="N193" s="175" t="s">
        <v>20</v>
      </c>
      <c r="O193" s="175" t="s">
        <v>2136</v>
      </c>
      <c r="P193" s="26" t="str">
        <f>_xlfn.DISPIMG("ID_96FF4E1240E04D98ACBC33F8D3EE9C8F",1)</f>
        <v>=DISPIMG("ID_96FF4E1240E04D98ACBC33F8D3EE9C8F",1)</v>
      </c>
      <c r="Q193" s="25" t="s">
        <v>2137</v>
      </c>
      <c r="R193" s="25">
        <v>250</v>
      </c>
      <c r="S193" s="40" t="s">
        <v>4502</v>
      </c>
      <c r="T193" s="18" t="s">
        <v>46</v>
      </c>
      <c r="U193" s="25">
        <v>11</v>
      </c>
      <c r="V193" s="84">
        <v>82</v>
      </c>
    </row>
    <row r="194" s="3" customFormat="1" customHeight="1" spans="1:22">
      <c r="A194" s="84">
        <v>27</v>
      </c>
      <c r="B194" s="175" t="s">
        <v>2376</v>
      </c>
      <c r="C194" s="175" t="s">
        <v>165</v>
      </c>
      <c r="D194" s="175" t="s">
        <v>2377</v>
      </c>
      <c r="E194" s="25">
        <v>15779112128</v>
      </c>
      <c r="F194" s="175" t="s">
        <v>156</v>
      </c>
      <c r="G194" s="175" t="s">
        <v>8</v>
      </c>
      <c r="H194" s="25">
        <v>202102002</v>
      </c>
      <c r="I194" s="175" t="s">
        <v>157</v>
      </c>
      <c r="J194" s="175" t="s">
        <v>603</v>
      </c>
      <c r="K194" s="175" t="s">
        <v>2379</v>
      </c>
      <c r="L194" s="175" t="s">
        <v>160</v>
      </c>
      <c r="M194" s="175" t="s">
        <v>180</v>
      </c>
      <c r="N194" s="175" t="s">
        <v>8</v>
      </c>
      <c r="O194" s="175" t="s">
        <v>2380</v>
      </c>
      <c r="P194" s="26" t="str">
        <f>_xlfn.DISPIMG("ID_9499CE74334F4664AC42AD98401CDCF8",1)</f>
        <v>=DISPIMG("ID_9499CE74334F4664AC42AD98401CDCF8",1)</v>
      </c>
      <c r="Q194" s="25" t="s">
        <v>2381</v>
      </c>
      <c r="R194" s="25">
        <v>282</v>
      </c>
      <c r="S194" s="40" t="s">
        <v>4507</v>
      </c>
      <c r="T194" s="18" t="s">
        <v>46</v>
      </c>
      <c r="U194" s="25">
        <v>12</v>
      </c>
      <c r="V194" s="84">
        <v>91</v>
      </c>
    </row>
    <row r="195" s="3" customFormat="1" customHeight="1" spans="1:22">
      <c r="A195" s="84">
        <v>28</v>
      </c>
      <c r="B195" s="175" t="s">
        <v>2391</v>
      </c>
      <c r="C195" s="175" t="s">
        <v>165</v>
      </c>
      <c r="D195" s="175" t="s">
        <v>2392</v>
      </c>
      <c r="E195" s="25">
        <v>18779160835</v>
      </c>
      <c r="F195" s="175" t="s">
        <v>156</v>
      </c>
      <c r="G195" s="175" t="s">
        <v>8</v>
      </c>
      <c r="H195" s="25">
        <v>202102002</v>
      </c>
      <c r="I195" s="175" t="s">
        <v>157</v>
      </c>
      <c r="J195" s="175" t="s">
        <v>385</v>
      </c>
      <c r="K195" s="175" t="s">
        <v>2394</v>
      </c>
      <c r="L195" s="175" t="s">
        <v>160</v>
      </c>
      <c r="M195" s="175" t="s">
        <v>306</v>
      </c>
      <c r="N195" s="175" t="s">
        <v>2395</v>
      </c>
      <c r="O195" s="175" t="s">
        <v>2396</v>
      </c>
      <c r="P195" s="26" t="str">
        <f>_xlfn.DISPIMG("ID_E59FBD148CC0458789196A3F7371E3AC",1)</f>
        <v>=DISPIMG("ID_E59FBD148CC0458789196A3F7371E3AC",1)</v>
      </c>
      <c r="Q195" s="25" t="s">
        <v>2397</v>
      </c>
      <c r="R195" s="25">
        <v>284</v>
      </c>
      <c r="S195" s="40" t="s">
        <v>4508</v>
      </c>
      <c r="T195" s="18" t="s">
        <v>46</v>
      </c>
      <c r="U195" s="25">
        <v>13</v>
      </c>
      <c r="V195" s="84">
        <v>0</v>
      </c>
    </row>
    <row r="196" s="3" customFormat="1" customHeight="1" spans="1:22">
      <c r="A196" s="84">
        <v>23</v>
      </c>
      <c r="B196" s="175" t="s">
        <v>2194</v>
      </c>
      <c r="C196" s="175" t="s">
        <v>165</v>
      </c>
      <c r="D196" s="175" t="s">
        <v>2195</v>
      </c>
      <c r="E196" s="25">
        <v>13617094078</v>
      </c>
      <c r="F196" s="175" t="s">
        <v>156</v>
      </c>
      <c r="G196" s="175" t="s">
        <v>8</v>
      </c>
      <c r="H196" s="25">
        <v>202102002</v>
      </c>
      <c r="I196" s="175" t="s">
        <v>157</v>
      </c>
      <c r="J196" s="175" t="s">
        <v>2197</v>
      </c>
      <c r="K196" s="175" t="s">
        <v>2198</v>
      </c>
      <c r="L196" s="175" t="s">
        <v>160</v>
      </c>
      <c r="M196" s="175" t="s">
        <v>281</v>
      </c>
      <c r="N196" s="175" t="s">
        <v>8</v>
      </c>
      <c r="O196" s="175" t="s">
        <v>2199</v>
      </c>
      <c r="P196" s="26" t="str">
        <f>_xlfn.DISPIMG("ID_C169A98BEF614A41ADF43CA619535221",1)</f>
        <v>=DISPIMG("ID_C169A98BEF614A41ADF43CA619535221",1)</v>
      </c>
      <c r="Q196" s="25" t="s">
        <v>2200</v>
      </c>
      <c r="R196" s="25">
        <v>258</v>
      </c>
      <c r="S196" s="40" t="s">
        <v>4503</v>
      </c>
      <c r="T196" s="18" t="s">
        <v>46</v>
      </c>
      <c r="U196" s="25">
        <v>14</v>
      </c>
      <c r="V196" s="84">
        <v>0</v>
      </c>
    </row>
    <row r="197" s="3" customFormat="1" customHeight="1" spans="1:22">
      <c r="A197" s="84">
        <v>18</v>
      </c>
      <c r="B197" s="175" t="s">
        <v>1904</v>
      </c>
      <c r="C197" s="175" t="s">
        <v>165</v>
      </c>
      <c r="D197" s="175" t="s">
        <v>1905</v>
      </c>
      <c r="E197" s="25">
        <v>15070412978</v>
      </c>
      <c r="F197" s="175" t="s">
        <v>156</v>
      </c>
      <c r="G197" s="175" t="s">
        <v>8</v>
      </c>
      <c r="H197" s="25">
        <v>202102002</v>
      </c>
      <c r="I197" s="175" t="s">
        <v>157</v>
      </c>
      <c r="J197" s="175" t="s">
        <v>233</v>
      </c>
      <c r="K197" s="175" t="s">
        <v>454</v>
      </c>
      <c r="L197" s="175" t="s">
        <v>170</v>
      </c>
      <c r="M197" s="175" t="s">
        <v>1907</v>
      </c>
      <c r="N197" s="175" t="s">
        <v>8</v>
      </c>
      <c r="O197" s="175" t="s">
        <v>1908</v>
      </c>
      <c r="P197" s="26" t="str">
        <f>_xlfn.DISPIMG("ID_02D14B5C83BE4DBBBCAAA0B55D7FE392",1)</f>
        <v>=DISPIMG("ID_02D14B5C83BE4DBBBCAAA0B55D7FE392",1)</v>
      </c>
      <c r="Q197" s="25" t="s">
        <v>1909</v>
      </c>
      <c r="R197" s="25">
        <v>219</v>
      </c>
      <c r="S197" s="40" t="s">
        <v>4498</v>
      </c>
      <c r="T197" s="18" t="s">
        <v>46</v>
      </c>
      <c r="U197" s="25">
        <v>15</v>
      </c>
      <c r="V197" s="84">
        <v>51</v>
      </c>
    </row>
    <row r="198" s="3" customFormat="1" customHeight="1" spans="1:22">
      <c r="A198" s="84">
        <v>13</v>
      </c>
      <c r="B198" s="175" t="s">
        <v>1318</v>
      </c>
      <c r="C198" s="175" t="s">
        <v>165</v>
      </c>
      <c r="D198" s="175" t="s">
        <v>1319</v>
      </c>
      <c r="E198" s="25">
        <v>18270633854</v>
      </c>
      <c r="F198" s="175" t="s">
        <v>156</v>
      </c>
      <c r="G198" s="175" t="s">
        <v>8</v>
      </c>
      <c r="H198" s="25">
        <v>202102002</v>
      </c>
      <c r="I198" s="175" t="s">
        <v>157</v>
      </c>
      <c r="J198" s="175" t="s">
        <v>1258</v>
      </c>
      <c r="K198" s="175" t="s">
        <v>1321</v>
      </c>
      <c r="L198" s="175" t="s">
        <v>160</v>
      </c>
      <c r="M198" s="175" t="s">
        <v>516</v>
      </c>
      <c r="N198" s="175" t="s">
        <v>1322</v>
      </c>
      <c r="O198" s="175" t="s">
        <v>1323</v>
      </c>
      <c r="P198" s="26" t="str">
        <f>_xlfn.DISPIMG("ID_D86A3E1B243D4E47B731958FB3B82FC3",1)</f>
        <v>=DISPIMG("ID_D86A3E1B243D4E47B731958FB3B82FC3",1)</v>
      </c>
      <c r="Q198" s="25" t="s">
        <v>1324</v>
      </c>
      <c r="R198" s="25">
        <v>143</v>
      </c>
      <c r="S198" s="40" t="s">
        <v>4493</v>
      </c>
      <c r="T198" s="18" t="s">
        <v>46</v>
      </c>
      <c r="U198" s="25">
        <v>16</v>
      </c>
      <c r="V198" s="84">
        <v>92</v>
      </c>
    </row>
    <row r="199" s="3" customFormat="1" customHeight="1" spans="1:22">
      <c r="A199" s="84">
        <v>8</v>
      </c>
      <c r="B199" s="175" t="s">
        <v>983</v>
      </c>
      <c r="C199" s="175" t="s">
        <v>165</v>
      </c>
      <c r="D199" s="175" t="s">
        <v>984</v>
      </c>
      <c r="E199" s="25">
        <v>18170988745</v>
      </c>
      <c r="F199" s="175" t="s">
        <v>156</v>
      </c>
      <c r="G199" s="175" t="s">
        <v>8</v>
      </c>
      <c r="H199" s="25">
        <v>202102002</v>
      </c>
      <c r="I199" s="175" t="s">
        <v>157</v>
      </c>
      <c r="J199" s="175" t="s">
        <v>986</v>
      </c>
      <c r="K199" s="175" t="s">
        <v>987</v>
      </c>
      <c r="L199" s="175" t="s">
        <v>160</v>
      </c>
      <c r="M199" s="175" t="s">
        <v>988</v>
      </c>
      <c r="N199" s="175" t="s">
        <v>989</v>
      </c>
      <c r="O199" s="175" t="s">
        <v>990</v>
      </c>
      <c r="P199" s="26" t="str">
        <f>_xlfn.DISPIMG("ID_21AE3772EA6B45FAA68CF356346534B7",1)</f>
        <v>=DISPIMG("ID_21AE3772EA6B45FAA68CF356346534B7",1)</v>
      </c>
      <c r="Q199" s="25" t="s">
        <v>991</v>
      </c>
      <c r="R199" s="25">
        <v>100</v>
      </c>
      <c r="S199" s="40" t="s">
        <v>4488</v>
      </c>
      <c r="T199" s="18" t="s">
        <v>46</v>
      </c>
      <c r="U199" s="25">
        <v>17</v>
      </c>
      <c r="V199" s="70">
        <v>88.5</v>
      </c>
    </row>
    <row r="200" s="3" customFormat="1" customHeight="1" spans="1:22">
      <c r="A200" s="84">
        <v>3</v>
      </c>
      <c r="B200" s="175" t="s">
        <v>668</v>
      </c>
      <c r="C200" s="175" t="s">
        <v>165</v>
      </c>
      <c r="D200" s="175" t="s">
        <v>669</v>
      </c>
      <c r="E200" s="25">
        <v>19970219155</v>
      </c>
      <c r="F200" s="175" t="s">
        <v>156</v>
      </c>
      <c r="G200" s="175" t="s">
        <v>8</v>
      </c>
      <c r="H200" s="25">
        <v>202102002</v>
      </c>
      <c r="I200" s="175" t="s">
        <v>279</v>
      </c>
      <c r="J200" s="175" t="s">
        <v>671</v>
      </c>
      <c r="K200" s="175" t="s">
        <v>672</v>
      </c>
      <c r="L200" s="175" t="s">
        <v>160</v>
      </c>
      <c r="M200" s="175" t="s">
        <v>673</v>
      </c>
      <c r="N200" s="175" t="s">
        <v>674</v>
      </c>
      <c r="O200" s="175" t="s">
        <v>675</v>
      </c>
      <c r="P200" s="26" t="str">
        <f>_xlfn.DISPIMG("ID_350951056247403B99D5F5C96BCE4CA8",1)</f>
        <v>=DISPIMG("ID_350951056247403B99D5F5C96BCE4CA8",1)</v>
      </c>
      <c r="Q200" s="25" t="s">
        <v>676</v>
      </c>
      <c r="R200" s="25">
        <v>62</v>
      </c>
      <c r="S200" s="40" t="s">
        <v>4483</v>
      </c>
      <c r="T200" s="18" t="s">
        <v>46</v>
      </c>
      <c r="U200" s="25">
        <v>18</v>
      </c>
      <c r="V200" s="84">
        <v>66</v>
      </c>
    </row>
    <row r="201" s="3" customFormat="1" customHeight="1" spans="1:22">
      <c r="A201" s="84">
        <v>4</v>
      </c>
      <c r="B201" s="175" t="s">
        <v>779</v>
      </c>
      <c r="C201" s="175" t="s">
        <v>165</v>
      </c>
      <c r="D201" s="175" t="s">
        <v>780</v>
      </c>
      <c r="E201" s="25">
        <v>18379173946</v>
      </c>
      <c r="F201" s="175" t="s">
        <v>506</v>
      </c>
      <c r="G201" s="175" t="s">
        <v>8</v>
      </c>
      <c r="H201" s="25">
        <v>202102015</v>
      </c>
      <c r="I201" s="175" t="s">
        <v>279</v>
      </c>
      <c r="J201" s="175" t="s">
        <v>662</v>
      </c>
      <c r="K201" s="175" t="s">
        <v>497</v>
      </c>
      <c r="L201" s="175" t="s">
        <v>170</v>
      </c>
      <c r="M201" s="175" t="s">
        <v>171</v>
      </c>
      <c r="N201" s="175" t="s">
        <v>568</v>
      </c>
      <c r="O201" s="175" t="s">
        <v>782</v>
      </c>
      <c r="P201" s="26" t="str">
        <f>_xlfn.DISPIMG("ID_F2E1FDE086E6423DAF30A93C1D5DA4A4",1)</f>
        <v>=DISPIMG("ID_F2E1FDE086E6423DAF30A93C1D5DA4A4",1)</v>
      </c>
      <c r="Q201" s="25" t="s">
        <v>783</v>
      </c>
      <c r="R201" s="25">
        <v>75</v>
      </c>
      <c r="S201" s="40" t="s">
        <v>4484</v>
      </c>
      <c r="T201" s="18" t="s">
        <v>46</v>
      </c>
      <c r="U201" s="25">
        <v>19</v>
      </c>
      <c r="V201" s="84">
        <v>0</v>
      </c>
    </row>
    <row r="202" s="3" customFormat="1" customHeight="1" spans="1:22">
      <c r="A202" s="84">
        <v>9</v>
      </c>
      <c r="B202" s="175" t="s">
        <v>1002</v>
      </c>
      <c r="C202" s="175" t="s">
        <v>165</v>
      </c>
      <c r="D202" s="175" t="s">
        <v>1003</v>
      </c>
      <c r="E202" s="25">
        <v>16607008286</v>
      </c>
      <c r="F202" s="175" t="s">
        <v>156</v>
      </c>
      <c r="G202" s="175" t="s">
        <v>8</v>
      </c>
      <c r="H202" s="25">
        <v>202102002</v>
      </c>
      <c r="I202" s="175" t="s">
        <v>157</v>
      </c>
      <c r="J202" s="175" t="s">
        <v>233</v>
      </c>
      <c r="K202" s="175" t="s">
        <v>1005</v>
      </c>
      <c r="L202" s="175" t="s">
        <v>170</v>
      </c>
      <c r="M202" s="175" t="s">
        <v>180</v>
      </c>
      <c r="N202" s="175" t="s">
        <v>8</v>
      </c>
      <c r="O202" s="175" t="s">
        <v>1006</v>
      </c>
      <c r="P202" s="26" t="str">
        <f>_xlfn.DISPIMG("ID_AB18BB501DAF4CA0AB480E453554BF60",1)</f>
        <v>=DISPIMG("ID_AB18BB501DAF4CA0AB480E453554BF60",1)</v>
      </c>
      <c r="Q202" s="25" t="s">
        <v>1007</v>
      </c>
      <c r="R202" s="25">
        <v>102</v>
      </c>
      <c r="S202" s="40" t="s">
        <v>4489</v>
      </c>
      <c r="T202" s="18" t="s">
        <v>46</v>
      </c>
      <c r="U202" s="25">
        <v>20</v>
      </c>
      <c r="V202" s="84">
        <v>78</v>
      </c>
    </row>
    <row r="203" s="3" customFormat="1" customHeight="1" spans="1:22">
      <c r="A203" s="84">
        <v>14</v>
      </c>
      <c r="B203" s="175" t="s">
        <v>1471</v>
      </c>
      <c r="C203" s="175" t="s">
        <v>165</v>
      </c>
      <c r="D203" s="175" t="s">
        <v>1472</v>
      </c>
      <c r="E203" s="25">
        <v>13687036753</v>
      </c>
      <c r="F203" s="175" t="s">
        <v>156</v>
      </c>
      <c r="G203" s="175" t="s">
        <v>8</v>
      </c>
      <c r="H203" s="25">
        <v>202102002</v>
      </c>
      <c r="I203" s="175" t="s">
        <v>157</v>
      </c>
      <c r="J203" s="175" t="s">
        <v>269</v>
      </c>
      <c r="K203" s="175" t="s">
        <v>1204</v>
      </c>
      <c r="L203" s="175" t="s">
        <v>160</v>
      </c>
      <c r="M203" s="175" t="s">
        <v>171</v>
      </c>
      <c r="N203" s="175" t="s">
        <v>20</v>
      </c>
      <c r="O203" s="175" t="s">
        <v>1474</v>
      </c>
      <c r="P203" s="26" t="str">
        <f>_xlfn.DISPIMG("ID_282C99EDDFB743068B1F4514F99C7126",1)</f>
        <v>=DISPIMG("ID_282C99EDDFB743068B1F4514F99C7126",1)</v>
      </c>
      <c r="Q203" s="25" t="s">
        <v>1475</v>
      </c>
      <c r="R203" s="25">
        <v>163</v>
      </c>
      <c r="S203" s="40" t="s">
        <v>4494</v>
      </c>
      <c r="T203" s="18" t="s">
        <v>46</v>
      </c>
      <c r="U203" s="25">
        <v>21</v>
      </c>
      <c r="V203" s="84">
        <v>84.5</v>
      </c>
    </row>
    <row r="204" s="3" customFormat="1" customHeight="1" spans="1:22">
      <c r="A204" s="84">
        <v>19</v>
      </c>
      <c r="B204" s="175" t="s">
        <v>1977</v>
      </c>
      <c r="C204" s="175" t="s">
        <v>165</v>
      </c>
      <c r="D204" s="175" t="s">
        <v>1978</v>
      </c>
      <c r="E204" s="25">
        <v>15070907830</v>
      </c>
      <c r="F204" s="175" t="s">
        <v>156</v>
      </c>
      <c r="G204" s="175" t="s">
        <v>8</v>
      </c>
      <c r="H204" s="25">
        <v>202102002</v>
      </c>
      <c r="I204" s="175" t="s">
        <v>157</v>
      </c>
      <c r="J204" s="175" t="s">
        <v>827</v>
      </c>
      <c r="K204" s="175" t="s">
        <v>243</v>
      </c>
      <c r="L204" s="175" t="s">
        <v>160</v>
      </c>
      <c r="M204" s="175" t="s">
        <v>161</v>
      </c>
      <c r="N204" s="175" t="s">
        <v>8</v>
      </c>
      <c r="O204" s="175" t="s">
        <v>1979</v>
      </c>
      <c r="P204" s="26" t="str">
        <f>_xlfn.DISPIMG("ID_4F2775F35FF241D1A9320534AD0F9FD6",1)</f>
        <v>=DISPIMG("ID_4F2775F35FF241D1A9320534AD0F9FD6",1)</v>
      </c>
      <c r="Q204" s="25" t="s">
        <v>1980</v>
      </c>
      <c r="R204" s="25">
        <v>229</v>
      </c>
      <c r="S204" s="40" t="s">
        <v>4499</v>
      </c>
      <c r="T204" s="18" t="s">
        <v>46</v>
      </c>
      <c r="U204" s="25">
        <v>22</v>
      </c>
      <c r="V204" s="84">
        <v>90.5</v>
      </c>
    </row>
    <row r="205" s="3" customFormat="1" customHeight="1" spans="1:22">
      <c r="A205" s="84">
        <v>24</v>
      </c>
      <c r="B205" s="175" t="s">
        <v>2309</v>
      </c>
      <c r="C205" s="175" t="s">
        <v>165</v>
      </c>
      <c r="D205" s="175" t="s">
        <v>2310</v>
      </c>
      <c r="E205" s="25">
        <v>15279968703</v>
      </c>
      <c r="F205" s="175" t="s">
        <v>156</v>
      </c>
      <c r="G205" s="175" t="s">
        <v>8</v>
      </c>
      <c r="H205" s="25">
        <v>202102002</v>
      </c>
      <c r="I205" s="175" t="s">
        <v>279</v>
      </c>
      <c r="J205" s="175" t="s">
        <v>1424</v>
      </c>
      <c r="K205" s="175" t="s">
        <v>497</v>
      </c>
      <c r="L205" s="175" t="s">
        <v>170</v>
      </c>
      <c r="M205" s="175" t="s">
        <v>180</v>
      </c>
      <c r="N205" s="175" t="s">
        <v>8</v>
      </c>
      <c r="O205" s="175" t="s">
        <v>2312</v>
      </c>
      <c r="P205" s="26" t="str">
        <f>_xlfn.DISPIMG("ID_987FF0FA37F44BD9A4B0BCCB3CF13E1D",1)</f>
        <v>=DISPIMG("ID_987FF0FA37F44BD9A4B0BCCB3CF13E1D",1)</v>
      </c>
      <c r="Q205" s="25" t="s">
        <v>2313</v>
      </c>
      <c r="R205" s="25">
        <v>273</v>
      </c>
      <c r="S205" s="40" t="s">
        <v>4504</v>
      </c>
      <c r="T205" s="18" t="s">
        <v>46</v>
      </c>
      <c r="U205" s="25">
        <v>23</v>
      </c>
      <c r="V205" s="84">
        <v>89</v>
      </c>
    </row>
    <row r="206" s="3" customFormat="1" customHeight="1" spans="1:22">
      <c r="A206" s="84">
        <v>29</v>
      </c>
      <c r="B206" s="175" t="s">
        <v>2437</v>
      </c>
      <c r="C206" s="175" t="s">
        <v>165</v>
      </c>
      <c r="D206" s="175" t="s">
        <v>2438</v>
      </c>
      <c r="E206" s="25">
        <v>13657919316</v>
      </c>
      <c r="F206" s="175" t="s">
        <v>156</v>
      </c>
      <c r="G206" s="175" t="s">
        <v>8</v>
      </c>
      <c r="H206" s="25">
        <v>202102002</v>
      </c>
      <c r="I206" s="175" t="s">
        <v>705</v>
      </c>
      <c r="J206" s="175" t="s">
        <v>2440</v>
      </c>
      <c r="K206" s="175" t="s">
        <v>2441</v>
      </c>
      <c r="L206" s="175" t="s">
        <v>160</v>
      </c>
      <c r="M206" s="175" t="s">
        <v>189</v>
      </c>
      <c r="N206" s="175" t="s">
        <v>8</v>
      </c>
      <c r="O206" s="25">
        <v>0</v>
      </c>
      <c r="P206" s="26" t="str">
        <f>_xlfn.DISPIMG("ID_840140DEA4BE4280A385428CC67C44E3",1)</f>
        <v>=DISPIMG("ID_840140DEA4BE4280A385428CC67C44E3",1)</v>
      </c>
      <c r="Q206" s="25" t="s">
        <v>2442</v>
      </c>
      <c r="R206" s="25">
        <v>290</v>
      </c>
      <c r="S206" s="40" t="s">
        <v>4509</v>
      </c>
      <c r="T206" s="18" t="s">
        <v>46</v>
      </c>
      <c r="U206" s="25">
        <v>24</v>
      </c>
      <c r="V206" s="84">
        <v>79</v>
      </c>
    </row>
    <row r="207" s="3" customFormat="1" customHeight="1" spans="1:22">
      <c r="A207" s="84">
        <v>30</v>
      </c>
      <c r="B207" s="175" t="s">
        <v>2473</v>
      </c>
      <c r="C207" s="175" t="s">
        <v>153</v>
      </c>
      <c r="D207" s="175" t="s">
        <v>2474</v>
      </c>
      <c r="E207" s="25">
        <v>18079290506</v>
      </c>
      <c r="F207" s="175" t="s">
        <v>156</v>
      </c>
      <c r="G207" s="175" t="s">
        <v>8</v>
      </c>
      <c r="H207" s="25">
        <v>202102002</v>
      </c>
      <c r="I207" s="175" t="s">
        <v>157</v>
      </c>
      <c r="J207" s="175" t="s">
        <v>935</v>
      </c>
      <c r="K207" s="175" t="s">
        <v>270</v>
      </c>
      <c r="L207" s="175" t="s">
        <v>170</v>
      </c>
      <c r="M207" s="175" t="s">
        <v>281</v>
      </c>
      <c r="N207" s="175" t="s">
        <v>1322</v>
      </c>
      <c r="O207" s="175" t="s">
        <v>2476</v>
      </c>
      <c r="P207" s="26" t="str">
        <f>_xlfn.DISPIMG("ID_DDCFE953EBFD4779B7FAA3122A1B85C5",1)</f>
        <v>=DISPIMG("ID_DDCFE953EBFD4779B7FAA3122A1B85C5",1)</v>
      </c>
      <c r="Q207" s="25" t="s">
        <v>2477</v>
      </c>
      <c r="R207" s="25">
        <v>295</v>
      </c>
      <c r="S207" s="40" t="s">
        <v>4510</v>
      </c>
      <c r="T207" s="18" t="s">
        <v>46</v>
      </c>
      <c r="U207" s="25">
        <v>25</v>
      </c>
      <c r="V207" s="84">
        <v>90</v>
      </c>
    </row>
    <row r="208" s="3" customFormat="1" customHeight="1" spans="1:22">
      <c r="A208" s="84">
        <v>25</v>
      </c>
      <c r="B208" s="175" t="s">
        <v>2337</v>
      </c>
      <c r="C208" s="175" t="s">
        <v>165</v>
      </c>
      <c r="D208" s="175" t="s">
        <v>2338</v>
      </c>
      <c r="E208" s="25">
        <v>15779252368</v>
      </c>
      <c r="F208" s="175" t="s">
        <v>156</v>
      </c>
      <c r="G208" s="175" t="s">
        <v>8</v>
      </c>
      <c r="H208" s="25">
        <v>202102002</v>
      </c>
      <c r="I208" s="175" t="s">
        <v>157</v>
      </c>
      <c r="J208" s="175" t="s">
        <v>2340</v>
      </c>
      <c r="K208" s="175" t="s">
        <v>270</v>
      </c>
      <c r="L208" s="175" t="s">
        <v>170</v>
      </c>
      <c r="M208" s="175" t="s">
        <v>548</v>
      </c>
      <c r="N208" s="175" t="s">
        <v>1322</v>
      </c>
      <c r="O208" s="175" t="s">
        <v>2341</v>
      </c>
      <c r="P208" s="26" t="str">
        <f>_xlfn.DISPIMG("ID_590DFB2A64AB463E915AA57C80368398",1)</f>
        <v>=DISPIMG("ID_590DFB2A64AB463E915AA57C80368398",1)</v>
      </c>
      <c r="Q208" s="25" t="s">
        <v>2342</v>
      </c>
      <c r="R208" s="25">
        <v>277</v>
      </c>
      <c r="S208" s="40" t="s">
        <v>4505</v>
      </c>
      <c r="T208" s="18" t="s">
        <v>46</v>
      </c>
      <c r="U208" s="25">
        <v>26</v>
      </c>
      <c r="V208" s="84">
        <v>0</v>
      </c>
    </row>
    <row r="209" s="3" customFormat="1" customHeight="1" spans="1:22">
      <c r="A209" s="84">
        <v>20</v>
      </c>
      <c r="B209" s="175" t="s">
        <v>2076</v>
      </c>
      <c r="C209" s="175" t="s">
        <v>153</v>
      </c>
      <c r="D209" s="175" t="s">
        <v>2077</v>
      </c>
      <c r="E209" s="25">
        <v>19951510515</v>
      </c>
      <c r="F209" s="175" t="s">
        <v>156</v>
      </c>
      <c r="G209" s="175" t="s">
        <v>8</v>
      </c>
      <c r="H209" s="25">
        <v>202102002</v>
      </c>
      <c r="I209" s="175" t="s">
        <v>279</v>
      </c>
      <c r="J209" s="175" t="s">
        <v>507</v>
      </c>
      <c r="K209" s="175" t="s">
        <v>497</v>
      </c>
      <c r="L209" s="175" t="s">
        <v>170</v>
      </c>
      <c r="M209" s="175" t="s">
        <v>224</v>
      </c>
      <c r="N209" s="175" t="s">
        <v>989</v>
      </c>
      <c r="O209" s="175" t="s">
        <v>2079</v>
      </c>
      <c r="P209" s="26" t="str">
        <f>_xlfn.DISPIMG("ID_55D50712BDA742E9BE089E9AEF5CFD56",1)</f>
        <v>=DISPIMG("ID_55D50712BDA742E9BE089E9AEF5CFD56",1)</v>
      </c>
      <c r="Q209" s="25" t="s">
        <v>2080</v>
      </c>
      <c r="R209" s="25">
        <v>242</v>
      </c>
      <c r="S209" s="40" t="s">
        <v>4500</v>
      </c>
      <c r="T209" s="18" t="s">
        <v>46</v>
      </c>
      <c r="U209" s="25">
        <v>27</v>
      </c>
      <c r="V209" s="84">
        <v>0</v>
      </c>
    </row>
    <row r="210" s="3" customFormat="1" customHeight="1" spans="1:22">
      <c r="A210" s="84">
        <v>15</v>
      </c>
      <c r="B210" s="175" t="s">
        <v>1613</v>
      </c>
      <c r="C210" s="175" t="s">
        <v>165</v>
      </c>
      <c r="D210" s="175" t="s">
        <v>1614</v>
      </c>
      <c r="E210" s="25">
        <v>18296280573</v>
      </c>
      <c r="F210" s="175" t="s">
        <v>156</v>
      </c>
      <c r="G210" s="175" t="s">
        <v>8</v>
      </c>
      <c r="H210" s="25">
        <v>202102002</v>
      </c>
      <c r="I210" s="175" t="s">
        <v>157</v>
      </c>
      <c r="J210" s="175" t="s">
        <v>233</v>
      </c>
      <c r="K210" s="175" t="s">
        <v>1616</v>
      </c>
      <c r="L210" s="175" t="s">
        <v>170</v>
      </c>
      <c r="M210" s="175" t="s">
        <v>235</v>
      </c>
      <c r="N210" s="175" t="s">
        <v>1617</v>
      </c>
      <c r="O210" s="175" t="s">
        <v>1618</v>
      </c>
      <c r="P210" s="26" t="str">
        <f>_xlfn.DISPIMG("ID_2062AD8B56DF4C85BF68D2846493F2B2",1)</f>
        <v>=DISPIMG("ID_2062AD8B56DF4C85BF68D2846493F2B2",1)</v>
      </c>
      <c r="Q210" s="25" t="s">
        <v>1619</v>
      </c>
      <c r="R210" s="25">
        <v>181</v>
      </c>
      <c r="S210" s="40" t="s">
        <v>4495</v>
      </c>
      <c r="T210" s="18" t="s">
        <v>46</v>
      </c>
      <c r="U210" s="25">
        <v>28</v>
      </c>
      <c r="V210" s="84">
        <v>94</v>
      </c>
    </row>
    <row r="211" s="3" customFormat="1" customHeight="1" spans="1:22">
      <c r="A211" s="84">
        <v>10</v>
      </c>
      <c r="B211" s="175" t="s">
        <v>1127</v>
      </c>
      <c r="C211" s="175" t="s">
        <v>153</v>
      </c>
      <c r="D211" s="175" t="s">
        <v>1128</v>
      </c>
      <c r="E211" s="25">
        <v>13698023687</v>
      </c>
      <c r="F211" s="175" t="s">
        <v>156</v>
      </c>
      <c r="G211" s="175" t="s">
        <v>8</v>
      </c>
      <c r="H211" s="25">
        <v>202102002</v>
      </c>
      <c r="I211" s="175" t="s">
        <v>157</v>
      </c>
      <c r="J211" s="175" t="s">
        <v>158</v>
      </c>
      <c r="K211" s="175" t="s">
        <v>270</v>
      </c>
      <c r="L211" s="175" t="s">
        <v>170</v>
      </c>
      <c r="M211" s="175" t="s">
        <v>548</v>
      </c>
      <c r="N211" s="175" t="s">
        <v>1130</v>
      </c>
      <c r="O211" s="175" t="s">
        <v>1131</v>
      </c>
      <c r="P211" s="26" t="str">
        <f>_xlfn.DISPIMG("ID_2ABFF7AF1BF04D95953E32E5250DE953",1)</f>
        <v>=DISPIMG("ID_2ABFF7AF1BF04D95953E32E5250DE953",1)</v>
      </c>
      <c r="Q211" s="25" t="s">
        <v>1132</v>
      </c>
      <c r="R211" s="25">
        <v>118</v>
      </c>
      <c r="S211" s="40" t="s">
        <v>4490</v>
      </c>
      <c r="T211" s="18" t="s">
        <v>46</v>
      </c>
      <c r="U211" s="25">
        <v>29</v>
      </c>
      <c r="V211" s="85">
        <v>0</v>
      </c>
    </row>
    <row r="212" s="3" customFormat="1" customHeight="1" spans="1:22">
      <c r="A212" s="84">
        <v>5</v>
      </c>
      <c r="B212" s="175" t="s">
        <v>810</v>
      </c>
      <c r="C212" s="175" t="s">
        <v>165</v>
      </c>
      <c r="D212" s="175" t="s">
        <v>811</v>
      </c>
      <c r="E212" s="25">
        <v>13767213363</v>
      </c>
      <c r="F212" s="175" t="s">
        <v>156</v>
      </c>
      <c r="G212" s="175" t="s">
        <v>8</v>
      </c>
      <c r="H212" s="25">
        <v>202102002</v>
      </c>
      <c r="I212" s="175" t="s">
        <v>157</v>
      </c>
      <c r="J212" s="175" t="s">
        <v>158</v>
      </c>
      <c r="K212" s="175" t="s">
        <v>813</v>
      </c>
      <c r="L212" s="175" t="s">
        <v>160</v>
      </c>
      <c r="M212" s="175" t="s">
        <v>161</v>
      </c>
      <c r="N212" s="175" t="s">
        <v>8</v>
      </c>
      <c r="O212" s="25">
        <v>0</v>
      </c>
      <c r="P212" s="26" t="str">
        <f>_xlfn.DISPIMG("ID_5528F9D8BCB3449AB737B926D9AAB949",1)</f>
        <v>=DISPIMG("ID_5528F9D8BCB3449AB737B926D9AAB949",1)</v>
      </c>
      <c r="Q212" s="25" t="s">
        <v>814</v>
      </c>
      <c r="R212" s="25">
        <v>79</v>
      </c>
      <c r="S212" s="40" t="s">
        <v>4485</v>
      </c>
      <c r="T212" s="18" t="s">
        <v>46</v>
      </c>
      <c r="U212" s="25">
        <v>30</v>
      </c>
      <c r="V212" s="84">
        <v>80</v>
      </c>
    </row>
    <row r="213" s="3" customFormat="1" customHeight="1" spans="1:22">
      <c r="A213" s="84">
        <v>22</v>
      </c>
      <c r="B213" s="175" t="s">
        <v>3948</v>
      </c>
      <c r="C213" s="175" t="s">
        <v>165</v>
      </c>
      <c r="D213" s="175" t="s">
        <v>3949</v>
      </c>
      <c r="E213" s="25">
        <v>13803563575</v>
      </c>
      <c r="F213" s="175" t="s">
        <v>156</v>
      </c>
      <c r="G213" s="175" t="s">
        <v>8</v>
      </c>
      <c r="H213" s="25">
        <v>202102002</v>
      </c>
      <c r="I213" s="175" t="s">
        <v>279</v>
      </c>
      <c r="J213" s="175" t="s">
        <v>158</v>
      </c>
      <c r="K213" s="175" t="s">
        <v>497</v>
      </c>
      <c r="L213" s="175" t="s">
        <v>170</v>
      </c>
      <c r="M213" s="175" t="s">
        <v>180</v>
      </c>
      <c r="N213" s="175" t="s">
        <v>3230</v>
      </c>
      <c r="O213" s="175" t="s">
        <v>3951</v>
      </c>
      <c r="P213" s="26" t="str">
        <f>_xlfn.DISPIMG("ID_997BB006A29449FB8D35751C6152A872",1)</f>
        <v>=DISPIMG("ID_997BB006A29449FB8D35751C6152A872",1)</v>
      </c>
      <c r="Q213" s="25" t="s">
        <v>3952</v>
      </c>
      <c r="R213" s="25">
        <v>504</v>
      </c>
      <c r="S213" s="40" t="s">
        <v>4535</v>
      </c>
      <c r="T213" s="18" t="s">
        <v>48</v>
      </c>
      <c r="U213" s="25">
        <v>1</v>
      </c>
      <c r="V213" s="84">
        <v>0</v>
      </c>
    </row>
    <row r="214" s="3" customFormat="1" customHeight="1" spans="1:22">
      <c r="A214" s="84">
        <v>17</v>
      </c>
      <c r="B214" s="175" t="s">
        <v>3811</v>
      </c>
      <c r="C214" s="175" t="s">
        <v>165</v>
      </c>
      <c r="D214" s="175" t="s">
        <v>3812</v>
      </c>
      <c r="E214" s="25">
        <v>18970830560</v>
      </c>
      <c r="F214" s="175" t="s">
        <v>156</v>
      </c>
      <c r="G214" s="175" t="s">
        <v>8</v>
      </c>
      <c r="H214" s="25">
        <v>202102002</v>
      </c>
      <c r="I214" s="175" t="s">
        <v>157</v>
      </c>
      <c r="J214" s="175" t="s">
        <v>2483</v>
      </c>
      <c r="K214" s="175" t="s">
        <v>1832</v>
      </c>
      <c r="L214" s="175" t="s">
        <v>160</v>
      </c>
      <c r="M214" s="175" t="s">
        <v>349</v>
      </c>
      <c r="N214" s="175" t="s">
        <v>8</v>
      </c>
      <c r="O214" s="25">
        <v>0</v>
      </c>
      <c r="P214" s="26" t="str">
        <f>_xlfn.DISPIMG("ID_E15E0A7D91AC4C3983241BCD063880D6",1)</f>
        <v>=DISPIMG("ID_E15E0A7D91AC4C3983241BCD063880D6",1)</v>
      </c>
      <c r="Q214" s="25" t="s">
        <v>3814</v>
      </c>
      <c r="R214" s="25">
        <v>486</v>
      </c>
      <c r="S214" s="40" t="s">
        <v>4529</v>
      </c>
      <c r="T214" s="18" t="s">
        <v>48</v>
      </c>
      <c r="U214" s="25">
        <v>2</v>
      </c>
      <c r="V214" s="84">
        <v>0</v>
      </c>
    </row>
    <row r="215" s="3" customFormat="1" customHeight="1" spans="1:22">
      <c r="A215" s="84">
        <v>13</v>
      </c>
      <c r="B215" s="175" t="s">
        <v>3594</v>
      </c>
      <c r="C215" s="175" t="s">
        <v>165</v>
      </c>
      <c r="D215" s="175" t="s">
        <v>3595</v>
      </c>
      <c r="E215" s="25">
        <v>13635983416</v>
      </c>
      <c r="F215" s="175" t="s">
        <v>156</v>
      </c>
      <c r="G215" s="175" t="s">
        <v>8</v>
      </c>
      <c r="H215" s="25">
        <v>202102002</v>
      </c>
      <c r="I215" s="175" t="s">
        <v>279</v>
      </c>
      <c r="J215" s="175" t="s">
        <v>3597</v>
      </c>
      <c r="K215" s="175" t="s">
        <v>497</v>
      </c>
      <c r="L215" s="175" t="s">
        <v>170</v>
      </c>
      <c r="M215" s="175" t="s">
        <v>189</v>
      </c>
      <c r="N215" s="175" t="s">
        <v>989</v>
      </c>
      <c r="O215" s="175" t="s">
        <v>3598</v>
      </c>
      <c r="P215" s="26" t="str">
        <f>_xlfn.DISPIMG("ID_DB80027A676342B6B8178A0E756378C3",1)</f>
        <v>=DISPIMG("ID_DB80027A676342B6B8178A0E756378C3",1)</v>
      </c>
      <c r="Q215" s="25" t="s">
        <v>3599</v>
      </c>
      <c r="R215" s="25">
        <v>457</v>
      </c>
      <c r="S215" s="40" t="s">
        <v>4524</v>
      </c>
      <c r="T215" s="18" t="s">
        <v>48</v>
      </c>
      <c r="U215" s="25">
        <v>3</v>
      </c>
      <c r="V215" s="84">
        <v>0</v>
      </c>
    </row>
    <row r="216" s="3" customFormat="1" customHeight="1" spans="1:22">
      <c r="A216" s="84">
        <v>9</v>
      </c>
      <c r="B216" s="175" t="s">
        <v>3075</v>
      </c>
      <c r="C216" s="175" t="s">
        <v>165</v>
      </c>
      <c r="D216" s="175" t="s">
        <v>3076</v>
      </c>
      <c r="E216" s="25">
        <v>13122383919</v>
      </c>
      <c r="F216" s="175" t="s">
        <v>156</v>
      </c>
      <c r="G216" s="175" t="s">
        <v>8</v>
      </c>
      <c r="H216" s="25">
        <v>202102002</v>
      </c>
      <c r="I216" s="175" t="s">
        <v>157</v>
      </c>
      <c r="J216" s="175" t="s">
        <v>3078</v>
      </c>
      <c r="K216" s="175" t="s">
        <v>3079</v>
      </c>
      <c r="L216" s="175" t="s">
        <v>160</v>
      </c>
      <c r="M216" s="175" t="s">
        <v>252</v>
      </c>
      <c r="N216" s="175" t="s">
        <v>8</v>
      </c>
      <c r="O216" s="25">
        <v>0</v>
      </c>
      <c r="P216" s="26" t="str">
        <f>_xlfn.DISPIMG("ID_0C5BA3A4E8B245D6AB6AE82F368BFF6A",1)</f>
        <v>=DISPIMG("ID_0C5BA3A4E8B245D6AB6AE82F368BFF6A",1)</v>
      </c>
      <c r="Q216" s="25" t="s">
        <v>3080</v>
      </c>
      <c r="R216" s="25">
        <v>380</v>
      </c>
      <c r="S216" s="40" t="s">
        <v>4519</v>
      </c>
      <c r="T216" s="18" t="s">
        <v>48</v>
      </c>
      <c r="U216" s="25">
        <v>4</v>
      </c>
      <c r="V216" s="84">
        <v>91.5</v>
      </c>
    </row>
    <row r="217" s="3" customFormat="1" customHeight="1" spans="1:22">
      <c r="A217" s="84">
        <v>5</v>
      </c>
      <c r="B217" s="175" t="s">
        <v>2180</v>
      </c>
      <c r="C217" s="175" t="s">
        <v>153</v>
      </c>
      <c r="D217" s="175" t="s">
        <v>2181</v>
      </c>
      <c r="E217" s="25">
        <v>18779219080</v>
      </c>
      <c r="F217" s="175" t="s">
        <v>506</v>
      </c>
      <c r="G217" s="175" t="s">
        <v>8</v>
      </c>
      <c r="H217" s="25">
        <v>202102015</v>
      </c>
      <c r="I217" s="175" t="s">
        <v>279</v>
      </c>
      <c r="J217" s="175" t="s">
        <v>158</v>
      </c>
      <c r="K217" s="175" t="s">
        <v>497</v>
      </c>
      <c r="L217" s="175" t="s">
        <v>170</v>
      </c>
      <c r="M217" s="175" t="s">
        <v>919</v>
      </c>
      <c r="N217" s="175" t="s">
        <v>2183</v>
      </c>
      <c r="O217" s="175" t="s">
        <v>2184</v>
      </c>
      <c r="P217" s="26" t="str">
        <f>_xlfn.DISPIMG("ID_59BF2512FDA845A780519BF3EE363C98",1)</f>
        <v>=DISPIMG("ID_59BF2512FDA845A780519BF3EE363C98",1)</v>
      </c>
      <c r="Q217" s="25" t="s">
        <v>2185</v>
      </c>
      <c r="R217" s="25">
        <v>358</v>
      </c>
      <c r="S217" s="40" t="s">
        <v>4515</v>
      </c>
      <c r="T217" s="18" t="s">
        <v>48</v>
      </c>
      <c r="U217" s="25">
        <v>5</v>
      </c>
      <c r="V217" s="84">
        <v>74</v>
      </c>
    </row>
    <row r="218" s="3" customFormat="1" customHeight="1" spans="1:22">
      <c r="A218" s="84">
        <v>1</v>
      </c>
      <c r="B218" s="175" t="s">
        <v>2480</v>
      </c>
      <c r="C218" s="175" t="s">
        <v>165</v>
      </c>
      <c r="D218" s="175" t="s">
        <v>2481</v>
      </c>
      <c r="E218" s="25">
        <v>15179240952</v>
      </c>
      <c r="F218" s="175" t="s">
        <v>156</v>
      </c>
      <c r="G218" s="175" t="s">
        <v>8</v>
      </c>
      <c r="H218" s="25">
        <v>202102002</v>
      </c>
      <c r="I218" s="175" t="s">
        <v>157</v>
      </c>
      <c r="J218" s="175" t="s">
        <v>2483</v>
      </c>
      <c r="K218" s="175" t="s">
        <v>2379</v>
      </c>
      <c r="L218" s="175" t="s">
        <v>160</v>
      </c>
      <c r="M218" s="175" t="s">
        <v>199</v>
      </c>
      <c r="N218" s="175" t="s">
        <v>8</v>
      </c>
      <c r="O218" s="175" t="s">
        <v>2484</v>
      </c>
      <c r="P218" s="26" t="str">
        <f>_xlfn.DISPIMG("ID_6EB4CC10A54B4F2AAD1518F1F500F570",1)</f>
        <v>=DISPIMG("ID_6EB4CC10A54B4F2AAD1518F1F500F570",1)</v>
      </c>
      <c r="Q218" s="25" t="s">
        <v>2485</v>
      </c>
      <c r="R218" s="25">
        <v>296</v>
      </c>
      <c r="S218" s="40" t="s">
        <v>4511</v>
      </c>
      <c r="T218" s="18" t="s">
        <v>48</v>
      </c>
      <c r="U218" s="25">
        <v>6</v>
      </c>
      <c r="V218" s="84">
        <v>95</v>
      </c>
    </row>
    <row r="219" s="3" customFormat="1" customHeight="1" spans="1:22">
      <c r="A219" s="84">
        <v>2</v>
      </c>
      <c r="B219" s="175" t="s">
        <v>2556</v>
      </c>
      <c r="C219" s="175" t="s">
        <v>165</v>
      </c>
      <c r="D219" s="175" t="s">
        <v>2557</v>
      </c>
      <c r="E219" s="25">
        <v>15770775780</v>
      </c>
      <c r="F219" s="175" t="s">
        <v>156</v>
      </c>
      <c r="G219" s="175" t="s">
        <v>8</v>
      </c>
      <c r="H219" s="25">
        <v>202102002</v>
      </c>
      <c r="I219" s="175" t="s">
        <v>157</v>
      </c>
      <c r="J219" s="175" t="s">
        <v>1413</v>
      </c>
      <c r="K219" s="175" t="s">
        <v>169</v>
      </c>
      <c r="L219" s="175" t="s">
        <v>170</v>
      </c>
      <c r="M219" s="175" t="s">
        <v>235</v>
      </c>
      <c r="N219" s="175" t="s">
        <v>8</v>
      </c>
      <c r="O219" s="25">
        <v>0</v>
      </c>
      <c r="P219" s="26" t="str">
        <f>_xlfn.DISPIMG("ID_BF27FE8641A74810A1152D199B9359D9",1)</f>
        <v>=DISPIMG("ID_BF27FE8641A74810A1152D199B9359D9",1)</v>
      </c>
      <c r="Q219" s="25" t="s">
        <v>2559</v>
      </c>
      <c r="R219" s="25">
        <v>306</v>
      </c>
      <c r="S219" s="40" t="s">
        <v>4512</v>
      </c>
      <c r="T219" s="18" t="s">
        <v>48</v>
      </c>
      <c r="U219" s="25">
        <v>7</v>
      </c>
      <c r="V219" s="84">
        <v>87.5</v>
      </c>
    </row>
    <row r="220" s="3" customFormat="1" customHeight="1" spans="1:22">
      <c r="A220" s="84">
        <v>6</v>
      </c>
      <c r="B220" s="175" t="s">
        <v>2947</v>
      </c>
      <c r="C220" s="175" t="s">
        <v>165</v>
      </c>
      <c r="D220" s="175" t="s">
        <v>2948</v>
      </c>
      <c r="E220" s="25">
        <v>17370852983</v>
      </c>
      <c r="F220" s="175" t="s">
        <v>156</v>
      </c>
      <c r="G220" s="175" t="s">
        <v>8</v>
      </c>
      <c r="H220" s="25">
        <v>202102002</v>
      </c>
      <c r="I220" s="175" t="s">
        <v>157</v>
      </c>
      <c r="J220" s="175" t="s">
        <v>611</v>
      </c>
      <c r="K220" s="175" t="s">
        <v>1832</v>
      </c>
      <c r="L220" s="175" t="s">
        <v>160</v>
      </c>
      <c r="M220" s="175" t="s">
        <v>306</v>
      </c>
      <c r="N220" s="175" t="s">
        <v>2950</v>
      </c>
      <c r="O220" s="175" t="s">
        <v>2951</v>
      </c>
      <c r="P220" s="26" t="str">
        <f>_xlfn.DISPIMG("ID_53C3410979BA49538F1410917AAC183C",1)</f>
        <v>=DISPIMG("ID_53C3410979BA49538F1410917AAC183C",1)</v>
      </c>
      <c r="Q220" s="25" t="s">
        <v>2952</v>
      </c>
      <c r="R220" s="25">
        <v>362</v>
      </c>
      <c r="S220" s="40" t="s">
        <v>4516</v>
      </c>
      <c r="T220" s="18" t="s">
        <v>48</v>
      </c>
      <c r="U220" s="25">
        <v>8</v>
      </c>
      <c r="V220" s="84">
        <v>75</v>
      </c>
    </row>
    <row r="221" s="3" customFormat="1" customHeight="1" spans="1:22">
      <c r="A221" s="84">
        <v>10</v>
      </c>
      <c r="B221" s="175" t="s">
        <v>3083</v>
      </c>
      <c r="C221" s="175" t="s">
        <v>165</v>
      </c>
      <c r="D221" s="175" t="s">
        <v>3084</v>
      </c>
      <c r="E221" s="25">
        <v>15070231776</v>
      </c>
      <c r="F221" s="175" t="s">
        <v>156</v>
      </c>
      <c r="G221" s="175" t="s">
        <v>8</v>
      </c>
      <c r="H221" s="25">
        <v>202102002</v>
      </c>
      <c r="I221" s="175" t="s">
        <v>157</v>
      </c>
      <c r="J221" s="175" t="s">
        <v>3086</v>
      </c>
      <c r="K221" s="175" t="s">
        <v>3087</v>
      </c>
      <c r="L221" s="175" t="s">
        <v>160</v>
      </c>
      <c r="M221" s="175" t="s">
        <v>455</v>
      </c>
      <c r="N221" s="175" t="s">
        <v>8</v>
      </c>
      <c r="O221" s="25">
        <v>0</v>
      </c>
      <c r="P221" s="26" t="str">
        <f>_xlfn.DISPIMG("ID_FE0A8F210AE74D2ABEA83714575A775F",1)</f>
        <v>=DISPIMG("ID_FE0A8F210AE74D2ABEA83714575A775F",1)</v>
      </c>
      <c r="Q221" s="25" t="s">
        <v>3088</v>
      </c>
      <c r="R221" s="25">
        <v>381</v>
      </c>
      <c r="S221" s="40" t="s">
        <v>4520</v>
      </c>
      <c r="T221" s="18" t="s">
        <v>48</v>
      </c>
      <c r="U221" s="25">
        <v>9</v>
      </c>
      <c r="V221" s="84">
        <v>0</v>
      </c>
    </row>
    <row r="222" s="3" customFormat="1" customHeight="1" spans="1:22">
      <c r="A222" s="84">
        <v>14</v>
      </c>
      <c r="B222" s="175" t="s">
        <v>1027</v>
      </c>
      <c r="C222" s="175" t="s">
        <v>165</v>
      </c>
      <c r="D222" s="175" t="s">
        <v>3692</v>
      </c>
      <c r="E222" s="25">
        <v>15779259710</v>
      </c>
      <c r="F222" s="175" t="s">
        <v>156</v>
      </c>
      <c r="G222" s="175" t="s">
        <v>8</v>
      </c>
      <c r="H222" s="25">
        <v>202102002</v>
      </c>
      <c r="I222" s="175" t="s">
        <v>279</v>
      </c>
      <c r="J222" s="175" t="s">
        <v>3694</v>
      </c>
      <c r="K222" s="175" t="s">
        <v>497</v>
      </c>
      <c r="L222" s="175" t="s">
        <v>170</v>
      </c>
      <c r="M222" s="175" t="s">
        <v>180</v>
      </c>
      <c r="N222" s="175" t="s">
        <v>8</v>
      </c>
      <c r="O222" s="175" t="s">
        <v>3695</v>
      </c>
      <c r="P222" s="26" t="str">
        <f>_xlfn.DISPIMG("ID_57DB6C2F5BCD45498E344599D2C7D1D8",1)</f>
        <v>=DISPIMG("ID_57DB6C2F5BCD45498E344599D2C7D1D8",1)</v>
      </c>
      <c r="Q222" s="25" t="s">
        <v>3696</v>
      </c>
      <c r="R222" s="25">
        <v>470</v>
      </c>
      <c r="S222" s="40" t="s">
        <v>4525</v>
      </c>
      <c r="T222" s="18" t="s">
        <v>48</v>
      </c>
      <c r="U222" s="25">
        <v>10</v>
      </c>
      <c r="V222" s="84">
        <v>0</v>
      </c>
    </row>
    <row r="223" s="3" customFormat="1" customHeight="1" spans="1:22">
      <c r="A223" s="84">
        <v>18</v>
      </c>
      <c r="B223" s="175" t="s">
        <v>3850</v>
      </c>
      <c r="C223" s="175" t="s">
        <v>165</v>
      </c>
      <c r="D223" s="175" t="s">
        <v>3851</v>
      </c>
      <c r="E223" s="25">
        <v>15797695028</v>
      </c>
      <c r="F223" s="175" t="s">
        <v>156</v>
      </c>
      <c r="G223" s="175" t="s">
        <v>8</v>
      </c>
      <c r="H223" s="25">
        <v>202102002</v>
      </c>
      <c r="I223" s="175" t="s">
        <v>157</v>
      </c>
      <c r="J223" s="175" t="s">
        <v>233</v>
      </c>
      <c r="K223" s="175" t="s">
        <v>3853</v>
      </c>
      <c r="L223" s="175" t="s">
        <v>160</v>
      </c>
      <c r="M223" s="175" t="s">
        <v>235</v>
      </c>
      <c r="N223" s="175" t="s">
        <v>3854</v>
      </c>
      <c r="O223" s="25">
        <v>0</v>
      </c>
      <c r="P223" s="26" t="str">
        <f>_xlfn.DISPIMG("ID_84872379004C4F22BC15C75702A4DBC9",1)</f>
        <v>=DISPIMG("ID_84872379004C4F22BC15C75702A4DBC9",1)</v>
      </c>
      <c r="Q223" s="25" t="s">
        <v>3855</v>
      </c>
      <c r="R223" s="25">
        <v>491</v>
      </c>
      <c r="S223" s="40" t="s">
        <v>4530</v>
      </c>
      <c r="T223" s="18" t="s">
        <v>48</v>
      </c>
      <c r="U223" s="25">
        <v>11</v>
      </c>
      <c r="V223" s="84">
        <v>78.5</v>
      </c>
    </row>
    <row r="224" s="3" customFormat="1" customHeight="1" spans="1:22">
      <c r="A224" s="84">
        <v>23</v>
      </c>
      <c r="B224" s="175" t="s">
        <v>4043</v>
      </c>
      <c r="C224" s="175" t="s">
        <v>165</v>
      </c>
      <c r="D224" s="175" t="s">
        <v>4044</v>
      </c>
      <c r="E224" s="25">
        <v>18046771974</v>
      </c>
      <c r="F224" s="175" t="s">
        <v>156</v>
      </c>
      <c r="G224" s="175" t="s">
        <v>8</v>
      </c>
      <c r="H224" s="25">
        <v>202102002</v>
      </c>
      <c r="I224" s="175" t="s">
        <v>157</v>
      </c>
      <c r="J224" s="175" t="s">
        <v>1368</v>
      </c>
      <c r="K224" s="175" t="s">
        <v>4046</v>
      </c>
      <c r="L224" s="175" t="s">
        <v>170</v>
      </c>
      <c r="M224" s="175" t="s">
        <v>281</v>
      </c>
      <c r="N224" s="175" t="s">
        <v>20</v>
      </c>
      <c r="O224" s="175" t="s">
        <v>4047</v>
      </c>
      <c r="P224" s="26" t="str">
        <f>_xlfn.DISPIMG("ID_5DC4628448F54176A5FF91EC25B128F5",1)</f>
        <v>=DISPIMG("ID_5DC4628448F54176A5FF91EC25B128F5",1)</v>
      </c>
      <c r="Q224" s="25" t="s">
        <v>4048</v>
      </c>
      <c r="R224" s="25">
        <v>517</v>
      </c>
      <c r="S224" s="40" t="s">
        <v>4536</v>
      </c>
      <c r="T224" s="18" t="s">
        <v>48</v>
      </c>
      <c r="U224" s="25">
        <v>12</v>
      </c>
      <c r="V224" s="84">
        <v>84</v>
      </c>
    </row>
    <row r="225" s="3" customFormat="1" customHeight="1" spans="1:22">
      <c r="A225" s="84">
        <v>24</v>
      </c>
      <c r="B225" s="175" t="s">
        <v>4089</v>
      </c>
      <c r="C225" s="175" t="s">
        <v>165</v>
      </c>
      <c r="D225" s="175" t="s">
        <v>4090</v>
      </c>
      <c r="E225" s="25">
        <v>15979951702</v>
      </c>
      <c r="F225" s="175" t="s">
        <v>156</v>
      </c>
      <c r="G225" s="175" t="s">
        <v>8</v>
      </c>
      <c r="H225" s="25">
        <v>202102002</v>
      </c>
      <c r="I225" s="175" t="s">
        <v>157</v>
      </c>
      <c r="J225" s="175" t="s">
        <v>385</v>
      </c>
      <c r="K225" s="175" t="s">
        <v>270</v>
      </c>
      <c r="L225" s="175" t="s">
        <v>170</v>
      </c>
      <c r="M225" s="175" t="s">
        <v>161</v>
      </c>
      <c r="N225" s="175" t="s">
        <v>20</v>
      </c>
      <c r="O225" s="175" t="s">
        <v>4092</v>
      </c>
      <c r="P225" s="26" t="str">
        <f>_xlfn.DISPIMG("ID_9B43E41106094708AAB8E2C3D51BAF21",1)</f>
        <v>=DISPIMG("ID_9B43E41106094708AAB8E2C3D51BAF21",1)</v>
      </c>
      <c r="Q225" s="25" t="s">
        <v>4093</v>
      </c>
      <c r="R225" s="25">
        <v>523</v>
      </c>
      <c r="S225" s="40" t="s">
        <v>4537</v>
      </c>
      <c r="T225" s="18" t="s">
        <v>48</v>
      </c>
      <c r="U225" s="25">
        <v>13</v>
      </c>
      <c r="V225" s="84">
        <v>96</v>
      </c>
    </row>
    <row r="226" s="4" customFormat="1" customHeight="1" spans="1:22">
      <c r="A226" s="84">
        <v>19</v>
      </c>
      <c r="B226" s="175" t="s">
        <v>3865</v>
      </c>
      <c r="C226" s="175" t="s">
        <v>165</v>
      </c>
      <c r="D226" s="175" t="s">
        <v>3866</v>
      </c>
      <c r="E226" s="25">
        <v>18879267212</v>
      </c>
      <c r="F226" s="175" t="s">
        <v>156</v>
      </c>
      <c r="G226" s="175" t="s">
        <v>8</v>
      </c>
      <c r="H226" s="25">
        <v>202102002</v>
      </c>
      <c r="I226" s="175" t="s">
        <v>157</v>
      </c>
      <c r="J226" s="175" t="s">
        <v>827</v>
      </c>
      <c r="K226" s="175" t="s">
        <v>270</v>
      </c>
      <c r="L226" s="175" t="s">
        <v>170</v>
      </c>
      <c r="M226" s="175" t="s">
        <v>171</v>
      </c>
      <c r="N226" s="175" t="s">
        <v>3868</v>
      </c>
      <c r="O226" s="175" t="s">
        <v>3869</v>
      </c>
      <c r="P226" s="26" t="str">
        <f>_xlfn.DISPIMG("ID_60BA691C89BB46A3A629500DC48B1B82",1)</f>
        <v>=DISPIMG("ID_60BA691C89BB46A3A629500DC48B1B82",1)</v>
      </c>
      <c r="Q226" s="25" t="s">
        <v>3870</v>
      </c>
      <c r="R226" s="25">
        <v>493</v>
      </c>
      <c r="S226" s="40" t="s">
        <v>4532</v>
      </c>
      <c r="T226" s="18" t="s">
        <v>48</v>
      </c>
      <c r="U226" s="25">
        <v>14</v>
      </c>
      <c r="V226" s="70">
        <v>0</v>
      </c>
    </row>
    <row r="227" s="3" customFormat="1" customHeight="1" spans="1:22">
      <c r="A227" s="84">
        <v>15</v>
      </c>
      <c r="B227" s="175" t="s">
        <v>3734</v>
      </c>
      <c r="C227" s="175" t="s">
        <v>165</v>
      </c>
      <c r="D227" s="175" t="s">
        <v>3735</v>
      </c>
      <c r="E227" s="25">
        <v>15070233072</v>
      </c>
      <c r="F227" s="175" t="s">
        <v>156</v>
      </c>
      <c r="G227" s="175" t="s">
        <v>8</v>
      </c>
      <c r="H227" s="25">
        <v>202102002</v>
      </c>
      <c r="I227" s="175" t="s">
        <v>157</v>
      </c>
      <c r="J227" s="175" t="s">
        <v>3737</v>
      </c>
      <c r="K227" s="175" t="s">
        <v>3738</v>
      </c>
      <c r="L227" s="175" t="s">
        <v>160</v>
      </c>
      <c r="M227" s="175" t="s">
        <v>171</v>
      </c>
      <c r="N227" s="175" t="s">
        <v>8</v>
      </c>
      <c r="O227" s="175" t="s">
        <v>3739</v>
      </c>
      <c r="P227" s="26" t="str">
        <f>_xlfn.DISPIMG("ID_B7F470084B4940CBBF67BF60A043E6F0",1)</f>
        <v>=DISPIMG("ID_B7F470084B4940CBBF67BF60A043E6F0",1)</v>
      </c>
      <c r="Q227" s="25" t="s">
        <v>3740</v>
      </c>
      <c r="R227" s="25">
        <v>476</v>
      </c>
      <c r="S227" s="40" t="s">
        <v>4527</v>
      </c>
      <c r="T227" s="18" t="s">
        <v>48</v>
      </c>
      <c r="U227" s="25">
        <v>15</v>
      </c>
      <c r="V227" s="84">
        <v>0</v>
      </c>
    </row>
    <row r="228" s="3" customFormat="1" customHeight="1" spans="1:22">
      <c r="A228" s="84">
        <v>11</v>
      </c>
      <c r="B228" s="175" t="s">
        <v>3226</v>
      </c>
      <c r="C228" s="175" t="s">
        <v>165</v>
      </c>
      <c r="D228" s="175" t="s">
        <v>3227</v>
      </c>
      <c r="E228" s="25">
        <v>18279226554</v>
      </c>
      <c r="F228" s="175" t="s">
        <v>156</v>
      </c>
      <c r="G228" s="175" t="s">
        <v>8</v>
      </c>
      <c r="H228" s="25">
        <v>202102002</v>
      </c>
      <c r="I228" s="175" t="s">
        <v>157</v>
      </c>
      <c r="J228" s="175" t="s">
        <v>3229</v>
      </c>
      <c r="K228" s="175" t="s">
        <v>1832</v>
      </c>
      <c r="L228" s="175" t="s">
        <v>160</v>
      </c>
      <c r="M228" s="175" t="s">
        <v>235</v>
      </c>
      <c r="N228" s="175" t="s">
        <v>3230</v>
      </c>
      <c r="O228" s="25">
        <v>0</v>
      </c>
      <c r="P228" s="26" t="str">
        <f>_xlfn.DISPIMG("ID_E38CE29681DB4326A5DB290E49AD4AFC",1)</f>
        <v>=DISPIMG("ID_E38CE29681DB4326A5DB290E49AD4AFC",1)</v>
      </c>
      <c r="Q228" s="25" t="s">
        <v>3231</v>
      </c>
      <c r="R228" s="25">
        <v>402</v>
      </c>
      <c r="S228" s="40" t="s">
        <v>4522</v>
      </c>
      <c r="T228" s="18" t="s">
        <v>48</v>
      </c>
      <c r="U228" s="25">
        <v>16</v>
      </c>
      <c r="V228" s="84">
        <v>0</v>
      </c>
    </row>
    <row r="229" s="3" customFormat="1" customHeight="1" spans="1:22">
      <c r="A229" s="84">
        <v>7</v>
      </c>
      <c r="B229" s="175" t="s">
        <v>2983</v>
      </c>
      <c r="C229" s="175" t="s">
        <v>165</v>
      </c>
      <c r="D229" s="175" t="s">
        <v>2984</v>
      </c>
      <c r="E229" s="25">
        <v>13699860392</v>
      </c>
      <c r="F229" s="175" t="s">
        <v>156</v>
      </c>
      <c r="G229" s="175" t="s">
        <v>8</v>
      </c>
      <c r="H229" s="25">
        <v>202102002</v>
      </c>
      <c r="I229" s="175" t="s">
        <v>157</v>
      </c>
      <c r="J229" s="175" t="s">
        <v>187</v>
      </c>
      <c r="K229" s="175" t="s">
        <v>2986</v>
      </c>
      <c r="L229" s="175" t="s">
        <v>160</v>
      </c>
      <c r="M229" s="175" t="s">
        <v>516</v>
      </c>
      <c r="N229" s="175" t="s">
        <v>20</v>
      </c>
      <c r="O229" s="175" t="s">
        <v>2987</v>
      </c>
      <c r="P229" s="26" t="str">
        <f>_xlfn.DISPIMG("ID_60E91D8703D740D9A8AE531BE158A22D",1)</f>
        <v>=DISPIMG("ID_60E91D8703D740D9A8AE531BE158A22D",1)</v>
      </c>
      <c r="Q229" s="25" t="s">
        <v>2988</v>
      </c>
      <c r="R229" s="25">
        <v>367</v>
      </c>
      <c r="S229" s="40" t="s">
        <v>4517</v>
      </c>
      <c r="T229" s="18" t="s">
        <v>48</v>
      </c>
      <c r="U229" s="25">
        <v>17</v>
      </c>
      <c r="V229" s="84">
        <v>97</v>
      </c>
    </row>
    <row r="230" s="3" customFormat="1" customHeight="1" spans="1:22">
      <c r="A230" s="84">
        <v>3</v>
      </c>
      <c r="B230" s="175" t="s">
        <v>2839</v>
      </c>
      <c r="C230" s="175" t="s">
        <v>165</v>
      </c>
      <c r="D230" s="175" t="s">
        <v>2840</v>
      </c>
      <c r="E230" s="25">
        <v>15979055139</v>
      </c>
      <c r="F230" s="175" t="s">
        <v>156</v>
      </c>
      <c r="G230" s="175" t="s">
        <v>8</v>
      </c>
      <c r="H230" s="25">
        <v>202102002</v>
      </c>
      <c r="I230" s="175" t="s">
        <v>157</v>
      </c>
      <c r="J230" s="175" t="s">
        <v>827</v>
      </c>
      <c r="K230" s="175" t="s">
        <v>270</v>
      </c>
      <c r="L230" s="175" t="s">
        <v>170</v>
      </c>
      <c r="M230" s="175" t="s">
        <v>587</v>
      </c>
      <c r="N230" s="175" t="s">
        <v>2842</v>
      </c>
      <c r="O230" s="175" t="s">
        <v>2843</v>
      </c>
      <c r="P230" s="26" t="str">
        <f>_xlfn.DISPIMG("ID_D0E61411E52441859AFE69B7874CA20C",1)</f>
        <v>=DISPIMG("ID_D0E61411E52441859AFE69B7874CA20C",1)</v>
      </c>
      <c r="Q230" s="25" t="s">
        <v>2844</v>
      </c>
      <c r="R230" s="25">
        <v>345</v>
      </c>
      <c r="S230" s="40" t="s">
        <v>4513</v>
      </c>
      <c r="T230" s="18" t="s">
        <v>48</v>
      </c>
      <c r="U230" s="25">
        <v>18</v>
      </c>
      <c r="V230" s="84">
        <v>85</v>
      </c>
    </row>
    <row r="231" s="3" customFormat="1" customHeight="1" spans="1:22">
      <c r="A231" s="84">
        <v>4</v>
      </c>
      <c r="B231" s="175" t="s">
        <v>2847</v>
      </c>
      <c r="C231" s="175" t="s">
        <v>165</v>
      </c>
      <c r="D231" s="175" t="s">
        <v>2848</v>
      </c>
      <c r="E231" s="25">
        <v>18720087898</v>
      </c>
      <c r="F231" s="175" t="s">
        <v>156</v>
      </c>
      <c r="G231" s="175" t="s">
        <v>8</v>
      </c>
      <c r="H231" s="25">
        <v>202102002</v>
      </c>
      <c r="I231" s="175" t="s">
        <v>157</v>
      </c>
      <c r="J231" s="175" t="s">
        <v>1654</v>
      </c>
      <c r="K231" s="175" t="s">
        <v>813</v>
      </c>
      <c r="L231" s="175" t="s">
        <v>160</v>
      </c>
      <c r="M231" s="175" t="s">
        <v>516</v>
      </c>
      <c r="N231" s="175" t="s">
        <v>8</v>
      </c>
      <c r="O231" s="175" t="s">
        <v>2850</v>
      </c>
      <c r="P231" s="26" t="str">
        <f>_xlfn.DISPIMG("ID_B4574457B7EA4998BCE46939492C25E1",1)</f>
        <v>=DISPIMG("ID_B4574457B7EA4998BCE46939492C25E1",1)</v>
      </c>
      <c r="Q231" s="25" t="s">
        <v>2851</v>
      </c>
      <c r="R231" s="25">
        <v>346</v>
      </c>
      <c r="S231" s="40" t="s">
        <v>4514</v>
      </c>
      <c r="T231" s="18" t="s">
        <v>48</v>
      </c>
      <c r="U231" s="25">
        <v>19</v>
      </c>
      <c r="V231" s="84">
        <v>98</v>
      </c>
    </row>
    <row r="232" s="3" customFormat="1" customHeight="1" spans="1:22">
      <c r="A232" s="84">
        <v>8</v>
      </c>
      <c r="B232" s="175" t="s">
        <v>2996</v>
      </c>
      <c r="C232" s="175" t="s">
        <v>165</v>
      </c>
      <c r="D232" s="175" t="s">
        <v>2997</v>
      </c>
      <c r="E232" s="25">
        <v>17379208038</v>
      </c>
      <c r="F232" s="175" t="s">
        <v>156</v>
      </c>
      <c r="G232" s="175" t="s">
        <v>8</v>
      </c>
      <c r="H232" s="25">
        <v>202102002</v>
      </c>
      <c r="I232" s="175" t="s">
        <v>157</v>
      </c>
      <c r="J232" s="175" t="s">
        <v>437</v>
      </c>
      <c r="K232" s="175" t="s">
        <v>1481</v>
      </c>
      <c r="L232" s="175" t="s">
        <v>160</v>
      </c>
      <c r="M232" s="175" t="s">
        <v>281</v>
      </c>
      <c r="N232" s="175" t="s">
        <v>8</v>
      </c>
      <c r="O232" s="25">
        <v>0</v>
      </c>
      <c r="P232" s="26" t="str">
        <f>_xlfn.DISPIMG("ID_A119020A43A6495588BAFB55CB082F01",1)</f>
        <v>=DISPIMG("ID_A119020A43A6495588BAFB55CB082F01",1)</v>
      </c>
      <c r="Q232" s="25" t="s">
        <v>2999</v>
      </c>
      <c r="R232" s="25">
        <v>369</v>
      </c>
      <c r="S232" s="40" t="s">
        <v>4518</v>
      </c>
      <c r="T232" s="18" t="s">
        <v>48</v>
      </c>
      <c r="U232" s="25">
        <v>20</v>
      </c>
      <c r="V232" s="84">
        <v>93</v>
      </c>
    </row>
    <row r="233" s="3" customFormat="1" customHeight="1" spans="1:22">
      <c r="A233" s="84">
        <v>12</v>
      </c>
      <c r="B233" s="175" t="s">
        <v>3416</v>
      </c>
      <c r="C233" s="175" t="s">
        <v>165</v>
      </c>
      <c r="D233" s="175" t="s">
        <v>3417</v>
      </c>
      <c r="E233" s="25">
        <v>15179885806</v>
      </c>
      <c r="F233" s="175" t="s">
        <v>156</v>
      </c>
      <c r="G233" s="175" t="s">
        <v>8</v>
      </c>
      <c r="H233" s="25">
        <v>202102002</v>
      </c>
      <c r="I233" s="175" t="s">
        <v>157</v>
      </c>
      <c r="J233" s="175" t="s">
        <v>242</v>
      </c>
      <c r="K233" s="175" t="s">
        <v>3087</v>
      </c>
      <c r="L233" s="175" t="s">
        <v>160</v>
      </c>
      <c r="M233" s="175" t="s">
        <v>180</v>
      </c>
      <c r="N233" s="175" t="s">
        <v>3418</v>
      </c>
      <c r="O233" s="175" t="s">
        <v>3419</v>
      </c>
      <c r="P233" s="26" t="str">
        <f>_xlfn.DISPIMG("ID_7663A71771F44500AC5AF2DBC8366CB5",1)</f>
        <v>=DISPIMG("ID_7663A71771F44500AC5AF2DBC8366CB5",1)</v>
      </c>
      <c r="Q233" s="25" t="s">
        <v>3420</v>
      </c>
      <c r="R233" s="25">
        <v>431</v>
      </c>
      <c r="S233" s="40" t="s">
        <v>4523</v>
      </c>
      <c r="T233" s="18" t="s">
        <v>48</v>
      </c>
      <c r="U233" s="25">
        <v>21</v>
      </c>
      <c r="V233" s="84">
        <v>0</v>
      </c>
    </row>
    <row r="234" s="3" customFormat="1" customHeight="1" spans="1:22">
      <c r="A234" s="84">
        <v>16</v>
      </c>
      <c r="B234" s="175" t="s">
        <v>3766</v>
      </c>
      <c r="C234" s="175" t="s">
        <v>165</v>
      </c>
      <c r="D234" s="175" t="s">
        <v>3767</v>
      </c>
      <c r="E234" s="25">
        <v>18079224740</v>
      </c>
      <c r="F234" s="175" t="s">
        <v>156</v>
      </c>
      <c r="G234" s="175" t="s">
        <v>8</v>
      </c>
      <c r="H234" s="25">
        <v>202102002</v>
      </c>
      <c r="I234" s="175" t="s">
        <v>157</v>
      </c>
      <c r="J234" s="175" t="s">
        <v>233</v>
      </c>
      <c r="K234" s="175" t="s">
        <v>3769</v>
      </c>
      <c r="L234" s="175" t="s">
        <v>160</v>
      </c>
      <c r="M234" s="175" t="s">
        <v>1089</v>
      </c>
      <c r="N234" s="175" t="s">
        <v>8</v>
      </c>
      <c r="O234" s="25">
        <v>0</v>
      </c>
      <c r="P234" s="26" t="str">
        <f>_xlfn.DISPIMG("ID_2E7FF83B7D12427491B1BA1300A2CD7A",1)</f>
        <v>=DISPIMG("ID_2E7FF83B7D12427491B1BA1300A2CD7A",1)</v>
      </c>
      <c r="Q234" s="25" t="s">
        <v>3770</v>
      </c>
      <c r="R234" s="25">
        <v>480</v>
      </c>
      <c r="S234" s="40" t="s">
        <v>4528</v>
      </c>
      <c r="T234" s="18" t="s">
        <v>48</v>
      </c>
      <c r="U234" s="25">
        <v>22</v>
      </c>
      <c r="V234" s="84">
        <v>93.5</v>
      </c>
    </row>
    <row r="235" s="3" customFormat="1" customHeight="1" spans="1:22">
      <c r="A235" s="84">
        <v>20</v>
      </c>
      <c r="B235" s="175" t="s">
        <v>3904</v>
      </c>
      <c r="C235" s="175" t="s">
        <v>153</v>
      </c>
      <c r="D235" s="175" t="s">
        <v>3905</v>
      </c>
      <c r="E235" s="25">
        <v>15007027769</v>
      </c>
      <c r="F235" s="175" t="s">
        <v>156</v>
      </c>
      <c r="G235" s="175" t="s">
        <v>8</v>
      </c>
      <c r="H235" s="25">
        <v>202102002</v>
      </c>
      <c r="I235" s="175" t="s">
        <v>157</v>
      </c>
      <c r="J235" s="175" t="s">
        <v>158</v>
      </c>
      <c r="K235" s="175" t="s">
        <v>1481</v>
      </c>
      <c r="L235" s="175" t="s">
        <v>160</v>
      </c>
      <c r="M235" s="175" t="s">
        <v>216</v>
      </c>
      <c r="N235" s="175" t="s">
        <v>8</v>
      </c>
      <c r="O235" s="25">
        <v>0</v>
      </c>
      <c r="P235" s="26" t="str">
        <f>_xlfn.DISPIMG("ID_9F8C123E434549AABE94648B98FC4902",1)</f>
        <v>=DISPIMG("ID_9F8C123E434549AABE94648B98FC4902",1)</v>
      </c>
      <c r="Q235" s="25" t="s">
        <v>3907</v>
      </c>
      <c r="R235" s="25">
        <v>498</v>
      </c>
      <c r="S235" s="40" t="s">
        <v>4533</v>
      </c>
      <c r="T235" s="18" t="s">
        <v>48</v>
      </c>
      <c r="U235" s="25">
        <v>23</v>
      </c>
      <c r="V235" s="84">
        <v>0</v>
      </c>
    </row>
    <row r="236" s="3" customFormat="1" customHeight="1" spans="1:22">
      <c r="A236" s="84">
        <v>25</v>
      </c>
      <c r="B236" s="175" t="s">
        <v>4191</v>
      </c>
      <c r="C236" s="175" t="s">
        <v>153</v>
      </c>
      <c r="D236" s="175" t="s">
        <v>4192</v>
      </c>
      <c r="E236" s="25">
        <v>15979988511</v>
      </c>
      <c r="F236" s="175" t="s">
        <v>156</v>
      </c>
      <c r="G236" s="175" t="s">
        <v>8</v>
      </c>
      <c r="H236" s="25">
        <v>202102002</v>
      </c>
      <c r="I236" s="175" t="s">
        <v>157</v>
      </c>
      <c r="J236" s="175" t="s">
        <v>789</v>
      </c>
      <c r="K236" s="175" t="s">
        <v>270</v>
      </c>
      <c r="L236" s="175" t="s">
        <v>160</v>
      </c>
      <c r="M236" s="175" t="s">
        <v>180</v>
      </c>
      <c r="N236" s="175" t="s">
        <v>8</v>
      </c>
      <c r="O236" s="175" t="s">
        <v>4194</v>
      </c>
      <c r="P236" s="26" t="str">
        <f>_xlfn.DISPIMG("ID_0D01E0F1A35045CF8FA47A6F17C3312E",1)</f>
        <v>=DISPIMG("ID_0D01E0F1A35045CF8FA47A6F17C3312E",1)</v>
      </c>
      <c r="Q236" s="25" t="s">
        <v>4195</v>
      </c>
      <c r="R236" s="25">
        <v>536</v>
      </c>
      <c r="S236" s="40" t="s">
        <v>4538</v>
      </c>
      <c r="T236" s="18" t="s">
        <v>48</v>
      </c>
      <c r="U236" s="25">
        <v>24</v>
      </c>
      <c r="V236" s="84">
        <v>0</v>
      </c>
    </row>
    <row r="237" s="3" customFormat="1" customHeight="1" spans="1:22">
      <c r="A237" s="84">
        <v>26</v>
      </c>
      <c r="B237" s="175" t="s">
        <v>4230</v>
      </c>
      <c r="C237" s="175" t="s">
        <v>165</v>
      </c>
      <c r="D237" s="175" t="s">
        <v>4231</v>
      </c>
      <c r="E237" s="25">
        <v>15797679627</v>
      </c>
      <c r="F237" s="175" t="s">
        <v>156</v>
      </c>
      <c r="G237" s="175" t="s">
        <v>8</v>
      </c>
      <c r="H237" s="25">
        <v>202102002</v>
      </c>
      <c r="I237" s="175" t="s">
        <v>157</v>
      </c>
      <c r="J237" s="175" t="s">
        <v>876</v>
      </c>
      <c r="K237" s="175" t="s">
        <v>1204</v>
      </c>
      <c r="L237" s="175" t="s">
        <v>160</v>
      </c>
      <c r="M237" s="175" t="s">
        <v>171</v>
      </c>
      <c r="N237" s="175" t="s">
        <v>4233</v>
      </c>
      <c r="O237" s="25">
        <v>0</v>
      </c>
      <c r="P237" s="26" t="str">
        <f>_xlfn.DISPIMG("ID_866D1667729041288352BAC0C5E9F611",1)</f>
        <v>=DISPIMG("ID_866D1667729041288352BAC0C5E9F611",1)</v>
      </c>
      <c r="Q237" s="25" t="s">
        <v>4234</v>
      </c>
      <c r="R237" s="25">
        <v>541</v>
      </c>
      <c r="S237" s="40" t="s">
        <v>4531</v>
      </c>
      <c r="T237" s="18" t="s">
        <v>48</v>
      </c>
      <c r="U237" s="25">
        <v>25</v>
      </c>
      <c r="V237" s="84">
        <v>0</v>
      </c>
    </row>
    <row r="238" s="3" customFormat="1" customHeight="1" spans="1:22">
      <c r="A238" s="84">
        <v>21</v>
      </c>
      <c r="B238" s="175" t="s">
        <v>3924</v>
      </c>
      <c r="C238" s="175" t="s">
        <v>165</v>
      </c>
      <c r="D238" s="175" t="s">
        <v>3925</v>
      </c>
      <c r="E238" s="25">
        <v>15797691720</v>
      </c>
      <c r="F238" s="175" t="s">
        <v>156</v>
      </c>
      <c r="G238" s="175" t="s">
        <v>8</v>
      </c>
      <c r="H238" s="25">
        <v>202102002</v>
      </c>
      <c r="I238" s="175" t="s">
        <v>157</v>
      </c>
      <c r="J238" s="175" t="s">
        <v>603</v>
      </c>
      <c r="K238" s="175" t="s">
        <v>2379</v>
      </c>
      <c r="L238" s="175" t="s">
        <v>160</v>
      </c>
      <c r="M238" s="175" t="s">
        <v>306</v>
      </c>
      <c r="N238" s="175" t="s">
        <v>989</v>
      </c>
      <c r="O238" s="175" t="s">
        <v>3927</v>
      </c>
      <c r="P238" s="26" t="str">
        <f>_xlfn.DISPIMG("ID_514B3145E6BD4A2498C42CFECAEF98E2",1)</f>
        <v>=DISPIMG("ID_514B3145E6BD4A2498C42CFECAEF98E2",1)</v>
      </c>
      <c r="Q238" s="25" t="s">
        <v>3928</v>
      </c>
      <c r="R238" s="25">
        <v>501</v>
      </c>
      <c r="S238" s="40" t="s">
        <v>4534</v>
      </c>
      <c r="T238" s="18" t="s">
        <v>48</v>
      </c>
      <c r="U238" s="25">
        <v>26</v>
      </c>
      <c r="V238" s="84">
        <v>89.5</v>
      </c>
    </row>
    <row r="239" s="3" customFormat="1" customHeight="1" spans="1:22">
      <c r="A239" s="84">
        <v>28</v>
      </c>
      <c r="B239" s="175" t="s">
        <v>3667</v>
      </c>
      <c r="C239" s="175" t="s">
        <v>153</v>
      </c>
      <c r="D239" s="175" t="s">
        <v>3668</v>
      </c>
      <c r="E239" s="25">
        <v>15604248160</v>
      </c>
      <c r="F239" s="175" t="s">
        <v>384</v>
      </c>
      <c r="G239" s="175" t="s">
        <v>27</v>
      </c>
      <c r="H239" s="25">
        <v>202101016</v>
      </c>
      <c r="I239" s="175" t="s">
        <v>705</v>
      </c>
      <c r="J239" s="175" t="s">
        <v>3670</v>
      </c>
      <c r="K239" s="175" t="s">
        <v>215</v>
      </c>
      <c r="L239" s="175" t="s">
        <v>160</v>
      </c>
      <c r="M239" s="175" t="s">
        <v>910</v>
      </c>
      <c r="N239" s="175" t="s">
        <v>3671</v>
      </c>
      <c r="O239" s="175" t="s">
        <v>3672</v>
      </c>
      <c r="P239" s="26" t="str">
        <f>_xlfn.DISPIMG("ID_FBBE15C9E10944F892C3BCC99A8EDA31",1)</f>
        <v>=DISPIMG("ID_FBBE15C9E10944F892C3BCC99A8EDA31",1)</v>
      </c>
      <c r="Q239" s="25" t="s">
        <v>3673</v>
      </c>
      <c r="R239" s="25">
        <v>467</v>
      </c>
      <c r="S239" s="40" t="s">
        <v>4541</v>
      </c>
      <c r="T239" s="18" t="s">
        <v>48</v>
      </c>
      <c r="U239" s="25">
        <v>27</v>
      </c>
      <c r="V239" s="84">
        <v>0</v>
      </c>
    </row>
    <row r="240" s="3" customFormat="1" customHeight="1" spans="1:22">
      <c r="A240" s="84">
        <v>27</v>
      </c>
      <c r="B240" s="175" t="s">
        <v>2210</v>
      </c>
      <c r="C240" s="175" t="s">
        <v>165</v>
      </c>
      <c r="D240" s="175" t="s">
        <v>2211</v>
      </c>
      <c r="E240" s="25">
        <v>15770710161</v>
      </c>
      <c r="F240" s="175" t="s">
        <v>384</v>
      </c>
      <c r="G240" s="175" t="s">
        <v>27</v>
      </c>
      <c r="H240" s="25">
        <v>202101016</v>
      </c>
      <c r="I240" s="175" t="s">
        <v>157</v>
      </c>
      <c r="J240" s="175" t="s">
        <v>1413</v>
      </c>
      <c r="K240" s="175" t="s">
        <v>215</v>
      </c>
      <c r="L240" s="175" t="s">
        <v>170</v>
      </c>
      <c r="M240" s="175" t="s">
        <v>171</v>
      </c>
      <c r="N240" s="175" t="s">
        <v>2213</v>
      </c>
      <c r="O240" s="175" t="s">
        <v>2214</v>
      </c>
      <c r="P240" s="26" t="str">
        <f>_xlfn.DISPIMG("ID_0AC7D7DC948D4142BC7E39C07F0EB7F8",1)</f>
        <v>=DISPIMG("ID_0AC7D7DC948D4142BC7E39C07F0EB7F8",1)</v>
      </c>
      <c r="Q240" s="25" t="s">
        <v>2215</v>
      </c>
      <c r="R240" s="25">
        <v>260</v>
      </c>
      <c r="S240" s="40" t="s">
        <v>4540</v>
      </c>
      <c r="T240" s="18" t="s">
        <v>48</v>
      </c>
      <c r="U240" s="25">
        <v>28</v>
      </c>
      <c r="V240" s="84">
        <v>73</v>
      </c>
    </row>
    <row r="241" s="3" customFormat="1" customHeight="1" spans="1:22">
      <c r="A241" s="84">
        <v>29</v>
      </c>
      <c r="B241" s="175" t="s">
        <v>425</v>
      </c>
      <c r="C241" s="175" t="s">
        <v>165</v>
      </c>
      <c r="D241" s="175" t="s">
        <v>426</v>
      </c>
      <c r="E241" s="25">
        <v>18720147865</v>
      </c>
      <c r="F241" s="175" t="s">
        <v>297</v>
      </c>
      <c r="G241" s="175" t="s">
        <v>29</v>
      </c>
      <c r="H241" s="25">
        <v>202101008</v>
      </c>
      <c r="I241" s="175" t="s">
        <v>157</v>
      </c>
      <c r="J241" s="175" t="s">
        <v>428</v>
      </c>
      <c r="K241" s="175" t="s">
        <v>429</v>
      </c>
      <c r="L241" s="175" t="s">
        <v>160</v>
      </c>
      <c r="M241" s="175" t="s">
        <v>235</v>
      </c>
      <c r="N241" s="175" t="s">
        <v>430</v>
      </c>
      <c r="O241" s="25">
        <v>0</v>
      </c>
      <c r="P241" s="26" t="str">
        <f>_xlfn.DISPIMG("ID_9C21E529A1D946A49AECBF1B4E991CC9",1)</f>
        <v>=DISPIMG("ID_9C21E529A1D946A49AECBF1B4E991CC9",1)</v>
      </c>
      <c r="Q241" s="25" t="s">
        <v>431</v>
      </c>
      <c r="R241" s="25">
        <v>32</v>
      </c>
      <c r="S241" s="40" t="s">
        <v>4542</v>
      </c>
      <c r="T241" s="18" t="s">
        <v>48</v>
      </c>
      <c r="U241" s="25">
        <v>29</v>
      </c>
      <c r="V241" s="84">
        <v>63</v>
      </c>
    </row>
    <row r="242" s="3" customFormat="1" customHeight="1" spans="1:22">
      <c r="A242" s="84"/>
      <c r="B242" s="25"/>
      <c r="C242" s="25"/>
      <c r="D242" s="25"/>
      <c r="E242" s="25"/>
      <c r="F242" s="25"/>
      <c r="G242" s="25"/>
      <c r="H242" s="25"/>
      <c r="I242" s="25"/>
      <c r="J242" s="25"/>
      <c r="K242" s="25"/>
      <c r="L242" s="25"/>
      <c r="M242" s="25"/>
      <c r="N242" s="25"/>
      <c r="O242" s="25"/>
      <c r="P242" s="26"/>
      <c r="Q242" s="25"/>
      <c r="R242" s="25"/>
      <c r="S242" s="40"/>
      <c r="T242" s="18"/>
      <c r="U242" s="25"/>
      <c r="V242" s="84"/>
    </row>
    <row r="243" s="3" customFormat="1" customHeight="1" spans="1:22">
      <c r="A243" s="84">
        <v>26</v>
      </c>
      <c r="B243" s="175" t="s">
        <v>1486</v>
      </c>
      <c r="C243" s="175" t="s">
        <v>165</v>
      </c>
      <c r="D243" s="175" t="s">
        <v>1487</v>
      </c>
      <c r="E243" s="25">
        <v>13979859802</v>
      </c>
      <c r="F243" s="175" t="s">
        <v>156</v>
      </c>
      <c r="G243" s="175" t="s">
        <v>13</v>
      </c>
      <c r="H243" s="25">
        <v>202102003</v>
      </c>
      <c r="I243" s="175" t="s">
        <v>157</v>
      </c>
      <c r="J243" s="175" t="s">
        <v>233</v>
      </c>
      <c r="K243" s="175" t="s">
        <v>1489</v>
      </c>
      <c r="L243" s="175" t="s">
        <v>170</v>
      </c>
      <c r="M243" s="175" t="s">
        <v>1490</v>
      </c>
      <c r="N243" s="175" t="s">
        <v>1491</v>
      </c>
      <c r="O243" s="175" t="s">
        <v>1492</v>
      </c>
      <c r="P243" s="26" t="str">
        <f>_xlfn.DISPIMG("ID_8C3008D7D3C74B79A4E1698AF4E9725F",1)</f>
        <v>=DISPIMG("ID_8C3008D7D3C74B79A4E1698AF4E9725F",1)</v>
      </c>
      <c r="Q243" s="25" t="s">
        <v>1493</v>
      </c>
      <c r="R243" s="25">
        <v>165</v>
      </c>
      <c r="S243" s="40" t="s">
        <v>4565</v>
      </c>
      <c r="T243" s="18" t="s">
        <v>52</v>
      </c>
      <c r="U243" s="25">
        <v>1</v>
      </c>
      <c r="V243" s="84">
        <v>89</v>
      </c>
    </row>
    <row r="244" s="3" customFormat="1" customHeight="1" spans="1:22">
      <c r="A244" s="84">
        <v>21</v>
      </c>
      <c r="B244" s="175" t="s">
        <v>1270</v>
      </c>
      <c r="C244" s="175" t="s">
        <v>153</v>
      </c>
      <c r="D244" s="175" t="s">
        <v>1271</v>
      </c>
      <c r="E244" s="25">
        <v>18879347903</v>
      </c>
      <c r="F244" s="175" t="s">
        <v>156</v>
      </c>
      <c r="G244" s="175" t="s">
        <v>13</v>
      </c>
      <c r="H244" s="25">
        <v>202102003</v>
      </c>
      <c r="I244" s="175" t="s">
        <v>279</v>
      </c>
      <c r="J244" s="175" t="s">
        <v>1273</v>
      </c>
      <c r="K244" s="175" t="s">
        <v>223</v>
      </c>
      <c r="L244" s="175" t="s">
        <v>170</v>
      </c>
      <c r="M244" s="175" t="s">
        <v>548</v>
      </c>
      <c r="N244" s="175" t="s">
        <v>13</v>
      </c>
      <c r="O244" s="175" t="s">
        <v>1274</v>
      </c>
      <c r="P244" s="26" t="str">
        <f>_xlfn.DISPIMG("ID_DF04DBFB481D40418B898CD7AB20784A",1)</f>
        <v>=DISPIMG("ID_DF04DBFB481D40418B898CD7AB20784A",1)</v>
      </c>
      <c r="Q244" s="25" t="s">
        <v>1275</v>
      </c>
      <c r="R244" s="25">
        <v>136</v>
      </c>
      <c r="S244" s="40" t="s">
        <v>4560</v>
      </c>
      <c r="T244" s="18" t="s">
        <v>52</v>
      </c>
      <c r="U244" s="25">
        <v>2</v>
      </c>
      <c r="V244" s="84">
        <v>90.5</v>
      </c>
    </row>
    <row r="245" s="3" customFormat="1" customHeight="1" spans="1:22">
      <c r="A245" s="84">
        <v>16</v>
      </c>
      <c r="B245" s="175" t="s">
        <v>1118</v>
      </c>
      <c r="C245" s="175" t="s">
        <v>165</v>
      </c>
      <c r="D245" s="175" t="s">
        <v>1119</v>
      </c>
      <c r="E245" s="25">
        <v>15170931048</v>
      </c>
      <c r="F245" s="175" t="s">
        <v>156</v>
      </c>
      <c r="G245" s="175" t="s">
        <v>13</v>
      </c>
      <c r="H245" s="25">
        <v>202102003</v>
      </c>
      <c r="I245" s="175" t="s">
        <v>157</v>
      </c>
      <c r="J245" s="175" t="s">
        <v>1121</v>
      </c>
      <c r="K245" s="175" t="s">
        <v>1122</v>
      </c>
      <c r="L245" s="175" t="s">
        <v>160</v>
      </c>
      <c r="M245" s="175" t="s">
        <v>577</v>
      </c>
      <c r="N245" s="175" t="s">
        <v>13</v>
      </c>
      <c r="O245" s="175" t="s">
        <v>1123</v>
      </c>
      <c r="P245" s="26" t="str">
        <f>_xlfn.DISPIMG("ID_FE9003ADDBCE49A4979CC74582466077",1)</f>
        <v>=DISPIMG("ID_FE9003ADDBCE49A4979CC74582466077",1)</v>
      </c>
      <c r="Q245" s="25" t="s">
        <v>1124</v>
      </c>
      <c r="R245" s="25">
        <v>117</v>
      </c>
      <c r="S245" s="40" t="s">
        <v>4555</v>
      </c>
      <c r="T245" s="18" t="s">
        <v>52</v>
      </c>
      <c r="U245" s="25">
        <v>3</v>
      </c>
      <c r="V245" s="84">
        <v>85.5</v>
      </c>
    </row>
    <row r="246" s="3" customFormat="1" customHeight="1" spans="1:22">
      <c r="A246" s="84">
        <v>11</v>
      </c>
      <c r="B246" s="175" t="s">
        <v>600</v>
      </c>
      <c r="C246" s="175" t="s">
        <v>165</v>
      </c>
      <c r="D246" s="175" t="s">
        <v>601</v>
      </c>
      <c r="E246" s="25">
        <v>18170238971</v>
      </c>
      <c r="F246" s="175" t="s">
        <v>506</v>
      </c>
      <c r="G246" s="175" t="s">
        <v>13</v>
      </c>
      <c r="H246" s="25">
        <v>202102016</v>
      </c>
      <c r="I246" s="175" t="s">
        <v>157</v>
      </c>
      <c r="J246" s="175" t="s">
        <v>603</v>
      </c>
      <c r="K246" s="175" t="s">
        <v>179</v>
      </c>
      <c r="L246" s="175" t="s">
        <v>160</v>
      </c>
      <c r="M246" s="175" t="s">
        <v>216</v>
      </c>
      <c r="N246" s="175" t="s">
        <v>13</v>
      </c>
      <c r="O246" s="175" t="s">
        <v>604</v>
      </c>
      <c r="P246" s="26" t="str">
        <f>_xlfn.DISPIMG("ID_274A21E15DE94C9DB65D865C0AE50BA3",1)</f>
        <v>=DISPIMG("ID_274A21E15DE94C9DB65D865C0AE50BA3",1)</v>
      </c>
      <c r="Q246" s="25" t="s">
        <v>605</v>
      </c>
      <c r="R246" s="25">
        <v>53</v>
      </c>
      <c r="S246" s="40" t="s">
        <v>4550</v>
      </c>
      <c r="T246" s="18" t="s">
        <v>52</v>
      </c>
      <c r="U246" s="25">
        <v>4</v>
      </c>
      <c r="V246" s="84">
        <v>79.5</v>
      </c>
    </row>
    <row r="247" s="3" customFormat="1" customHeight="1" spans="1:22">
      <c r="A247" s="84">
        <v>6</v>
      </c>
      <c r="B247" s="175" t="s">
        <v>355</v>
      </c>
      <c r="C247" s="175" t="s">
        <v>165</v>
      </c>
      <c r="D247" s="175" t="s">
        <v>356</v>
      </c>
      <c r="E247" s="25">
        <v>18311315751</v>
      </c>
      <c r="F247" s="175" t="s">
        <v>156</v>
      </c>
      <c r="G247" s="175" t="s">
        <v>13</v>
      </c>
      <c r="H247" s="25">
        <v>202102003</v>
      </c>
      <c r="I247" s="175" t="s">
        <v>157</v>
      </c>
      <c r="J247" s="175" t="s">
        <v>358</v>
      </c>
      <c r="K247" s="175" t="s">
        <v>179</v>
      </c>
      <c r="L247" s="175" t="s">
        <v>160</v>
      </c>
      <c r="M247" s="175" t="s">
        <v>306</v>
      </c>
      <c r="N247" s="175" t="s">
        <v>359</v>
      </c>
      <c r="O247" s="175" t="s">
        <v>360</v>
      </c>
      <c r="P247" s="26" t="str">
        <f>_xlfn.DISPIMG("ID_FD9EEFBCD596495DACB8A95ACD5E222F",1)</f>
        <v>=DISPIMG("ID_FD9EEFBCD596495DACB8A95ACD5E222F",1)</v>
      </c>
      <c r="Q247" s="25" t="s">
        <v>361</v>
      </c>
      <c r="R247" s="25">
        <v>24</v>
      </c>
      <c r="S247" s="40" t="s">
        <v>4544</v>
      </c>
      <c r="T247" s="18" t="s">
        <v>52</v>
      </c>
      <c r="U247" s="25">
        <v>5</v>
      </c>
      <c r="V247" s="84">
        <v>89</v>
      </c>
    </row>
    <row r="248" s="3" customFormat="1" customHeight="1" spans="1:22">
      <c r="A248" s="84">
        <v>1</v>
      </c>
      <c r="B248" s="175" t="s">
        <v>194</v>
      </c>
      <c r="C248" s="175" t="s">
        <v>165</v>
      </c>
      <c r="D248" s="175" t="s">
        <v>195</v>
      </c>
      <c r="E248" s="25">
        <v>15079132548</v>
      </c>
      <c r="F248" s="175" t="s">
        <v>156</v>
      </c>
      <c r="G248" s="175" t="s">
        <v>13</v>
      </c>
      <c r="H248" s="25">
        <v>202102003</v>
      </c>
      <c r="I248" s="175" t="s">
        <v>157</v>
      </c>
      <c r="J248" s="175" t="s">
        <v>197</v>
      </c>
      <c r="K248" s="175" t="s">
        <v>198</v>
      </c>
      <c r="L248" s="175" t="s">
        <v>160</v>
      </c>
      <c r="M248" s="175" t="s">
        <v>199</v>
      </c>
      <c r="N248" s="175" t="s">
        <v>13</v>
      </c>
      <c r="O248" s="25">
        <v>0</v>
      </c>
      <c r="P248" s="26" t="str">
        <f>_xlfn.DISPIMG("ID_07DCBF9A6CCC43E7BDA66377D7B2A516",1)</f>
        <v>=DISPIMG("ID_07DCBF9A6CCC43E7BDA66377D7B2A516",1)</v>
      </c>
      <c r="Q248" s="25" t="s">
        <v>200</v>
      </c>
      <c r="R248" s="25">
        <v>6</v>
      </c>
      <c r="S248" s="40" t="s">
        <v>4543</v>
      </c>
      <c r="T248" s="18" t="s">
        <v>52</v>
      </c>
      <c r="U248" s="25">
        <v>6</v>
      </c>
      <c r="V248" s="84">
        <v>92.5</v>
      </c>
    </row>
    <row r="249" s="3" customFormat="1" customHeight="1" spans="1:22">
      <c r="A249" s="84">
        <v>2</v>
      </c>
      <c r="B249" s="175" t="s">
        <v>220</v>
      </c>
      <c r="C249" s="175" t="s">
        <v>165</v>
      </c>
      <c r="D249" s="175" t="s">
        <v>221</v>
      </c>
      <c r="E249" s="25">
        <v>13330102770</v>
      </c>
      <c r="F249" s="175" t="s">
        <v>156</v>
      </c>
      <c r="G249" s="175" t="s">
        <v>13</v>
      </c>
      <c r="H249" s="25">
        <v>202102003</v>
      </c>
      <c r="I249" s="175" t="s">
        <v>157</v>
      </c>
      <c r="J249" s="175" t="s">
        <v>178</v>
      </c>
      <c r="K249" s="175" t="s">
        <v>223</v>
      </c>
      <c r="L249" s="175" t="s">
        <v>170</v>
      </c>
      <c r="M249" s="175" t="s">
        <v>224</v>
      </c>
      <c r="N249" s="175" t="s">
        <v>225</v>
      </c>
      <c r="O249" s="175" t="s">
        <v>226</v>
      </c>
      <c r="P249" s="26" t="str">
        <f>_xlfn.DISPIMG("ID_331C6355B784470AAD84DC8B9EBD3F4C",1)</f>
        <v>=DISPIMG("ID_331C6355B784470AAD84DC8B9EBD3F4C",1)</v>
      </c>
      <c r="Q249" s="25" t="s">
        <v>227</v>
      </c>
      <c r="R249" s="25">
        <v>9</v>
      </c>
      <c r="S249" s="40" t="s">
        <v>4526</v>
      </c>
      <c r="T249" s="18" t="s">
        <v>52</v>
      </c>
      <c r="U249" s="25">
        <v>7</v>
      </c>
      <c r="V249" s="84">
        <v>85.5</v>
      </c>
    </row>
    <row r="250" s="3" customFormat="1" customHeight="1" spans="1:22">
      <c r="A250" s="84">
        <v>7</v>
      </c>
      <c r="B250" s="175" t="s">
        <v>434</v>
      </c>
      <c r="C250" s="175" t="s">
        <v>165</v>
      </c>
      <c r="D250" s="175" t="s">
        <v>435</v>
      </c>
      <c r="E250" s="25">
        <v>18707020389</v>
      </c>
      <c r="F250" s="175" t="s">
        <v>156</v>
      </c>
      <c r="G250" s="175" t="s">
        <v>13</v>
      </c>
      <c r="H250" s="25">
        <v>202102003</v>
      </c>
      <c r="I250" s="175" t="s">
        <v>157</v>
      </c>
      <c r="J250" s="175" t="s">
        <v>437</v>
      </c>
      <c r="K250" s="175" t="s">
        <v>179</v>
      </c>
      <c r="L250" s="175" t="s">
        <v>160</v>
      </c>
      <c r="M250" s="175" t="s">
        <v>161</v>
      </c>
      <c r="N250" s="175" t="s">
        <v>13</v>
      </c>
      <c r="O250" s="175" t="s">
        <v>438</v>
      </c>
      <c r="P250" s="26" t="str">
        <f>_xlfn.DISPIMG("ID_A9E5DA8466964C2D98F0B0FFCCE562D8",1)</f>
        <v>=DISPIMG("ID_A9E5DA8466964C2D98F0B0FFCCE562D8",1)</v>
      </c>
      <c r="Q250" s="25" t="s">
        <v>439</v>
      </c>
      <c r="R250" s="25">
        <v>33</v>
      </c>
      <c r="S250" s="40" t="s">
        <v>4521</v>
      </c>
      <c r="T250" s="18" t="s">
        <v>52</v>
      </c>
      <c r="U250" s="25">
        <v>8</v>
      </c>
      <c r="V250" s="84">
        <v>86.5</v>
      </c>
    </row>
    <row r="251" s="3" customFormat="1" customHeight="1" spans="1:22">
      <c r="A251" s="84">
        <v>12</v>
      </c>
      <c r="B251" s="175" t="s">
        <v>608</v>
      </c>
      <c r="C251" s="175" t="s">
        <v>165</v>
      </c>
      <c r="D251" s="175" t="s">
        <v>609</v>
      </c>
      <c r="E251" s="25">
        <v>18779299502</v>
      </c>
      <c r="F251" s="175" t="s">
        <v>156</v>
      </c>
      <c r="G251" s="175" t="s">
        <v>13</v>
      </c>
      <c r="H251" s="25">
        <v>202102003</v>
      </c>
      <c r="I251" s="175" t="s">
        <v>157</v>
      </c>
      <c r="J251" s="175" t="s">
        <v>611</v>
      </c>
      <c r="K251" s="175" t="s">
        <v>179</v>
      </c>
      <c r="L251" s="175" t="s">
        <v>160</v>
      </c>
      <c r="M251" s="175" t="s">
        <v>261</v>
      </c>
      <c r="N251" s="175" t="s">
        <v>13</v>
      </c>
      <c r="O251" s="25">
        <v>0</v>
      </c>
      <c r="P251" s="26" t="str">
        <f>_xlfn.DISPIMG("ID_AED44616ADF34083BED4818BEE7F954D",1)</f>
        <v>=DISPIMG("ID_AED44616ADF34083BED4818BEE7F954D",1)</v>
      </c>
      <c r="Q251" s="25" t="s">
        <v>612</v>
      </c>
      <c r="R251" s="25">
        <v>54</v>
      </c>
      <c r="S251" s="40" t="s">
        <v>4551</v>
      </c>
      <c r="T251" s="18" t="s">
        <v>52</v>
      </c>
      <c r="U251" s="25">
        <v>9</v>
      </c>
      <c r="V251" s="84">
        <v>86.5</v>
      </c>
    </row>
    <row r="252" s="3" customFormat="1" customHeight="1" spans="1:22">
      <c r="A252" s="84">
        <v>17</v>
      </c>
      <c r="B252" s="175" t="s">
        <v>1176</v>
      </c>
      <c r="C252" s="175" t="s">
        <v>165</v>
      </c>
      <c r="D252" s="175" t="s">
        <v>1177</v>
      </c>
      <c r="E252" s="25">
        <v>13782906805</v>
      </c>
      <c r="F252" s="175" t="s">
        <v>156</v>
      </c>
      <c r="G252" s="175" t="s">
        <v>13</v>
      </c>
      <c r="H252" s="25">
        <v>202102003</v>
      </c>
      <c r="I252" s="175" t="s">
        <v>157</v>
      </c>
      <c r="J252" s="175" t="s">
        <v>1179</v>
      </c>
      <c r="K252" s="175" t="s">
        <v>298</v>
      </c>
      <c r="L252" s="175" t="s">
        <v>160</v>
      </c>
      <c r="M252" s="175" t="s">
        <v>171</v>
      </c>
      <c r="N252" s="175" t="s">
        <v>13</v>
      </c>
      <c r="O252" s="175" t="s">
        <v>1180</v>
      </c>
      <c r="P252" s="26" t="str">
        <f>_xlfn.DISPIMG("ID_DB5AD54F043740C8B3AEB4879C927DCC",1)</f>
        <v>=DISPIMG("ID_DB5AD54F043740C8B3AEB4879C927DCC",1)</v>
      </c>
      <c r="Q252" s="25" t="s">
        <v>1181</v>
      </c>
      <c r="R252" s="25">
        <v>124</v>
      </c>
      <c r="S252" s="40" t="s">
        <v>4556</v>
      </c>
      <c r="T252" s="18" t="s">
        <v>52</v>
      </c>
      <c r="U252" s="25">
        <v>10</v>
      </c>
      <c r="V252" s="84">
        <v>0</v>
      </c>
    </row>
    <row r="253" s="3" customFormat="1" customHeight="1" spans="1:22">
      <c r="A253" s="84">
        <v>22</v>
      </c>
      <c r="B253" s="175" t="s">
        <v>1311</v>
      </c>
      <c r="C253" s="175" t="s">
        <v>165</v>
      </c>
      <c r="D253" s="175" t="s">
        <v>1312</v>
      </c>
      <c r="E253" s="25">
        <v>13672224425</v>
      </c>
      <c r="F253" s="175" t="s">
        <v>156</v>
      </c>
      <c r="G253" s="175" t="s">
        <v>13</v>
      </c>
      <c r="H253" s="25">
        <v>202102003</v>
      </c>
      <c r="I253" s="175" t="s">
        <v>157</v>
      </c>
      <c r="J253" s="175" t="s">
        <v>697</v>
      </c>
      <c r="K253" s="175" t="s">
        <v>243</v>
      </c>
      <c r="L253" s="175" t="s">
        <v>160</v>
      </c>
      <c r="M253" s="175" t="s">
        <v>368</v>
      </c>
      <c r="N253" s="175" t="s">
        <v>13</v>
      </c>
      <c r="O253" s="175" t="s">
        <v>1314</v>
      </c>
      <c r="P253" s="26" t="str">
        <f>_xlfn.DISPIMG("ID_7D2290FD7009470AB45B6E90DB94AE0B",1)</f>
        <v>=DISPIMG("ID_7D2290FD7009470AB45B6E90DB94AE0B",1)</v>
      </c>
      <c r="Q253" s="25" t="s">
        <v>1315</v>
      </c>
      <c r="R253" s="25">
        <v>142</v>
      </c>
      <c r="S253" s="40" t="s">
        <v>4561</v>
      </c>
      <c r="T253" s="18" t="s">
        <v>52</v>
      </c>
      <c r="U253" s="25">
        <v>11</v>
      </c>
      <c r="V253" s="84">
        <v>87.5</v>
      </c>
    </row>
    <row r="254" s="3" customFormat="1" customHeight="1" spans="1:22">
      <c r="A254" s="84">
        <v>27</v>
      </c>
      <c r="B254" s="175" t="s">
        <v>1503</v>
      </c>
      <c r="C254" s="175" t="s">
        <v>165</v>
      </c>
      <c r="D254" s="175" t="s">
        <v>1504</v>
      </c>
      <c r="E254" s="25">
        <v>15070911038</v>
      </c>
      <c r="F254" s="175" t="s">
        <v>156</v>
      </c>
      <c r="G254" s="175" t="s">
        <v>13</v>
      </c>
      <c r="H254" s="25">
        <v>202102003</v>
      </c>
      <c r="I254" s="175" t="s">
        <v>157</v>
      </c>
      <c r="J254" s="175" t="s">
        <v>827</v>
      </c>
      <c r="K254" s="175" t="s">
        <v>223</v>
      </c>
      <c r="L254" s="175" t="s">
        <v>170</v>
      </c>
      <c r="M254" s="175" t="s">
        <v>180</v>
      </c>
      <c r="N254" s="175" t="s">
        <v>1506</v>
      </c>
      <c r="O254" s="175" t="s">
        <v>1507</v>
      </c>
      <c r="P254" s="26" t="str">
        <f>_xlfn.DISPIMG("ID_ADCECB4C3BFF4D9FA761F0B3617DDB20",1)</f>
        <v>=DISPIMG("ID_ADCECB4C3BFF4D9FA761F0B3617DDB20",1)</v>
      </c>
      <c r="Q254" s="25" t="s">
        <v>1508</v>
      </c>
      <c r="R254" s="25">
        <v>167</v>
      </c>
      <c r="S254" s="40" t="s">
        <v>4566</v>
      </c>
      <c r="T254" s="18" t="s">
        <v>52</v>
      </c>
      <c r="U254" s="25">
        <v>12</v>
      </c>
      <c r="V254" s="84">
        <v>0</v>
      </c>
    </row>
    <row r="255" s="3" customFormat="1" customHeight="1" spans="1:22">
      <c r="A255" s="84">
        <v>28</v>
      </c>
      <c r="B255" s="175" t="s">
        <v>1528</v>
      </c>
      <c r="C255" s="175" t="s">
        <v>165</v>
      </c>
      <c r="D255" s="175" t="s">
        <v>1529</v>
      </c>
      <c r="E255" s="25">
        <v>13247705960</v>
      </c>
      <c r="F255" s="175" t="s">
        <v>156</v>
      </c>
      <c r="G255" s="175" t="s">
        <v>13</v>
      </c>
      <c r="H255" s="25">
        <v>202102003</v>
      </c>
      <c r="I255" s="175" t="s">
        <v>157</v>
      </c>
      <c r="J255" s="175" t="s">
        <v>385</v>
      </c>
      <c r="K255" s="175" t="s">
        <v>179</v>
      </c>
      <c r="L255" s="175" t="s">
        <v>160</v>
      </c>
      <c r="M255" s="175" t="s">
        <v>548</v>
      </c>
      <c r="N255" s="175" t="s">
        <v>25</v>
      </c>
      <c r="O255" s="175" t="s">
        <v>1531</v>
      </c>
      <c r="P255" s="26" t="str">
        <f>_xlfn.DISPIMG("ID_8A933BECC5A94F3D8B394A9689736C52",1)</f>
        <v>=DISPIMG("ID_8A933BECC5A94F3D8B394A9689736C52",1)</v>
      </c>
      <c r="Q255" s="25" t="s">
        <v>1532</v>
      </c>
      <c r="R255" s="25">
        <v>170</v>
      </c>
      <c r="S255" s="40" t="s">
        <v>4567</v>
      </c>
      <c r="T255" s="18" t="s">
        <v>52</v>
      </c>
      <c r="U255" s="25">
        <v>13</v>
      </c>
      <c r="V255" s="84">
        <v>86.5</v>
      </c>
    </row>
    <row r="256" s="3" customFormat="1" customHeight="1" spans="1:22">
      <c r="A256" s="84">
        <v>23</v>
      </c>
      <c r="B256" s="175" t="s">
        <v>1357</v>
      </c>
      <c r="C256" s="175" t="s">
        <v>165</v>
      </c>
      <c r="D256" s="175" t="s">
        <v>1358</v>
      </c>
      <c r="E256" s="25">
        <v>19977181836</v>
      </c>
      <c r="F256" s="175" t="s">
        <v>156</v>
      </c>
      <c r="G256" s="175" t="s">
        <v>13</v>
      </c>
      <c r="H256" s="25">
        <v>202102003</v>
      </c>
      <c r="I256" s="175" t="s">
        <v>157</v>
      </c>
      <c r="J256" s="175" t="s">
        <v>1360</v>
      </c>
      <c r="K256" s="175" t="s">
        <v>223</v>
      </c>
      <c r="L256" s="175" t="s">
        <v>170</v>
      </c>
      <c r="M256" s="175" t="s">
        <v>587</v>
      </c>
      <c r="N256" s="175" t="s">
        <v>1361</v>
      </c>
      <c r="O256" s="175" t="s">
        <v>1362</v>
      </c>
      <c r="P256" s="26" t="str">
        <f>_xlfn.DISPIMG("ID_F234455BC8F04A26B7C1140CBE7FB1F1",1)</f>
        <v>=DISPIMG("ID_F234455BC8F04A26B7C1140CBE7FB1F1",1)</v>
      </c>
      <c r="Q256" s="25" t="s">
        <v>1363</v>
      </c>
      <c r="R256" s="25">
        <v>148</v>
      </c>
      <c r="S256" s="40" t="s">
        <v>4562</v>
      </c>
      <c r="T256" s="18" t="s">
        <v>52</v>
      </c>
      <c r="U256" s="25">
        <v>14</v>
      </c>
      <c r="V256" s="84">
        <v>75</v>
      </c>
    </row>
    <row r="257" s="3" customFormat="1" customHeight="1" spans="1:22">
      <c r="A257" s="84">
        <v>18</v>
      </c>
      <c r="B257" s="175" t="s">
        <v>1184</v>
      </c>
      <c r="C257" s="175" t="s">
        <v>165</v>
      </c>
      <c r="D257" s="175" t="s">
        <v>1185</v>
      </c>
      <c r="E257" s="25">
        <v>18379170197</v>
      </c>
      <c r="F257" s="175" t="s">
        <v>156</v>
      </c>
      <c r="G257" s="175" t="s">
        <v>13</v>
      </c>
      <c r="H257" s="25">
        <v>202102003</v>
      </c>
      <c r="I257" s="175" t="s">
        <v>157</v>
      </c>
      <c r="J257" s="175" t="s">
        <v>197</v>
      </c>
      <c r="K257" s="175" t="s">
        <v>179</v>
      </c>
      <c r="L257" s="175" t="s">
        <v>160</v>
      </c>
      <c r="M257" s="175" t="s">
        <v>577</v>
      </c>
      <c r="N257" s="175" t="s">
        <v>1187</v>
      </c>
      <c r="O257" s="175" t="s">
        <v>1188</v>
      </c>
      <c r="P257" s="26" t="str">
        <f>_xlfn.DISPIMG("ID_CF1AB7C1F93745BDBA48E23E3B3C5BFF",1)</f>
        <v>=DISPIMG("ID_CF1AB7C1F93745BDBA48E23E3B3C5BFF",1)</v>
      </c>
      <c r="Q257" s="25" t="s">
        <v>1189</v>
      </c>
      <c r="R257" s="25">
        <v>125</v>
      </c>
      <c r="S257" s="40" t="s">
        <v>4557</v>
      </c>
      <c r="T257" s="18" t="s">
        <v>52</v>
      </c>
      <c r="U257" s="25">
        <v>15</v>
      </c>
      <c r="V257" s="84">
        <v>87.5</v>
      </c>
    </row>
    <row r="258" s="3" customFormat="1" customHeight="1" spans="1:22">
      <c r="A258" s="84">
        <v>13</v>
      </c>
      <c r="B258" s="175" t="s">
        <v>833</v>
      </c>
      <c r="C258" s="175" t="s">
        <v>165</v>
      </c>
      <c r="D258" s="175" t="s">
        <v>834</v>
      </c>
      <c r="E258" s="25">
        <v>13517923087</v>
      </c>
      <c r="F258" s="175" t="s">
        <v>156</v>
      </c>
      <c r="G258" s="175" t="s">
        <v>13</v>
      </c>
      <c r="H258" s="25">
        <v>202102003</v>
      </c>
      <c r="I258" s="175" t="s">
        <v>279</v>
      </c>
      <c r="J258" s="175" t="s">
        <v>339</v>
      </c>
      <c r="K258" s="175" t="s">
        <v>223</v>
      </c>
      <c r="L258" s="175" t="s">
        <v>170</v>
      </c>
      <c r="M258" s="175" t="s">
        <v>224</v>
      </c>
      <c r="N258" s="175" t="s">
        <v>13</v>
      </c>
      <c r="O258" s="175" t="s">
        <v>836</v>
      </c>
      <c r="P258" s="26" t="str">
        <f>_xlfn.DISPIMG("ID_89C7FFEC948F45D4B7C91F290C37CCB6",1)</f>
        <v>=DISPIMG("ID_89C7FFEC948F45D4B7C91F290C37CCB6",1)</v>
      </c>
      <c r="Q258" s="25" t="s">
        <v>837</v>
      </c>
      <c r="R258" s="25">
        <v>82</v>
      </c>
      <c r="S258" s="40" t="s">
        <v>4552</v>
      </c>
      <c r="T258" s="18" t="s">
        <v>52</v>
      </c>
      <c r="U258" s="25">
        <v>16</v>
      </c>
      <c r="V258" s="84">
        <v>83</v>
      </c>
    </row>
    <row r="259" s="3" customFormat="1" customHeight="1" spans="1:22">
      <c r="A259" s="84">
        <v>8</v>
      </c>
      <c r="B259" s="175" t="s">
        <v>484</v>
      </c>
      <c r="C259" s="175" t="s">
        <v>165</v>
      </c>
      <c r="D259" s="175" t="s">
        <v>485</v>
      </c>
      <c r="E259" s="25">
        <v>15079175289</v>
      </c>
      <c r="F259" s="175" t="s">
        <v>156</v>
      </c>
      <c r="G259" s="175" t="s">
        <v>13</v>
      </c>
      <c r="H259" s="25">
        <v>202102003</v>
      </c>
      <c r="I259" s="175" t="s">
        <v>279</v>
      </c>
      <c r="J259" s="175" t="s">
        <v>178</v>
      </c>
      <c r="K259" s="175" t="s">
        <v>223</v>
      </c>
      <c r="L259" s="175" t="s">
        <v>170</v>
      </c>
      <c r="M259" s="175" t="s">
        <v>180</v>
      </c>
      <c r="N259" s="175" t="s">
        <v>487</v>
      </c>
      <c r="O259" s="175" t="s">
        <v>488</v>
      </c>
      <c r="P259" s="26" t="str">
        <f>_xlfn.DISPIMG("ID_090E35C53BC1424DB22E97EDD7B66993",1)</f>
        <v>=DISPIMG("ID_090E35C53BC1424DB22E97EDD7B66993",1)</v>
      </c>
      <c r="Q259" s="25" t="s">
        <v>489</v>
      </c>
      <c r="R259" s="25">
        <v>39</v>
      </c>
      <c r="S259" s="40" t="s">
        <v>4547</v>
      </c>
      <c r="T259" s="18" t="s">
        <v>52</v>
      </c>
      <c r="U259" s="25">
        <v>17</v>
      </c>
      <c r="V259" s="84">
        <v>0</v>
      </c>
    </row>
    <row r="260" s="3" customFormat="1" customHeight="1" spans="1:22">
      <c r="A260" s="84">
        <v>3</v>
      </c>
      <c r="B260" s="175" t="s">
        <v>230</v>
      </c>
      <c r="C260" s="175" t="s">
        <v>165</v>
      </c>
      <c r="D260" s="175" t="s">
        <v>231</v>
      </c>
      <c r="E260" s="25">
        <v>18317923585</v>
      </c>
      <c r="F260" s="175" t="s">
        <v>156</v>
      </c>
      <c r="G260" s="175" t="s">
        <v>13</v>
      </c>
      <c r="H260" s="25">
        <v>202102003</v>
      </c>
      <c r="I260" s="175" t="s">
        <v>157</v>
      </c>
      <c r="J260" s="175" t="s">
        <v>233</v>
      </c>
      <c r="K260" s="175" t="s">
        <v>234</v>
      </c>
      <c r="L260" s="175" t="s">
        <v>170</v>
      </c>
      <c r="M260" s="175" t="s">
        <v>235</v>
      </c>
      <c r="N260" s="175" t="s">
        <v>13</v>
      </c>
      <c r="O260" s="175" t="s">
        <v>236</v>
      </c>
      <c r="P260" s="26" t="str">
        <f>_xlfn.DISPIMG("ID_5F2C40BDD5324AC2917B018DDF4B26D9",1)</f>
        <v>=DISPIMG("ID_5F2C40BDD5324AC2917B018DDF4B26D9",1)</v>
      </c>
      <c r="Q260" s="25" t="s">
        <v>237</v>
      </c>
      <c r="R260" s="25">
        <v>10</v>
      </c>
      <c r="S260" s="40" t="s">
        <v>4545</v>
      </c>
      <c r="T260" s="18" t="s">
        <v>52</v>
      </c>
      <c r="U260" s="25">
        <v>18</v>
      </c>
      <c r="V260" s="84">
        <v>86.5</v>
      </c>
    </row>
    <row r="261" s="3" customFormat="1" customHeight="1" spans="1:22">
      <c r="A261" s="84">
        <v>4</v>
      </c>
      <c r="B261" s="175" t="s">
        <v>258</v>
      </c>
      <c r="C261" s="175" t="s">
        <v>165</v>
      </c>
      <c r="D261" s="175" t="s">
        <v>259</v>
      </c>
      <c r="E261" s="25">
        <v>15079252433</v>
      </c>
      <c r="F261" s="175" t="s">
        <v>156</v>
      </c>
      <c r="G261" s="175" t="s">
        <v>13</v>
      </c>
      <c r="H261" s="25">
        <v>202102003</v>
      </c>
      <c r="I261" s="175" t="s">
        <v>157</v>
      </c>
      <c r="J261" s="175" t="s">
        <v>158</v>
      </c>
      <c r="K261" s="175" t="s">
        <v>179</v>
      </c>
      <c r="L261" s="175" t="s">
        <v>170</v>
      </c>
      <c r="M261" s="175" t="s">
        <v>261</v>
      </c>
      <c r="N261" s="175" t="s">
        <v>13</v>
      </c>
      <c r="O261" s="25">
        <v>0</v>
      </c>
      <c r="P261" s="26" t="str">
        <f>_xlfn.DISPIMG("ID_6612D67BD9E1456A9FAE3B7BC6ABC79B",1)</f>
        <v>=DISPIMG("ID_6612D67BD9E1456A9FAE3B7BC6ABC79B",1)</v>
      </c>
      <c r="Q261" s="25" t="s">
        <v>262</v>
      </c>
      <c r="R261" s="25">
        <v>13</v>
      </c>
      <c r="S261" s="40" t="s">
        <v>4546</v>
      </c>
      <c r="T261" s="18" t="s">
        <v>52</v>
      </c>
      <c r="U261" s="25">
        <v>19</v>
      </c>
      <c r="V261" s="84">
        <v>89.5</v>
      </c>
    </row>
    <row r="262" s="3" customFormat="1" customHeight="1" spans="1:22">
      <c r="A262" s="84">
        <v>9</v>
      </c>
      <c r="B262" s="175" t="s">
        <v>503</v>
      </c>
      <c r="C262" s="175" t="s">
        <v>165</v>
      </c>
      <c r="D262" s="175" t="s">
        <v>504</v>
      </c>
      <c r="E262" s="25">
        <v>18279271412</v>
      </c>
      <c r="F262" s="175" t="s">
        <v>506</v>
      </c>
      <c r="G262" s="175" t="s">
        <v>13</v>
      </c>
      <c r="H262" s="25">
        <v>202102016</v>
      </c>
      <c r="I262" s="175" t="s">
        <v>157</v>
      </c>
      <c r="J262" s="175" t="s">
        <v>507</v>
      </c>
      <c r="K262" s="175" t="s">
        <v>298</v>
      </c>
      <c r="L262" s="175" t="s">
        <v>160</v>
      </c>
      <c r="M262" s="175" t="s">
        <v>252</v>
      </c>
      <c r="N262" s="175" t="s">
        <v>13</v>
      </c>
      <c r="O262" s="175" t="s">
        <v>508</v>
      </c>
      <c r="P262" s="26" t="str">
        <f>_xlfn.DISPIMG("ID_40FEE490C2E64411A9F9A70FED108C60",1)</f>
        <v>=DISPIMG("ID_40FEE490C2E64411A9F9A70FED108C60",1)</v>
      </c>
      <c r="Q262" s="25" t="s">
        <v>509</v>
      </c>
      <c r="R262" s="25">
        <v>42</v>
      </c>
      <c r="S262" s="40" t="s">
        <v>4548</v>
      </c>
      <c r="T262" s="18" t="s">
        <v>52</v>
      </c>
      <c r="U262" s="25">
        <v>20</v>
      </c>
      <c r="V262" s="84">
        <v>83.5</v>
      </c>
    </row>
    <row r="263" s="3" customFormat="1" customHeight="1" spans="1:22">
      <c r="A263" s="84">
        <v>14</v>
      </c>
      <c r="B263" s="175" t="s">
        <v>994</v>
      </c>
      <c r="C263" s="175" t="s">
        <v>165</v>
      </c>
      <c r="D263" s="175" t="s">
        <v>995</v>
      </c>
      <c r="E263" s="25">
        <v>15079132554</v>
      </c>
      <c r="F263" s="175" t="s">
        <v>156</v>
      </c>
      <c r="G263" s="175" t="s">
        <v>13</v>
      </c>
      <c r="H263" s="25">
        <v>202102003</v>
      </c>
      <c r="I263" s="175" t="s">
        <v>157</v>
      </c>
      <c r="J263" s="175" t="s">
        <v>197</v>
      </c>
      <c r="K263" s="175" t="s">
        <v>179</v>
      </c>
      <c r="L263" s="175" t="s">
        <v>160</v>
      </c>
      <c r="M263" s="175" t="s">
        <v>180</v>
      </c>
      <c r="N263" s="175" t="s">
        <v>997</v>
      </c>
      <c r="O263" s="175" t="s">
        <v>998</v>
      </c>
      <c r="P263" s="26" t="str">
        <f>_xlfn.DISPIMG("ID_10318FA0EB2E4E7ABCD18627E825B2DF",1)</f>
        <v>=DISPIMG("ID_10318FA0EB2E4E7ABCD18627E825B2DF",1)</v>
      </c>
      <c r="Q263" s="25" t="s">
        <v>999</v>
      </c>
      <c r="R263" s="25">
        <v>101</v>
      </c>
      <c r="S263" s="40" t="s">
        <v>4553</v>
      </c>
      <c r="T263" s="18" t="s">
        <v>52</v>
      </c>
      <c r="U263" s="25">
        <v>21</v>
      </c>
      <c r="V263" s="84">
        <v>0</v>
      </c>
    </row>
    <row r="264" s="3" customFormat="1" customHeight="1" spans="1:22">
      <c r="A264" s="84">
        <v>19</v>
      </c>
      <c r="B264" s="175" t="s">
        <v>1192</v>
      </c>
      <c r="C264" s="175" t="s">
        <v>165</v>
      </c>
      <c r="D264" s="175" t="s">
        <v>1193</v>
      </c>
      <c r="E264" s="25">
        <v>18079223375</v>
      </c>
      <c r="F264" s="175" t="s">
        <v>156</v>
      </c>
      <c r="G264" s="175" t="s">
        <v>13</v>
      </c>
      <c r="H264" s="25">
        <v>202102003</v>
      </c>
      <c r="I264" s="175" t="s">
        <v>157</v>
      </c>
      <c r="J264" s="175" t="s">
        <v>233</v>
      </c>
      <c r="K264" s="175" t="s">
        <v>1195</v>
      </c>
      <c r="L264" s="175" t="s">
        <v>170</v>
      </c>
      <c r="M264" s="175" t="s">
        <v>587</v>
      </c>
      <c r="N264" s="175" t="s">
        <v>13</v>
      </c>
      <c r="O264" s="175" t="s">
        <v>1196</v>
      </c>
      <c r="P264" s="26" t="str">
        <f>_xlfn.DISPIMG("ID_1776A5AD18184E18978F80ADFFF4A0AF",1)</f>
        <v>=DISPIMG("ID_1776A5AD18184E18978F80ADFFF4A0AF",1)</v>
      </c>
      <c r="Q264" s="25" t="s">
        <v>1197</v>
      </c>
      <c r="R264" s="25">
        <v>126</v>
      </c>
      <c r="S264" s="40" t="s">
        <v>4558</v>
      </c>
      <c r="T264" s="18" t="s">
        <v>52</v>
      </c>
      <c r="U264" s="25">
        <v>22</v>
      </c>
      <c r="V264" s="84">
        <v>76</v>
      </c>
    </row>
    <row r="265" s="3" customFormat="1" customHeight="1" spans="1:22">
      <c r="A265" s="84">
        <v>24</v>
      </c>
      <c r="B265" s="175" t="s">
        <v>1463</v>
      </c>
      <c r="C265" s="175" t="s">
        <v>165</v>
      </c>
      <c r="D265" s="175" t="s">
        <v>1464</v>
      </c>
      <c r="E265" s="25">
        <v>18279171935</v>
      </c>
      <c r="F265" s="175" t="s">
        <v>156</v>
      </c>
      <c r="G265" s="175" t="s">
        <v>13</v>
      </c>
      <c r="H265" s="25">
        <v>202102003</v>
      </c>
      <c r="I265" s="175" t="s">
        <v>157</v>
      </c>
      <c r="J265" s="175" t="s">
        <v>1466</v>
      </c>
      <c r="K265" s="175" t="s">
        <v>179</v>
      </c>
      <c r="L265" s="175" t="s">
        <v>160</v>
      </c>
      <c r="M265" s="175" t="s">
        <v>281</v>
      </c>
      <c r="N265" s="175" t="s">
        <v>1467</v>
      </c>
      <c r="O265" s="175" t="s">
        <v>1468</v>
      </c>
      <c r="P265" s="26" t="str">
        <f>_xlfn.DISPIMG("ID_050656778A6D494197B2CC367B7C8BBA",1)</f>
        <v>=DISPIMG("ID_050656778A6D494197B2CC367B7C8BBA",1)</v>
      </c>
      <c r="Q265" s="25" t="s">
        <v>1469</v>
      </c>
      <c r="R265" s="25">
        <v>162</v>
      </c>
      <c r="S265" s="40" t="s">
        <v>4563</v>
      </c>
      <c r="T265" s="18" t="s">
        <v>52</v>
      </c>
      <c r="U265" s="25">
        <v>23</v>
      </c>
      <c r="V265" s="84">
        <v>84.5</v>
      </c>
    </row>
    <row r="266" s="3" customFormat="1" customHeight="1" spans="1:22">
      <c r="A266" s="84">
        <v>29</v>
      </c>
      <c r="B266" s="175" t="s">
        <v>1643</v>
      </c>
      <c r="C266" s="175" t="s">
        <v>153</v>
      </c>
      <c r="D266" s="175" t="s">
        <v>1644</v>
      </c>
      <c r="E266" s="25">
        <v>18351336229</v>
      </c>
      <c r="F266" s="175" t="s">
        <v>156</v>
      </c>
      <c r="G266" s="175" t="s">
        <v>13</v>
      </c>
      <c r="H266" s="25">
        <v>202102003</v>
      </c>
      <c r="I266" s="175" t="s">
        <v>157</v>
      </c>
      <c r="J266" s="175" t="s">
        <v>1646</v>
      </c>
      <c r="K266" s="175" t="s">
        <v>1647</v>
      </c>
      <c r="L266" s="175" t="s">
        <v>160</v>
      </c>
      <c r="M266" s="175" t="s">
        <v>261</v>
      </c>
      <c r="N266" s="175" t="s">
        <v>1506</v>
      </c>
      <c r="O266" s="25">
        <v>0</v>
      </c>
      <c r="P266" s="26" t="str">
        <f>_xlfn.DISPIMG("ID_B4AD11310DDA4138B05F8034BA3D88DD",1)</f>
        <v>=DISPIMG("ID_B4AD11310DDA4138B05F8034BA3D88DD",1)</v>
      </c>
      <c r="Q266" s="25" t="s">
        <v>1648</v>
      </c>
      <c r="R266" s="25">
        <v>185</v>
      </c>
      <c r="S266" s="40" t="s">
        <v>4568</v>
      </c>
      <c r="T266" s="18" t="s">
        <v>52</v>
      </c>
      <c r="U266" s="25">
        <v>24</v>
      </c>
      <c r="V266" s="84">
        <v>0</v>
      </c>
    </row>
    <row r="267" s="3" customFormat="1" customHeight="1" spans="1:22">
      <c r="A267" s="84">
        <v>30</v>
      </c>
      <c r="B267" s="175" t="s">
        <v>1651</v>
      </c>
      <c r="C267" s="175" t="s">
        <v>165</v>
      </c>
      <c r="D267" s="175" t="s">
        <v>1652</v>
      </c>
      <c r="E267" s="25">
        <v>15870862742</v>
      </c>
      <c r="F267" s="175" t="s">
        <v>156</v>
      </c>
      <c r="G267" s="175" t="s">
        <v>13</v>
      </c>
      <c r="H267" s="25">
        <v>202102003</v>
      </c>
      <c r="I267" s="175" t="s">
        <v>157</v>
      </c>
      <c r="J267" s="175" t="s">
        <v>1654</v>
      </c>
      <c r="K267" s="175" t="s">
        <v>179</v>
      </c>
      <c r="L267" s="175" t="s">
        <v>160</v>
      </c>
      <c r="M267" s="175" t="s">
        <v>235</v>
      </c>
      <c r="N267" s="175" t="s">
        <v>13</v>
      </c>
      <c r="O267" s="25">
        <v>0</v>
      </c>
      <c r="P267" s="26" t="str">
        <f>_xlfn.DISPIMG("ID_3972EE6FED8B40BFAB5CECB7F30981FD",1)</f>
        <v>=DISPIMG("ID_3972EE6FED8B40BFAB5CECB7F30981FD",1)</v>
      </c>
      <c r="Q267" s="25" t="s">
        <v>1655</v>
      </c>
      <c r="R267" s="25">
        <v>186</v>
      </c>
      <c r="S267" s="40" t="s">
        <v>4569</v>
      </c>
      <c r="T267" s="18" t="s">
        <v>52</v>
      </c>
      <c r="U267" s="25">
        <v>25</v>
      </c>
      <c r="V267" s="84">
        <v>84.5</v>
      </c>
    </row>
    <row r="268" s="3" customFormat="1" customHeight="1" spans="1:22">
      <c r="A268" s="84">
        <v>25</v>
      </c>
      <c r="B268" s="175" t="s">
        <v>1477</v>
      </c>
      <c r="C268" s="175" t="s">
        <v>153</v>
      </c>
      <c r="D268" s="175" t="s">
        <v>1478</v>
      </c>
      <c r="E268" s="25">
        <v>15779705216</v>
      </c>
      <c r="F268" s="175" t="s">
        <v>156</v>
      </c>
      <c r="G268" s="175" t="s">
        <v>13</v>
      </c>
      <c r="H268" s="25">
        <v>202102003</v>
      </c>
      <c r="I268" s="175" t="s">
        <v>157</v>
      </c>
      <c r="J268" s="175" t="s">
        <v>1480</v>
      </c>
      <c r="K268" s="175" t="s">
        <v>1481</v>
      </c>
      <c r="L268" s="175" t="s">
        <v>160</v>
      </c>
      <c r="M268" s="175" t="s">
        <v>235</v>
      </c>
      <c r="N268" s="175" t="s">
        <v>13</v>
      </c>
      <c r="O268" s="175" t="s">
        <v>1482</v>
      </c>
      <c r="P268" s="26" t="str">
        <f>_xlfn.DISPIMG("ID_7EA9DB823A764F28A536B4FEC9EB2A2B",1)</f>
        <v>=DISPIMG("ID_7EA9DB823A764F28A536B4FEC9EB2A2B",1)</v>
      </c>
      <c r="Q268" s="25" t="s">
        <v>1483</v>
      </c>
      <c r="R268" s="25">
        <v>164</v>
      </c>
      <c r="S268" s="40" t="s">
        <v>4564</v>
      </c>
      <c r="T268" s="18" t="s">
        <v>52</v>
      </c>
      <c r="U268" s="25">
        <v>26</v>
      </c>
      <c r="V268" s="84">
        <v>0</v>
      </c>
    </row>
    <row r="269" s="3" customFormat="1" customHeight="1" spans="1:22">
      <c r="A269" s="84">
        <v>20</v>
      </c>
      <c r="B269" s="175" t="s">
        <v>1210</v>
      </c>
      <c r="C269" s="175" t="s">
        <v>165</v>
      </c>
      <c r="D269" s="175" t="s">
        <v>1211</v>
      </c>
      <c r="E269" s="25">
        <v>18279901604</v>
      </c>
      <c r="F269" s="175" t="s">
        <v>156</v>
      </c>
      <c r="G269" s="175" t="s">
        <v>13</v>
      </c>
      <c r="H269" s="25">
        <v>202102003</v>
      </c>
      <c r="I269" s="175" t="s">
        <v>157</v>
      </c>
      <c r="J269" s="175" t="s">
        <v>1213</v>
      </c>
      <c r="K269" s="175" t="s">
        <v>1214</v>
      </c>
      <c r="L269" s="175" t="s">
        <v>160</v>
      </c>
      <c r="M269" s="175" t="s">
        <v>252</v>
      </c>
      <c r="N269" s="175" t="s">
        <v>13</v>
      </c>
      <c r="O269" s="25">
        <v>0</v>
      </c>
      <c r="P269" s="26" t="str">
        <f>_xlfn.DISPIMG("ID_FBB70D9010F74144B210C02BDB9CE6A1",1)</f>
        <v>=DISPIMG("ID_FBB70D9010F74144B210C02BDB9CE6A1",1)</v>
      </c>
      <c r="Q269" s="25" t="s">
        <v>1215</v>
      </c>
      <c r="R269" s="25">
        <v>128</v>
      </c>
      <c r="S269" s="40" t="s">
        <v>4559</v>
      </c>
      <c r="T269" s="18" t="s">
        <v>52</v>
      </c>
      <c r="U269" s="25">
        <v>27</v>
      </c>
      <c r="V269" s="84">
        <v>90.5</v>
      </c>
    </row>
    <row r="270" s="3" customFormat="1" customHeight="1" spans="1:22">
      <c r="A270" s="84">
        <v>15</v>
      </c>
      <c r="B270" s="175" t="s">
        <v>1018</v>
      </c>
      <c r="C270" s="175" t="s">
        <v>165</v>
      </c>
      <c r="D270" s="175" t="s">
        <v>1019</v>
      </c>
      <c r="E270" s="25">
        <v>18270832760</v>
      </c>
      <c r="F270" s="175" t="s">
        <v>156</v>
      </c>
      <c r="G270" s="175" t="s">
        <v>13</v>
      </c>
      <c r="H270" s="25">
        <v>202102003</v>
      </c>
      <c r="I270" s="175" t="s">
        <v>157</v>
      </c>
      <c r="J270" s="175" t="s">
        <v>827</v>
      </c>
      <c r="K270" s="175" t="s">
        <v>1021</v>
      </c>
      <c r="L270" s="175" t="s">
        <v>160</v>
      </c>
      <c r="M270" s="175" t="s">
        <v>281</v>
      </c>
      <c r="N270" s="175" t="s">
        <v>1022</v>
      </c>
      <c r="O270" s="175" t="s">
        <v>1023</v>
      </c>
      <c r="P270" s="26" t="str">
        <f>_xlfn.DISPIMG("ID_8ABFE7CB3D4544BB889DAF8FFFAF27BC",1)</f>
        <v>=DISPIMG("ID_8ABFE7CB3D4544BB889DAF8FFFAF27BC",1)</v>
      </c>
      <c r="Q270" s="25" t="s">
        <v>1024</v>
      </c>
      <c r="R270" s="25">
        <v>104</v>
      </c>
      <c r="S270" s="40" t="s">
        <v>4554</v>
      </c>
      <c r="T270" s="18" t="s">
        <v>52</v>
      </c>
      <c r="U270" s="25">
        <v>28</v>
      </c>
      <c r="V270" s="84">
        <v>83</v>
      </c>
    </row>
    <row r="271" s="3" customFormat="1" customHeight="1" spans="1:22">
      <c r="A271" s="84">
        <v>10</v>
      </c>
      <c r="B271" s="175" t="s">
        <v>537</v>
      </c>
      <c r="C271" s="175" t="s">
        <v>165</v>
      </c>
      <c r="D271" s="175" t="s">
        <v>538</v>
      </c>
      <c r="E271" s="25">
        <v>18720218990</v>
      </c>
      <c r="F271" s="175" t="s">
        <v>156</v>
      </c>
      <c r="G271" s="175" t="s">
        <v>13</v>
      </c>
      <c r="H271" s="25">
        <v>202102003</v>
      </c>
      <c r="I271" s="175" t="s">
        <v>157</v>
      </c>
      <c r="J271" s="175" t="s">
        <v>540</v>
      </c>
      <c r="K271" s="175" t="s">
        <v>179</v>
      </c>
      <c r="L271" s="175" t="s">
        <v>160</v>
      </c>
      <c r="M271" s="175" t="s">
        <v>541</v>
      </c>
      <c r="N271" s="175" t="s">
        <v>25</v>
      </c>
      <c r="O271" s="25">
        <v>0</v>
      </c>
      <c r="P271" s="26" t="str">
        <f>_xlfn.DISPIMG("ID_9605826B48E04C21832E1CDFB6E0AF15",1)</f>
        <v>=DISPIMG("ID_9605826B48E04C21832E1CDFB6E0AF15",1)</v>
      </c>
      <c r="Q271" s="25" t="s">
        <v>542</v>
      </c>
      <c r="R271" s="25">
        <v>46</v>
      </c>
      <c r="S271" s="40" t="s">
        <v>4549</v>
      </c>
      <c r="T271" s="18" t="s">
        <v>52</v>
      </c>
      <c r="U271" s="25">
        <v>29</v>
      </c>
      <c r="V271" s="84">
        <v>89</v>
      </c>
    </row>
    <row r="272" s="3" customFormat="1" customHeight="1" spans="1:22">
      <c r="A272" s="84">
        <v>5</v>
      </c>
      <c r="B272" s="175" t="s">
        <v>302</v>
      </c>
      <c r="C272" s="175" t="s">
        <v>165</v>
      </c>
      <c r="D272" s="175" t="s">
        <v>303</v>
      </c>
      <c r="E272" s="25">
        <v>18270729426</v>
      </c>
      <c r="F272" s="175" t="s">
        <v>156</v>
      </c>
      <c r="G272" s="175" t="s">
        <v>13</v>
      </c>
      <c r="H272" s="25">
        <v>202102003</v>
      </c>
      <c r="I272" s="175" t="s">
        <v>157</v>
      </c>
      <c r="J272" s="175" t="s">
        <v>305</v>
      </c>
      <c r="K272" s="175" t="s">
        <v>179</v>
      </c>
      <c r="L272" s="175" t="s">
        <v>170</v>
      </c>
      <c r="M272" s="175" t="s">
        <v>306</v>
      </c>
      <c r="N272" s="175" t="s">
        <v>307</v>
      </c>
      <c r="O272" s="175" t="s">
        <v>308</v>
      </c>
      <c r="P272" s="26" t="str">
        <f>_xlfn.DISPIMG("ID_BFA65A737AA14FBDAE88EFBDD5E2990B",1)</f>
        <v>=DISPIMG("ID_BFA65A737AA14FBDAE88EFBDD5E2990B",1)</v>
      </c>
      <c r="Q272" s="25" t="s">
        <v>309</v>
      </c>
      <c r="R272" s="25">
        <v>18</v>
      </c>
      <c r="S272" s="40" t="s">
        <v>4539</v>
      </c>
      <c r="T272" s="18" t="s">
        <v>52</v>
      </c>
      <c r="U272" s="25">
        <v>30</v>
      </c>
      <c r="V272" s="84">
        <v>86</v>
      </c>
    </row>
    <row r="273" s="3" customFormat="1" customHeight="1" spans="1:22">
      <c r="A273" s="84">
        <v>26</v>
      </c>
      <c r="B273" s="175" t="s">
        <v>2585</v>
      </c>
      <c r="C273" s="175" t="s">
        <v>153</v>
      </c>
      <c r="D273" s="175" t="s">
        <v>2586</v>
      </c>
      <c r="E273" s="25">
        <v>18870098307</v>
      </c>
      <c r="F273" s="175" t="s">
        <v>156</v>
      </c>
      <c r="G273" s="175" t="s">
        <v>13</v>
      </c>
      <c r="H273" s="25">
        <v>202102003</v>
      </c>
      <c r="I273" s="175" t="s">
        <v>157</v>
      </c>
      <c r="J273" s="175" t="s">
        <v>233</v>
      </c>
      <c r="K273" s="175" t="s">
        <v>179</v>
      </c>
      <c r="L273" s="175" t="s">
        <v>160</v>
      </c>
      <c r="M273" s="175" t="s">
        <v>2298</v>
      </c>
      <c r="N273" s="175" t="s">
        <v>1692</v>
      </c>
      <c r="O273" s="175" t="s">
        <v>2588</v>
      </c>
      <c r="P273" s="26" t="str">
        <f>_xlfn.DISPIMG("ID_C226BACFF043492F9C2831E3F2035CBF",1)</f>
        <v>=DISPIMG("ID_C226BACFF043492F9C2831E3F2035CBF",1)</v>
      </c>
      <c r="Q273" s="25" t="s">
        <v>2589</v>
      </c>
      <c r="R273" s="25">
        <v>310</v>
      </c>
      <c r="S273" s="40" t="s">
        <v>4595</v>
      </c>
      <c r="T273" s="18" t="s">
        <v>54</v>
      </c>
      <c r="U273" s="25">
        <v>1</v>
      </c>
      <c r="V273" s="84">
        <v>0</v>
      </c>
    </row>
    <row r="274" s="3" customFormat="1" customHeight="1" spans="1:22">
      <c r="A274" s="84">
        <v>21</v>
      </c>
      <c r="B274" s="175" t="s">
        <v>2303</v>
      </c>
      <c r="C274" s="175" t="s">
        <v>165</v>
      </c>
      <c r="D274" s="175" t="s">
        <v>2304</v>
      </c>
      <c r="E274" s="25">
        <v>18397921329</v>
      </c>
      <c r="F274" s="175" t="s">
        <v>156</v>
      </c>
      <c r="G274" s="175" t="s">
        <v>13</v>
      </c>
      <c r="H274" s="25">
        <v>202102003</v>
      </c>
      <c r="I274" s="175" t="s">
        <v>157</v>
      </c>
      <c r="J274" s="175" t="s">
        <v>233</v>
      </c>
      <c r="K274" s="175" t="s">
        <v>1832</v>
      </c>
      <c r="L274" s="175" t="s">
        <v>160</v>
      </c>
      <c r="M274" s="175" t="s">
        <v>161</v>
      </c>
      <c r="N274" s="175" t="s">
        <v>2284</v>
      </c>
      <c r="O274" s="25">
        <v>0</v>
      </c>
      <c r="P274" s="26" t="str">
        <f>_xlfn.DISPIMG("ID_D3E1E42587914F6EA2229B8441CD1EF2",1)</f>
        <v>=DISPIMG("ID_D3E1E42587914F6EA2229B8441CD1EF2",1)</v>
      </c>
      <c r="Q274" s="25" t="s">
        <v>2306</v>
      </c>
      <c r="R274" s="25">
        <v>272</v>
      </c>
      <c r="S274" s="40" t="s">
        <v>4590</v>
      </c>
      <c r="T274" s="18" t="s">
        <v>54</v>
      </c>
      <c r="U274" s="25">
        <v>2</v>
      </c>
      <c r="V274" s="84">
        <v>0</v>
      </c>
    </row>
    <row r="275" s="3" customFormat="1" customHeight="1" spans="1:22">
      <c r="A275" s="84">
        <v>16</v>
      </c>
      <c r="B275" s="175" t="s">
        <v>2188</v>
      </c>
      <c r="C275" s="175" t="s">
        <v>165</v>
      </c>
      <c r="D275" s="175" t="s">
        <v>2189</v>
      </c>
      <c r="E275" s="25">
        <v>15297925516</v>
      </c>
      <c r="F275" s="175" t="s">
        <v>156</v>
      </c>
      <c r="G275" s="175" t="s">
        <v>13</v>
      </c>
      <c r="H275" s="25">
        <v>202102003</v>
      </c>
      <c r="I275" s="175" t="s">
        <v>157</v>
      </c>
      <c r="J275" s="175" t="s">
        <v>178</v>
      </c>
      <c r="K275" s="175" t="s">
        <v>179</v>
      </c>
      <c r="L275" s="175" t="s">
        <v>170</v>
      </c>
      <c r="M275" s="175" t="s">
        <v>161</v>
      </c>
      <c r="N275" s="175" t="s">
        <v>25</v>
      </c>
      <c r="O275" s="25">
        <v>0</v>
      </c>
      <c r="P275" s="26" t="str">
        <f>_xlfn.DISPIMG("ID_D5F43AB9EBAD44A4B07E87AF936A6299",1)</f>
        <v>=DISPIMG("ID_D5F43AB9EBAD44A4B07E87AF936A6299",1)</v>
      </c>
      <c r="Q275" s="25" t="s">
        <v>2191</v>
      </c>
      <c r="R275" s="25">
        <v>257</v>
      </c>
      <c r="S275" s="40" t="s">
        <v>4585</v>
      </c>
      <c r="T275" s="18" t="s">
        <v>54</v>
      </c>
      <c r="U275" s="25">
        <v>3</v>
      </c>
      <c r="V275" s="84">
        <v>0</v>
      </c>
    </row>
    <row r="276" s="3" customFormat="1" customHeight="1" spans="1:22">
      <c r="A276" s="84">
        <v>11</v>
      </c>
      <c r="B276" s="175" t="s">
        <v>2113</v>
      </c>
      <c r="C276" s="175" t="s">
        <v>165</v>
      </c>
      <c r="D276" s="175" t="s">
        <v>2114</v>
      </c>
      <c r="E276" s="25">
        <v>18779262393</v>
      </c>
      <c r="F276" s="175" t="s">
        <v>156</v>
      </c>
      <c r="G276" s="175" t="s">
        <v>13</v>
      </c>
      <c r="H276" s="25">
        <v>202102003</v>
      </c>
      <c r="I276" s="175" t="s">
        <v>157</v>
      </c>
      <c r="J276" s="175" t="s">
        <v>168</v>
      </c>
      <c r="K276" s="175" t="s">
        <v>179</v>
      </c>
      <c r="L276" s="175" t="s">
        <v>170</v>
      </c>
      <c r="M276" s="175" t="s">
        <v>261</v>
      </c>
      <c r="N276" s="175" t="s">
        <v>13</v>
      </c>
      <c r="O276" s="175" t="s">
        <v>2116</v>
      </c>
      <c r="P276" s="26" t="str">
        <f>_xlfn.DISPIMG("ID_FD96452CC72B491AA69A0DC966FE8814",1)</f>
        <v>=DISPIMG("ID_FD96452CC72B491AA69A0DC966FE8814",1)</v>
      </c>
      <c r="Q276" s="25" t="s">
        <v>2117</v>
      </c>
      <c r="R276" s="25">
        <v>247</v>
      </c>
      <c r="S276" s="40" t="s">
        <v>4580</v>
      </c>
      <c r="T276" s="18" t="s">
        <v>54</v>
      </c>
      <c r="U276" s="25">
        <v>4</v>
      </c>
      <c r="V276" s="84">
        <v>84</v>
      </c>
    </row>
    <row r="277" s="3" customFormat="1" customHeight="1" spans="1:22">
      <c r="A277" s="84">
        <v>6</v>
      </c>
      <c r="B277" s="175" t="s">
        <v>1925</v>
      </c>
      <c r="C277" s="175" t="s">
        <v>165</v>
      </c>
      <c r="D277" s="175" t="s">
        <v>1926</v>
      </c>
      <c r="E277" s="25">
        <v>18000203663</v>
      </c>
      <c r="F277" s="175" t="s">
        <v>156</v>
      </c>
      <c r="G277" s="175" t="s">
        <v>13</v>
      </c>
      <c r="H277" s="25">
        <v>202102003</v>
      </c>
      <c r="I277" s="175" t="s">
        <v>157</v>
      </c>
      <c r="J277" s="175" t="s">
        <v>611</v>
      </c>
      <c r="K277" s="175" t="s">
        <v>179</v>
      </c>
      <c r="L277" s="175" t="s">
        <v>160</v>
      </c>
      <c r="M277" s="175" t="s">
        <v>281</v>
      </c>
      <c r="N277" s="175" t="s">
        <v>13</v>
      </c>
      <c r="O277" s="175" t="s">
        <v>1928</v>
      </c>
      <c r="P277" s="26" t="str">
        <f>_xlfn.DISPIMG("ID_F763BF131F364181A17D865B8B797D97",1)</f>
        <v>=DISPIMG("ID_F763BF131F364181A17D865B8B797D97",1)</v>
      </c>
      <c r="Q277" s="25" t="s">
        <v>1929</v>
      </c>
      <c r="R277" s="25">
        <v>222</v>
      </c>
      <c r="S277" s="40" t="s">
        <v>4575</v>
      </c>
      <c r="T277" s="18" t="s">
        <v>54</v>
      </c>
      <c r="U277" s="25">
        <v>5</v>
      </c>
      <c r="V277" s="84">
        <v>83</v>
      </c>
    </row>
    <row r="278" s="3" customFormat="1" customHeight="1" spans="1:22">
      <c r="A278" s="84">
        <v>1</v>
      </c>
      <c r="B278" s="175" t="s">
        <v>1715</v>
      </c>
      <c r="C278" s="175" t="s">
        <v>165</v>
      </c>
      <c r="D278" s="175" t="s">
        <v>1716</v>
      </c>
      <c r="E278" s="25">
        <v>15070075457</v>
      </c>
      <c r="F278" s="175" t="s">
        <v>156</v>
      </c>
      <c r="G278" s="175" t="s">
        <v>13</v>
      </c>
      <c r="H278" s="25">
        <v>202102003</v>
      </c>
      <c r="I278" s="175" t="s">
        <v>157</v>
      </c>
      <c r="J278" s="175" t="s">
        <v>1718</v>
      </c>
      <c r="K278" s="175" t="s">
        <v>1195</v>
      </c>
      <c r="L278" s="175" t="s">
        <v>170</v>
      </c>
      <c r="M278" s="175" t="s">
        <v>281</v>
      </c>
      <c r="N278" s="175" t="s">
        <v>13</v>
      </c>
      <c r="O278" s="175" t="s">
        <v>1719</v>
      </c>
      <c r="P278" s="26" t="str">
        <f>_xlfn.DISPIMG("ID_33BA8978EFEE4AA59909527B43B2E1C1",1)</f>
        <v>=DISPIMG("ID_33BA8978EFEE4AA59909527B43B2E1C1",1)</v>
      </c>
      <c r="Q278" s="25" t="s">
        <v>1720</v>
      </c>
      <c r="R278" s="25">
        <v>194</v>
      </c>
      <c r="S278" s="40" t="s">
        <v>4570</v>
      </c>
      <c r="T278" s="18" t="s">
        <v>54</v>
      </c>
      <c r="U278" s="25">
        <v>6</v>
      </c>
      <c r="V278" s="84">
        <v>89.5</v>
      </c>
    </row>
    <row r="279" s="3" customFormat="1" customHeight="1" spans="1:22">
      <c r="A279" s="84">
        <v>2</v>
      </c>
      <c r="B279" s="175" t="s">
        <v>1759</v>
      </c>
      <c r="C279" s="175" t="s">
        <v>165</v>
      </c>
      <c r="D279" s="175" t="s">
        <v>1760</v>
      </c>
      <c r="E279" s="25">
        <v>13450834436</v>
      </c>
      <c r="F279" s="175" t="s">
        <v>156</v>
      </c>
      <c r="G279" s="175" t="s">
        <v>13</v>
      </c>
      <c r="H279" s="25">
        <v>202102003</v>
      </c>
      <c r="I279" s="175" t="s">
        <v>279</v>
      </c>
      <c r="J279" s="175" t="s">
        <v>158</v>
      </c>
      <c r="K279" s="175" t="s">
        <v>298</v>
      </c>
      <c r="L279" s="175" t="s">
        <v>160</v>
      </c>
      <c r="M279" s="175" t="s">
        <v>910</v>
      </c>
      <c r="N279" s="175" t="s">
        <v>13</v>
      </c>
      <c r="O279" s="175" t="s">
        <v>1762</v>
      </c>
      <c r="P279" s="26" t="str">
        <f>_xlfn.DISPIMG("ID_6061453C50E94D60AD50D7D119779DE5",1)</f>
        <v>=DISPIMG("ID_6061453C50E94D60AD50D7D119779DE5",1)</v>
      </c>
      <c r="Q279" s="25" t="s">
        <v>1763</v>
      </c>
      <c r="R279" s="25">
        <v>200</v>
      </c>
      <c r="S279" s="40" t="s">
        <v>4571</v>
      </c>
      <c r="T279" s="18" t="s">
        <v>54</v>
      </c>
      <c r="U279" s="25">
        <v>7</v>
      </c>
      <c r="V279" s="84">
        <v>0</v>
      </c>
    </row>
    <row r="280" s="3" customFormat="1" customHeight="1" spans="1:22">
      <c r="A280" s="84">
        <v>7</v>
      </c>
      <c r="B280" s="175" t="s">
        <v>1997</v>
      </c>
      <c r="C280" s="175" t="s">
        <v>165</v>
      </c>
      <c r="D280" s="175" t="s">
        <v>1998</v>
      </c>
      <c r="E280" s="25">
        <v>15270177023</v>
      </c>
      <c r="F280" s="175" t="s">
        <v>156</v>
      </c>
      <c r="G280" s="175" t="s">
        <v>13</v>
      </c>
      <c r="H280" s="25">
        <v>202102003</v>
      </c>
      <c r="I280" s="175" t="s">
        <v>157</v>
      </c>
      <c r="J280" s="175" t="s">
        <v>158</v>
      </c>
      <c r="K280" s="175" t="s">
        <v>2000</v>
      </c>
      <c r="L280" s="175" t="s">
        <v>160</v>
      </c>
      <c r="M280" s="175" t="s">
        <v>161</v>
      </c>
      <c r="N280" s="175" t="s">
        <v>13</v>
      </c>
      <c r="O280" s="25">
        <v>0</v>
      </c>
      <c r="P280" s="26" t="str">
        <f>_xlfn.DISPIMG("ID_08A4D05852A0412E805E12227EDF1C33",1)</f>
        <v>=DISPIMG("ID_08A4D05852A0412E805E12227EDF1C33",1)</v>
      </c>
      <c r="Q280" s="25" t="s">
        <v>2001</v>
      </c>
      <c r="R280" s="25">
        <v>232</v>
      </c>
      <c r="S280" s="40" t="s">
        <v>4576</v>
      </c>
      <c r="T280" s="18" t="s">
        <v>54</v>
      </c>
      <c r="U280" s="25">
        <v>8</v>
      </c>
      <c r="V280" s="84">
        <v>0</v>
      </c>
    </row>
    <row r="281" s="3" customFormat="1" customHeight="1" spans="1:22">
      <c r="A281" s="84">
        <v>12</v>
      </c>
      <c r="B281" s="175" t="s">
        <v>2120</v>
      </c>
      <c r="C281" s="175" t="s">
        <v>165</v>
      </c>
      <c r="D281" s="175" t="s">
        <v>2121</v>
      </c>
      <c r="E281" s="25">
        <v>15070693643</v>
      </c>
      <c r="F281" s="175" t="s">
        <v>156</v>
      </c>
      <c r="G281" s="175" t="s">
        <v>13</v>
      </c>
      <c r="H281" s="25">
        <v>202102003</v>
      </c>
      <c r="I281" s="175" t="s">
        <v>157</v>
      </c>
      <c r="J281" s="175" t="s">
        <v>197</v>
      </c>
      <c r="K281" s="175" t="s">
        <v>179</v>
      </c>
      <c r="L281" s="175" t="s">
        <v>160</v>
      </c>
      <c r="M281" s="175" t="s">
        <v>455</v>
      </c>
      <c r="N281" s="175" t="s">
        <v>225</v>
      </c>
      <c r="O281" s="25">
        <v>0</v>
      </c>
      <c r="P281" s="26" t="str">
        <f>_xlfn.DISPIMG("ID_BB45129897024B4183D09C0AA547B197",1)</f>
        <v>=DISPIMG("ID_BB45129897024B4183D09C0AA547B197",1)</v>
      </c>
      <c r="Q281" s="25" t="s">
        <v>2123</v>
      </c>
      <c r="R281" s="25">
        <v>248</v>
      </c>
      <c r="S281" s="40" t="s">
        <v>4581</v>
      </c>
      <c r="T281" s="18" t="s">
        <v>54</v>
      </c>
      <c r="U281" s="25">
        <v>9</v>
      </c>
      <c r="V281" s="84">
        <v>83.5</v>
      </c>
    </row>
    <row r="282" s="3" customFormat="1" customHeight="1" spans="1:22">
      <c r="A282" s="84">
        <v>17</v>
      </c>
      <c r="B282" s="175" t="s">
        <v>2203</v>
      </c>
      <c r="C282" s="175" t="s">
        <v>165</v>
      </c>
      <c r="D282" s="175" t="s">
        <v>2204</v>
      </c>
      <c r="E282" s="25">
        <v>18702523558</v>
      </c>
      <c r="F282" s="175" t="s">
        <v>156</v>
      </c>
      <c r="G282" s="175" t="s">
        <v>13</v>
      </c>
      <c r="H282" s="25">
        <v>202102003</v>
      </c>
      <c r="I282" s="175" t="s">
        <v>157</v>
      </c>
      <c r="J282" s="175" t="s">
        <v>646</v>
      </c>
      <c r="K282" s="175" t="s">
        <v>179</v>
      </c>
      <c r="L282" s="175" t="s">
        <v>170</v>
      </c>
      <c r="M282" s="175" t="s">
        <v>368</v>
      </c>
      <c r="N282" s="175" t="s">
        <v>25</v>
      </c>
      <c r="O282" s="175" t="s">
        <v>2206</v>
      </c>
      <c r="P282" s="26" t="str">
        <f>_xlfn.DISPIMG("ID_06812EDB7CE84D14BCAEC56B86A3FB64",1)</f>
        <v>=DISPIMG("ID_06812EDB7CE84D14BCAEC56B86A3FB64",1)</v>
      </c>
      <c r="Q282" s="25" t="s">
        <v>2207</v>
      </c>
      <c r="R282" s="25">
        <v>259</v>
      </c>
      <c r="S282" s="40" t="s">
        <v>4586</v>
      </c>
      <c r="T282" s="18" t="s">
        <v>54</v>
      </c>
      <c r="U282" s="25">
        <v>10</v>
      </c>
      <c r="V282" s="84">
        <v>85</v>
      </c>
    </row>
    <row r="283" s="3" customFormat="1" customHeight="1" spans="1:22">
      <c r="A283" s="84">
        <v>22</v>
      </c>
      <c r="B283" s="175" t="s">
        <v>2422</v>
      </c>
      <c r="C283" s="175" t="s">
        <v>165</v>
      </c>
      <c r="D283" s="175" t="s">
        <v>2423</v>
      </c>
      <c r="E283" s="25">
        <v>18720291058</v>
      </c>
      <c r="F283" s="175" t="s">
        <v>156</v>
      </c>
      <c r="G283" s="175" t="s">
        <v>13</v>
      </c>
      <c r="H283" s="25">
        <v>202102003</v>
      </c>
      <c r="I283" s="175" t="s">
        <v>157</v>
      </c>
      <c r="J283" s="175" t="s">
        <v>2425</v>
      </c>
      <c r="K283" s="175" t="s">
        <v>395</v>
      </c>
      <c r="L283" s="175" t="s">
        <v>160</v>
      </c>
      <c r="M283" s="175" t="s">
        <v>577</v>
      </c>
      <c r="N283" s="175" t="s">
        <v>324</v>
      </c>
      <c r="O283" s="175" t="s">
        <v>2426</v>
      </c>
      <c r="P283" s="26" t="str">
        <f>_xlfn.DISPIMG("ID_93FC4398D0D24B119D9D1B8E0038C2BD",1)</f>
        <v>=DISPIMG("ID_93FC4398D0D24B119D9D1B8E0038C2BD",1)</v>
      </c>
      <c r="Q283" s="25" t="s">
        <v>2427</v>
      </c>
      <c r="R283" s="25">
        <v>288</v>
      </c>
      <c r="S283" s="40" t="s">
        <v>4591</v>
      </c>
      <c r="T283" s="18" t="s">
        <v>54</v>
      </c>
      <c r="U283" s="25">
        <v>11</v>
      </c>
      <c r="V283" s="84">
        <v>0</v>
      </c>
    </row>
    <row r="284" s="3" customFormat="1" customHeight="1" spans="1:22">
      <c r="A284" s="84">
        <v>27</v>
      </c>
      <c r="B284" s="175" t="s">
        <v>2592</v>
      </c>
      <c r="C284" s="175" t="s">
        <v>165</v>
      </c>
      <c r="D284" s="175" t="s">
        <v>2593</v>
      </c>
      <c r="E284" s="25">
        <v>15179254283</v>
      </c>
      <c r="F284" s="175" t="s">
        <v>156</v>
      </c>
      <c r="G284" s="175" t="s">
        <v>13</v>
      </c>
      <c r="H284" s="25">
        <v>202102003</v>
      </c>
      <c r="I284" s="175" t="s">
        <v>157</v>
      </c>
      <c r="J284" s="175" t="s">
        <v>269</v>
      </c>
      <c r="K284" s="175" t="s">
        <v>298</v>
      </c>
      <c r="L284" s="175" t="s">
        <v>160</v>
      </c>
      <c r="M284" s="175" t="s">
        <v>161</v>
      </c>
      <c r="N284" s="175" t="s">
        <v>13</v>
      </c>
      <c r="O284" s="175" t="s">
        <v>2595</v>
      </c>
      <c r="P284" s="26" t="str">
        <f>_xlfn.DISPIMG("ID_4B5E37E946EA4E60BDCBA196E50050B9",1)</f>
        <v>=DISPIMG("ID_4B5E37E946EA4E60BDCBA196E50050B9",1)</v>
      </c>
      <c r="Q284" s="25" t="s">
        <v>2596</v>
      </c>
      <c r="R284" s="25">
        <v>311</v>
      </c>
      <c r="S284" s="40" t="s">
        <v>4596</v>
      </c>
      <c r="T284" s="18" t="s">
        <v>54</v>
      </c>
      <c r="U284" s="25">
        <v>12</v>
      </c>
      <c r="V284" s="84">
        <v>86.5</v>
      </c>
    </row>
    <row r="285" s="3" customFormat="1" customHeight="1" spans="1:22">
      <c r="A285" s="84">
        <v>28</v>
      </c>
      <c r="B285" s="175" t="s">
        <v>2620</v>
      </c>
      <c r="C285" s="175" t="s">
        <v>165</v>
      </c>
      <c r="D285" s="175" t="s">
        <v>2621</v>
      </c>
      <c r="E285" s="25">
        <v>15374326855</v>
      </c>
      <c r="F285" s="175" t="s">
        <v>156</v>
      </c>
      <c r="G285" s="175" t="s">
        <v>13</v>
      </c>
      <c r="H285" s="25">
        <v>202102003</v>
      </c>
      <c r="I285" s="175" t="s">
        <v>279</v>
      </c>
      <c r="J285" s="175" t="s">
        <v>2623</v>
      </c>
      <c r="K285" s="175" t="s">
        <v>223</v>
      </c>
      <c r="L285" s="175" t="s">
        <v>170</v>
      </c>
      <c r="M285" s="175" t="s">
        <v>587</v>
      </c>
      <c r="N285" s="175" t="s">
        <v>487</v>
      </c>
      <c r="O285" s="175" t="s">
        <v>2624</v>
      </c>
      <c r="P285" s="26" t="str">
        <f>_xlfn.DISPIMG("ID_2F48B8B967A44C168C6D69CE2A1FBAF0",1)</f>
        <v>=DISPIMG("ID_2F48B8B967A44C168C6D69CE2A1FBAF0",1)</v>
      </c>
      <c r="Q285" s="25" t="s">
        <v>2625</v>
      </c>
      <c r="R285" s="25">
        <v>315</v>
      </c>
      <c r="S285" s="40" t="s">
        <v>4597</v>
      </c>
      <c r="T285" s="18" t="s">
        <v>54</v>
      </c>
      <c r="U285" s="25">
        <v>13</v>
      </c>
      <c r="V285" s="84">
        <v>82.5</v>
      </c>
    </row>
    <row r="286" s="3" customFormat="1" customHeight="1" spans="1:22">
      <c r="A286" s="84">
        <v>23</v>
      </c>
      <c r="B286" s="175" t="s">
        <v>2532</v>
      </c>
      <c r="C286" s="175" t="s">
        <v>165</v>
      </c>
      <c r="D286" s="175" t="s">
        <v>2533</v>
      </c>
      <c r="E286" s="25">
        <v>13687926524</v>
      </c>
      <c r="F286" s="175" t="s">
        <v>156</v>
      </c>
      <c r="G286" s="175" t="s">
        <v>13</v>
      </c>
      <c r="H286" s="25">
        <v>202102003</v>
      </c>
      <c r="I286" s="175" t="s">
        <v>157</v>
      </c>
      <c r="J286" s="175" t="s">
        <v>2535</v>
      </c>
      <c r="K286" s="175" t="s">
        <v>179</v>
      </c>
      <c r="L286" s="175" t="s">
        <v>160</v>
      </c>
      <c r="M286" s="175" t="s">
        <v>161</v>
      </c>
      <c r="N286" s="175" t="s">
        <v>13</v>
      </c>
      <c r="O286" s="25">
        <v>0</v>
      </c>
      <c r="P286" s="26" t="str">
        <f>_xlfn.DISPIMG("ID_B2A378810E7443059EBD825CE991BFE9",1)</f>
        <v>=DISPIMG("ID_B2A378810E7443059EBD825CE991BFE9",1)</v>
      </c>
      <c r="Q286" s="25" t="s">
        <v>2536</v>
      </c>
      <c r="R286" s="25">
        <v>303</v>
      </c>
      <c r="S286" s="40" t="s">
        <v>4592</v>
      </c>
      <c r="T286" s="18" t="s">
        <v>54</v>
      </c>
      <c r="U286" s="25">
        <v>14</v>
      </c>
      <c r="V286" s="84">
        <v>88</v>
      </c>
    </row>
    <row r="287" s="3" customFormat="1" customHeight="1" spans="1:22">
      <c r="A287" s="84">
        <v>18</v>
      </c>
      <c r="B287" s="175" t="s">
        <v>2256</v>
      </c>
      <c r="C287" s="175" t="s">
        <v>165</v>
      </c>
      <c r="D287" s="175" t="s">
        <v>2257</v>
      </c>
      <c r="E287" s="25">
        <v>18379620695</v>
      </c>
      <c r="F287" s="175" t="s">
        <v>156</v>
      </c>
      <c r="G287" s="175" t="s">
        <v>13</v>
      </c>
      <c r="H287" s="25">
        <v>202102003</v>
      </c>
      <c r="I287" s="175" t="s">
        <v>157</v>
      </c>
      <c r="J287" s="175" t="s">
        <v>2259</v>
      </c>
      <c r="K287" s="175" t="s">
        <v>2260</v>
      </c>
      <c r="L287" s="175" t="s">
        <v>170</v>
      </c>
      <c r="M287" s="175" t="s">
        <v>252</v>
      </c>
      <c r="N287" s="175" t="s">
        <v>13</v>
      </c>
      <c r="O287" s="175" t="s">
        <v>2261</v>
      </c>
      <c r="P287" s="26" t="str">
        <f>_xlfn.DISPIMG("ID_796E86B7DB7B4E23A74B2B041E7E25B9",1)</f>
        <v>=DISPIMG("ID_796E86B7DB7B4E23A74B2B041E7E25B9",1)</v>
      </c>
      <c r="Q287" s="25" t="s">
        <v>2262</v>
      </c>
      <c r="R287" s="25">
        <v>266</v>
      </c>
      <c r="S287" s="40" t="s">
        <v>4587</v>
      </c>
      <c r="T287" s="18" t="s">
        <v>54</v>
      </c>
      <c r="U287" s="25">
        <v>15</v>
      </c>
      <c r="V287" s="84">
        <v>0</v>
      </c>
    </row>
    <row r="288" s="3" customFormat="1" customHeight="1" spans="1:22">
      <c r="A288" s="84">
        <v>13</v>
      </c>
      <c r="B288" s="175" t="s">
        <v>2140</v>
      </c>
      <c r="C288" s="175" t="s">
        <v>165</v>
      </c>
      <c r="D288" s="175" t="s">
        <v>2141</v>
      </c>
      <c r="E288" s="25">
        <v>13576909746</v>
      </c>
      <c r="F288" s="175" t="s">
        <v>156</v>
      </c>
      <c r="G288" s="175" t="s">
        <v>13</v>
      </c>
      <c r="H288" s="25">
        <v>202102003</v>
      </c>
      <c r="I288" s="175" t="s">
        <v>157</v>
      </c>
      <c r="J288" s="175" t="s">
        <v>540</v>
      </c>
      <c r="K288" s="175" t="s">
        <v>298</v>
      </c>
      <c r="L288" s="175" t="s">
        <v>160</v>
      </c>
      <c r="M288" s="175" t="s">
        <v>180</v>
      </c>
      <c r="N288" s="175" t="s">
        <v>13</v>
      </c>
      <c r="O288" s="175" t="s">
        <v>2143</v>
      </c>
      <c r="P288" s="26" t="str">
        <f>_xlfn.DISPIMG("ID_5B22FFE3C77C4E8C9BD243D72EC649E2",1)</f>
        <v>=DISPIMG("ID_5B22FFE3C77C4E8C9BD243D72EC649E2",1)</v>
      </c>
      <c r="Q288" s="25" t="s">
        <v>2144</v>
      </c>
      <c r="R288" s="25">
        <v>251</v>
      </c>
      <c r="S288" s="40" t="s">
        <v>4582</v>
      </c>
      <c r="T288" s="18" t="s">
        <v>54</v>
      </c>
      <c r="U288" s="25">
        <v>16</v>
      </c>
      <c r="V288" s="84">
        <v>86</v>
      </c>
    </row>
    <row r="289" s="3" customFormat="1" customHeight="1" spans="1:22">
      <c r="A289" s="84">
        <v>8</v>
      </c>
      <c r="B289" s="175" t="s">
        <v>2012</v>
      </c>
      <c r="C289" s="175" t="s">
        <v>165</v>
      </c>
      <c r="D289" s="175" t="s">
        <v>2013</v>
      </c>
      <c r="E289" s="25">
        <v>18970612776</v>
      </c>
      <c r="F289" s="175" t="s">
        <v>156</v>
      </c>
      <c r="G289" s="175" t="s">
        <v>13</v>
      </c>
      <c r="H289" s="25">
        <v>202102003</v>
      </c>
      <c r="I289" s="175" t="s">
        <v>279</v>
      </c>
      <c r="J289" s="175" t="s">
        <v>2015</v>
      </c>
      <c r="K289" s="175" t="s">
        <v>223</v>
      </c>
      <c r="L289" s="175" t="s">
        <v>170</v>
      </c>
      <c r="M289" s="175" t="s">
        <v>216</v>
      </c>
      <c r="N289" s="175" t="s">
        <v>2016</v>
      </c>
      <c r="O289" s="175" t="s">
        <v>2017</v>
      </c>
      <c r="P289" s="26" t="str">
        <f>_xlfn.DISPIMG("ID_DBB8A81F2D854EDC847C805211582887",1)</f>
        <v>=DISPIMG("ID_DBB8A81F2D854EDC847C805211582887",1)</v>
      </c>
      <c r="Q289" s="25" t="s">
        <v>2018</v>
      </c>
      <c r="R289" s="25">
        <v>234</v>
      </c>
      <c r="S289" s="40" t="s">
        <v>4577</v>
      </c>
      <c r="T289" s="18" t="s">
        <v>54</v>
      </c>
      <c r="U289" s="25">
        <v>17</v>
      </c>
      <c r="V289" s="84">
        <v>0</v>
      </c>
    </row>
    <row r="290" s="3" customFormat="1" customHeight="1" spans="1:22">
      <c r="A290" s="84">
        <v>3</v>
      </c>
      <c r="B290" s="175" t="s">
        <v>1781</v>
      </c>
      <c r="C290" s="175" t="s">
        <v>165</v>
      </c>
      <c r="D290" s="175" t="s">
        <v>1782</v>
      </c>
      <c r="E290" s="25">
        <v>18379139309</v>
      </c>
      <c r="F290" s="175" t="s">
        <v>156</v>
      </c>
      <c r="G290" s="175" t="s">
        <v>13</v>
      </c>
      <c r="H290" s="25">
        <v>202102003</v>
      </c>
      <c r="I290" s="175" t="s">
        <v>157</v>
      </c>
      <c r="J290" s="175" t="s">
        <v>1784</v>
      </c>
      <c r="K290" s="175" t="s">
        <v>243</v>
      </c>
      <c r="L290" s="175" t="s">
        <v>160</v>
      </c>
      <c r="M290" s="175" t="s">
        <v>516</v>
      </c>
      <c r="N290" s="175" t="s">
        <v>25</v>
      </c>
      <c r="O290" s="175" t="s">
        <v>1785</v>
      </c>
      <c r="P290" s="26" t="str">
        <f>_xlfn.DISPIMG("ID_FAA9DF7D97144F66A8EC0127C6ABD49F",1)</f>
        <v>=DISPIMG("ID_FAA9DF7D97144F66A8EC0127C6ABD49F",1)</v>
      </c>
      <c r="Q290" s="25" t="s">
        <v>1786</v>
      </c>
      <c r="R290" s="25">
        <v>203</v>
      </c>
      <c r="S290" s="40" t="s">
        <v>4572</v>
      </c>
      <c r="T290" s="18" t="s">
        <v>54</v>
      </c>
      <c r="U290" s="25">
        <v>18</v>
      </c>
      <c r="V290" s="84">
        <v>87</v>
      </c>
    </row>
    <row r="291" s="3" customFormat="1" customHeight="1" spans="1:22">
      <c r="A291" s="84">
        <v>4</v>
      </c>
      <c r="B291" s="175" t="s">
        <v>1868</v>
      </c>
      <c r="C291" s="175" t="s">
        <v>165</v>
      </c>
      <c r="D291" s="175" t="s">
        <v>1869</v>
      </c>
      <c r="E291" s="25">
        <v>18270285866</v>
      </c>
      <c r="F291" s="175" t="s">
        <v>156</v>
      </c>
      <c r="G291" s="175" t="s">
        <v>13</v>
      </c>
      <c r="H291" s="25">
        <v>202102003</v>
      </c>
      <c r="I291" s="175" t="s">
        <v>157</v>
      </c>
      <c r="J291" s="175" t="s">
        <v>697</v>
      </c>
      <c r="K291" s="175" t="s">
        <v>179</v>
      </c>
      <c r="L291" s="175" t="s">
        <v>160</v>
      </c>
      <c r="M291" s="175" t="s">
        <v>161</v>
      </c>
      <c r="N291" s="175" t="s">
        <v>13</v>
      </c>
      <c r="O291" s="175" t="s">
        <v>1871</v>
      </c>
      <c r="P291" s="26" t="str">
        <f>_xlfn.DISPIMG("ID_8FA08A92AF314DECB56C8C1E101E9B2E",1)</f>
        <v>=DISPIMG("ID_8FA08A92AF314DECB56C8C1E101E9B2E",1)</v>
      </c>
      <c r="Q291" s="25" t="s">
        <v>1872</v>
      </c>
      <c r="R291" s="25">
        <v>214</v>
      </c>
      <c r="S291" s="40" t="s">
        <v>4573</v>
      </c>
      <c r="T291" s="18" t="s">
        <v>54</v>
      </c>
      <c r="U291" s="25">
        <v>19</v>
      </c>
      <c r="V291" s="84">
        <v>91</v>
      </c>
    </row>
    <row r="292" s="3" customFormat="1" customHeight="1" spans="1:22">
      <c r="A292" s="84">
        <v>9</v>
      </c>
      <c r="B292" s="175" t="s">
        <v>2020</v>
      </c>
      <c r="C292" s="175" t="s">
        <v>165</v>
      </c>
      <c r="D292" s="175" t="s">
        <v>2021</v>
      </c>
      <c r="E292" s="25">
        <v>13607094902</v>
      </c>
      <c r="F292" s="175" t="s">
        <v>506</v>
      </c>
      <c r="G292" s="175" t="s">
        <v>13</v>
      </c>
      <c r="H292" s="25">
        <v>202102016</v>
      </c>
      <c r="I292" s="175" t="s">
        <v>157</v>
      </c>
      <c r="J292" s="175" t="s">
        <v>2015</v>
      </c>
      <c r="K292" s="175" t="s">
        <v>179</v>
      </c>
      <c r="L292" s="175" t="s">
        <v>170</v>
      </c>
      <c r="M292" s="175" t="s">
        <v>2023</v>
      </c>
      <c r="N292" s="175" t="s">
        <v>13</v>
      </c>
      <c r="O292" s="175" t="s">
        <v>2024</v>
      </c>
      <c r="P292" s="26" t="str">
        <f>_xlfn.DISPIMG("ID_391065F92F2843D5ABEC64E49971BF9B",1)</f>
        <v>=DISPIMG("ID_391065F92F2843D5ABEC64E49971BF9B",1)</v>
      </c>
      <c r="Q292" s="25" t="s">
        <v>2025</v>
      </c>
      <c r="R292" s="25">
        <v>235</v>
      </c>
      <c r="S292" s="40" t="s">
        <v>4578</v>
      </c>
      <c r="T292" s="18" t="s">
        <v>54</v>
      </c>
      <c r="U292" s="25">
        <v>20</v>
      </c>
      <c r="V292" s="84">
        <v>0</v>
      </c>
    </row>
    <row r="293" s="3" customFormat="1" customHeight="1" spans="1:22">
      <c r="A293" s="84">
        <v>14</v>
      </c>
      <c r="B293" s="175" t="s">
        <v>2147</v>
      </c>
      <c r="C293" s="175" t="s">
        <v>165</v>
      </c>
      <c r="D293" s="175" t="s">
        <v>2148</v>
      </c>
      <c r="E293" s="25">
        <v>18870849075</v>
      </c>
      <c r="F293" s="175" t="s">
        <v>156</v>
      </c>
      <c r="G293" s="175" t="s">
        <v>13</v>
      </c>
      <c r="H293" s="25">
        <v>202102003</v>
      </c>
      <c r="I293" s="175" t="s">
        <v>157</v>
      </c>
      <c r="J293" s="175" t="s">
        <v>2150</v>
      </c>
      <c r="K293" s="175" t="s">
        <v>1832</v>
      </c>
      <c r="L293" s="175" t="s">
        <v>160</v>
      </c>
      <c r="M293" s="175" t="s">
        <v>2151</v>
      </c>
      <c r="N293" s="175" t="s">
        <v>13</v>
      </c>
      <c r="O293" s="175" t="s">
        <v>2152</v>
      </c>
      <c r="P293" s="26" t="str">
        <f>_xlfn.DISPIMG("ID_AE861B6E26D2460C9E654A52BE43B6F4",1)</f>
        <v>=DISPIMG("ID_AE861B6E26D2460C9E654A52BE43B6F4",1)</v>
      </c>
      <c r="Q293" s="25" t="s">
        <v>2153</v>
      </c>
      <c r="R293" s="25">
        <v>252</v>
      </c>
      <c r="S293" s="40" t="s">
        <v>4583</v>
      </c>
      <c r="T293" s="18" t="s">
        <v>54</v>
      </c>
      <c r="U293" s="25">
        <v>21</v>
      </c>
      <c r="V293" s="84">
        <v>0</v>
      </c>
    </row>
    <row r="294" s="3" customFormat="1" customHeight="1" spans="1:22">
      <c r="A294" s="84">
        <v>19</v>
      </c>
      <c r="B294" s="175" t="s">
        <v>2280</v>
      </c>
      <c r="C294" s="175" t="s">
        <v>153</v>
      </c>
      <c r="D294" s="175" t="s">
        <v>2281</v>
      </c>
      <c r="E294" s="25">
        <v>18679290186</v>
      </c>
      <c r="F294" s="175" t="s">
        <v>156</v>
      </c>
      <c r="G294" s="175" t="s">
        <v>13</v>
      </c>
      <c r="H294" s="25">
        <v>202102003</v>
      </c>
      <c r="I294" s="175" t="s">
        <v>279</v>
      </c>
      <c r="J294" s="175" t="s">
        <v>233</v>
      </c>
      <c r="K294" s="175" t="s">
        <v>223</v>
      </c>
      <c r="L294" s="175" t="s">
        <v>170</v>
      </c>
      <c r="M294" s="175" t="s">
        <v>2283</v>
      </c>
      <c r="N294" s="175" t="s">
        <v>2284</v>
      </c>
      <c r="O294" s="175" t="s">
        <v>2285</v>
      </c>
      <c r="P294" s="26" t="str">
        <f>_xlfn.DISPIMG("ID_89FA20207CD0456DA5278484203F3141",1)</f>
        <v>=DISPIMG("ID_89FA20207CD0456DA5278484203F3141",1)</v>
      </c>
      <c r="Q294" s="25" t="s">
        <v>2286</v>
      </c>
      <c r="R294" s="25">
        <v>269</v>
      </c>
      <c r="S294" s="40" t="s">
        <v>4588</v>
      </c>
      <c r="T294" s="18" t="s">
        <v>54</v>
      </c>
      <c r="U294" s="25">
        <v>22</v>
      </c>
      <c r="V294" s="84">
        <v>87</v>
      </c>
    </row>
    <row r="295" s="3" customFormat="1" customHeight="1" spans="1:22">
      <c r="A295" s="84">
        <v>24</v>
      </c>
      <c r="B295" s="175" t="s">
        <v>2547</v>
      </c>
      <c r="C295" s="175" t="s">
        <v>165</v>
      </c>
      <c r="D295" s="175" t="s">
        <v>2548</v>
      </c>
      <c r="E295" s="25">
        <v>18779213164</v>
      </c>
      <c r="F295" s="175" t="s">
        <v>156</v>
      </c>
      <c r="G295" s="175" t="s">
        <v>13</v>
      </c>
      <c r="H295" s="25">
        <v>202102003</v>
      </c>
      <c r="I295" s="175" t="s">
        <v>157</v>
      </c>
      <c r="J295" s="175" t="s">
        <v>158</v>
      </c>
      <c r="K295" s="175" t="s">
        <v>179</v>
      </c>
      <c r="L295" s="175" t="s">
        <v>170</v>
      </c>
      <c r="M295" s="175" t="s">
        <v>2550</v>
      </c>
      <c r="N295" s="175" t="s">
        <v>2551</v>
      </c>
      <c r="O295" s="175" t="s">
        <v>2552</v>
      </c>
      <c r="P295" s="26" t="str">
        <f>_xlfn.DISPIMG("ID_4531DA1F574D4F7CA2AF28BAD514AF1A",1)</f>
        <v>=DISPIMG("ID_4531DA1F574D4F7CA2AF28BAD514AF1A",1)</v>
      </c>
      <c r="Q295" s="25" t="s">
        <v>2553</v>
      </c>
      <c r="R295" s="25">
        <v>305</v>
      </c>
      <c r="S295" s="40" t="s">
        <v>4593</v>
      </c>
      <c r="T295" s="18" t="s">
        <v>54</v>
      </c>
      <c r="U295" s="25">
        <v>23</v>
      </c>
      <c r="V295" s="84">
        <v>0</v>
      </c>
    </row>
    <row r="296" s="3" customFormat="1" customHeight="1" spans="1:22">
      <c r="A296" s="84">
        <v>29</v>
      </c>
      <c r="B296" s="175" t="s">
        <v>2698</v>
      </c>
      <c r="C296" s="175" t="s">
        <v>165</v>
      </c>
      <c r="D296" s="175" t="s">
        <v>2699</v>
      </c>
      <c r="E296" s="25">
        <v>17879865970</v>
      </c>
      <c r="F296" s="175" t="s">
        <v>156</v>
      </c>
      <c r="G296" s="175" t="s">
        <v>13</v>
      </c>
      <c r="H296" s="25">
        <v>202102003</v>
      </c>
      <c r="I296" s="175" t="s">
        <v>157</v>
      </c>
      <c r="J296" s="175" t="s">
        <v>603</v>
      </c>
      <c r="K296" s="175" t="s">
        <v>179</v>
      </c>
      <c r="L296" s="175" t="s">
        <v>160</v>
      </c>
      <c r="M296" s="175" t="s">
        <v>161</v>
      </c>
      <c r="N296" s="175" t="s">
        <v>13</v>
      </c>
      <c r="O296" s="175" t="s">
        <v>2701</v>
      </c>
      <c r="P296" s="26" t="str">
        <f>_xlfn.DISPIMG("ID_F144CD0E4B7B43F08EC41420B132D7BF",1)</f>
        <v>=DISPIMG("ID_F144CD0E4B7B43F08EC41420B132D7BF",1)</v>
      </c>
      <c r="Q296" s="25" t="s">
        <v>2702</v>
      </c>
      <c r="R296" s="25">
        <v>325</v>
      </c>
      <c r="S296" s="40" t="s">
        <v>4598</v>
      </c>
      <c r="T296" s="18" t="s">
        <v>54</v>
      </c>
      <c r="U296" s="25">
        <v>24</v>
      </c>
      <c r="V296" s="84">
        <v>83</v>
      </c>
    </row>
    <row r="297" s="3" customFormat="1" customHeight="1" spans="1:22">
      <c r="A297" s="84">
        <v>30</v>
      </c>
      <c r="B297" s="175" t="s">
        <v>2711</v>
      </c>
      <c r="C297" s="175" t="s">
        <v>165</v>
      </c>
      <c r="D297" s="175" t="s">
        <v>2712</v>
      </c>
      <c r="E297" s="25">
        <v>17722507024</v>
      </c>
      <c r="F297" s="175" t="s">
        <v>156</v>
      </c>
      <c r="G297" s="175" t="s">
        <v>13</v>
      </c>
      <c r="H297" s="25">
        <v>202102003</v>
      </c>
      <c r="I297" s="175" t="s">
        <v>157</v>
      </c>
      <c r="J297" s="175" t="s">
        <v>2714</v>
      </c>
      <c r="K297" s="175" t="s">
        <v>179</v>
      </c>
      <c r="L297" s="175" t="s">
        <v>160</v>
      </c>
      <c r="M297" s="175" t="s">
        <v>216</v>
      </c>
      <c r="N297" s="175" t="s">
        <v>13</v>
      </c>
      <c r="O297" s="25">
        <v>0</v>
      </c>
      <c r="P297" s="26" t="str">
        <f>_xlfn.DISPIMG("ID_8518D0C3018F4000B213F1115E41EEAA",1)</f>
        <v>=DISPIMG("ID_8518D0C3018F4000B213F1115E41EEAA",1)</v>
      </c>
      <c r="Q297" s="25" t="s">
        <v>2715</v>
      </c>
      <c r="R297" s="25">
        <v>327</v>
      </c>
      <c r="S297" s="40" t="s">
        <v>4599</v>
      </c>
      <c r="T297" s="18" t="s">
        <v>54</v>
      </c>
      <c r="U297" s="25">
        <v>25</v>
      </c>
      <c r="V297" s="84">
        <v>89.5</v>
      </c>
    </row>
    <row r="298" s="3" customFormat="1" customHeight="1" spans="1:22">
      <c r="A298" s="84">
        <v>25</v>
      </c>
      <c r="B298" s="175" t="s">
        <v>2578</v>
      </c>
      <c r="C298" s="175" t="s">
        <v>165</v>
      </c>
      <c r="D298" s="175" t="s">
        <v>2579</v>
      </c>
      <c r="E298" s="25">
        <v>13907924069</v>
      </c>
      <c r="F298" s="175" t="s">
        <v>506</v>
      </c>
      <c r="G298" s="175" t="s">
        <v>13</v>
      </c>
      <c r="H298" s="25">
        <v>202102016</v>
      </c>
      <c r="I298" s="175" t="s">
        <v>279</v>
      </c>
      <c r="J298" s="175" t="s">
        <v>1237</v>
      </c>
      <c r="K298" s="175" t="s">
        <v>169</v>
      </c>
      <c r="L298" s="175" t="s">
        <v>170</v>
      </c>
      <c r="M298" s="175" t="s">
        <v>161</v>
      </c>
      <c r="N298" s="175" t="s">
        <v>2284</v>
      </c>
      <c r="O298" s="175" t="s">
        <v>2581</v>
      </c>
      <c r="P298" s="26" t="str">
        <f>_xlfn.DISPIMG("ID_1B69D0009E5944278A43199D519E50CB",1)</f>
        <v>=DISPIMG("ID_1B69D0009E5944278A43199D519E50CB",1)</v>
      </c>
      <c r="Q298" s="25" t="s">
        <v>2582</v>
      </c>
      <c r="R298" s="25">
        <v>309</v>
      </c>
      <c r="S298" s="40" t="s">
        <v>4594</v>
      </c>
      <c r="T298" s="18" t="s">
        <v>54</v>
      </c>
      <c r="U298" s="25">
        <v>26</v>
      </c>
      <c r="V298" s="84">
        <v>77.5</v>
      </c>
    </row>
    <row r="299" s="3" customFormat="1" customHeight="1" spans="1:22">
      <c r="A299" s="84">
        <v>20</v>
      </c>
      <c r="B299" s="175" t="s">
        <v>2289</v>
      </c>
      <c r="C299" s="175" t="s">
        <v>165</v>
      </c>
      <c r="D299" s="175" t="s">
        <v>2290</v>
      </c>
      <c r="E299" s="25">
        <v>18170815855</v>
      </c>
      <c r="F299" s="175" t="s">
        <v>156</v>
      </c>
      <c r="G299" s="175" t="s">
        <v>13</v>
      </c>
      <c r="H299" s="25">
        <v>202102003</v>
      </c>
      <c r="I299" s="175" t="s">
        <v>157</v>
      </c>
      <c r="J299" s="175" t="s">
        <v>158</v>
      </c>
      <c r="K299" s="175" t="s">
        <v>223</v>
      </c>
      <c r="L299" s="175" t="s">
        <v>170</v>
      </c>
      <c r="M299" s="175" t="s">
        <v>349</v>
      </c>
      <c r="N299" s="175" t="s">
        <v>1692</v>
      </c>
      <c r="O299" s="175" t="s">
        <v>2290</v>
      </c>
      <c r="P299" s="26" t="str">
        <f>_xlfn.DISPIMG("ID_BC3CD3F4A07B4F5DB131E901992815BA",1)</f>
        <v>=DISPIMG("ID_BC3CD3F4A07B4F5DB131E901992815BA",1)</v>
      </c>
      <c r="Q299" s="25" t="s">
        <v>2291</v>
      </c>
      <c r="R299" s="25">
        <v>270</v>
      </c>
      <c r="S299" s="40" t="s">
        <v>4589</v>
      </c>
      <c r="T299" s="18" t="s">
        <v>54</v>
      </c>
      <c r="U299" s="25">
        <v>27</v>
      </c>
      <c r="V299" s="84">
        <v>0</v>
      </c>
    </row>
    <row r="300" s="3" customFormat="1" customHeight="1" spans="1:22">
      <c r="A300" s="84">
        <v>15</v>
      </c>
      <c r="B300" s="175" t="s">
        <v>2156</v>
      </c>
      <c r="C300" s="175" t="s">
        <v>165</v>
      </c>
      <c r="D300" s="175" t="s">
        <v>2157</v>
      </c>
      <c r="E300" s="25">
        <v>17707083376</v>
      </c>
      <c r="F300" s="175" t="s">
        <v>156</v>
      </c>
      <c r="G300" s="175" t="s">
        <v>13</v>
      </c>
      <c r="H300" s="25">
        <v>202102003</v>
      </c>
      <c r="I300" s="175" t="s">
        <v>157</v>
      </c>
      <c r="J300" s="175" t="s">
        <v>2159</v>
      </c>
      <c r="K300" s="175" t="s">
        <v>179</v>
      </c>
      <c r="L300" s="175" t="s">
        <v>170</v>
      </c>
      <c r="M300" s="175" t="s">
        <v>2160</v>
      </c>
      <c r="N300" s="175" t="s">
        <v>13</v>
      </c>
      <c r="O300" s="175" t="s">
        <v>2161</v>
      </c>
      <c r="P300" s="26" t="str">
        <f>_xlfn.DISPIMG("ID_40A8AEA41DF44D5AB3229E18DF729A74",1)</f>
        <v>=DISPIMG("ID_40A8AEA41DF44D5AB3229E18DF729A74",1)</v>
      </c>
      <c r="Q300" s="25" t="s">
        <v>2162</v>
      </c>
      <c r="R300" s="25">
        <v>253</v>
      </c>
      <c r="S300" s="40" t="s">
        <v>4584</v>
      </c>
      <c r="T300" s="18" t="s">
        <v>54</v>
      </c>
      <c r="U300" s="25">
        <v>28</v>
      </c>
      <c r="V300" s="84">
        <v>78</v>
      </c>
    </row>
    <row r="301" s="3" customFormat="1" customHeight="1" spans="1:22">
      <c r="A301" s="84">
        <v>10</v>
      </c>
      <c r="B301" s="175" t="s">
        <v>2090</v>
      </c>
      <c r="C301" s="175" t="s">
        <v>153</v>
      </c>
      <c r="D301" s="175" t="s">
        <v>2091</v>
      </c>
      <c r="E301" s="25">
        <v>18079635877</v>
      </c>
      <c r="F301" s="175" t="s">
        <v>156</v>
      </c>
      <c r="G301" s="175" t="s">
        <v>13</v>
      </c>
      <c r="H301" s="25">
        <v>202102003</v>
      </c>
      <c r="I301" s="175" t="s">
        <v>157</v>
      </c>
      <c r="J301" s="175" t="s">
        <v>507</v>
      </c>
      <c r="K301" s="175" t="s">
        <v>2093</v>
      </c>
      <c r="L301" s="175" t="s">
        <v>160</v>
      </c>
      <c r="M301" s="175" t="s">
        <v>281</v>
      </c>
      <c r="N301" s="175" t="s">
        <v>25</v>
      </c>
      <c r="O301" s="175" t="s">
        <v>2094</v>
      </c>
      <c r="P301" s="26" t="str">
        <f>_xlfn.DISPIMG("ID_C4F6E9DAFE344DCCAABCAAE0A2F04564",1)</f>
        <v>=DISPIMG("ID_C4F6E9DAFE344DCCAABCAAE0A2F04564",1)</v>
      </c>
      <c r="Q301" s="25" t="s">
        <v>2095</v>
      </c>
      <c r="R301" s="25">
        <v>244</v>
      </c>
      <c r="S301" s="40" t="s">
        <v>4579</v>
      </c>
      <c r="T301" s="18" t="s">
        <v>54</v>
      </c>
      <c r="U301" s="25">
        <v>29</v>
      </c>
      <c r="V301" s="84">
        <v>93.5</v>
      </c>
    </row>
    <row r="302" s="3" customFormat="1" customHeight="1" spans="1:22">
      <c r="A302" s="84">
        <v>5</v>
      </c>
      <c r="B302" s="175" t="s">
        <v>1890</v>
      </c>
      <c r="C302" s="175" t="s">
        <v>165</v>
      </c>
      <c r="D302" s="175" t="s">
        <v>1891</v>
      </c>
      <c r="E302" s="25">
        <v>18770267494</v>
      </c>
      <c r="F302" s="175" t="s">
        <v>156</v>
      </c>
      <c r="G302" s="175" t="s">
        <v>13</v>
      </c>
      <c r="H302" s="25">
        <v>202102003</v>
      </c>
      <c r="I302" s="175" t="s">
        <v>157</v>
      </c>
      <c r="J302" s="175" t="s">
        <v>646</v>
      </c>
      <c r="K302" s="175" t="s">
        <v>179</v>
      </c>
      <c r="L302" s="175" t="s">
        <v>160</v>
      </c>
      <c r="M302" s="175" t="s">
        <v>161</v>
      </c>
      <c r="N302" s="175" t="s">
        <v>25</v>
      </c>
      <c r="O302" s="175" t="s">
        <v>1893</v>
      </c>
      <c r="P302" s="26" t="str">
        <f>_xlfn.DISPIMG("ID_E3FEEF4304AD40319195B6CB72FAB7DA",1)</f>
        <v>=DISPIMG("ID_E3FEEF4304AD40319195B6CB72FAB7DA",1)</v>
      </c>
      <c r="Q302" s="25" t="s">
        <v>1894</v>
      </c>
      <c r="R302" s="25">
        <v>217</v>
      </c>
      <c r="S302" s="40" t="s">
        <v>4574</v>
      </c>
      <c r="T302" s="18" t="s">
        <v>54</v>
      </c>
      <c r="U302" s="25">
        <v>30</v>
      </c>
      <c r="V302" s="84">
        <v>82</v>
      </c>
    </row>
    <row r="303" s="3" customFormat="1" customHeight="1" spans="1:22">
      <c r="A303" s="84">
        <v>26</v>
      </c>
      <c r="B303" s="175" t="s">
        <v>4021</v>
      </c>
      <c r="C303" s="175" t="s">
        <v>165</v>
      </c>
      <c r="D303" s="175" t="s">
        <v>4022</v>
      </c>
      <c r="E303" s="25">
        <v>15870639139</v>
      </c>
      <c r="F303" s="175" t="s">
        <v>156</v>
      </c>
      <c r="G303" s="175" t="s">
        <v>13</v>
      </c>
      <c r="H303" s="25">
        <v>202102003</v>
      </c>
      <c r="I303" s="175" t="s">
        <v>157</v>
      </c>
      <c r="J303" s="175" t="s">
        <v>1413</v>
      </c>
      <c r="K303" s="175" t="s">
        <v>1122</v>
      </c>
      <c r="L303" s="175" t="s">
        <v>160</v>
      </c>
      <c r="M303" s="175" t="s">
        <v>235</v>
      </c>
      <c r="N303" s="175" t="s">
        <v>487</v>
      </c>
      <c r="O303" s="175" t="s">
        <v>4024</v>
      </c>
      <c r="P303" s="26" t="str">
        <f>_xlfn.DISPIMG("ID_678965A481D64CEABA15E59CA2B84698",1)</f>
        <v>=DISPIMG("ID_678965A481D64CEABA15E59CA2B84698",1)</v>
      </c>
      <c r="Q303" s="25" t="s">
        <v>4025</v>
      </c>
      <c r="R303" s="25">
        <v>514</v>
      </c>
      <c r="S303" s="40" t="s">
        <v>4625</v>
      </c>
      <c r="T303" s="18" t="s">
        <v>55</v>
      </c>
      <c r="U303" s="25">
        <v>1</v>
      </c>
      <c r="V303" s="84">
        <v>0</v>
      </c>
    </row>
    <row r="304" s="3" customFormat="1" customHeight="1" spans="1:22">
      <c r="A304" s="84">
        <v>21</v>
      </c>
      <c r="B304" s="175" t="s">
        <v>3804</v>
      </c>
      <c r="C304" s="175" t="s">
        <v>165</v>
      </c>
      <c r="D304" s="175" t="s">
        <v>3805</v>
      </c>
      <c r="E304" s="25">
        <v>18859568610</v>
      </c>
      <c r="F304" s="175" t="s">
        <v>156</v>
      </c>
      <c r="G304" s="175" t="s">
        <v>13</v>
      </c>
      <c r="H304" s="25">
        <v>202102003</v>
      </c>
      <c r="I304" s="175" t="s">
        <v>157</v>
      </c>
      <c r="J304" s="175" t="s">
        <v>2943</v>
      </c>
      <c r="K304" s="175" t="s">
        <v>179</v>
      </c>
      <c r="L304" s="175" t="s">
        <v>160</v>
      </c>
      <c r="M304" s="175" t="s">
        <v>235</v>
      </c>
      <c r="N304" s="175" t="s">
        <v>1187</v>
      </c>
      <c r="O304" s="175" t="s">
        <v>3807</v>
      </c>
      <c r="P304" s="26" t="str">
        <f>_xlfn.DISPIMG("ID_958C237DE20E4119882FD97115456597",1)</f>
        <v>=DISPIMG("ID_958C237DE20E4119882FD97115456597",1)</v>
      </c>
      <c r="Q304" s="25" t="s">
        <v>3808</v>
      </c>
      <c r="R304" s="25">
        <v>485</v>
      </c>
      <c r="S304" s="40" t="s">
        <v>4620</v>
      </c>
      <c r="T304" s="18" t="s">
        <v>55</v>
      </c>
      <c r="U304" s="25">
        <v>2</v>
      </c>
      <c r="V304" s="84">
        <v>0</v>
      </c>
    </row>
    <row r="305" s="3" customFormat="1" customHeight="1" spans="1:22">
      <c r="A305" s="84">
        <v>16</v>
      </c>
      <c r="B305" s="175" t="s">
        <v>3351</v>
      </c>
      <c r="C305" s="175" t="s">
        <v>165</v>
      </c>
      <c r="D305" s="175" t="s">
        <v>3352</v>
      </c>
      <c r="E305" s="25">
        <v>18720295129</v>
      </c>
      <c r="F305" s="175" t="s">
        <v>156</v>
      </c>
      <c r="G305" s="175" t="s">
        <v>13</v>
      </c>
      <c r="H305" s="25">
        <v>202102003</v>
      </c>
      <c r="I305" s="175" t="s">
        <v>279</v>
      </c>
      <c r="J305" s="175" t="s">
        <v>158</v>
      </c>
      <c r="K305" s="175" t="s">
        <v>223</v>
      </c>
      <c r="L305" s="175" t="s">
        <v>170</v>
      </c>
      <c r="M305" s="175" t="s">
        <v>180</v>
      </c>
      <c r="N305" s="175" t="s">
        <v>3354</v>
      </c>
      <c r="O305" s="175" t="s">
        <v>3355</v>
      </c>
      <c r="P305" s="26" t="str">
        <f>_xlfn.DISPIMG("ID_74A8F2037BB844E7BAC2F04950084CD2",1)</f>
        <v>=DISPIMG("ID_74A8F2037BB844E7BAC2F04950084CD2",1)</v>
      </c>
      <c r="Q305" s="25" t="s">
        <v>3356</v>
      </c>
      <c r="R305" s="25">
        <v>422</v>
      </c>
      <c r="S305" s="40" t="s">
        <v>4615</v>
      </c>
      <c r="T305" s="18" t="s">
        <v>55</v>
      </c>
      <c r="U305" s="25">
        <v>3</v>
      </c>
      <c r="V305" s="84">
        <v>75</v>
      </c>
    </row>
    <row r="306" s="3" customFormat="1" customHeight="1" spans="1:22">
      <c r="A306" s="84">
        <v>11</v>
      </c>
      <c r="B306" s="175" t="s">
        <v>3151</v>
      </c>
      <c r="C306" s="175" t="s">
        <v>165</v>
      </c>
      <c r="D306" s="175" t="s">
        <v>3152</v>
      </c>
      <c r="E306" s="25">
        <v>15807046137</v>
      </c>
      <c r="F306" s="175" t="s">
        <v>156</v>
      </c>
      <c r="G306" s="175" t="s">
        <v>13</v>
      </c>
      <c r="H306" s="25">
        <v>202102003</v>
      </c>
      <c r="I306" s="175" t="s">
        <v>157</v>
      </c>
      <c r="J306" s="175" t="s">
        <v>611</v>
      </c>
      <c r="K306" s="175" t="s">
        <v>179</v>
      </c>
      <c r="L306" s="175" t="s">
        <v>160</v>
      </c>
      <c r="M306" s="175" t="s">
        <v>261</v>
      </c>
      <c r="N306" s="175" t="s">
        <v>13</v>
      </c>
      <c r="O306" s="175" t="s">
        <v>3154</v>
      </c>
      <c r="P306" s="26" t="str">
        <f>_xlfn.DISPIMG("ID_677BA8871B344518950747C60527229E",1)</f>
        <v>=DISPIMG("ID_677BA8871B344518950747C60527229E",1)</v>
      </c>
      <c r="Q306" s="25" t="s">
        <v>3155</v>
      </c>
      <c r="R306" s="25">
        <v>390</v>
      </c>
      <c r="S306" s="40" t="s">
        <v>4610</v>
      </c>
      <c r="T306" s="18" t="s">
        <v>55</v>
      </c>
      <c r="U306" s="25">
        <v>4</v>
      </c>
      <c r="V306" s="84">
        <v>91.5</v>
      </c>
    </row>
    <row r="307" s="3" customFormat="1" customHeight="1" spans="1:22">
      <c r="A307" s="84">
        <v>6</v>
      </c>
      <c r="B307" s="175" t="s">
        <v>2819</v>
      </c>
      <c r="C307" s="175" t="s">
        <v>165</v>
      </c>
      <c r="D307" s="175" t="s">
        <v>2820</v>
      </c>
      <c r="E307" s="25">
        <v>18720151872</v>
      </c>
      <c r="F307" s="175" t="s">
        <v>156</v>
      </c>
      <c r="G307" s="175" t="s">
        <v>13</v>
      </c>
      <c r="H307" s="25">
        <v>202102003</v>
      </c>
      <c r="I307" s="175" t="s">
        <v>157</v>
      </c>
      <c r="J307" s="175" t="s">
        <v>269</v>
      </c>
      <c r="K307" s="175" t="s">
        <v>2821</v>
      </c>
      <c r="L307" s="175" t="s">
        <v>170</v>
      </c>
      <c r="M307" s="175" t="s">
        <v>455</v>
      </c>
      <c r="N307" s="175" t="s">
        <v>13</v>
      </c>
      <c r="O307" s="25">
        <v>0</v>
      </c>
      <c r="P307" s="26" t="str">
        <f>_xlfn.DISPIMG("ID_3C9269A8B40D486AA589E83B191F62F8",1)</f>
        <v>=DISPIMG("ID_3C9269A8B40D486AA589E83B191F62F8",1)</v>
      </c>
      <c r="Q307" s="25" t="s">
        <v>2822</v>
      </c>
      <c r="R307" s="25">
        <v>342</v>
      </c>
      <c r="S307" s="40" t="s">
        <v>4605</v>
      </c>
      <c r="T307" s="18" t="s">
        <v>55</v>
      </c>
      <c r="U307" s="25">
        <v>5</v>
      </c>
      <c r="V307" s="84">
        <v>86.5</v>
      </c>
    </row>
    <row r="308" s="3" customFormat="1" customHeight="1" spans="1:22">
      <c r="A308" s="84">
        <v>1</v>
      </c>
      <c r="B308" s="175" t="s">
        <v>2753</v>
      </c>
      <c r="C308" s="175" t="s">
        <v>165</v>
      </c>
      <c r="D308" s="175" t="s">
        <v>2754</v>
      </c>
      <c r="E308" s="25">
        <v>18770057517</v>
      </c>
      <c r="F308" s="175" t="s">
        <v>156</v>
      </c>
      <c r="G308" s="175" t="s">
        <v>13</v>
      </c>
      <c r="H308" s="25">
        <v>202102003</v>
      </c>
      <c r="I308" s="175" t="s">
        <v>157</v>
      </c>
      <c r="J308" s="175" t="s">
        <v>646</v>
      </c>
      <c r="K308" s="175" t="s">
        <v>179</v>
      </c>
      <c r="L308" s="175" t="s">
        <v>160</v>
      </c>
      <c r="M308" s="175" t="s">
        <v>548</v>
      </c>
      <c r="N308" s="175" t="s">
        <v>2284</v>
      </c>
      <c r="O308" s="175" t="s">
        <v>2756</v>
      </c>
      <c r="P308" s="26" t="str">
        <f>_xlfn.DISPIMG("ID_2E6C674524F0427FBB4E2C3FFA53D3DF",1)</f>
        <v>=DISPIMG("ID_2E6C674524F0427FBB4E2C3FFA53D3DF",1)</v>
      </c>
      <c r="Q308" s="25" t="s">
        <v>2757</v>
      </c>
      <c r="R308" s="25">
        <v>333</v>
      </c>
      <c r="S308" s="40" t="s">
        <v>4600</v>
      </c>
      <c r="T308" s="18" t="s">
        <v>55</v>
      </c>
      <c r="U308" s="25">
        <v>6</v>
      </c>
      <c r="V308" s="84">
        <v>93</v>
      </c>
    </row>
    <row r="309" s="3" customFormat="1" customHeight="1" spans="1:22">
      <c r="A309" s="84">
        <v>2</v>
      </c>
      <c r="B309" s="175" t="s">
        <v>2760</v>
      </c>
      <c r="C309" s="175" t="s">
        <v>165</v>
      </c>
      <c r="D309" s="175" t="s">
        <v>2761</v>
      </c>
      <c r="E309" s="25">
        <v>18296291050</v>
      </c>
      <c r="F309" s="175" t="s">
        <v>156</v>
      </c>
      <c r="G309" s="175" t="s">
        <v>13</v>
      </c>
      <c r="H309" s="25">
        <v>202102003</v>
      </c>
      <c r="I309" s="175" t="s">
        <v>157</v>
      </c>
      <c r="J309" s="175" t="s">
        <v>2763</v>
      </c>
      <c r="K309" s="175" t="s">
        <v>179</v>
      </c>
      <c r="L309" s="175" t="s">
        <v>160</v>
      </c>
      <c r="M309" s="175" t="s">
        <v>261</v>
      </c>
      <c r="N309" s="175" t="s">
        <v>487</v>
      </c>
      <c r="O309" s="25">
        <v>0</v>
      </c>
      <c r="P309" s="26" t="str">
        <f>_xlfn.DISPIMG("ID_345E5ECE839B455186CF8C80E701C44C",1)</f>
        <v>=DISPIMG("ID_345E5ECE839B455186CF8C80E701C44C",1)</v>
      </c>
      <c r="Q309" s="25" t="s">
        <v>2764</v>
      </c>
      <c r="R309" s="25">
        <v>334</v>
      </c>
      <c r="S309" s="40" t="s">
        <v>4601</v>
      </c>
      <c r="T309" s="18" t="s">
        <v>55</v>
      </c>
      <c r="U309" s="25">
        <v>7</v>
      </c>
      <c r="V309" s="84">
        <v>88.5</v>
      </c>
    </row>
    <row r="310" s="3" customFormat="1" customHeight="1" spans="1:22">
      <c r="A310" s="84">
        <v>7</v>
      </c>
      <c r="B310" s="175" t="s">
        <v>2895</v>
      </c>
      <c r="C310" s="175" t="s">
        <v>165</v>
      </c>
      <c r="D310" s="175" t="s">
        <v>2896</v>
      </c>
      <c r="E310" s="25">
        <v>13667020095</v>
      </c>
      <c r="F310" s="175" t="s">
        <v>156</v>
      </c>
      <c r="G310" s="175" t="s">
        <v>13</v>
      </c>
      <c r="H310" s="25">
        <v>202102003</v>
      </c>
      <c r="I310" s="175" t="s">
        <v>157</v>
      </c>
      <c r="J310" s="175" t="s">
        <v>1413</v>
      </c>
      <c r="K310" s="175" t="s">
        <v>298</v>
      </c>
      <c r="L310" s="175" t="s">
        <v>160</v>
      </c>
      <c r="M310" s="175" t="s">
        <v>455</v>
      </c>
      <c r="N310" s="175" t="s">
        <v>13</v>
      </c>
      <c r="O310" s="25">
        <v>0</v>
      </c>
      <c r="P310" s="26" t="str">
        <f>_xlfn.DISPIMG("ID_C271EED4B7664E51B0603E12A2C5BA93",1)</f>
        <v>=DISPIMG("ID_C271EED4B7664E51B0603E12A2C5BA93",1)</v>
      </c>
      <c r="Q310" s="25" t="s">
        <v>2898</v>
      </c>
      <c r="R310" s="25">
        <v>352</v>
      </c>
      <c r="S310" s="40" t="s">
        <v>4606</v>
      </c>
      <c r="T310" s="18" t="s">
        <v>55</v>
      </c>
      <c r="U310" s="25">
        <v>8</v>
      </c>
      <c r="V310" s="84">
        <v>86</v>
      </c>
    </row>
    <row r="311" s="6" customFormat="1" customHeight="1" spans="1:22">
      <c r="A311" s="84">
        <v>12</v>
      </c>
      <c r="B311" s="175" t="s">
        <v>3204</v>
      </c>
      <c r="C311" s="175" t="s">
        <v>165</v>
      </c>
      <c r="D311" s="175" t="s">
        <v>3205</v>
      </c>
      <c r="E311" s="25">
        <v>18270304769</v>
      </c>
      <c r="F311" s="175" t="s">
        <v>156</v>
      </c>
      <c r="G311" s="175" t="s">
        <v>13</v>
      </c>
      <c r="H311" s="25">
        <v>202102003</v>
      </c>
      <c r="I311" s="175" t="s">
        <v>279</v>
      </c>
      <c r="J311" s="175" t="s">
        <v>168</v>
      </c>
      <c r="K311" s="175" t="s">
        <v>223</v>
      </c>
      <c r="L311" s="175" t="s">
        <v>170</v>
      </c>
      <c r="M311" s="175" t="s">
        <v>171</v>
      </c>
      <c r="N311" s="175" t="s">
        <v>13</v>
      </c>
      <c r="O311" s="175" t="s">
        <v>3207</v>
      </c>
      <c r="P311" s="26" t="str">
        <f>_xlfn.DISPIMG("ID_51BC672EACDF4F87BCFEE4B4000126C2",1)</f>
        <v>=DISPIMG("ID_51BC672EACDF4F87BCFEE4B4000126C2",1)</v>
      </c>
      <c r="Q311" s="25" t="s">
        <v>3208</v>
      </c>
      <c r="R311" s="25">
        <v>399</v>
      </c>
      <c r="S311" s="40" t="s">
        <v>4611</v>
      </c>
      <c r="T311" s="18" t="s">
        <v>55</v>
      </c>
      <c r="U311" s="25">
        <v>9</v>
      </c>
      <c r="V311" s="84">
        <v>0</v>
      </c>
    </row>
    <row r="312" s="3" customFormat="1" customHeight="1" spans="1:22">
      <c r="A312" s="84">
        <v>17</v>
      </c>
      <c r="B312" s="175" t="s">
        <v>3409</v>
      </c>
      <c r="C312" s="175" t="s">
        <v>165</v>
      </c>
      <c r="D312" s="175" t="s">
        <v>3410</v>
      </c>
      <c r="E312" s="25">
        <v>15079270221</v>
      </c>
      <c r="F312" s="175" t="s">
        <v>156</v>
      </c>
      <c r="G312" s="175" t="s">
        <v>13</v>
      </c>
      <c r="H312" s="25">
        <v>202102003</v>
      </c>
      <c r="I312" s="175" t="s">
        <v>157</v>
      </c>
      <c r="J312" s="175" t="s">
        <v>158</v>
      </c>
      <c r="K312" s="175" t="s">
        <v>298</v>
      </c>
      <c r="L312" s="175" t="s">
        <v>160</v>
      </c>
      <c r="M312" s="175" t="s">
        <v>306</v>
      </c>
      <c r="N312" s="175" t="s">
        <v>13</v>
      </c>
      <c r="O312" s="175" t="s">
        <v>3412</v>
      </c>
      <c r="P312" s="26" t="str">
        <f>_xlfn.DISPIMG("ID_36F8A707A81B40EC83CC116E77C5C07D",1)</f>
        <v>=DISPIMG("ID_36F8A707A81B40EC83CC116E77C5C07D",1)</v>
      </c>
      <c r="Q312" s="25" t="s">
        <v>3413</v>
      </c>
      <c r="R312" s="25">
        <v>430</v>
      </c>
      <c r="S312" s="40" t="s">
        <v>4616</v>
      </c>
      <c r="T312" s="18" t="s">
        <v>55</v>
      </c>
      <c r="U312" s="25">
        <v>10</v>
      </c>
      <c r="V312" s="84">
        <v>0</v>
      </c>
    </row>
    <row r="313" s="3" customFormat="1" customHeight="1" spans="1:22">
      <c r="A313" s="84">
        <v>22</v>
      </c>
      <c r="B313" s="175" t="s">
        <v>3826</v>
      </c>
      <c r="C313" s="175" t="s">
        <v>165</v>
      </c>
      <c r="D313" s="175" t="s">
        <v>3827</v>
      </c>
      <c r="E313" s="25">
        <v>18379207307</v>
      </c>
      <c r="F313" s="175" t="s">
        <v>156</v>
      </c>
      <c r="G313" s="175" t="s">
        <v>13</v>
      </c>
      <c r="H313" s="25">
        <v>202102003</v>
      </c>
      <c r="I313" s="175" t="s">
        <v>279</v>
      </c>
      <c r="J313" s="175" t="s">
        <v>158</v>
      </c>
      <c r="K313" s="175" t="s">
        <v>223</v>
      </c>
      <c r="L313" s="175" t="s">
        <v>170</v>
      </c>
      <c r="M313" s="175" t="s">
        <v>180</v>
      </c>
      <c r="N313" s="175" t="s">
        <v>487</v>
      </c>
      <c r="O313" s="175" t="s">
        <v>3829</v>
      </c>
      <c r="P313" s="26" t="str">
        <f>_xlfn.DISPIMG("ID_0F27C17184DB40E4ADCCEAF2E242F8D5",1)</f>
        <v>=DISPIMG("ID_0F27C17184DB40E4ADCCEAF2E242F8D5",1)</v>
      </c>
      <c r="Q313" s="25" t="s">
        <v>3830</v>
      </c>
      <c r="R313" s="25">
        <v>488</v>
      </c>
      <c r="S313" s="40" t="s">
        <v>4621</v>
      </c>
      <c r="T313" s="18" t="s">
        <v>55</v>
      </c>
      <c r="U313" s="25">
        <v>11</v>
      </c>
      <c r="V313" s="84">
        <v>0</v>
      </c>
    </row>
    <row r="314" s="3" customFormat="1" customHeight="1" spans="1:22">
      <c r="A314" s="84">
        <v>27</v>
      </c>
      <c r="B314" s="175" t="s">
        <v>4065</v>
      </c>
      <c r="C314" s="175" t="s">
        <v>165</v>
      </c>
      <c r="D314" s="175" t="s">
        <v>4066</v>
      </c>
      <c r="E314" s="25">
        <v>15797987795</v>
      </c>
      <c r="F314" s="175" t="s">
        <v>506</v>
      </c>
      <c r="G314" s="175" t="s">
        <v>13</v>
      </c>
      <c r="H314" s="25">
        <v>202102016</v>
      </c>
      <c r="I314" s="175" t="s">
        <v>279</v>
      </c>
      <c r="J314" s="175" t="s">
        <v>158</v>
      </c>
      <c r="K314" s="175" t="s">
        <v>223</v>
      </c>
      <c r="L314" s="175" t="s">
        <v>170</v>
      </c>
      <c r="M314" s="175" t="s">
        <v>368</v>
      </c>
      <c r="N314" s="175" t="s">
        <v>4068</v>
      </c>
      <c r="O314" s="175" t="s">
        <v>4069</v>
      </c>
      <c r="P314" s="26" t="str">
        <f>_xlfn.DISPIMG("ID_699B420D06BD4D209FB40A52E07C758F",1)</f>
        <v>=DISPIMG("ID_699B420D06BD4D209FB40A52E07C758F",1)</v>
      </c>
      <c r="Q314" s="25" t="s">
        <v>4070</v>
      </c>
      <c r="R314" s="25">
        <v>520</v>
      </c>
      <c r="S314" s="40" t="s">
        <v>4626</v>
      </c>
      <c r="T314" s="18" t="s">
        <v>55</v>
      </c>
      <c r="U314" s="25">
        <v>12</v>
      </c>
      <c r="V314" s="84">
        <v>0</v>
      </c>
    </row>
    <row r="315" s="3" customFormat="1" customHeight="1" spans="1:22">
      <c r="A315" s="84">
        <v>28</v>
      </c>
      <c r="B315" s="175" t="s">
        <v>4096</v>
      </c>
      <c r="C315" s="175" t="s">
        <v>165</v>
      </c>
      <c r="D315" s="175" t="s">
        <v>4097</v>
      </c>
      <c r="E315" s="25">
        <v>18279205166</v>
      </c>
      <c r="F315" s="175" t="s">
        <v>506</v>
      </c>
      <c r="G315" s="175" t="s">
        <v>13</v>
      </c>
      <c r="H315" s="25">
        <v>202102016</v>
      </c>
      <c r="I315" s="175" t="s">
        <v>157</v>
      </c>
      <c r="J315" s="175" t="s">
        <v>1121</v>
      </c>
      <c r="K315" s="175" t="s">
        <v>179</v>
      </c>
      <c r="L315" s="175" t="s">
        <v>160</v>
      </c>
      <c r="M315" s="175" t="s">
        <v>199</v>
      </c>
      <c r="N315" s="175" t="s">
        <v>13</v>
      </c>
      <c r="O315" s="175" t="s">
        <v>4099</v>
      </c>
      <c r="P315" s="26" t="str">
        <f>_xlfn.DISPIMG("ID_AF2EA5B71B5B4904B17F83B386FDD8B5",1)</f>
        <v>=DISPIMG("ID_AF2EA5B71B5B4904B17F83B386FDD8B5",1)</v>
      </c>
      <c r="Q315" s="25" t="s">
        <v>4100</v>
      </c>
      <c r="R315" s="25">
        <v>524</v>
      </c>
      <c r="S315" s="40" t="s">
        <v>4627</v>
      </c>
      <c r="T315" s="18" t="s">
        <v>55</v>
      </c>
      <c r="U315" s="25">
        <v>13</v>
      </c>
      <c r="V315" s="84">
        <v>76</v>
      </c>
    </row>
    <row r="316" s="4" customFormat="1" customHeight="1" spans="1:22">
      <c r="A316" s="84">
        <v>23</v>
      </c>
      <c r="B316" s="175" t="s">
        <v>3970</v>
      </c>
      <c r="C316" s="175" t="s">
        <v>165</v>
      </c>
      <c r="D316" s="175" t="s">
        <v>3971</v>
      </c>
      <c r="E316" s="25">
        <v>18279298177</v>
      </c>
      <c r="F316" s="175" t="s">
        <v>156</v>
      </c>
      <c r="G316" s="175" t="s">
        <v>13</v>
      </c>
      <c r="H316" s="25">
        <v>202102003</v>
      </c>
      <c r="I316" s="175" t="s">
        <v>157</v>
      </c>
      <c r="J316" s="175" t="s">
        <v>233</v>
      </c>
      <c r="K316" s="175" t="s">
        <v>3973</v>
      </c>
      <c r="L316" s="175" t="s">
        <v>160</v>
      </c>
      <c r="M316" s="175" t="s">
        <v>161</v>
      </c>
      <c r="N316" s="175" t="s">
        <v>25</v>
      </c>
      <c r="O316" s="175" t="s">
        <v>3974</v>
      </c>
      <c r="P316" s="26" t="str">
        <f>_xlfn.DISPIMG("ID_B1F0BA2C377444B08B7692E1B53E42C5",1)</f>
        <v>=DISPIMG("ID_B1F0BA2C377444B08B7692E1B53E42C5",1)</v>
      </c>
      <c r="Q316" s="25" t="s">
        <v>3975</v>
      </c>
      <c r="R316" s="25">
        <v>507</v>
      </c>
      <c r="S316" s="40" t="s">
        <v>4622</v>
      </c>
      <c r="T316" s="18" t="s">
        <v>55</v>
      </c>
      <c r="U316" s="25">
        <v>14</v>
      </c>
      <c r="V316" s="84">
        <v>0</v>
      </c>
    </row>
    <row r="317" s="3" customFormat="1" customHeight="1" spans="1:22">
      <c r="A317" s="84">
        <v>18</v>
      </c>
      <c r="B317" s="175" t="s">
        <v>3458</v>
      </c>
      <c r="C317" s="175" t="s">
        <v>165</v>
      </c>
      <c r="D317" s="175" t="s">
        <v>3459</v>
      </c>
      <c r="E317" s="25">
        <v>18207577354</v>
      </c>
      <c r="F317" s="175" t="s">
        <v>156</v>
      </c>
      <c r="G317" s="175" t="s">
        <v>13</v>
      </c>
      <c r="H317" s="25">
        <v>202102003</v>
      </c>
      <c r="I317" s="175" t="s">
        <v>157</v>
      </c>
      <c r="J317" s="175" t="s">
        <v>385</v>
      </c>
      <c r="K317" s="175" t="s">
        <v>3461</v>
      </c>
      <c r="L317" s="175" t="s">
        <v>160</v>
      </c>
      <c r="M317" s="175" t="s">
        <v>368</v>
      </c>
      <c r="N317" s="175" t="s">
        <v>3011</v>
      </c>
      <c r="O317" s="175" t="s">
        <v>3462</v>
      </c>
      <c r="P317" s="26" t="str">
        <f>_xlfn.DISPIMG("ID_D2C4D691F93F4717949BB5BBCD3994DD",1)</f>
        <v>=DISPIMG("ID_D2C4D691F93F4717949BB5BBCD3994DD",1)</v>
      </c>
      <c r="Q317" s="25" t="s">
        <v>3463</v>
      </c>
      <c r="R317" s="25">
        <v>437</v>
      </c>
      <c r="S317" s="40" t="s">
        <v>4617</v>
      </c>
      <c r="T317" s="18" t="s">
        <v>55</v>
      </c>
      <c r="U317" s="25">
        <v>15</v>
      </c>
      <c r="V317" s="84">
        <v>88.5</v>
      </c>
    </row>
    <row r="318" s="3" customFormat="1" customHeight="1" spans="1:22">
      <c r="A318" s="84">
        <v>13</v>
      </c>
      <c r="B318" s="175" t="s">
        <v>3241</v>
      </c>
      <c r="C318" s="175" t="s">
        <v>165</v>
      </c>
      <c r="D318" s="175" t="s">
        <v>3242</v>
      </c>
      <c r="E318" s="25">
        <v>15390868523</v>
      </c>
      <c r="F318" s="175" t="s">
        <v>156</v>
      </c>
      <c r="G318" s="175" t="s">
        <v>13</v>
      </c>
      <c r="H318" s="25">
        <v>202102003</v>
      </c>
      <c r="I318" s="175" t="s">
        <v>157</v>
      </c>
      <c r="J318" s="175" t="s">
        <v>3244</v>
      </c>
      <c r="K318" s="175" t="s">
        <v>179</v>
      </c>
      <c r="L318" s="175" t="s">
        <v>160</v>
      </c>
      <c r="M318" s="175" t="s">
        <v>161</v>
      </c>
      <c r="N318" s="175" t="s">
        <v>190</v>
      </c>
      <c r="O318" s="25">
        <v>0</v>
      </c>
      <c r="P318" s="26" t="str">
        <f>_xlfn.DISPIMG("ID_AED07D8F3E8D4336A7B785D8FBC52BF4",1)</f>
        <v>=DISPIMG("ID_AED07D8F3E8D4336A7B785D8FBC52BF4",1)</v>
      </c>
      <c r="Q318" s="25" t="s">
        <v>3245</v>
      </c>
      <c r="R318" s="25">
        <v>404</v>
      </c>
      <c r="S318" s="40" t="s">
        <v>4612</v>
      </c>
      <c r="T318" s="18" t="s">
        <v>55</v>
      </c>
      <c r="U318" s="25">
        <v>16</v>
      </c>
      <c r="V318" s="84">
        <v>81.5</v>
      </c>
    </row>
    <row r="319" s="3" customFormat="1" customHeight="1" spans="1:22">
      <c r="A319" s="84">
        <v>8</v>
      </c>
      <c r="B319" s="175" t="s">
        <v>2901</v>
      </c>
      <c r="C319" s="175" t="s">
        <v>165</v>
      </c>
      <c r="D319" s="175" t="s">
        <v>2902</v>
      </c>
      <c r="E319" s="25">
        <v>18070124707</v>
      </c>
      <c r="F319" s="175" t="s">
        <v>156</v>
      </c>
      <c r="G319" s="175" t="s">
        <v>13</v>
      </c>
      <c r="H319" s="25">
        <v>202102003</v>
      </c>
      <c r="I319" s="175" t="s">
        <v>157</v>
      </c>
      <c r="J319" s="175" t="s">
        <v>2904</v>
      </c>
      <c r="K319" s="175" t="s">
        <v>2379</v>
      </c>
      <c r="L319" s="175" t="s">
        <v>160</v>
      </c>
      <c r="M319" s="175" t="s">
        <v>396</v>
      </c>
      <c r="N319" s="175" t="s">
        <v>13</v>
      </c>
      <c r="O319" s="25">
        <v>0</v>
      </c>
      <c r="P319" s="26" t="str">
        <f>_xlfn.DISPIMG("ID_C611D78CF3534BF4A6063B88C3B55BD9",1)</f>
        <v>=DISPIMG("ID_C611D78CF3534BF4A6063B88C3B55BD9",1)</v>
      </c>
      <c r="Q319" s="25" t="s">
        <v>2905</v>
      </c>
      <c r="R319" s="25">
        <v>353</v>
      </c>
      <c r="S319" s="40" t="s">
        <v>4607</v>
      </c>
      <c r="T319" s="18" t="s">
        <v>55</v>
      </c>
      <c r="U319" s="25">
        <v>17</v>
      </c>
      <c r="V319" s="84">
        <v>83</v>
      </c>
    </row>
    <row r="320" s="3" customFormat="1" customHeight="1" spans="1:22">
      <c r="A320" s="84">
        <v>3</v>
      </c>
      <c r="B320" s="175" t="s">
        <v>2781</v>
      </c>
      <c r="C320" s="175" t="s">
        <v>165</v>
      </c>
      <c r="D320" s="175" t="s">
        <v>2782</v>
      </c>
      <c r="E320" s="25">
        <v>15720953943</v>
      </c>
      <c r="F320" s="175" t="s">
        <v>156</v>
      </c>
      <c r="G320" s="175" t="s">
        <v>13</v>
      </c>
      <c r="H320" s="25">
        <v>202102003</v>
      </c>
      <c r="I320" s="175" t="s">
        <v>279</v>
      </c>
      <c r="J320" s="175" t="s">
        <v>178</v>
      </c>
      <c r="K320" s="175" t="s">
        <v>223</v>
      </c>
      <c r="L320" s="175" t="s">
        <v>170</v>
      </c>
      <c r="M320" s="175" t="s">
        <v>281</v>
      </c>
      <c r="N320" s="175" t="s">
        <v>13</v>
      </c>
      <c r="O320" s="175" t="s">
        <v>2784</v>
      </c>
      <c r="P320" s="26" t="str">
        <f>_xlfn.DISPIMG("ID_88B18CBF153241AE8E07B8EDC59079D6",1)</f>
        <v>=DISPIMG("ID_88B18CBF153241AE8E07B8EDC59079D6",1)</v>
      </c>
      <c r="Q320" s="25" t="s">
        <v>2785</v>
      </c>
      <c r="R320" s="25">
        <v>337</v>
      </c>
      <c r="S320" s="40" t="s">
        <v>4602</v>
      </c>
      <c r="T320" s="18" t="s">
        <v>55</v>
      </c>
      <c r="U320" s="25">
        <v>18</v>
      </c>
      <c r="V320" s="84">
        <v>91</v>
      </c>
    </row>
    <row r="321" s="3" customFormat="1" customHeight="1" spans="1:22">
      <c r="A321" s="84">
        <v>4</v>
      </c>
      <c r="B321" s="175" t="s">
        <v>2788</v>
      </c>
      <c r="C321" s="175" t="s">
        <v>165</v>
      </c>
      <c r="D321" s="175" t="s">
        <v>2789</v>
      </c>
      <c r="E321" s="25">
        <v>15727651558</v>
      </c>
      <c r="F321" s="175" t="s">
        <v>156</v>
      </c>
      <c r="G321" s="175" t="s">
        <v>13</v>
      </c>
      <c r="H321" s="25">
        <v>202102003</v>
      </c>
      <c r="I321" s="175" t="s">
        <v>157</v>
      </c>
      <c r="J321" s="175" t="s">
        <v>827</v>
      </c>
      <c r="K321" s="175" t="s">
        <v>223</v>
      </c>
      <c r="L321" s="175" t="s">
        <v>170</v>
      </c>
      <c r="M321" s="175" t="s">
        <v>306</v>
      </c>
      <c r="N321" s="175" t="s">
        <v>2791</v>
      </c>
      <c r="O321" s="175" t="s">
        <v>2792</v>
      </c>
      <c r="P321" s="26" t="str">
        <f>_xlfn.DISPIMG("ID_5273CD0F4AF44426A565D4F4C926815B",1)</f>
        <v>=DISPIMG("ID_5273CD0F4AF44426A565D4F4C926815B",1)</v>
      </c>
      <c r="Q321" s="25" t="s">
        <v>2793</v>
      </c>
      <c r="R321" s="25">
        <v>338</v>
      </c>
      <c r="S321" s="40" t="s">
        <v>4603</v>
      </c>
      <c r="T321" s="18" t="s">
        <v>55</v>
      </c>
      <c r="U321" s="25">
        <v>19</v>
      </c>
      <c r="V321" s="84">
        <v>87</v>
      </c>
    </row>
    <row r="322" s="3" customFormat="1" customHeight="1" spans="1:22">
      <c r="A322" s="84">
        <v>9</v>
      </c>
      <c r="B322" s="175" t="s">
        <v>2932</v>
      </c>
      <c r="C322" s="175" t="s">
        <v>165</v>
      </c>
      <c r="D322" s="175" t="s">
        <v>2933</v>
      </c>
      <c r="E322" s="25">
        <v>13870255583</v>
      </c>
      <c r="F322" s="175" t="s">
        <v>156</v>
      </c>
      <c r="G322" s="175" t="s">
        <v>13</v>
      </c>
      <c r="H322" s="25">
        <v>202102003</v>
      </c>
      <c r="I322" s="175" t="s">
        <v>157</v>
      </c>
      <c r="J322" s="175" t="s">
        <v>385</v>
      </c>
      <c r="K322" s="175" t="s">
        <v>1832</v>
      </c>
      <c r="L322" s="175" t="s">
        <v>160</v>
      </c>
      <c r="M322" s="175" t="s">
        <v>2935</v>
      </c>
      <c r="N322" s="175" t="s">
        <v>487</v>
      </c>
      <c r="O322" s="175" t="s">
        <v>2936</v>
      </c>
      <c r="P322" s="26" t="str">
        <f>_xlfn.DISPIMG("ID_63C75D62D3BC4F35AC4FD3D224F21D03",1)</f>
        <v>=DISPIMG("ID_63C75D62D3BC4F35AC4FD3D224F21D03",1)</v>
      </c>
      <c r="Q322" s="25" t="s">
        <v>2937</v>
      </c>
      <c r="R322" s="25">
        <v>360</v>
      </c>
      <c r="S322" s="40" t="s">
        <v>4608</v>
      </c>
      <c r="T322" s="18" t="s">
        <v>55</v>
      </c>
      <c r="U322" s="25">
        <v>20</v>
      </c>
      <c r="V322" s="84">
        <v>78</v>
      </c>
    </row>
    <row r="323" s="3" customFormat="1" customHeight="1" spans="1:22">
      <c r="A323" s="84">
        <v>14</v>
      </c>
      <c r="B323" s="175" t="s">
        <v>3255</v>
      </c>
      <c r="C323" s="175" t="s">
        <v>165</v>
      </c>
      <c r="D323" s="175" t="s">
        <v>3256</v>
      </c>
      <c r="E323" s="25">
        <v>18770283607</v>
      </c>
      <c r="F323" s="175" t="s">
        <v>156</v>
      </c>
      <c r="G323" s="175" t="s">
        <v>13</v>
      </c>
      <c r="H323" s="25">
        <v>202102003</v>
      </c>
      <c r="I323" s="175" t="s">
        <v>157</v>
      </c>
      <c r="J323" s="175" t="s">
        <v>611</v>
      </c>
      <c r="K323" s="175" t="s">
        <v>179</v>
      </c>
      <c r="L323" s="175" t="s">
        <v>160</v>
      </c>
      <c r="M323" s="175" t="s">
        <v>577</v>
      </c>
      <c r="N323" s="175" t="s">
        <v>3258</v>
      </c>
      <c r="O323" s="175" t="s">
        <v>3259</v>
      </c>
      <c r="P323" s="26" t="str">
        <f>_xlfn.DISPIMG("ID_9640DE1808F9498F8612547EA44506E8",1)</f>
        <v>=DISPIMG("ID_9640DE1808F9498F8612547EA44506E8",1)</v>
      </c>
      <c r="Q323" s="25" t="s">
        <v>3260</v>
      </c>
      <c r="R323" s="25">
        <v>406</v>
      </c>
      <c r="S323" s="40" t="s">
        <v>4613</v>
      </c>
      <c r="T323" s="18" t="s">
        <v>55</v>
      </c>
      <c r="U323" s="25">
        <v>21</v>
      </c>
      <c r="V323" s="70">
        <v>78</v>
      </c>
    </row>
    <row r="324" s="3" customFormat="1" customHeight="1" spans="1:22">
      <c r="A324" s="84">
        <v>19</v>
      </c>
      <c r="B324" s="175" t="s">
        <v>3481</v>
      </c>
      <c r="C324" s="175" t="s">
        <v>153</v>
      </c>
      <c r="D324" s="175" t="s">
        <v>3482</v>
      </c>
      <c r="E324" s="25">
        <v>13119548929</v>
      </c>
      <c r="F324" s="175" t="s">
        <v>506</v>
      </c>
      <c r="G324" s="175" t="s">
        <v>13</v>
      </c>
      <c r="H324" s="25">
        <v>202102016</v>
      </c>
      <c r="I324" s="175" t="s">
        <v>157</v>
      </c>
      <c r="J324" s="175" t="s">
        <v>1112</v>
      </c>
      <c r="K324" s="175" t="s">
        <v>3484</v>
      </c>
      <c r="L324" s="175" t="s">
        <v>160</v>
      </c>
      <c r="M324" s="175" t="s">
        <v>216</v>
      </c>
      <c r="N324" s="175" t="s">
        <v>2284</v>
      </c>
      <c r="O324" s="175" t="s">
        <v>3485</v>
      </c>
      <c r="P324" s="26" t="str">
        <f>_xlfn.DISPIMG("ID_9C9702A9D71D49F4A0D4283BE0B57A8D",1)</f>
        <v>=DISPIMG("ID_9C9702A9D71D49F4A0D4283BE0B57A8D",1)</v>
      </c>
      <c r="Q324" s="25" t="s">
        <v>3486</v>
      </c>
      <c r="R324" s="25">
        <v>440</v>
      </c>
      <c r="S324" s="40" t="s">
        <v>4618</v>
      </c>
      <c r="T324" s="18" t="s">
        <v>55</v>
      </c>
      <c r="U324" s="25">
        <v>22</v>
      </c>
      <c r="V324" s="84">
        <v>0</v>
      </c>
    </row>
    <row r="325" s="3" customFormat="1" customHeight="1" spans="1:22">
      <c r="A325" s="84">
        <v>24</v>
      </c>
      <c r="B325" s="175" t="s">
        <v>3991</v>
      </c>
      <c r="C325" s="175" t="s">
        <v>165</v>
      </c>
      <c r="D325" s="175" t="s">
        <v>3992</v>
      </c>
      <c r="E325" s="25">
        <v>15779276924</v>
      </c>
      <c r="F325" s="175" t="s">
        <v>156</v>
      </c>
      <c r="G325" s="175" t="s">
        <v>13</v>
      </c>
      <c r="H325" s="25">
        <v>202102003</v>
      </c>
      <c r="I325" s="175" t="s">
        <v>157</v>
      </c>
      <c r="J325" s="175" t="s">
        <v>158</v>
      </c>
      <c r="K325" s="175" t="s">
        <v>298</v>
      </c>
      <c r="L325" s="175" t="s">
        <v>160</v>
      </c>
      <c r="M325" s="175" t="s">
        <v>171</v>
      </c>
      <c r="N325" s="175" t="s">
        <v>1692</v>
      </c>
      <c r="O325" s="175" t="s">
        <v>3994</v>
      </c>
      <c r="P325" s="26" t="str">
        <f>_xlfn.DISPIMG("ID_78A88502741143D5850B496E71BE5DA0",1)</f>
        <v>=DISPIMG("ID_78A88502741143D5850B496E71BE5DA0",1)</v>
      </c>
      <c r="Q325" s="25" t="s">
        <v>3995</v>
      </c>
      <c r="R325" s="25">
        <v>510</v>
      </c>
      <c r="S325" s="40" t="s">
        <v>4623</v>
      </c>
      <c r="T325" s="18" t="s">
        <v>55</v>
      </c>
      <c r="U325" s="25">
        <v>23</v>
      </c>
      <c r="V325" s="84">
        <v>0</v>
      </c>
    </row>
    <row r="326" s="3" customFormat="1" customHeight="1" spans="1:22">
      <c r="A326" s="84">
        <v>29</v>
      </c>
      <c r="B326" s="175" t="s">
        <v>4120</v>
      </c>
      <c r="C326" s="175" t="s">
        <v>153</v>
      </c>
      <c r="D326" s="175" t="s">
        <v>4121</v>
      </c>
      <c r="E326" s="25">
        <v>15070281790</v>
      </c>
      <c r="F326" s="175" t="s">
        <v>506</v>
      </c>
      <c r="G326" s="175" t="s">
        <v>13</v>
      </c>
      <c r="H326" s="25">
        <v>202102016</v>
      </c>
      <c r="I326" s="175" t="s">
        <v>157</v>
      </c>
      <c r="J326" s="175" t="s">
        <v>269</v>
      </c>
      <c r="K326" s="175" t="s">
        <v>179</v>
      </c>
      <c r="L326" s="175" t="s">
        <v>170</v>
      </c>
      <c r="M326" s="175" t="s">
        <v>3039</v>
      </c>
      <c r="N326" s="175" t="s">
        <v>307</v>
      </c>
      <c r="O326" s="175" t="s">
        <v>4123</v>
      </c>
      <c r="P326" s="26" t="str">
        <f>_xlfn.DISPIMG("ID_E27C6548F4194D02B9DC397724E0FA4F",1)</f>
        <v>=DISPIMG("ID_E27C6548F4194D02B9DC397724E0FA4F",1)</v>
      </c>
      <c r="Q326" s="25" t="s">
        <v>4124</v>
      </c>
      <c r="R326" s="25">
        <v>527</v>
      </c>
      <c r="S326" s="40" t="s">
        <v>4628</v>
      </c>
      <c r="T326" s="18" t="s">
        <v>55</v>
      </c>
      <c r="U326" s="25">
        <v>24</v>
      </c>
      <c r="V326" s="84">
        <v>0</v>
      </c>
    </row>
    <row r="327" s="3" customFormat="1" customHeight="1" spans="1:22">
      <c r="A327" s="84">
        <v>30</v>
      </c>
      <c r="B327" s="175" t="s">
        <v>4169</v>
      </c>
      <c r="C327" s="175" t="s">
        <v>165</v>
      </c>
      <c r="D327" s="175" t="s">
        <v>4170</v>
      </c>
      <c r="E327" s="25">
        <v>13970241382</v>
      </c>
      <c r="F327" s="175" t="s">
        <v>156</v>
      </c>
      <c r="G327" s="175" t="s">
        <v>13</v>
      </c>
      <c r="H327" s="25">
        <v>202102003</v>
      </c>
      <c r="I327" s="175" t="s">
        <v>157</v>
      </c>
      <c r="J327" s="175" t="s">
        <v>233</v>
      </c>
      <c r="K327" s="175" t="s">
        <v>4172</v>
      </c>
      <c r="L327" s="175" t="s">
        <v>170</v>
      </c>
      <c r="M327" s="175" t="s">
        <v>161</v>
      </c>
      <c r="N327" s="175" t="s">
        <v>4173</v>
      </c>
      <c r="O327" s="25">
        <v>0</v>
      </c>
      <c r="P327" s="26" t="str">
        <f>_xlfn.DISPIMG("ID_5B6CA2E5A2044344BC4069C94E27DF22",1)</f>
        <v>=DISPIMG("ID_5B6CA2E5A2044344BC4069C94E27DF22",1)</v>
      </c>
      <c r="Q327" s="25" t="s">
        <v>4174</v>
      </c>
      <c r="R327" s="25">
        <v>533</v>
      </c>
      <c r="S327" s="40" t="s">
        <v>4629</v>
      </c>
      <c r="T327" s="18" t="s">
        <v>55</v>
      </c>
      <c r="U327" s="25">
        <v>25</v>
      </c>
      <c r="V327" s="84">
        <v>82.5</v>
      </c>
    </row>
    <row r="328" s="3" customFormat="1" customHeight="1" spans="1:22">
      <c r="A328" s="84">
        <v>25</v>
      </c>
      <c r="B328" s="175" t="s">
        <v>4013</v>
      </c>
      <c r="C328" s="175" t="s">
        <v>165</v>
      </c>
      <c r="D328" s="175" t="s">
        <v>4014</v>
      </c>
      <c r="E328" s="25">
        <v>18870236365</v>
      </c>
      <c r="F328" s="175" t="s">
        <v>156</v>
      </c>
      <c r="G328" s="175" t="s">
        <v>13</v>
      </c>
      <c r="H328" s="25">
        <v>202102003</v>
      </c>
      <c r="I328" s="175" t="s">
        <v>279</v>
      </c>
      <c r="J328" s="175" t="s">
        <v>158</v>
      </c>
      <c r="K328" s="175" t="s">
        <v>223</v>
      </c>
      <c r="L328" s="175" t="s">
        <v>170</v>
      </c>
      <c r="M328" s="175" t="s">
        <v>306</v>
      </c>
      <c r="N328" s="175" t="s">
        <v>4016</v>
      </c>
      <c r="O328" s="175" t="s">
        <v>4017</v>
      </c>
      <c r="P328" s="26" t="str">
        <f>_xlfn.DISPIMG("ID_4B6C2F7765194334A42FC9F1088827FE",1)</f>
        <v>=DISPIMG("ID_4B6C2F7765194334A42FC9F1088827FE",1)</v>
      </c>
      <c r="Q328" s="25" t="s">
        <v>4018</v>
      </c>
      <c r="R328" s="25">
        <v>513</v>
      </c>
      <c r="S328" s="40" t="s">
        <v>4624</v>
      </c>
      <c r="T328" s="18" t="s">
        <v>55</v>
      </c>
      <c r="U328" s="25">
        <v>26</v>
      </c>
      <c r="V328" s="84">
        <v>0</v>
      </c>
    </row>
    <row r="329" s="3" customFormat="1" customHeight="1" spans="1:22">
      <c r="A329" s="84">
        <v>20</v>
      </c>
      <c r="B329" s="175" t="s">
        <v>3647</v>
      </c>
      <c r="C329" s="175" t="s">
        <v>165</v>
      </c>
      <c r="D329" s="175" t="s">
        <v>3648</v>
      </c>
      <c r="E329" s="25">
        <v>19914728112</v>
      </c>
      <c r="F329" s="175" t="s">
        <v>156</v>
      </c>
      <c r="G329" s="175" t="s">
        <v>13</v>
      </c>
      <c r="H329" s="25">
        <v>202102003</v>
      </c>
      <c r="I329" s="175" t="s">
        <v>705</v>
      </c>
      <c r="J329" s="175" t="s">
        <v>1413</v>
      </c>
      <c r="K329" s="175" t="s">
        <v>3650</v>
      </c>
      <c r="L329" s="175" t="s">
        <v>170</v>
      </c>
      <c r="M329" s="175" t="s">
        <v>455</v>
      </c>
      <c r="N329" s="175" t="s">
        <v>3651</v>
      </c>
      <c r="O329" s="25">
        <v>0</v>
      </c>
      <c r="P329" s="26" t="str">
        <f>_xlfn.DISPIMG("ID_5D17E050202348DFAA14EEF8D985F66D",1)</f>
        <v>=DISPIMG("ID_5D17E050202348DFAA14EEF8D985F66D",1)</v>
      </c>
      <c r="Q329" s="25" t="s">
        <v>3652</v>
      </c>
      <c r="R329" s="25">
        <v>464</v>
      </c>
      <c r="S329" s="40" t="s">
        <v>4619</v>
      </c>
      <c r="T329" s="18" t="s">
        <v>55</v>
      </c>
      <c r="U329" s="25">
        <v>27</v>
      </c>
      <c r="V329" s="84">
        <v>80.5</v>
      </c>
    </row>
    <row r="330" s="3" customFormat="1" customHeight="1" spans="1:22">
      <c r="A330" s="84">
        <v>15</v>
      </c>
      <c r="B330" s="175" t="s">
        <v>3314</v>
      </c>
      <c r="C330" s="175" t="s">
        <v>165</v>
      </c>
      <c r="D330" s="175" t="s">
        <v>3315</v>
      </c>
      <c r="E330" s="25">
        <v>18070403284</v>
      </c>
      <c r="F330" s="175" t="s">
        <v>156</v>
      </c>
      <c r="G330" s="175" t="s">
        <v>13</v>
      </c>
      <c r="H330" s="25">
        <v>202102003</v>
      </c>
      <c r="I330" s="175" t="s">
        <v>157</v>
      </c>
      <c r="J330" s="175" t="s">
        <v>385</v>
      </c>
      <c r="K330" s="175" t="s">
        <v>2821</v>
      </c>
      <c r="L330" s="175" t="s">
        <v>170</v>
      </c>
      <c r="M330" s="175" t="s">
        <v>281</v>
      </c>
      <c r="N330" s="175" t="s">
        <v>25</v>
      </c>
      <c r="O330" s="175" t="s">
        <v>3317</v>
      </c>
      <c r="P330" s="26" t="str">
        <f>_xlfn.DISPIMG("ID_395A3D0BD71445EA85EA2ACA292A2801",1)</f>
        <v>=DISPIMG("ID_395A3D0BD71445EA85EA2ACA292A2801",1)</v>
      </c>
      <c r="Q330" s="25" t="s">
        <v>3318</v>
      </c>
      <c r="R330" s="25">
        <v>416</v>
      </c>
      <c r="S330" s="40" t="s">
        <v>4614</v>
      </c>
      <c r="T330" s="18" t="s">
        <v>55</v>
      </c>
      <c r="U330" s="25">
        <v>28</v>
      </c>
      <c r="V330" s="84">
        <v>0</v>
      </c>
    </row>
    <row r="331" s="3" customFormat="1" customHeight="1" spans="1:22">
      <c r="A331" s="84">
        <v>10</v>
      </c>
      <c r="B331" s="175" t="s">
        <v>3008</v>
      </c>
      <c r="C331" s="175" t="s">
        <v>165</v>
      </c>
      <c r="D331" s="175" t="s">
        <v>3009</v>
      </c>
      <c r="E331" s="25">
        <v>15180626109</v>
      </c>
      <c r="F331" s="175" t="s">
        <v>156</v>
      </c>
      <c r="G331" s="175" t="s">
        <v>13</v>
      </c>
      <c r="H331" s="25">
        <v>202102003</v>
      </c>
      <c r="I331" s="175" t="s">
        <v>157</v>
      </c>
      <c r="J331" s="175" t="s">
        <v>197</v>
      </c>
      <c r="K331" s="175" t="s">
        <v>179</v>
      </c>
      <c r="L331" s="175" t="s">
        <v>160</v>
      </c>
      <c r="M331" s="175" t="s">
        <v>261</v>
      </c>
      <c r="N331" s="175" t="s">
        <v>3011</v>
      </c>
      <c r="O331" s="25">
        <v>0</v>
      </c>
      <c r="P331" s="26" t="str">
        <f>_xlfn.DISPIMG("ID_81E01CE746794A43971E9E864E9A0098",1)</f>
        <v>=DISPIMG("ID_81E01CE746794A43971E9E864E9A0098",1)</v>
      </c>
      <c r="Q331" s="25" t="s">
        <v>3012</v>
      </c>
      <c r="R331" s="25">
        <v>371</v>
      </c>
      <c r="S331" s="40" t="s">
        <v>4609</v>
      </c>
      <c r="T331" s="18" t="s">
        <v>55</v>
      </c>
      <c r="U331" s="25">
        <v>29</v>
      </c>
      <c r="V331" s="84">
        <v>93.5</v>
      </c>
    </row>
    <row r="332" s="3" customFormat="1" customHeight="1" spans="1:22">
      <c r="A332" s="84">
        <v>5</v>
      </c>
      <c r="B332" s="175" t="s">
        <v>2812</v>
      </c>
      <c r="C332" s="175" t="s">
        <v>165</v>
      </c>
      <c r="D332" s="175" t="s">
        <v>2813</v>
      </c>
      <c r="E332" s="25">
        <v>17770890987</v>
      </c>
      <c r="F332" s="175" t="s">
        <v>156</v>
      </c>
      <c r="G332" s="175" t="s">
        <v>13</v>
      </c>
      <c r="H332" s="25">
        <v>202102003</v>
      </c>
      <c r="I332" s="175" t="s">
        <v>157</v>
      </c>
      <c r="J332" s="175" t="s">
        <v>385</v>
      </c>
      <c r="K332" s="175" t="s">
        <v>179</v>
      </c>
      <c r="L332" s="175" t="s">
        <v>170</v>
      </c>
      <c r="M332" s="175" t="s">
        <v>2047</v>
      </c>
      <c r="N332" s="175" t="s">
        <v>1692</v>
      </c>
      <c r="O332" s="175" t="s">
        <v>2815</v>
      </c>
      <c r="P332" s="26" t="str">
        <f>_xlfn.DISPIMG("ID_5757AB93890A4F58A4EA7B46206D2416",1)</f>
        <v>=DISPIMG("ID_5757AB93890A4F58A4EA7B46206D2416",1)</v>
      </c>
      <c r="Q332" s="25" t="s">
        <v>2816</v>
      </c>
      <c r="R332" s="25">
        <v>341</v>
      </c>
      <c r="S332" s="40" t="s">
        <v>4604</v>
      </c>
      <c r="T332" s="18" t="s">
        <v>55</v>
      </c>
      <c r="U332" s="25">
        <v>30</v>
      </c>
      <c r="V332" s="84">
        <v>92.5</v>
      </c>
    </row>
    <row r="333" s="3" customFormat="1" customHeight="1" spans="1:22">
      <c r="A333" s="84">
        <v>6</v>
      </c>
      <c r="B333" s="175" t="s">
        <v>4302</v>
      </c>
      <c r="C333" s="175" t="s">
        <v>165</v>
      </c>
      <c r="D333" s="175" t="s">
        <v>4303</v>
      </c>
      <c r="E333" s="25">
        <v>15279209806</v>
      </c>
      <c r="F333" s="175" t="s">
        <v>506</v>
      </c>
      <c r="G333" s="175" t="s">
        <v>13</v>
      </c>
      <c r="H333" s="25">
        <v>202102016</v>
      </c>
      <c r="I333" s="175" t="s">
        <v>279</v>
      </c>
      <c r="J333" s="175" t="s">
        <v>168</v>
      </c>
      <c r="K333" s="175" t="s">
        <v>223</v>
      </c>
      <c r="L333" s="175" t="s">
        <v>170</v>
      </c>
      <c r="M333" s="175" t="s">
        <v>577</v>
      </c>
      <c r="N333" s="175" t="s">
        <v>487</v>
      </c>
      <c r="O333" s="175" t="s">
        <v>4304</v>
      </c>
      <c r="P333" s="26" t="str">
        <f>_xlfn.DISPIMG("ID_2F1FB7C94C004C5BAD8EEBBBB9C7D0C9",1)</f>
        <v>=DISPIMG("ID_2F1FB7C94C004C5BAD8EEBBBB9C7D0C9",1)</v>
      </c>
      <c r="Q333" s="25" t="s">
        <v>4305</v>
      </c>
      <c r="R333" s="25">
        <v>551</v>
      </c>
      <c r="S333" s="40" t="s">
        <v>4635</v>
      </c>
      <c r="T333" s="18" t="s">
        <v>56</v>
      </c>
      <c r="U333" s="25">
        <v>1</v>
      </c>
      <c r="V333" s="84">
        <v>0</v>
      </c>
    </row>
    <row r="334" s="3" customFormat="1" customHeight="1" spans="1:22">
      <c r="A334" s="84">
        <v>5</v>
      </c>
      <c r="B334" s="175" t="s">
        <v>4295</v>
      </c>
      <c r="C334" s="175" t="s">
        <v>165</v>
      </c>
      <c r="D334" s="175" t="s">
        <v>4296</v>
      </c>
      <c r="E334" s="25">
        <v>18174018729</v>
      </c>
      <c r="F334" s="175" t="s">
        <v>156</v>
      </c>
      <c r="G334" s="175" t="s">
        <v>13</v>
      </c>
      <c r="H334" s="25">
        <v>202102003</v>
      </c>
      <c r="I334" s="175" t="s">
        <v>157</v>
      </c>
      <c r="J334" s="175" t="s">
        <v>3054</v>
      </c>
      <c r="K334" s="175" t="s">
        <v>4298</v>
      </c>
      <c r="L334" s="175" t="s">
        <v>160</v>
      </c>
      <c r="M334" s="175" t="s">
        <v>261</v>
      </c>
      <c r="N334" s="175" t="s">
        <v>13</v>
      </c>
      <c r="O334" s="25">
        <v>0</v>
      </c>
      <c r="P334" s="26" t="str">
        <f>_xlfn.DISPIMG("ID_AB63EA744ECF442183CACE9AA5A6EA85",1)</f>
        <v>=DISPIMG("ID_AB63EA744ECF442183CACE9AA5A6EA85",1)</v>
      </c>
      <c r="Q334" s="25" t="s">
        <v>4299</v>
      </c>
      <c r="R334" s="25">
        <v>550</v>
      </c>
      <c r="S334" s="40" t="s">
        <v>4634</v>
      </c>
      <c r="T334" s="18" t="s">
        <v>56</v>
      </c>
      <c r="U334" s="25">
        <v>2</v>
      </c>
      <c r="V334" s="84">
        <v>84</v>
      </c>
    </row>
    <row r="335" s="3" customFormat="1" customHeight="1" spans="1:22">
      <c r="A335" s="84">
        <v>4</v>
      </c>
      <c r="B335" s="175" t="s">
        <v>4287</v>
      </c>
      <c r="C335" s="175" t="s">
        <v>165</v>
      </c>
      <c r="D335" s="175" t="s">
        <v>4288</v>
      </c>
      <c r="E335" s="25">
        <v>15067121965</v>
      </c>
      <c r="F335" s="175" t="s">
        <v>156</v>
      </c>
      <c r="G335" s="175" t="s">
        <v>13</v>
      </c>
      <c r="H335" s="25">
        <v>202102003</v>
      </c>
      <c r="I335" s="175" t="s">
        <v>279</v>
      </c>
      <c r="J335" s="175" t="s">
        <v>4290</v>
      </c>
      <c r="K335" s="175" t="s">
        <v>4291</v>
      </c>
      <c r="L335" s="175" t="s">
        <v>170</v>
      </c>
      <c r="M335" s="175" t="s">
        <v>224</v>
      </c>
      <c r="N335" s="175" t="s">
        <v>1398</v>
      </c>
      <c r="O335" s="25">
        <v>0</v>
      </c>
      <c r="P335" s="26" t="str">
        <f>_xlfn.DISPIMG("ID_722A9A1419ED4209B5078EB200B4615A",1)</f>
        <v>=DISPIMG("ID_722A9A1419ED4209B5078EB200B4615A",1)</v>
      </c>
      <c r="Q335" s="25" t="s">
        <v>4292</v>
      </c>
      <c r="R335" s="25">
        <v>549</v>
      </c>
      <c r="S335" s="40" t="s">
        <v>4633</v>
      </c>
      <c r="T335" s="18" t="s">
        <v>56</v>
      </c>
      <c r="U335" s="25">
        <v>3</v>
      </c>
      <c r="V335" s="84">
        <v>0</v>
      </c>
    </row>
    <row r="336" s="3" customFormat="1" customHeight="1" spans="1:22">
      <c r="A336" s="84">
        <v>3</v>
      </c>
      <c r="B336" s="175" t="s">
        <v>4280</v>
      </c>
      <c r="C336" s="175" t="s">
        <v>165</v>
      </c>
      <c r="D336" s="175" t="s">
        <v>4281</v>
      </c>
      <c r="E336" s="25">
        <v>15949551660</v>
      </c>
      <c r="F336" s="175" t="s">
        <v>156</v>
      </c>
      <c r="G336" s="175" t="s">
        <v>13</v>
      </c>
      <c r="H336" s="25">
        <v>202102003</v>
      </c>
      <c r="I336" s="175" t="s">
        <v>157</v>
      </c>
      <c r="J336" s="175" t="s">
        <v>158</v>
      </c>
      <c r="K336" s="175" t="s">
        <v>298</v>
      </c>
      <c r="L336" s="175" t="s">
        <v>160</v>
      </c>
      <c r="M336" s="175" t="s">
        <v>252</v>
      </c>
      <c r="N336" s="175" t="s">
        <v>13</v>
      </c>
      <c r="O336" s="175" t="s">
        <v>4283</v>
      </c>
      <c r="P336" s="26" t="str">
        <f>_xlfn.DISPIMG("ID_0A7C024448EB4671A840FBA92AB35983",1)</f>
        <v>=DISPIMG("ID_0A7C024448EB4671A840FBA92AB35983",1)</v>
      </c>
      <c r="Q336" s="25" t="s">
        <v>4284</v>
      </c>
      <c r="R336" s="25">
        <v>548</v>
      </c>
      <c r="S336" s="40" t="s">
        <v>4632</v>
      </c>
      <c r="T336" s="18" t="s">
        <v>56</v>
      </c>
      <c r="U336" s="25">
        <v>4</v>
      </c>
      <c r="V336" s="84">
        <v>0</v>
      </c>
    </row>
    <row r="337" s="3" customFormat="1" customHeight="1" spans="1:22">
      <c r="A337" s="84">
        <v>2</v>
      </c>
      <c r="B337" s="175" t="s">
        <v>4273</v>
      </c>
      <c r="C337" s="175" t="s">
        <v>165</v>
      </c>
      <c r="D337" s="175" t="s">
        <v>4274</v>
      </c>
      <c r="E337" s="25">
        <v>18317912297</v>
      </c>
      <c r="F337" s="175" t="s">
        <v>156</v>
      </c>
      <c r="G337" s="175" t="s">
        <v>13</v>
      </c>
      <c r="H337" s="25">
        <v>202102003</v>
      </c>
      <c r="I337" s="175" t="s">
        <v>157</v>
      </c>
      <c r="J337" s="175" t="s">
        <v>1513</v>
      </c>
      <c r="K337" s="175" t="s">
        <v>1331</v>
      </c>
      <c r="L337" s="175" t="s">
        <v>160</v>
      </c>
      <c r="M337" s="175" t="s">
        <v>368</v>
      </c>
      <c r="N337" s="175" t="s">
        <v>13</v>
      </c>
      <c r="O337" s="175" t="s">
        <v>4276</v>
      </c>
      <c r="P337" s="26" t="str">
        <f>_xlfn.DISPIMG("ID_BFA48D3AEAE641428A104A2BB93F50F8",1)</f>
        <v>=DISPIMG("ID_BFA48D3AEAE641428A104A2BB93F50F8",1)</v>
      </c>
      <c r="Q337" s="25" t="s">
        <v>4277</v>
      </c>
      <c r="R337" s="25">
        <v>547</v>
      </c>
      <c r="S337" s="40" t="s">
        <v>4631</v>
      </c>
      <c r="T337" s="18" t="s">
        <v>56</v>
      </c>
      <c r="U337" s="25">
        <v>5</v>
      </c>
      <c r="V337" s="84">
        <v>86</v>
      </c>
    </row>
    <row r="338" s="3" customFormat="1" customHeight="1" spans="1:22">
      <c r="A338" s="84">
        <v>1</v>
      </c>
      <c r="B338" s="175" t="s">
        <v>4244</v>
      </c>
      <c r="C338" s="175" t="s">
        <v>165</v>
      </c>
      <c r="D338" s="175" t="s">
        <v>4245</v>
      </c>
      <c r="E338" s="25">
        <v>18296230426</v>
      </c>
      <c r="F338" s="175" t="s">
        <v>156</v>
      </c>
      <c r="G338" s="175" t="s">
        <v>13</v>
      </c>
      <c r="H338" s="25">
        <v>202102003</v>
      </c>
      <c r="I338" s="175" t="s">
        <v>157</v>
      </c>
      <c r="J338" s="175" t="s">
        <v>646</v>
      </c>
      <c r="K338" s="175" t="s">
        <v>179</v>
      </c>
      <c r="L338" s="175" t="s">
        <v>160</v>
      </c>
      <c r="M338" s="175" t="s">
        <v>180</v>
      </c>
      <c r="N338" s="175" t="s">
        <v>25</v>
      </c>
      <c r="O338" s="175" t="s">
        <v>4247</v>
      </c>
      <c r="P338" s="26" t="str">
        <f>_xlfn.DISPIMG("ID_36DA19808F4346CB8F6359485B7E0248",1)</f>
        <v>=DISPIMG("ID_36DA19808F4346CB8F6359485B7E0248",1)</v>
      </c>
      <c r="Q338" s="25" t="s">
        <v>4248</v>
      </c>
      <c r="R338" s="25">
        <v>543</v>
      </c>
      <c r="S338" s="40" t="s">
        <v>4630</v>
      </c>
      <c r="T338" s="18" t="s">
        <v>56</v>
      </c>
      <c r="U338" s="25">
        <v>6</v>
      </c>
      <c r="V338" s="84">
        <v>83</v>
      </c>
    </row>
    <row r="339" s="3" customFormat="1" customHeight="1" spans="1:22">
      <c r="A339" s="84">
        <v>7</v>
      </c>
      <c r="B339" s="175" t="s">
        <v>441</v>
      </c>
      <c r="C339" s="175" t="s">
        <v>165</v>
      </c>
      <c r="D339" s="175" t="s">
        <v>442</v>
      </c>
      <c r="E339" s="25">
        <v>15172397471</v>
      </c>
      <c r="F339" s="175" t="s">
        <v>156</v>
      </c>
      <c r="G339" s="175" t="s">
        <v>12</v>
      </c>
      <c r="H339" s="25">
        <v>202102010</v>
      </c>
      <c r="I339" s="175" t="s">
        <v>157</v>
      </c>
      <c r="J339" s="175" t="s">
        <v>444</v>
      </c>
      <c r="K339" s="175" t="s">
        <v>445</v>
      </c>
      <c r="L339" s="175" t="s">
        <v>160</v>
      </c>
      <c r="M339" s="175" t="s">
        <v>252</v>
      </c>
      <c r="N339" s="175" t="s">
        <v>446</v>
      </c>
      <c r="O339" s="175" t="s">
        <v>447</v>
      </c>
      <c r="P339" s="26" t="str">
        <f>_xlfn.DISPIMG("ID_8FDFD8CDACA94911BFEF3051E2235221",1)</f>
        <v>=DISPIMG("ID_8FDFD8CDACA94911BFEF3051E2235221",1)</v>
      </c>
      <c r="Q339" s="25" t="s">
        <v>448</v>
      </c>
      <c r="R339" s="25">
        <v>34</v>
      </c>
      <c r="S339" s="40" t="s">
        <v>4636</v>
      </c>
      <c r="T339" s="18" t="s">
        <v>56</v>
      </c>
      <c r="U339" s="25">
        <v>7</v>
      </c>
      <c r="V339" s="84">
        <v>0</v>
      </c>
    </row>
    <row r="340" s="3" customFormat="1" customHeight="1" spans="1:22">
      <c r="A340" s="84">
        <v>8</v>
      </c>
      <c r="B340" s="175" t="s">
        <v>906</v>
      </c>
      <c r="C340" s="175" t="s">
        <v>165</v>
      </c>
      <c r="D340" s="175" t="s">
        <v>907</v>
      </c>
      <c r="E340" s="25">
        <v>18872969481</v>
      </c>
      <c r="F340" s="175" t="s">
        <v>156</v>
      </c>
      <c r="G340" s="175" t="s">
        <v>12</v>
      </c>
      <c r="H340" s="25">
        <v>202102010</v>
      </c>
      <c r="I340" s="175" t="s">
        <v>157</v>
      </c>
      <c r="J340" s="175" t="s">
        <v>909</v>
      </c>
      <c r="K340" s="175" t="s">
        <v>445</v>
      </c>
      <c r="L340" s="175" t="s">
        <v>170</v>
      </c>
      <c r="M340" s="175" t="s">
        <v>910</v>
      </c>
      <c r="N340" s="175" t="s">
        <v>911</v>
      </c>
      <c r="O340" s="175" t="s">
        <v>912</v>
      </c>
      <c r="P340" s="26" t="str">
        <f>_xlfn.DISPIMG("ID_5478E78BEF25454AA0569457DA503AEE",1)</f>
        <v>=DISPIMG("ID_5478E78BEF25454AA0569457DA503AEE",1)</v>
      </c>
      <c r="Q340" s="25" t="s">
        <v>913</v>
      </c>
      <c r="R340" s="25">
        <v>91</v>
      </c>
      <c r="S340" s="40" t="s">
        <v>4637</v>
      </c>
      <c r="T340" s="18" t="s">
        <v>56</v>
      </c>
      <c r="U340" s="25">
        <v>8</v>
      </c>
      <c r="V340" s="84">
        <v>54</v>
      </c>
    </row>
    <row r="341" s="3" customFormat="1" customHeight="1" spans="1:22">
      <c r="A341" s="84">
        <v>9</v>
      </c>
      <c r="B341" s="175" t="s">
        <v>1034</v>
      </c>
      <c r="C341" s="175" t="s">
        <v>165</v>
      </c>
      <c r="D341" s="175" t="s">
        <v>1035</v>
      </c>
      <c r="E341" s="25">
        <v>18270651805</v>
      </c>
      <c r="F341" s="175" t="s">
        <v>156</v>
      </c>
      <c r="G341" s="175" t="s">
        <v>12</v>
      </c>
      <c r="H341" s="25">
        <v>202102010</v>
      </c>
      <c r="I341" s="175" t="s">
        <v>157</v>
      </c>
      <c r="J341" s="175" t="s">
        <v>178</v>
      </c>
      <c r="K341" s="175" t="s">
        <v>1037</v>
      </c>
      <c r="L341" s="175" t="s">
        <v>170</v>
      </c>
      <c r="M341" s="175" t="s">
        <v>161</v>
      </c>
      <c r="N341" s="175" t="s">
        <v>1038</v>
      </c>
      <c r="O341" s="175" t="s">
        <v>1039</v>
      </c>
      <c r="P341" s="26" t="str">
        <f>_xlfn.DISPIMG("ID_0FA5FFDB4D0442D5AB7C6CB6A0A51E2D",1)</f>
        <v>=DISPIMG("ID_0FA5FFDB4D0442D5AB7C6CB6A0A51E2D",1)</v>
      </c>
      <c r="Q341" s="25" t="s">
        <v>1040</v>
      </c>
      <c r="R341" s="25">
        <v>106</v>
      </c>
      <c r="S341" s="40" t="s">
        <v>4638</v>
      </c>
      <c r="T341" s="18" t="s">
        <v>56</v>
      </c>
      <c r="U341" s="25">
        <v>9</v>
      </c>
      <c r="V341" s="84">
        <v>78.5</v>
      </c>
    </row>
    <row r="342" s="3" customFormat="1" customHeight="1" spans="1:22">
      <c r="A342" s="84">
        <v>10</v>
      </c>
      <c r="B342" s="175" t="s">
        <v>1153</v>
      </c>
      <c r="C342" s="175" t="s">
        <v>165</v>
      </c>
      <c r="D342" s="175" t="s">
        <v>1154</v>
      </c>
      <c r="E342" s="25">
        <v>13803552587</v>
      </c>
      <c r="F342" s="175" t="s">
        <v>156</v>
      </c>
      <c r="G342" s="175" t="s">
        <v>12</v>
      </c>
      <c r="H342" s="25">
        <v>202102010</v>
      </c>
      <c r="I342" s="175" t="s">
        <v>157</v>
      </c>
      <c r="J342" s="175" t="s">
        <v>385</v>
      </c>
      <c r="K342" s="175" t="s">
        <v>445</v>
      </c>
      <c r="L342" s="175" t="s">
        <v>160</v>
      </c>
      <c r="M342" s="175" t="s">
        <v>261</v>
      </c>
      <c r="N342" s="175" t="s">
        <v>1156</v>
      </c>
      <c r="O342" s="175" t="s">
        <v>1157</v>
      </c>
      <c r="P342" s="26" t="str">
        <f>_xlfn.DISPIMG("ID_2A6402E44B2C4CB5B00B003CEEB85AA0",1)</f>
        <v>=DISPIMG("ID_2A6402E44B2C4CB5B00B003CEEB85AA0",1)</v>
      </c>
      <c r="Q342" s="25" t="s">
        <v>1158</v>
      </c>
      <c r="R342" s="25">
        <v>121</v>
      </c>
      <c r="S342" s="40" t="s">
        <v>4642</v>
      </c>
      <c r="T342" s="18" t="s">
        <v>56</v>
      </c>
      <c r="U342" s="25">
        <v>10</v>
      </c>
      <c r="V342" s="84">
        <v>71.5</v>
      </c>
    </row>
    <row r="343" s="3" customFormat="1" customHeight="1" spans="1:22">
      <c r="A343" s="84">
        <v>12</v>
      </c>
      <c r="B343" s="175" t="s">
        <v>2240</v>
      </c>
      <c r="C343" s="175" t="s">
        <v>153</v>
      </c>
      <c r="D343" s="175" t="s">
        <v>2241</v>
      </c>
      <c r="E343" s="25">
        <v>18079253586</v>
      </c>
      <c r="F343" s="175" t="s">
        <v>156</v>
      </c>
      <c r="G343" s="175" t="s">
        <v>12</v>
      </c>
      <c r="H343" s="25">
        <v>202102010</v>
      </c>
      <c r="I343" s="175" t="s">
        <v>157</v>
      </c>
      <c r="J343" s="175" t="s">
        <v>2243</v>
      </c>
      <c r="K343" s="175" t="s">
        <v>445</v>
      </c>
      <c r="L343" s="175" t="s">
        <v>160</v>
      </c>
      <c r="M343" s="175" t="s">
        <v>368</v>
      </c>
      <c r="N343" s="175" t="s">
        <v>2244</v>
      </c>
      <c r="O343" s="175" t="s">
        <v>2245</v>
      </c>
      <c r="P343" s="26" t="str">
        <f>_xlfn.DISPIMG("ID_36DB22886E2542F0B08D8BC7EEC58760",1)</f>
        <v>=DISPIMG("ID_36DB22886E2542F0B08D8BC7EEC58760",1)</v>
      </c>
      <c r="Q343" s="25" t="s">
        <v>2246</v>
      </c>
      <c r="R343" s="25">
        <v>264</v>
      </c>
      <c r="S343" s="40" t="s">
        <v>4647</v>
      </c>
      <c r="T343" s="18" t="s">
        <v>56</v>
      </c>
      <c r="U343" s="25">
        <v>11</v>
      </c>
      <c r="V343" s="84">
        <v>36</v>
      </c>
    </row>
    <row r="344" s="3" customFormat="1" customHeight="1" spans="1:22">
      <c r="A344" s="84">
        <v>14</v>
      </c>
      <c r="B344" s="175" t="s">
        <v>4134</v>
      </c>
      <c r="C344" s="175" t="s">
        <v>165</v>
      </c>
      <c r="D344" s="175" t="s">
        <v>4135</v>
      </c>
      <c r="E344" s="25">
        <v>15207926555</v>
      </c>
      <c r="F344" s="175" t="s">
        <v>156</v>
      </c>
      <c r="G344" s="175" t="s">
        <v>12</v>
      </c>
      <c r="H344" s="25">
        <v>202102010</v>
      </c>
      <c r="I344" s="175" t="s">
        <v>157</v>
      </c>
      <c r="J344" s="175" t="s">
        <v>4137</v>
      </c>
      <c r="K344" s="175" t="s">
        <v>1442</v>
      </c>
      <c r="L344" s="175" t="s">
        <v>160</v>
      </c>
      <c r="M344" s="175" t="s">
        <v>368</v>
      </c>
      <c r="N344" s="175" t="s">
        <v>4138</v>
      </c>
      <c r="O344" s="25">
        <v>0</v>
      </c>
      <c r="P344" s="26" t="str">
        <f>_xlfn.DISPIMG("ID_911EFC838815489D872B9030D6735741",1)</f>
        <v>=DISPIMG("ID_911EFC838815489D872B9030D6735741",1)</v>
      </c>
      <c r="Q344" s="25" t="s">
        <v>4139</v>
      </c>
      <c r="R344" s="25">
        <v>529</v>
      </c>
      <c r="S344" s="40" t="s">
        <v>4652</v>
      </c>
      <c r="T344" s="18" t="s">
        <v>56</v>
      </c>
      <c r="U344" s="25">
        <v>12</v>
      </c>
      <c r="V344" s="84">
        <v>0</v>
      </c>
    </row>
    <row r="345" s="3" customFormat="1" customHeight="1" spans="1:22">
      <c r="A345" s="84">
        <v>15</v>
      </c>
      <c r="B345" s="175" t="s">
        <v>4198</v>
      </c>
      <c r="C345" s="175" t="s">
        <v>165</v>
      </c>
      <c r="D345" s="175" t="s">
        <v>4199</v>
      </c>
      <c r="E345" s="25">
        <v>18160796883</v>
      </c>
      <c r="F345" s="175" t="s">
        <v>156</v>
      </c>
      <c r="G345" s="175" t="s">
        <v>12</v>
      </c>
      <c r="H345" s="25">
        <v>202102010</v>
      </c>
      <c r="I345" s="175" t="s">
        <v>157</v>
      </c>
      <c r="J345" s="175" t="s">
        <v>4201</v>
      </c>
      <c r="K345" s="175" t="s">
        <v>445</v>
      </c>
      <c r="L345" s="175" t="s">
        <v>170</v>
      </c>
      <c r="M345" s="175" t="s">
        <v>199</v>
      </c>
      <c r="N345" s="175" t="s">
        <v>359</v>
      </c>
      <c r="O345" s="175" t="s">
        <v>4202</v>
      </c>
      <c r="P345" s="26" t="str">
        <f>_xlfn.DISPIMG("ID_85E134BF0AB1468FAAB0CB1A9F9C4F34",1)</f>
        <v>=DISPIMG("ID_85E134BF0AB1468FAAB0CB1A9F9C4F34",1)</v>
      </c>
      <c r="Q345" s="25" t="s">
        <v>4203</v>
      </c>
      <c r="R345" s="25">
        <v>537</v>
      </c>
      <c r="S345" s="40" t="s">
        <v>4653</v>
      </c>
      <c r="T345" s="18" t="s">
        <v>56</v>
      </c>
      <c r="U345" s="25">
        <v>13</v>
      </c>
      <c r="V345" s="84">
        <v>0</v>
      </c>
    </row>
    <row r="346" s="3" customFormat="1" customHeight="1" spans="1:22">
      <c r="A346" s="84">
        <v>13</v>
      </c>
      <c r="B346" s="175" t="s">
        <v>3274</v>
      </c>
      <c r="C346" s="175" t="s">
        <v>165</v>
      </c>
      <c r="D346" s="175" t="s">
        <v>3275</v>
      </c>
      <c r="E346" s="25">
        <v>15870802185</v>
      </c>
      <c r="F346" s="175" t="s">
        <v>156</v>
      </c>
      <c r="G346" s="175" t="s">
        <v>12</v>
      </c>
      <c r="H346" s="25">
        <v>202102010</v>
      </c>
      <c r="I346" s="175" t="s">
        <v>157</v>
      </c>
      <c r="J346" s="175" t="s">
        <v>3276</v>
      </c>
      <c r="K346" s="175" t="s">
        <v>3277</v>
      </c>
      <c r="L346" s="175" t="s">
        <v>170</v>
      </c>
      <c r="M346" s="175" t="s">
        <v>516</v>
      </c>
      <c r="N346" s="175" t="s">
        <v>3278</v>
      </c>
      <c r="O346" s="175" t="s">
        <v>3279</v>
      </c>
      <c r="P346" s="26" t="str">
        <f>_xlfn.DISPIMG("ID_CA7F81D47ACB4FA38E0278F330AEC9F9",1)</f>
        <v>=DISPIMG("ID_CA7F81D47ACB4FA38E0278F330AEC9F9",1)</v>
      </c>
      <c r="Q346" s="25" t="s">
        <v>3280</v>
      </c>
      <c r="R346" s="25">
        <v>409</v>
      </c>
      <c r="S346" s="40" t="s">
        <v>4648</v>
      </c>
      <c r="T346" s="18" t="s">
        <v>56</v>
      </c>
      <c r="U346" s="25">
        <v>14</v>
      </c>
      <c r="V346" s="84">
        <v>60</v>
      </c>
    </row>
    <row r="347" s="3" customFormat="1" customHeight="1" spans="1:22">
      <c r="A347" s="84">
        <v>11</v>
      </c>
      <c r="B347" s="175" t="s">
        <v>1439</v>
      </c>
      <c r="C347" s="175" t="s">
        <v>165</v>
      </c>
      <c r="D347" s="175" t="s">
        <v>1440</v>
      </c>
      <c r="E347" s="25">
        <v>13687083396</v>
      </c>
      <c r="F347" s="175" t="s">
        <v>156</v>
      </c>
      <c r="G347" s="175" t="s">
        <v>12</v>
      </c>
      <c r="H347" s="25">
        <v>202102010</v>
      </c>
      <c r="I347" s="175" t="s">
        <v>157</v>
      </c>
      <c r="J347" s="175" t="s">
        <v>444</v>
      </c>
      <c r="K347" s="175" t="s">
        <v>1442</v>
      </c>
      <c r="L347" s="175" t="s">
        <v>160</v>
      </c>
      <c r="M347" s="175" t="s">
        <v>396</v>
      </c>
      <c r="N347" s="175" t="s">
        <v>24</v>
      </c>
      <c r="O347" s="25">
        <v>0</v>
      </c>
      <c r="P347" s="26" t="str">
        <f>_xlfn.DISPIMG("ID_4F7FAD79CF244D82AC4A116B39238E93",1)</f>
        <v>=DISPIMG("ID_4F7FAD79CF244D82AC4A116B39238E93",1)</v>
      </c>
      <c r="Q347" s="25" t="s">
        <v>1443</v>
      </c>
      <c r="R347" s="25">
        <v>159</v>
      </c>
      <c r="S347" s="40" t="s">
        <v>4643</v>
      </c>
      <c r="T347" s="18" t="s">
        <v>56</v>
      </c>
      <c r="U347" s="25">
        <v>15</v>
      </c>
      <c r="V347" s="84">
        <v>0</v>
      </c>
    </row>
    <row r="348" s="3" customFormat="1" customHeight="1" spans="1:22">
      <c r="A348" s="84">
        <v>20</v>
      </c>
      <c r="B348" s="175" t="s">
        <v>1846</v>
      </c>
      <c r="C348" s="175" t="s">
        <v>165</v>
      </c>
      <c r="D348" s="175" t="s">
        <v>1847</v>
      </c>
      <c r="E348" s="25">
        <v>18879254089</v>
      </c>
      <c r="F348" s="175" t="s">
        <v>156</v>
      </c>
      <c r="G348" s="175" t="s">
        <v>5</v>
      </c>
      <c r="H348" s="25">
        <v>202102008</v>
      </c>
      <c r="I348" s="175" t="s">
        <v>279</v>
      </c>
      <c r="J348" s="175" t="s">
        <v>158</v>
      </c>
      <c r="K348" s="175" t="s">
        <v>1849</v>
      </c>
      <c r="L348" s="175" t="s">
        <v>170</v>
      </c>
      <c r="M348" s="175" t="s">
        <v>396</v>
      </c>
      <c r="N348" s="175" t="s">
        <v>1850</v>
      </c>
      <c r="O348" s="175" t="s">
        <v>1851</v>
      </c>
      <c r="P348" s="26" t="str">
        <f>_xlfn.DISPIMG("ID_19DBAF911A5F41D795A3B7585DA543D3",1)</f>
        <v>=DISPIMG("ID_19DBAF911A5F41D795A3B7585DA543D3",1)</v>
      </c>
      <c r="Q348" s="25" t="s">
        <v>1852</v>
      </c>
      <c r="R348" s="25">
        <v>211</v>
      </c>
      <c r="S348" s="40" t="s">
        <v>4664</v>
      </c>
      <c r="T348" s="18" t="s">
        <v>56</v>
      </c>
      <c r="U348" s="25">
        <v>16</v>
      </c>
      <c r="V348" s="84">
        <v>90</v>
      </c>
    </row>
    <row r="349" s="3" customFormat="1" customHeight="1" spans="1:22">
      <c r="A349" s="84">
        <v>18</v>
      </c>
      <c r="B349" s="175" t="s">
        <v>1630</v>
      </c>
      <c r="C349" s="175" t="s">
        <v>153</v>
      </c>
      <c r="D349" s="175" t="s">
        <v>1631</v>
      </c>
      <c r="E349" s="25">
        <v>18437922593</v>
      </c>
      <c r="F349" s="175" t="s">
        <v>156</v>
      </c>
      <c r="G349" s="175" t="s">
        <v>5</v>
      </c>
      <c r="H349" s="25">
        <v>202102008</v>
      </c>
      <c r="I349" s="175" t="s">
        <v>157</v>
      </c>
      <c r="J349" s="175" t="s">
        <v>1633</v>
      </c>
      <c r="K349" s="175" t="s">
        <v>280</v>
      </c>
      <c r="L349" s="175" t="s">
        <v>170</v>
      </c>
      <c r="M349" s="175" t="s">
        <v>199</v>
      </c>
      <c r="N349" s="175" t="s">
        <v>5</v>
      </c>
      <c r="O349" s="25">
        <v>0</v>
      </c>
      <c r="P349" s="26" t="str">
        <f>_xlfn.DISPIMG("ID_30389EE5D2254B4693F3D201E2C25479",1)</f>
        <v>=DISPIMG("ID_30389EE5D2254B4693F3D201E2C25479",1)</v>
      </c>
      <c r="Q349" s="25" t="s">
        <v>1634</v>
      </c>
      <c r="R349" s="25">
        <v>183</v>
      </c>
      <c r="S349" s="40" t="s">
        <v>4662</v>
      </c>
      <c r="T349" s="18" t="s">
        <v>56</v>
      </c>
      <c r="U349" s="25">
        <v>17</v>
      </c>
      <c r="V349" s="84">
        <v>89</v>
      </c>
    </row>
    <row r="350" s="3" customFormat="1" customHeight="1" spans="1:22">
      <c r="A350" s="84">
        <v>16</v>
      </c>
      <c r="B350" s="175" t="s">
        <v>239</v>
      </c>
      <c r="C350" s="175" t="s">
        <v>165</v>
      </c>
      <c r="D350" s="175" t="s">
        <v>240</v>
      </c>
      <c r="E350" s="25">
        <v>13697988167</v>
      </c>
      <c r="F350" s="175" t="s">
        <v>156</v>
      </c>
      <c r="G350" s="175" t="s">
        <v>5</v>
      </c>
      <c r="H350" s="25">
        <v>202102008</v>
      </c>
      <c r="I350" s="175" t="s">
        <v>157</v>
      </c>
      <c r="J350" s="175" t="s">
        <v>242</v>
      </c>
      <c r="K350" s="175" t="s">
        <v>243</v>
      </c>
      <c r="L350" s="175" t="s">
        <v>160</v>
      </c>
      <c r="M350" s="175" t="s">
        <v>161</v>
      </c>
      <c r="N350" s="175" t="s">
        <v>5</v>
      </c>
      <c r="O350" s="25">
        <v>0</v>
      </c>
      <c r="P350" s="26" t="str">
        <f>_xlfn.DISPIMG("ID_9CBFB21D3F5B4658948522EF0C2AECE4",1)</f>
        <v>=DISPIMG("ID_9CBFB21D3F5B4658948522EF0C2AECE4",1)</v>
      </c>
      <c r="Q350" s="25" t="s">
        <v>244</v>
      </c>
      <c r="R350" s="25">
        <v>11</v>
      </c>
      <c r="S350" s="40" t="s">
        <v>4657</v>
      </c>
      <c r="T350" s="18" t="s">
        <v>56</v>
      </c>
      <c r="U350" s="25">
        <v>18</v>
      </c>
      <c r="V350" s="84">
        <v>70</v>
      </c>
    </row>
    <row r="351" s="3" customFormat="1" customHeight="1" spans="1:22">
      <c r="A351" s="84">
        <v>17</v>
      </c>
      <c r="B351" s="175" t="s">
        <v>286</v>
      </c>
      <c r="C351" s="175" t="s">
        <v>153</v>
      </c>
      <c r="D351" s="175" t="s">
        <v>287</v>
      </c>
      <c r="E351" s="25">
        <v>18755672832</v>
      </c>
      <c r="F351" s="175" t="s">
        <v>156</v>
      </c>
      <c r="G351" s="175" t="s">
        <v>5</v>
      </c>
      <c r="H351" s="25">
        <v>202102008</v>
      </c>
      <c r="I351" s="175" t="s">
        <v>157</v>
      </c>
      <c r="J351" s="175" t="s">
        <v>289</v>
      </c>
      <c r="K351" s="175" t="s">
        <v>290</v>
      </c>
      <c r="L351" s="175" t="s">
        <v>170</v>
      </c>
      <c r="M351" s="175" t="s">
        <v>261</v>
      </c>
      <c r="N351" s="175" t="s">
        <v>5</v>
      </c>
      <c r="O351" s="25">
        <v>0</v>
      </c>
      <c r="P351" s="26" t="str">
        <f>_xlfn.DISPIMG("ID_5BB4AA0F377240A584934BCE0D4B941B",1)</f>
        <v>=DISPIMG("ID_5BB4AA0F377240A584934BCE0D4B941B",1)</v>
      </c>
      <c r="Q351" s="25" t="s">
        <v>291</v>
      </c>
      <c r="R351" s="25">
        <v>16</v>
      </c>
      <c r="S351" s="40" t="s">
        <v>4658</v>
      </c>
      <c r="T351" s="18" t="s">
        <v>56</v>
      </c>
      <c r="U351" s="25">
        <v>19</v>
      </c>
      <c r="V351" s="84">
        <v>81</v>
      </c>
    </row>
    <row r="352" s="3" customFormat="1" customHeight="1" spans="1:22">
      <c r="A352" s="84">
        <v>19</v>
      </c>
      <c r="B352" s="175" t="s">
        <v>1706</v>
      </c>
      <c r="C352" s="175" t="s">
        <v>153</v>
      </c>
      <c r="D352" s="175" t="s">
        <v>1707</v>
      </c>
      <c r="E352" s="25">
        <v>15070040825</v>
      </c>
      <c r="F352" s="175" t="s">
        <v>506</v>
      </c>
      <c r="G352" s="175" t="s">
        <v>5</v>
      </c>
      <c r="H352" s="25">
        <v>202102020</v>
      </c>
      <c r="I352" s="175" t="s">
        <v>157</v>
      </c>
      <c r="J352" s="175" t="s">
        <v>789</v>
      </c>
      <c r="K352" s="175" t="s">
        <v>1709</v>
      </c>
      <c r="L352" s="175" t="s">
        <v>160</v>
      </c>
      <c r="M352" s="175" t="s">
        <v>1346</v>
      </c>
      <c r="N352" s="175" t="s">
        <v>1710</v>
      </c>
      <c r="O352" s="175" t="s">
        <v>1711</v>
      </c>
      <c r="P352" s="26" t="str">
        <f>_xlfn.DISPIMG("ID_B3E8781AF7454377842FD7EC53A6E781",1)</f>
        <v>=DISPIMG("ID_B3E8781AF7454377842FD7EC53A6E781",1)</v>
      </c>
      <c r="Q352" s="25" t="s">
        <v>1712</v>
      </c>
      <c r="R352" s="25">
        <v>193</v>
      </c>
      <c r="S352" s="40" t="s">
        <v>4663</v>
      </c>
      <c r="T352" s="18" t="s">
        <v>56</v>
      </c>
      <c r="U352" s="25">
        <v>20</v>
      </c>
      <c r="V352" s="84">
        <v>80</v>
      </c>
    </row>
    <row r="353" s="3" customFormat="1" customHeight="1" spans="1:22">
      <c r="A353" s="84">
        <v>21</v>
      </c>
      <c r="B353" s="175" t="s">
        <v>2294</v>
      </c>
      <c r="C353" s="175" t="s">
        <v>153</v>
      </c>
      <c r="D353" s="175" t="s">
        <v>2295</v>
      </c>
      <c r="E353" s="25">
        <v>18179457855</v>
      </c>
      <c r="F353" s="175" t="s">
        <v>156</v>
      </c>
      <c r="G353" s="175" t="s">
        <v>5</v>
      </c>
      <c r="H353" s="25">
        <v>202102008</v>
      </c>
      <c r="I353" s="175" t="s">
        <v>157</v>
      </c>
      <c r="J353" s="175" t="s">
        <v>1654</v>
      </c>
      <c r="K353" s="175" t="s">
        <v>2297</v>
      </c>
      <c r="L353" s="175" t="s">
        <v>160</v>
      </c>
      <c r="M353" s="175" t="s">
        <v>2298</v>
      </c>
      <c r="N353" s="175" t="s">
        <v>2299</v>
      </c>
      <c r="O353" s="25">
        <v>0</v>
      </c>
      <c r="P353" s="26" t="str">
        <f>_xlfn.DISPIMG("ID_2348B3C3CCB6443B92AD1A08F0A487FA",1)</f>
        <v>=DISPIMG("ID_2348B3C3CCB6443B92AD1A08F0A487FA",1)</v>
      </c>
      <c r="Q353" s="25" t="s">
        <v>2300</v>
      </c>
      <c r="R353" s="25">
        <v>271</v>
      </c>
      <c r="S353" s="40" t="s">
        <v>4639</v>
      </c>
      <c r="T353" s="18" t="s">
        <v>56</v>
      </c>
      <c r="U353" s="25">
        <v>21</v>
      </c>
      <c r="V353" s="84">
        <v>75</v>
      </c>
    </row>
    <row r="354" s="3" customFormat="1" customHeight="1" spans="1:22">
      <c r="A354" s="84">
        <v>22</v>
      </c>
      <c r="B354" s="175" t="s">
        <v>2459</v>
      </c>
      <c r="C354" s="175" t="s">
        <v>165</v>
      </c>
      <c r="D354" s="175" t="s">
        <v>2460</v>
      </c>
      <c r="E354" s="25">
        <v>18702519372</v>
      </c>
      <c r="F354" s="175" t="s">
        <v>156</v>
      </c>
      <c r="G354" s="175" t="s">
        <v>5</v>
      </c>
      <c r="H354" s="25">
        <v>202102008</v>
      </c>
      <c r="I354" s="175" t="s">
        <v>279</v>
      </c>
      <c r="J354" s="175" t="s">
        <v>662</v>
      </c>
      <c r="K354" s="175" t="s">
        <v>348</v>
      </c>
      <c r="L354" s="175" t="s">
        <v>170</v>
      </c>
      <c r="M354" s="175" t="s">
        <v>199</v>
      </c>
      <c r="N354" s="175" t="s">
        <v>2462</v>
      </c>
      <c r="O354" s="25">
        <v>0</v>
      </c>
      <c r="P354" s="26" t="str">
        <f>_xlfn.DISPIMG("ID_C162899F9DDD4F8CA771F69FFB2795AD",1)</f>
        <v>=DISPIMG("ID_C162899F9DDD4F8CA771F69FFB2795AD",1)</v>
      </c>
      <c r="Q354" s="25" t="s">
        <v>2463</v>
      </c>
      <c r="R354" s="25">
        <v>293</v>
      </c>
      <c r="S354" s="40" t="s">
        <v>4640</v>
      </c>
      <c r="T354" s="18" t="s">
        <v>56</v>
      </c>
      <c r="U354" s="25">
        <v>22</v>
      </c>
      <c r="V354" s="84">
        <v>85</v>
      </c>
    </row>
    <row r="355" s="3" customFormat="1" customHeight="1" spans="1:22">
      <c r="A355" s="84">
        <v>23</v>
      </c>
      <c r="B355" s="175" t="s">
        <v>3873</v>
      </c>
      <c r="C355" s="175" t="s">
        <v>153</v>
      </c>
      <c r="D355" s="175" t="s">
        <v>3874</v>
      </c>
      <c r="E355" s="25">
        <v>13317434772</v>
      </c>
      <c r="F355" s="175" t="s">
        <v>156</v>
      </c>
      <c r="G355" s="175" t="s">
        <v>5</v>
      </c>
      <c r="H355" s="25">
        <v>202102008</v>
      </c>
      <c r="I355" s="175" t="s">
        <v>157</v>
      </c>
      <c r="J355" s="175" t="s">
        <v>3876</v>
      </c>
      <c r="K355" s="175" t="s">
        <v>290</v>
      </c>
      <c r="L355" s="175" t="s">
        <v>170</v>
      </c>
      <c r="M355" s="175" t="s">
        <v>171</v>
      </c>
      <c r="N355" s="175" t="s">
        <v>1064</v>
      </c>
      <c r="O355" s="175" t="s">
        <v>3877</v>
      </c>
      <c r="P355" s="26" t="str">
        <f>_xlfn.DISPIMG("ID_707B86616C5E4D0A96852FA2ECC7652E",1)</f>
        <v>=DISPIMG("ID_707B86616C5E4D0A96852FA2ECC7652E",1)</v>
      </c>
      <c r="Q355" s="25" t="s">
        <v>3878</v>
      </c>
      <c r="R355" s="25">
        <v>494</v>
      </c>
      <c r="S355" s="40" t="s">
        <v>4644</v>
      </c>
      <c r="T355" s="18" t="s">
        <v>56</v>
      </c>
      <c r="U355" s="25">
        <v>23</v>
      </c>
      <c r="V355" s="84">
        <v>89</v>
      </c>
    </row>
    <row r="356" s="3" customFormat="1" customHeight="1" spans="1:22">
      <c r="A356" s="84"/>
      <c r="B356" s="25"/>
      <c r="C356" s="25"/>
      <c r="D356" s="25"/>
      <c r="E356" s="25"/>
      <c r="F356" s="25"/>
      <c r="G356" s="25"/>
      <c r="H356" s="25"/>
      <c r="I356" s="25"/>
      <c r="J356" s="25"/>
      <c r="K356" s="25"/>
      <c r="L356" s="25"/>
      <c r="M356" s="25"/>
      <c r="N356" s="25"/>
      <c r="O356" s="25"/>
      <c r="P356" s="26"/>
      <c r="Q356" s="25"/>
      <c r="R356" s="25"/>
      <c r="S356" s="40"/>
      <c r="T356" s="18"/>
      <c r="U356" s="25"/>
      <c r="V356" s="84"/>
    </row>
    <row r="357" s="3" customFormat="1" customHeight="1" spans="1:22">
      <c r="A357" s="84"/>
      <c r="B357" s="25"/>
      <c r="C357" s="25"/>
      <c r="D357" s="25"/>
      <c r="E357" s="25"/>
      <c r="F357" s="25"/>
      <c r="G357" s="25"/>
      <c r="H357" s="25"/>
      <c r="I357" s="25"/>
      <c r="J357" s="25"/>
      <c r="K357" s="25"/>
      <c r="L357" s="25"/>
      <c r="M357" s="25"/>
      <c r="N357" s="25"/>
      <c r="O357" s="25"/>
      <c r="P357" s="26"/>
      <c r="Q357" s="25"/>
      <c r="R357" s="25"/>
      <c r="S357" s="40"/>
      <c r="T357" s="18"/>
      <c r="U357" s="25"/>
      <c r="V357" s="84"/>
    </row>
    <row r="358" s="3" customFormat="1" customHeight="1" spans="1:22">
      <c r="A358" s="84"/>
      <c r="B358" s="25"/>
      <c r="C358" s="25"/>
      <c r="D358" s="25"/>
      <c r="E358" s="25"/>
      <c r="F358" s="25"/>
      <c r="G358" s="25"/>
      <c r="H358" s="25"/>
      <c r="I358" s="25"/>
      <c r="J358" s="25"/>
      <c r="K358" s="25"/>
      <c r="L358" s="25"/>
      <c r="M358" s="25"/>
      <c r="N358" s="25"/>
      <c r="O358" s="25"/>
      <c r="P358" s="26"/>
      <c r="Q358" s="25"/>
      <c r="R358" s="25"/>
      <c r="S358" s="40"/>
      <c r="T358" s="18"/>
      <c r="U358" s="25"/>
      <c r="V358" s="84"/>
    </row>
    <row r="359" s="3" customFormat="1" customHeight="1" spans="1:22">
      <c r="A359" s="84"/>
      <c r="B359" s="25"/>
      <c r="C359" s="25"/>
      <c r="D359" s="25"/>
      <c r="E359" s="25"/>
      <c r="F359" s="25"/>
      <c r="G359" s="25"/>
      <c r="H359" s="25"/>
      <c r="I359" s="25"/>
      <c r="J359" s="25"/>
      <c r="K359" s="25"/>
      <c r="L359" s="25"/>
      <c r="M359" s="25"/>
      <c r="N359" s="25"/>
      <c r="O359" s="25"/>
      <c r="P359" s="26"/>
      <c r="Q359" s="25"/>
      <c r="R359" s="25"/>
      <c r="S359" s="40"/>
      <c r="T359" s="18"/>
      <c r="U359" s="25"/>
      <c r="V359" s="84"/>
    </row>
    <row r="360" s="3" customFormat="1" customHeight="1" spans="1:22">
      <c r="A360" s="84"/>
      <c r="B360" s="25"/>
      <c r="C360" s="25"/>
      <c r="D360" s="25"/>
      <c r="E360" s="25"/>
      <c r="F360" s="25"/>
      <c r="G360" s="25"/>
      <c r="H360" s="25"/>
      <c r="I360" s="25"/>
      <c r="J360" s="25"/>
      <c r="K360" s="25"/>
      <c r="L360" s="25"/>
      <c r="M360" s="25"/>
      <c r="N360" s="25"/>
      <c r="O360" s="25"/>
      <c r="P360" s="26"/>
      <c r="Q360" s="25"/>
      <c r="R360" s="25"/>
      <c r="S360" s="40"/>
      <c r="T360" s="18"/>
      <c r="U360" s="25"/>
      <c r="V360" s="84"/>
    </row>
    <row r="361" s="3" customFormat="1" customHeight="1" spans="1:22">
      <c r="A361" s="84"/>
      <c r="B361" s="25"/>
      <c r="C361" s="25"/>
      <c r="D361" s="25"/>
      <c r="E361" s="25"/>
      <c r="F361" s="25"/>
      <c r="G361" s="25"/>
      <c r="H361" s="25"/>
      <c r="I361" s="25"/>
      <c r="J361" s="25"/>
      <c r="K361" s="25"/>
      <c r="L361" s="25"/>
      <c r="M361" s="25"/>
      <c r="N361" s="25"/>
      <c r="O361" s="25"/>
      <c r="P361" s="26"/>
      <c r="Q361" s="25"/>
      <c r="R361" s="25"/>
      <c r="S361" s="40"/>
      <c r="T361" s="18"/>
      <c r="U361" s="25"/>
      <c r="V361" s="84"/>
    </row>
    <row r="362" s="3" customFormat="1" customHeight="1" spans="1:22">
      <c r="A362" s="84"/>
      <c r="B362" s="25"/>
      <c r="C362" s="25"/>
      <c r="D362" s="25"/>
      <c r="E362" s="25"/>
      <c r="F362" s="25"/>
      <c r="G362" s="25"/>
      <c r="H362" s="25"/>
      <c r="I362" s="25"/>
      <c r="J362" s="25"/>
      <c r="K362" s="25"/>
      <c r="L362" s="25"/>
      <c r="M362" s="25"/>
      <c r="N362" s="25"/>
      <c r="O362" s="25"/>
      <c r="P362" s="26"/>
      <c r="Q362" s="25"/>
      <c r="R362" s="25"/>
      <c r="S362" s="40"/>
      <c r="T362" s="18"/>
      <c r="U362" s="25"/>
      <c r="V362" s="84"/>
    </row>
    <row r="363" s="3" customFormat="1" customHeight="1" spans="1:22">
      <c r="A363" s="84">
        <v>26</v>
      </c>
      <c r="B363" s="175" t="s">
        <v>3366</v>
      </c>
      <c r="C363" s="175" t="s">
        <v>153</v>
      </c>
      <c r="D363" s="175" t="s">
        <v>3367</v>
      </c>
      <c r="E363" s="25">
        <v>13755682208</v>
      </c>
      <c r="F363" s="175" t="s">
        <v>506</v>
      </c>
      <c r="G363" s="175" t="s">
        <v>6</v>
      </c>
      <c r="H363" s="25">
        <v>202102021</v>
      </c>
      <c r="I363" s="175" t="s">
        <v>279</v>
      </c>
      <c r="J363" s="175" t="s">
        <v>178</v>
      </c>
      <c r="K363" s="175" t="s">
        <v>1138</v>
      </c>
      <c r="L363" s="175" t="s">
        <v>170</v>
      </c>
      <c r="M363" s="175" t="s">
        <v>216</v>
      </c>
      <c r="N363" s="175" t="s">
        <v>3369</v>
      </c>
      <c r="O363" s="175" t="s">
        <v>3370</v>
      </c>
      <c r="P363" s="26" t="str">
        <f>_xlfn.DISPIMG("ID_5C988A3540504C69ADD9A8ABF15446E0",1)</f>
        <v>=DISPIMG("ID_5C988A3540504C69ADD9A8ABF15446E0",1)</v>
      </c>
      <c r="Q363" s="25" t="s">
        <v>3371</v>
      </c>
      <c r="R363" s="25">
        <v>424</v>
      </c>
      <c r="S363" s="40" t="s">
        <v>4678</v>
      </c>
      <c r="T363" s="18" t="s">
        <v>60</v>
      </c>
      <c r="U363" s="25">
        <v>1</v>
      </c>
      <c r="V363" s="84">
        <v>81.5</v>
      </c>
    </row>
    <row r="364" s="3" customFormat="1" customHeight="1" spans="1:22">
      <c r="A364" s="84">
        <v>21</v>
      </c>
      <c r="B364" s="175" t="s">
        <v>2705</v>
      </c>
      <c r="C364" s="175" t="s">
        <v>165</v>
      </c>
      <c r="D364" s="175" t="s">
        <v>2706</v>
      </c>
      <c r="E364" s="25">
        <v>18879206969</v>
      </c>
      <c r="F364" s="175" t="s">
        <v>156</v>
      </c>
      <c r="G364" s="175" t="s">
        <v>6</v>
      </c>
      <c r="H364" s="25">
        <v>202102012</v>
      </c>
      <c r="I364" s="175" t="s">
        <v>157</v>
      </c>
      <c r="J364" s="175" t="s">
        <v>2708</v>
      </c>
      <c r="K364" s="175" t="s">
        <v>750</v>
      </c>
      <c r="L364" s="175" t="s">
        <v>160</v>
      </c>
      <c r="M364" s="175" t="s">
        <v>216</v>
      </c>
      <c r="N364" s="175" t="s">
        <v>18</v>
      </c>
      <c r="O364" s="25">
        <v>0</v>
      </c>
      <c r="P364" s="26" t="str">
        <f>_xlfn.DISPIMG("ID_4ECDECBC23404DF3A6E316268C69D43E",1)</f>
        <v>=DISPIMG("ID_4ECDECBC23404DF3A6E316268C69D43E",1)</v>
      </c>
      <c r="Q364" s="25" t="s">
        <v>2709</v>
      </c>
      <c r="R364" s="25">
        <v>326</v>
      </c>
      <c r="S364" s="40" t="s">
        <v>4673</v>
      </c>
      <c r="T364" s="18" t="s">
        <v>60</v>
      </c>
      <c r="U364" s="25">
        <v>2</v>
      </c>
      <c r="V364" s="84">
        <v>85</v>
      </c>
    </row>
    <row r="365" s="3" customFormat="1" customHeight="1" spans="1:22">
      <c r="A365" s="84">
        <v>16</v>
      </c>
      <c r="B365" s="175" t="s">
        <v>1798</v>
      </c>
      <c r="C365" s="175" t="s">
        <v>165</v>
      </c>
      <c r="D365" s="175" t="s">
        <v>1799</v>
      </c>
      <c r="E365" s="25">
        <v>18070223507</v>
      </c>
      <c r="F365" s="175" t="s">
        <v>506</v>
      </c>
      <c r="G365" s="175" t="s">
        <v>6</v>
      </c>
      <c r="H365" s="25">
        <v>202102021</v>
      </c>
      <c r="I365" s="175" t="s">
        <v>157</v>
      </c>
      <c r="J365" s="175" t="s">
        <v>1801</v>
      </c>
      <c r="K365" s="175" t="s">
        <v>1802</v>
      </c>
      <c r="L365" s="175" t="s">
        <v>160</v>
      </c>
      <c r="M365" s="175" t="s">
        <v>161</v>
      </c>
      <c r="N365" s="175" t="s">
        <v>6</v>
      </c>
      <c r="O365" s="175" t="s">
        <v>1803</v>
      </c>
      <c r="P365" s="26" t="str">
        <f>_xlfn.DISPIMG("ID_054E9F37DEBB4C16973D352603A54499",1)</f>
        <v>=DISPIMG("ID_054E9F37DEBB4C16973D352603A54499",1)</v>
      </c>
      <c r="Q365" s="25" t="s">
        <v>1804</v>
      </c>
      <c r="R365" s="25">
        <v>205</v>
      </c>
      <c r="S365" s="40" t="s">
        <v>4668</v>
      </c>
      <c r="T365" s="18" t="s">
        <v>60</v>
      </c>
      <c r="U365" s="25">
        <v>3</v>
      </c>
      <c r="V365" s="84">
        <v>93</v>
      </c>
    </row>
    <row r="366" s="3" customFormat="1" customHeight="1" spans="1:22">
      <c r="A366" s="84">
        <v>11</v>
      </c>
      <c r="B366" s="175" t="s">
        <v>1135</v>
      </c>
      <c r="C366" s="175" t="s">
        <v>165</v>
      </c>
      <c r="D366" s="175" t="s">
        <v>1136</v>
      </c>
      <c r="E366" s="25">
        <v>13767277916</v>
      </c>
      <c r="F366" s="175" t="s">
        <v>506</v>
      </c>
      <c r="G366" s="175" t="s">
        <v>6</v>
      </c>
      <c r="H366" s="25">
        <v>202102021</v>
      </c>
      <c r="I366" s="175" t="s">
        <v>279</v>
      </c>
      <c r="J366" s="175" t="s">
        <v>158</v>
      </c>
      <c r="K366" s="175" t="s">
        <v>1138</v>
      </c>
      <c r="L366" s="175" t="s">
        <v>170</v>
      </c>
      <c r="M366" s="175" t="s">
        <v>673</v>
      </c>
      <c r="N366" s="175" t="s">
        <v>6</v>
      </c>
      <c r="O366" s="175" t="s">
        <v>1139</v>
      </c>
      <c r="P366" s="26" t="str">
        <f>_xlfn.DISPIMG("ID_18B5B97762B948069F50AE4DD03BA465",1)</f>
        <v>=DISPIMG("ID_18B5B97762B948069F50AE4DD03BA465",1)</v>
      </c>
      <c r="Q366" s="25" t="s">
        <v>1140</v>
      </c>
      <c r="R366" s="25">
        <v>119</v>
      </c>
      <c r="S366" s="40" t="s">
        <v>4660</v>
      </c>
      <c r="T366" s="18" t="s">
        <v>60</v>
      </c>
      <c r="U366" s="25">
        <v>4</v>
      </c>
      <c r="V366" s="84">
        <v>60</v>
      </c>
    </row>
    <row r="367" s="3" customFormat="1" customHeight="1" spans="1:22">
      <c r="A367" s="84">
        <v>6</v>
      </c>
      <c r="B367" s="175" t="s">
        <v>409</v>
      </c>
      <c r="C367" s="175" t="s">
        <v>153</v>
      </c>
      <c r="D367" s="175" t="s">
        <v>410</v>
      </c>
      <c r="E367" s="25">
        <v>13177702893</v>
      </c>
      <c r="F367" s="175" t="s">
        <v>156</v>
      </c>
      <c r="G367" s="175" t="s">
        <v>6</v>
      </c>
      <c r="H367" s="25">
        <v>202102012</v>
      </c>
      <c r="I367" s="175" t="s">
        <v>157</v>
      </c>
      <c r="J367" s="175" t="s">
        <v>412</v>
      </c>
      <c r="K367" s="175" t="s">
        <v>323</v>
      </c>
      <c r="L367" s="175" t="s">
        <v>170</v>
      </c>
      <c r="M367" s="175" t="s">
        <v>252</v>
      </c>
      <c r="N367" s="175" t="s">
        <v>413</v>
      </c>
      <c r="O367" s="175" t="s">
        <v>414</v>
      </c>
      <c r="P367" s="26" t="str">
        <f>_xlfn.DISPIMG("ID_C929C0A6F3B54FF18F2B98BE28643203",1)</f>
        <v>=DISPIMG("ID_C929C0A6F3B54FF18F2B98BE28643203",1)</v>
      </c>
      <c r="Q367" s="25" t="s">
        <v>415</v>
      </c>
      <c r="R367" s="25">
        <v>30</v>
      </c>
      <c r="S367" s="40" t="s">
        <v>4659</v>
      </c>
      <c r="T367" s="18" t="s">
        <v>60</v>
      </c>
      <c r="U367" s="25">
        <v>5</v>
      </c>
      <c r="V367" s="84">
        <v>82</v>
      </c>
    </row>
    <row r="368" s="3" customFormat="1" customHeight="1" spans="1:22">
      <c r="A368" s="84">
        <v>1</v>
      </c>
      <c r="B368" s="175" t="s">
        <v>184</v>
      </c>
      <c r="C368" s="175" t="s">
        <v>153</v>
      </c>
      <c r="D368" s="175" t="s">
        <v>185</v>
      </c>
      <c r="E368" s="25">
        <v>18038082134</v>
      </c>
      <c r="F368" s="175" t="s">
        <v>156</v>
      </c>
      <c r="G368" s="175" t="s">
        <v>6</v>
      </c>
      <c r="H368" s="25">
        <v>202102012</v>
      </c>
      <c r="I368" s="175" t="s">
        <v>157</v>
      </c>
      <c r="J368" s="175" t="s">
        <v>187</v>
      </c>
      <c r="K368" s="175" t="s">
        <v>188</v>
      </c>
      <c r="L368" s="175" t="s">
        <v>160</v>
      </c>
      <c r="M368" s="175" t="s">
        <v>189</v>
      </c>
      <c r="N368" s="175" t="s">
        <v>190</v>
      </c>
      <c r="O368" s="25">
        <v>0</v>
      </c>
      <c r="P368" s="26" t="str">
        <f>_xlfn.DISPIMG("ID_F9EC90828AC344EC8EE9AB75C1318672",1)</f>
        <v>=DISPIMG("ID_F9EC90828AC344EC8EE9AB75C1318672",1)</v>
      </c>
      <c r="Q368" s="25" t="s">
        <v>191</v>
      </c>
      <c r="R368" s="25">
        <v>5</v>
      </c>
      <c r="S368" s="40" t="s">
        <v>4645</v>
      </c>
      <c r="T368" s="18" t="s">
        <v>60</v>
      </c>
      <c r="U368" s="25">
        <v>6</v>
      </c>
      <c r="V368" s="84">
        <v>0</v>
      </c>
    </row>
    <row r="369" s="3" customFormat="1" customHeight="1" spans="1:22">
      <c r="A369" s="84">
        <v>2</v>
      </c>
      <c r="B369" s="175" t="s">
        <v>203</v>
      </c>
      <c r="C369" s="175" t="s">
        <v>165</v>
      </c>
      <c r="D369" s="175" t="s">
        <v>204</v>
      </c>
      <c r="E369" s="25">
        <v>18451114131</v>
      </c>
      <c r="F369" s="175" t="s">
        <v>156</v>
      </c>
      <c r="G369" s="175" t="s">
        <v>6</v>
      </c>
      <c r="H369" s="25">
        <v>202102012</v>
      </c>
      <c r="I369" s="175" t="s">
        <v>157</v>
      </c>
      <c r="J369" s="175" t="s">
        <v>206</v>
      </c>
      <c r="K369" s="175" t="s">
        <v>207</v>
      </c>
      <c r="L369" s="175" t="s">
        <v>160</v>
      </c>
      <c r="M369" s="175" t="s">
        <v>199</v>
      </c>
      <c r="N369" s="175" t="s">
        <v>6</v>
      </c>
      <c r="O369" s="175" t="s">
        <v>208</v>
      </c>
      <c r="P369" s="26" t="str">
        <f>_xlfn.DISPIMG("ID_F7457C8055E845839E12BBC94DC0151A",1)</f>
        <v>=DISPIMG("ID_F7457C8055E845839E12BBC94DC0151A",1)</v>
      </c>
      <c r="Q369" s="25" t="s">
        <v>209</v>
      </c>
      <c r="R369" s="25">
        <v>7</v>
      </c>
      <c r="S369" s="40" t="s">
        <v>4649</v>
      </c>
      <c r="T369" s="18" t="s">
        <v>60</v>
      </c>
      <c r="U369" s="25">
        <v>7</v>
      </c>
      <c r="V369" s="84">
        <v>0</v>
      </c>
    </row>
    <row r="370" s="3" customFormat="1" customHeight="1" spans="1:22">
      <c r="A370" s="84">
        <v>7</v>
      </c>
      <c r="B370" s="175" t="s">
        <v>627</v>
      </c>
      <c r="C370" s="175" t="s">
        <v>165</v>
      </c>
      <c r="D370" s="175" t="s">
        <v>628</v>
      </c>
      <c r="E370" s="25">
        <v>18162269962</v>
      </c>
      <c r="F370" s="175" t="s">
        <v>156</v>
      </c>
      <c r="G370" s="175" t="s">
        <v>6</v>
      </c>
      <c r="H370" s="25">
        <v>202102012</v>
      </c>
      <c r="I370" s="175" t="s">
        <v>157</v>
      </c>
      <c r="J370" s="175" t="s">
        <v>630</v>
      </c>
      <c r="K370" s="175" t="s">
        <v>207</v>
      </c>
      <c r="L370" s="175" t="s">
        <v>160</v>
      </c>
      <c r="M370" s="175" t="s">
        <v>541</v>
      </c>
      <c r="N370" s="175" t="s">
        <v>18</v>
      </c>
      <c r="O370" s="175" t="s">
        <v>631</v>
      </c>
      <c r="P370" s="26" t="str">
        <f>_xlfn.DISPIMG("ID_50ADA4D0B38B42B786E2DD18C78CCC60",1)</f>
        <v>=DISPIMG("ID_50ADA4D0B38B42B786E2DD18C78CCC60",1)</v>
      </c>
      <c r="Q370" s="25" t="s">
        <v>632</v>
      </c>
      <c r="R370" s="25">
        <v>57</v>
      </c>
      <c r="S370" s="40" t="s">
        <v>4641</v>
      </c>
      <c r="T370" s="18" t="s">
        <v>60</v>
      </c>
      <c r="U370" s="25">
        <v>8</v>
      </c>
      <c r="V370" s="84">
        <v>95</v>
      </c>
    </row>
    <row r="371" s="3" customFormat="1" customHeight="1" spans="1:22">
      <c r="A371" s="84">
        <v>12</v>
      </c>
      <c r="B371" s="175" t="s">
        <v>1227</v>
      </c>
      <c r="C371" s="175" t="s">
        <v>165</v>
      </c>
      <c r="D371" s="175" t="s">
        <v>1228</v>
      </c>
      <c r="E371" s="25">
        <v>18279868722</v>
      </c>
      <c r="F371" s="175" t="s">
        <v>156</v>
      </c>
      <c r="G371" s="175" t="s">
        <v>6</v>
      </c>
      <c r="H371" s="25">
        <v>202102012</v>
      </c>
      <c r="I371" s="175" t="s">
        <v>279</v>
      </c>
      <c r="J371" s="175" t="s">
        <v>168</v>
      </c>
      <c r="K371" s="175" t="s">
        <v>1138</v>
      </c>
      <c r="L371" s="175" t="s">
        <v>170</v>
      </c>
      <c r="M371" s="175" t="s">
        <v>368</v>
      </c>
      <c r="N371" s="175" t="s">
        <v>498</v>
      </c>
      <c r="O371" s="175" t="s">
        <v>1230</v>
      </c>
      <c r="P371" s="26" t="str">
        <f>_xlfn.DISPIMG("ID_F7BC6213D6E44840BB6BEB26E73F83E9",1)</f>
        <v>=DISPIMG("ID_F7BC6213D6E44840BB6BEB26E73F83E9",1)</v>
      </c>
      <c r="Q371" s="25" t="s">
        <v>1231</v>
      </c>
      <c r="R371" s="25">
        <v>130</v>
      </c>
      <c r="S371" s="40" t="s">
        <v>4661</v>
      </c>
      <c r="T371" s="18" t="s">
        <v>60</v>
      </c>
      <c r="U371" s="25">
        <v>9</v>
      </c>
      <c r="V371" s="84">
        <v>64</v>
      </c>
    </row>
    <row r="372" s="3" customFormat="1" customHeight="1" spans="1:22">
      <c r="A372" s="84">
        <v>17</v>
      </c>
      <c r="B372" s="175" t="s">
        <v>2233</v>
      </c>
      <c r="C372" s="175" t="s">
        <v>165</v>
      </c>
      <c r="D372" s="175" t="s">
        <v>2234</v>
      </c>
      <c r="E372" s="25">
        <v>18279238026</v>
      </c>
      <c r="F372" s="175" t="s">
        <v>156</v>
      </c>
      <c r="G372" s="175" t="s">
        <v>6</v>
      </c>
      <c r="H372" s="25">
        <v>202102012</v>
      </c>
      <c r="I372" s="175" t="s">
        <v>157</v>
      </c>
      <c r="J372" s="175" t="s">
        <v>2236</v>
      </c>
      <c r="K372" s="175" t="s">
        <v>188</v>
      </c>
      <c r="L372" s="175" t="s">
        <v>160</v>
      </c>
      <c r="M372" s="175" t="s">
        <v>516</v>
      </c>
      <c r="N372" s="175" t="s">
        <v>18</v>
      </c>
      <c r="O372" s="25">
        <v>0</v>
      </c>
      <c r="P372" s="26" t="str">
        <f>_xlfn.DISPIMG("ID_B83409D3E833484EAA2409A5675BAA5D",1)</f>
        <v>=DISPIMG("ID_B83409D3E833484EAA2409A5675BAA5D",1)</v>
      </c>
      <c r="Q372" s="25" t="s">
        <v>2237</v>
      </c>
      <c r="R372" s="25">
        <v>263</v>
      </c>
      <c r="S372" s="40" t="s">
        <v>4669</v>
      </c>
      <c r="T372" s="18" t="s">
        <v>60</v>
      </c>
      <c r="U372" s="25">
        <v>10</v>
      </c>
      <c r="V372" s="84">
        <v>87</v>
      </c>
    </row>
    <row r="373" s="3" customFormat="1" customHeight="1" spans="1:22">
      <c r="A373" s="84">
        <v>22</v>
      </c>
      <c r="B373" s="175" t="s">
        <v>2718</v>
      </c>
      <c r="C373" s="175" t="s">
        <v>153</v>
      </c>
      <c r="D373" s="175" t="s">
        <v>2719</v>
      </c>
      <c r="E373" s="25">
        <v>15779215230</v>
      </c>
      <c r="F373" s="175" t="s">
        <v>156</v>
      </c>
      <c r="G373" s="175" t="s">
        <v>6</v>
      </c>
      <c r="H373" s="25">
        <v>202102012</v>
      </c>
      <c r="I373" s="175" t="s">
        <v>157</v>
      </c>
      <c r="J373" s="175" t="s">
        <v>168</v>
      </c>
      <c r="K373" s="175" t="s">
        <v>2721</v>
      </c>
      <c r="L373" s="175" t="s">
        <v>160</v>
      </c>
      <c r="M373" s="175" t="s">
        <v>455</v>
      </c>
      <c r="N373" s="175" t="s">
        <v>18</v>
      </c>
      <c r="O373" s="175" t="s">
        <v>2722</v>
      </c>
      <c r="P373" s="26" t="str">
        <f>_xlfn.DISPIMG("ID_2B62698B077F4147874AB6F7E19938E7",1)</f>
        <v>=DISPIMG("ID_2B62698B077F4147874AB6F7E19938E7",1)</v>
      </c>
      <c r="Q373" s="25" t="s">
        <v>2723</v>
      </c>
      <c r="R373" s="25">
        <v>328</v>
      </c>
      <c r="S373" s="40" t="s">
        <v>4674</v>
      </c>
      <c r="T373" s="18" t="s">
        <v>60</v>
      </c>
      <c r="U373" s="25">
        <v>11</v>
      </c>
      <c r="V373" s="84">
        <v>77.5</v>
      </c>
    </row>
    <row r="374" s="3" customFormat="1" customHeight="1" spans="1:22">
      <c r="A374" s="84">
        <v>27</v>
      </c>
      <c r="B374" s="175" t="s">
        <v>3423</v>
      </c>
      <c r="C374" s="175" t="s">
        <v>165</v>
      </c>
      <c r="D374" s="175" t="s">
        <v>3424</v>
      </c>
      <c r="E374" s="25">
        <v>18720214779</v>
      </c>
      <c r="F374" s="175" t="s">
        <v>156</v>
      </c>
      <c r="G374" s="175" t="s">
        <v>6</v>
      </c>
      <c r="H374" s="25">
        <v>202102012</v>
      </c>
      <c r="I374" s="175" t="s">
        <v>157</v>
      </c>
      <c r="J374" s="175" t="s">
        <v>1424</v>
      </c>
      <c r="K374" s="175" t="s">
        <v>404</v>
      </c>
      <c r="L374" s="175" t="s">
        <v>160</v>
      </c>
      <c r="M374" s="175" t="s">
        <v>171</v>
      </c>
      <c r="N374" s="175" t="s">
        <v>18</v>
      </c>
      <c r="O374" s="175" t="s">
        <v>3425</v>
      </c>
      <c r="P374" s="26" t="str">
        <f>_xlfn.DISPIMG("ID_F35EB404C32C41B8B6B9DFFF6A73D9A8",1)</f>
        <v>=DISPIMG("ID_F35EB404C32C41B8B6B9DFFF6A73D9A8",1)</v>
      </c>
      <c r="Q374" s="25" t="s">
        <v>3426</v>
      </c>
      <c r="R374" s="25">
        <v>432</v>
      </c>
      <c r="S374" s="40" t="s">
        <v>4679</v>
      </c>
      <c r="T374" s="18" t="s">
        <v>60</v>
      </c>
      <c r="U374" s="25">
        <v>12</v>
      </c>
      <c r="V374" s="84">
        <v>86.5</v>
      </c>
    </row>
    <row r="375" s="3" customFormat="1" customHeight="1" spans="1:22">
      <c r="A375" s="84">
        <v>28</v>
      </c>
      <c r="B375" s="175" t="s">
        <v>3450</v>
      </c>
      <c r="C375" s="175" t="s">
        <v>165</v>
      </c>
      <c r="D375" s="175" t="s">
        <v>3451</v>
      </c>
      <c r="E375" s="25">
        <v>13122970585</v>
      </c>
      <c r="F375" s="175" t="s">
        <v>156</v>
      </c>
      <c r="G375" s="175" t="s">
        <v>6</v>
      </c>
      <c r="H375" s="25">
        <v>202102012</v>
      </c>
      <c r="I375" s="175" t="s">
        <v>157</v>
      </c>
      <c r="J375" s="175" t="s">
        <v>3453</v>
      </c>
      <c r="K375" s="175" t="s">
        <v>323</v>
      </c>
      <c r="L375" s="175" t="s">
        <v>170</v>
      </c>
      <c r="M375" s="175" t="s">
        <v>396</v>
      </c>
      <c r="N375" s="175" t="s">
        <v>2244</v>
      </c>
      <c r="O375" s="175" t="s">
        <v>3454</v>
      </c>
      <c r="P375" s="26" t="str">
        <f>_xlfn.DISPIMG("ID_75AF34168E0448D4A462EFA2E90CB632",1)</f>
        <v>=DISPIMG("ID_75AF34168E0448D4A462EFA2E90CB632",1)</v>
      </c>
      <c r="Q375" s="25" t="s">
        <v>3455</v>
      </c>
      <c r="R375" s="25">
        <v>436</v>
      </c>
      <c r="S375" s="40" t="s">
        <v>4680</v>
      </c>
      <c r="T375" s="18" t="s">
        <v>60</v>
      </c>
      <c r="U375" s="25">
        <v>13</v>
      </c>
      <c r="V375" s="84">
        <v>0</v>
      </c>
    </row>
    <row r="376" s="3" customFormat="1" customHeight="1" spans="1:22">
      <c r="A376" s="84">
        <v>23</v>
      </c>
      <c r="B376" s="175" t="s">
        <v>2922</v>
      </c>
      <c r="C376" s="175" t="s">
        <v>165</v>
      </c>
      <c r="D376" s="175" t="s">
        <v>2923</v>
      </c>
      <c r="E376" s="25">
        <v>18079240698</v>
      </c>
      <c r="F376" s="175" t="s">
        <v>156</v>
      </c>
      <c r="G376" s="175" t="s">
        <v>6</v>
      </c>
      <c r="H376" s="25">
        <v>202102012</v>
      </c>
      <c r="I376" s="175" t="s">
        <v>157</v>
      </c>
      <c r="J376" s="175" t="s">
        <v>322</v>
      </c>
      <c r="K376" s="175" t="s">
        <v>2268</v>
      </c>
      <c r="L376" s="175" t="s">
        <v>160</v>
      </c>
      <c r="M376" s="175" t="s">
        <v>455</v>
      </c>
      <c r="N376" s="175" t="s">
        <v>2925</v>
      </c>
      <c r="O376" s="25">
        <v>0</v>
      </c>
      <c r="P376" s="26" t="str">
        <f>_xlfn.DISPIMG("ID_40B4A1C67261465298C744E0F0D93767",1)</f>
        <v>=DISPIMG("ID_40B4A1C67261465298C744E0F0D93767",1)</v>
      </c>
      <c r="Q376" s="25" t="s">
        <v>2926</v>
      </c>
      <c r="R376" s="25">
        <v>356</v>
      </c>
      <c r="S376" s="40" t="s">
        <v>4675</v>
      </c>
      <c r="T376" s="18" t="s">
        <v>60</v>
      </c>
      <c r="U376" s="25">
        <v>14</v>
      </c>
      <c r="V376" s="84">
        <v>61.5</v>
      </c>
    </row>
    <row r="377" s="3" customFormat="1" customHeight="1" spans="1:22">
      <c r="A377" s="84">
        <v>18</v>
      </c>
      <c r="B377" s="175" t="s">
        <v>2264</v>
      </c>
      <c r="C377" s="175" t="s">
        <v>153</v>
      </c>
      <c r="D377" s="175" t="s">
        <v>2265</v>
      </c>
      <c r="E377" s="25">
        <v>13755257750</v>
      </c>
      <c r="F377" s="175" t="s">
        <v>506</v>
      </c>
      <c r="G377" s="175" t="s">
        <v>6</v>
      </c>
      <c r="H377" s="25">
        <v>202102021</v>
      </c>
      <c r="I377" s="175" t="s">
        <v>157</v>
      </c>
      <c r="J377" s="175" t="s">
        <v>2267</v>
      </c>
      <c r="K377" s="175" t="s">
        <v>2268</v>
      </c>
      <c r="L377" s="175" t="s">
        <v>160</v>
      </c>
      <c r="M377" s="175" t="s">
        <v>161</v>
      </c>
      <c r="N377" s="175" t="s">
        <v>2269</v>
      </c>
      <c r="O377" s="25">
        <v>0</v>
      </c>
      <c r="P377" s="26" t="str">
        <f>_xlfn.DISPIMG("ID_73D56986F7DE44CDB5B00B7AF01CF017",1)</f>
        <v>=DISPIMG("ID_73D56986F7DE44CDB5B00B7AF01CF017",1)</v>
      </c>
      <c r="Q377" s="25" t="s">
        <v>2270</v>
      </c>
      <c r="R377" s="25">
        <v>267</v>
      </c>
      <c r="S377" s="40" t="s">
        <v>4670</v>
      </c>
      <c r="T377" s="18" t="s">
        <v>60</v>
      </c>
      <c r="U377" s="25">
        <v>15</v>
      </c>
      <c r="V377" s="84">
        <v>73.5</v>
      </c>
    </row>
    <row r="378" s="3" customFormat="1" customHeight="1" spans="1:22">
      <c r="A378" s="84">
        <v>13</v>
      </c>
      <c r="B378" s="175" t="s">
        <v>1068</v>
      </c>
      <c r="C378" s="175" t="s">
        <v>165</v>
      </c>
      <c r="D378" s="175" t="s">
        <v>1069</v>
      </c>
      <c r="E378" s="25">
        <v>18279237136</v>
      </c>
      <c r="F378" s="175" t="s">
        <v>506</v>
      </c>
      <c r="G378" s="175" t="s">
        <v>6</v>
      </c>
      <c r="H378" s="25">
        <v>202102021</v>
      </c>
      <c r="I378" s="175" t="s">
        <v>157</v>
      </c>
      <c r="J378" s="175" t="s">
        <v>1071</v>
      </c>
      <c r="K378" s="175" t="s">
        <v>454</v>
      </c>
      <c r="L378" s="175" t="s">
        <v>160</v>
      </c>
      <c r="M378" s="175" t="s">
        <v>161</v>
      </c>
      <c r="N378" s="175" t="s">
        <v>413</v>
      </c>
      <c r="O378" s="175" t="s">
        <v>1072</v>
      </c>
      <c r="P378" s="26" t="str">
        <f>_xlfn.DISPIMG("ID_4A5DEA3E498746E9A9AC483CF4ABDF91",1)</f>
        <v>=DISPIMG("ID_4A5DEA3E498746E9A9AC483CF4ABDF91",1)</v>
      </c>
      <c r="Q378" s="25" t="s">
        <v>1073</v>
      </c>
      <c r="R378" s="25">
        <v>137</v>
      </c>
      <c r="S378" s="40" t="s">
        <v>4665</v>
      </c>
      <c r="T378" s="18" t="s">
        <v>60</v>
      </c>
      <c r="U378" s="25">
        <v>16</v>
      </c>
      <c r="V378" s="84">
        <v>86</v>
      </c>
    </row>
    <row r="379" s="3" customFormat="1" customHeight="1" spans="1:22">
      <c r="A379" s="84">
        <v>8</v>
      </c>
      <c r="B379" s="175" t="s">
        <v>746</v>
      </c>
      <c r="C379" s="175" t="s">
        <v>165</v>
      </c>
      <c r="D379" s="175" t="s">
        <v>747</v>
      </c>
      <c r="E379" s="25">
        <v>15641592275</v>
      </c>
      <c r="F379" s="175" t="s">
        <v>156</v>
      </c>
      <c r="G379" s="175" t="s">
        <v>6</v>
      </c>
      <c r="H379" s="25">
        <v>202102012</v>
      </c>
      <c r="I379" s="175" t="s">
        <v>157</v>
      </c>
      <c r="J379" s="175" t="s">
        <v>749</v>
      </c>
      <c r="K379" s="175" t="s">
        <v>750</v>
      </c>
      <c r="L379" s="175" t="s">
        <v>160</v>
      </c>
      <c r="M379" s="175" t="s">
        <v>252</v>
      </c>
      <c r="N379" s="175" t="s">
        <v>6</v>
      </c>
      <c r="O379" s="25">
        <v>0</v>
      </c>
      <c r="P379" s="26" t="str">
        <f>_xlfn.DISPIMG("ID_7B1FBC3D2E8F42D28CA9AC35B8C2D010",1)</f>
        <v>=DISPIMG("ID_7B1FBC3D2E8F42D28CA9AC35B8C2D010",1)</v>
      </c>
      <c r="Q379" s="25" t="s">
        <v>751</v>
      </c>
      <c r="R379" s="25">
        <v>71</v>
      </c>
      <c r="S379" s="40" t="s">
        <v>4646</v>
      </c>
      <c r="T379" s="18" t="s">
        <v>60</v>
      </c>
      <c r="U379" s="25">
        <v>17</v>
      </c>
      <c r="V379" s="84">
        <v>68</v>
      </c>
    </row>
    <row r="380" s="3" customFormat="1" customHeight="1" spans="1:22">
      <c r="A380" s="84">
        <v>3</v>
      </c>
      <c r="B380" s="175" t="s">
        <v>247</v>
      </c>
      <c r="C380" s="175" t="s">
        <v>165</v>
      </c>
      <c r="D380" s="175" t="s">
        <v>248</v>
      </c>
      <c r="E380" s="25">
        <v>18194294670</v>
      </c>
      <c r="F380" s="175" t="s">
        <v>156</v>
      </c>
      <c r="G380" s="175" t="s">
        <v>6</v>
      </c>
      <c r="H380" s="25">
        <v>202102012</v>
      </c>
      <c r="I380" s="175" t="s">
        <v>157</v>
      </c>
      <c r="J380" s="175" t="s">
        <v>250</v>
      </c>
      <c r="K380" s="175" t="s">
        <v>251</v>
      </c>
      <c r="L380" s="175" t="s">
        <v>160</v>
      </c>
      <c r="M380" s="175" t="s">
        <v>252</v>
      </c>
      <c r="N380" s="175" t="s">
        <v>253</v>
      </c>
      <c r="O380" s="175" t="s">
        <v>254</v>
      </c>
      <c r="P380" s="26" t="str">
        <f>_xlfn.DISPIMG("ID_75E1D16F2E6F48168F32947A4DF07EC3",1)</f>
        <v>=DISPIMG("ID_75E1D16F2E6F48168F32947A4DF07EC3",1)</v>
      </c>
      <c r="Q380" s="25" t="s">
        <v>255</v>
      </c>
      <c r="R380" s="25">
        <v>12</v>
      </c>
      <c r="S380" s="40" t="s">
        <v>4650</v>
      </c>
      <c r="T380" s="18" t="s">
        <v>60</v>
      </c>
      <c r="U380" s="25">
        <v>18</v>
      </c>
      <c r="V380" s="84">
        <v>0</v>
      </c>
    </row>
    <row r="381" s="3" customFormat="1" customHeight="1" spans="1:22">
      <c r="A381" s="84">
        <v>4</v>
      </c>
      <c r="B381" s="175" t="s">
        <v>319</v>
      </c>
      <c r="C381" s="175" t="s">
        <v>165</v>
      </c>
      <c r="D381" s="175" t="s">
        <v>320</v>
      </c>
      <c r="E381" s="25">
        <v>18679938518</v>
      </c>
      <c r="F381" s="175" t="s">
        <v>156</v>
      </c>
      <c r="G381" s="175" t="s">
        <v>6</v>
      </c>
      <c r="H381" s="25">
        <v>202102012</v>
      </c>
      <c r="I381" s="175" t="s">
        <v>157</v>
      </c>
      <c r="J381" s="175" t="s">
        <v>322</v>
      </c>
      <c r="K381" s="175" t="s">
        <v>323</v>
      </c>
      <c r="L381" s="175" t="s">
        <v>170</v>
      </c>
      <c r="M381" s="175" t="s">
        <v>180</v>
      </c>
      <c r="N381" s="175" t="s">
        <v>324</v>
      </c>
      <c r="O381" s="175" t="s">
        <v>325</v>
      </c>
      <c r="P381" s="26" t="str">
        <f>_xlfn.DISPIMG("ID_7D94F98EB3D041FA910044FDF5DF1027",1)</f>
        <v>=DISPIMG("ID_7D94F98EB3D041FA910044FDF5DF1027",1)</v>
      </c>
      <c r="Q381" s="25" t="s">
        <v>326</v>
      </c>
      <c r="R381" s="25">
        <v>20</v>
      </c>
      <c r="S381" s="40" t="s">
        <v>4654</v>
      </c>
      <c r="T381" s="18" t="s">
        <v>60</v>
      </c>
      <c r="U381" s="25">
        <v>19</v>
      </c>
      <c r="V381" s="84">
        <v>79</v>
      </c>
    </row>
    <row r="382" s="3" customFormat="1" customHeight="1" spans="1:22">
      <c r="A382" s="84">
        <v>9</v>
      </c>
      <c r="B382" s="175" t="s">
        <v>770</v>
      </c>
      <c r="C382" s="175" t="s">
        <v>165</v>
      </c>
      <c r="D382" s="175" t="s">
        <v>771</v>
      </c>
      <c r="E382" s="25">
        <v>13360075847</v>
      </c>
      <c r="F382" s="175" t="s">
        <v>156</v>
      </c>
      <c r="G382" s="175" t="s">
        <v>6</v>
      </c>
      <c r="H382" s="25">
        <v>202102012</v>
      </c>
      <c r="I382" s="175" t="s">
        <v>157</v>
      </c>
      <c r="J382" s="175" t="s">
        <v>773</v>
      </c>
      <c r="K382" s="175" t="s">
        <v>188</v>
      </c>
      <c r="L382" s="175" t="s">
        <v>160</v>
      </c>
      <c r="M382" s="175" t="s">
        <v>516</v>
      </c>
      <c r="N382" s="175" t="s">
        <v>774</v>
      </c>
      <c r="O382" s="175" t="s">
        <v>775</v>
      </c>
      <c r="P382" s="26" t="str">
        <f>_xlfn.DISPIMG("ID_F0D9772787374E2C95921274F505EDAD",1)</f>
        <v>=DISPIMG("ID_F0D9772787374E2C95921274F505EDAD",1)</v>
      </c>
      <c r="Q382" s="25" t="s">
        <v>776</v>
      </c>
      <c r="R382" s="25">
        <v>74</v>
      </c>
      <c r="S382" s="40" t="s">
        <v>4651</v>
      </c>
      <c r="T382" s="18" t="s">
        <v>60</v>
      </c>
      <c r="U382" s="25">
        <v>20</v>
      </c>
      <c r="V382" s="84">
        <v>0</v>
      </c>
    </row>
    <row r="383" s="3" customFormat="1" customHeight="1" spans="1:22">
      <c r="A383" s="84">
        <v>14</v>
      </c>
      <c r="B383" s="175" t="s">
        <v>1336</v>
      </c>
      <c r="C383" s="175" t="s">
        <v>165</v>
      </c>
      <c r="D383" s="175" t="s">
        <v>1337</v>
      </c>
      <c r="E383" s="25">
        <v>15827758062</v>
      </c>
      <c r="F383" s="175" t="s">
        <v>506</v>
      </c>
      <c r="G383" s="175" t="s">
        <v>6</v>
      </c>
      <c r="H383" s="25">
        <v>202102021</v>
      </c>
      <c r="I383" s="175" t="s">
        <v>157</v>
      </c>
      <c r="J383" s="175" t="s">
        <v>909</v>
      </c>
      <c r="K383" s="175" t="s">
        <v>323</v>
      </c>
      <c r="L383" s="175" t="s">
        <v>170</v>
      </c>
      <c r="M383" s="175" t="s">
        <v>235</v>
      </c>
      <c r="N383" s="175" t="s">
        <v>1339</v>
      </c>
      <c r="O383" s="175" t="s">
        <v>1340</v>
      </c>
      <c r="P383" s="26" t="str">
        <f>_xlfn.DISPIMG("ID_59602C342648425A87CF8C12540A5579",1)</f>
        <v>=DISPIMG("ID_59602C342648425A87CF8C12540A5579",1)</v>
      </c>
      <c r="Q383" s="25" t="s">
        <v>1341</v>
      </c>
      <c r="R383" s="25">
        <v>145</v>
      </c>
      <c r="S383" s="40" t="s">
        <v>4666</v>
      </c>
      <c r="T383" s="18" t="s">
        <v>60</v>
      </c>
      <c r="U383" s="25">
        <v>21</v>
      </c>
      <c r="V383" s="84">
        <v>84</v>
      </c>
    </row>
    <row r="384" s="3" customFormat="1" customHeight="1" spans="1:22">
      <c r="A384" s="84">
        <v>19</v>
      </c>
      <c r="B384" s="175" t="s">
        <v>2316</v>
      </c>
      <c r="C384" s="175" t="s">
        <v>165</v>
      </c>
      <c r="D384" s="175" t="s">
        <v>2317</v>
      </c>
      <c r="E384" s="25">
        <v>18790256284</v>
      </c>
      <c r="F384" s="175" t="s">
        <v>156</v>
      </c>
      <c r="G384" s="175" t="s">
        <v>6</v>
      </c>
      <c r="H384" s="25">
        <v>202102012</v>
      </c>
      <c r="I384" s="175" t="s">
        <v>157</v>
      </c>
      <c r="J384" s="175" t="s">
        <v>403</v>
      </c>
      <c r="K384" s="175" t="s">
        <v>207</v>
      </c>
      <c r="L384" s="175" t="s">
        <v>160</v>
      </c>
      <c r="M384" s="175" t="s">
        <v>161</v>
      </c>
      <c r="N384" s="175" t="s">
        <v>1156</v>
      </c>
      <c r="O384" s="175" t="s">
        <v>2319</v>
      </c>
      <c r="P384" s="26" t="str">
        <f>_xlfn.DISPIMG("ID_CE4D4038789D4DF1AB53AB5B07B379E6",1)</f>
        <v>=DISPIMG("ID_CE4D4038789D4DF1AB53AB5B07B379E6",1)</v>
      </c>
      <c r="Q384" s="25" t="s">
        <v>2320</v>
      </c>
      <c r="R384" s="25">
        <v>274</v>
      </c>
      <c r="S384" s="40" t="s">
        <v>4671</v>
      </c>
      <c r="T384" s="18" t="s">
        <v>60</v>
      </c>
      <c r="U384" s="25">
        <v>22</v>
      </c>
      <c r="V384" s="84">
        <v>79.5</v>
      </c>
    </row>
    <row r="385" s="3" customFormat="1" customHeight="1" spans="1:22">
      <c r="A385" s="84">
        <v>24</v>
      </c>
      <c r="B385" s="175" t="s">
        <v>3091</v>
      </c>
      <c r="C385" s="175" t="s">
        <v>165</v>
      </c>
      <c r="D385" s="175" t="s">
        <v>3092</v>
      </c>
      <c r="E385" s="25">
        <v>18679162461</v>
      </c>
      <c r="F385" s="175" t="s">
        <v>156</v>
      </c>
      <c r="G385" s="175" t="s">
        <v>6</v>
      </c>
      <c r="H385" s="25">
        <v>202102012</v>
      </c>
      <c r="I385" s="175" t="s">
        <v>157</v>
      </c>
      <c r="J385" s="175" t="s">
        <v>3094</v>
      </c>
      <c r="K385" s="175" t="s">
        <v>3095</v>
      </c>
      <c r="L385" s="175" t="s">
        <v>160</v>
      </c>
      <c r="M385" s="175" t="s">
        <v>171</v>
      </c>
      <c r="N385" s="175" t="s">
        <v>18</v>
      </c>
      <c r="O385" s="175" t="s">
        <v>3096</v>
      </c>
      <c r="P385" s="26" t="str">
        <f>_xlfn.DISPIMG("ID_26230D3A7A254FB387523A67FAC705F7",1)</f>
        <v>=DISPIMG("ID_26230D3A7A254FB387523A67FAC705F7",1)</v>
      </c>
      <c r="Q385" s="25" t="s">
        <v>3097</v>
      </c>
      <c r="R385" s="25">
        <v>382</v>
      </c>
      <c r="S385" s="40" t="s">
        <v>4676</v>
      </c>
      <c r="T385" s="18" t="s">
        <v>60</v>
      </c>
      <c r="U385" s="25">
        <v>23</v>
      </c>
      <c r="V385" s="84">
        <v>78.5</v>
      </c>
    </row>
    <row r="386" s="3" customFormat="1" customHeight="1" spans="1:22">
      <c r="A386" s="84">
        <v>29</v>
      </c>
      <c r="B386" s="175" t="s">
        <v>3466</v>
      </c>
      <c r="C386" s="175" t="s">
        <v>165</v>
      </c>
      <c r="D386" s="175" t="s">
        <v>3467</v>
      </c>
      <c r="E386" s="25">
        <v>15879126790</v>
      </c>
      <c r="F386" s="175" t="s">
        <v>156</v>
      </c>
      <c r="G386" s="175" t="s">
        <v>6</v>
      </c>
      <c r="H386" s="25">
        <v>202102012</v>
      </c>
      <c r="I386" s="175" t="s">
        <v>157</v>
      </c>
      <c r="J386" s="175" t="s">
        <v>901</v>
      </c>
      <c r="K386" s="175" t="s">
        <v>188</v>
      </c>
      <c r="L386" s="175" t="s">
        <v>160</v>
      </c>
      <c r="M386" s="175" t="s">
        <v>281</v>
      </c>
      <c r="N386" s="175" t="s">
        <v>1579</v>
      </c>
      <c r="O386" s="175" t="s">
        <v>3469</v>
      </c>
      <c r="P386" s="26" t="str">
        <f>_xlfn.DISPIMG("ID_F4E1B2AC46944606B0ACE14F8CC9918C",1)</f>
        <v>=DISPIMG("ID_F4E1B2AC46944606B0ACE14F8CC9918C",1)</v>
      </c>
      <c r="Q386" s="25" t="s">
        <v>3470</v>
      </c>
      <c r="R386" s="25">
        <v>438</v>
      </c>
      <c r="S386" s="40" t="s">
        <v>4681</v>
      </c>
      <c r="T386" s="18" t="s">
        <v>60</v>
      </c>
      <c r="U386" s="25">
        <v>24</v>
      </c>
      <c r="V386" s="84">
        <v>75.5</v>
      </c>
    </row>
    <row r="387" s="3" customFormat="1" customHeight="1" spans="1:22">
      <c r="A387" s="84">
        <v>30</v>
      </c>
      <c r="B387" s="175" t="s">
        <v>3630</v>
      </c>
      <c r="C387" s="175" t="s">
        <v>153</v>
      </c>
      <c r="D387" s="175" t="s">
        <v>3631</v>
      </c>
      <c r="E387" s="25">
        <v>19979468695</v>
      </c>
      <c r="F387" s="175" t="s">
        <v>506</v>
      </c>
      <c r="G387" s="175" t="s">
        <v>6</v>
      </c>
      <c r="H387" s="25">
        <v>202102021</v>
      </c>
      <c r="I387" s="175" t="s">
        <v>157</v>
      </c>
      <c r="J387" s="175" t="s">
        <v>3633</v>
      </c>
      <c r="K387" s="175" t="s">
        <v>323</v>
      </c>
      <c r="L387" s="175" t="s">
        <v>170</v>
      </c>
      <c r="M387" s="175" t="s">
        <v>171</v>
      </c>
      <c r="N387" s="175" t="s">
        <v>3634</v>
      </c>
      <c r="O387" s="175" t="s">
        <v>3635</v>
      </c>
      <c r="P387" s="26" t="str">
        <f>_xlfn.DISPIMG("ID_7CE83E02BD574BEF88ED6441327C41EF",1)</f>
        <v>=DISPIMG("ID_7CE83E02BD574BEF88ED6441327C41EF",1)</v>
      </c>
      <c r="Q387" s="25" t="s">
        <v>3636</v>
      </c>
      <c r="R387" s="25">
        <v>462</v>
      </c>
      <c r="S387" s="40" t="s">
        <v>4682</v>
      </c>
      <c r="T387" s="18" t="s">
        <v>60</v>
      </c>
      <c r="U387" s="25">
        <v>25</v>
      </c>
      <c r="V387" s="84">
        <v>0</v>
      </c>
    </row>
    <row r="388" s="3" customFormat="1" customHeight="1" spans="1:22">
      <c r="A388" s="84">
        <v>25</v>
      </c>
      <c r="B388" s="175" t="s">
        <v>3123</v>
      </c>
      <c r="C388" s="175" t="s">
        <v>165</v>
      </c>
      <c r="D388" s="175" t="s">
        <v>3124</v>
      </c>
      <c r="E388" s="25">
        <v>19979611731</v>
      </c>
      <c r="F388" s="175" t="s">
        <v>156</v>
      </c>
      <c r="G388" s="175" t="s">
        <v>6</v>
      </c>
      <c r="H388" s="25">
        <v>202102012</v>
      </c>
      <c r="I388" s="175" t="s">
        <v>157</v>
      </c>
      <c r="J388" s="175" t="s">
        <v>3126</v>
      </c>
      <c r="K388" s="175" t="s">
        <v>404</v>
      </c>
      <c r="L388" s="175" t="s">
        <v>160</v>
      </c>
      <c r="M388" s="175" t="s">
        <v>199</v>
      </c>
      <c r="N388" s="175" t="s">
        <v>18</v>
      </c>
      <c r="O388" s="25">
        <v>0</v>
      </c>
      <c r="P388" s="26" t="str">
        <f>_xlfn.DISPIMG("ID_A2488CA19AE844B4BBFD68619FFEAA1D",1)</f>
        <v>=DISPIMG("ID_A2488CA19AE844B4BBFD68619FFEAA1D",1)</v>
      </c>
      <c r="Q388" s="25" t="s">
        <v>3127</v>
      </c>
      <c r="R388" s="25">
        <v>386</v>
      </c>
      <c r="S388" s="40" t="s">
        <v>4677</v>
      </c>
      <c r="T388" s="18" t="s">
        <v>60</v>
      </c>
      <c r="U388" s="25">
        <v>26</v>
      </c>
      <c r="V388" s="84">
        <v>0</v>
      </c>
    </row>
    <row r="389" s="3" customFormat="1" customHeight="1" spans="1:22">
      <c r="A389" s="84">
        <v>20</v>
      </c>
      <c r="B389" s="175" t="s">
        <v>2643</v>
      </c>
      <c r="C389" s="175" t="s">
        <v>165</v>
      </c>
      <c r="D389" s="175" t="s">
        <v>2644</v>
      </c>
      <c r="E389" s="25">
        <v>15779267017</v>
      </c>
      <c r="F389" s="175" t="s">
        <v>156</v>
      </c>
      <c r="G389" s="175" t="s">
        <v>6</v>
      </c>
      <c r="H389" s="25">
        <v>202102012</v>
      </c>
      <c r="I389" s="175" t="s">
        <v>157</v>
      </c>
      <c r="J389" s="175" t="s">
        <v>2646</v>
      </c>
      <c r="K389" s="175" t="s">
        <v>2647</v>
      </c>
      <c r="L389" s="175" t="s">
        <v>160</v>
      </c>
      <c r="M389" s="175" t="s">
        <v>306</v>
      </c>
      <c r="N389" s="175" t="s">
        <v>18</v>
      </c>
      <c r="O389" s="175" t="s">
        <v>2648</v>
      </c>
      <c r="P389" s="26" t="str">
        <f>_xlfn.DISPIMG("ID_5444703683DB4591A53B76ECB3D8FAE4",1)</f>
        <v>=DISPIMG("ID_5444703683DB4591A53B76ECB3D8FAE4",1)</v>
      </c>
      <c r="Q389" s="25" t="s">
        <v>2649</v>
      </c>
      <c r="R389" s="25">
        <v>318</v>
      </c>
      <c r="S389" s="40" t="s">
        <v>4672</v>
      </c>
      <c r="T389" s="18" t="s">
        <v>60</v>
      </c>
      <c r="U389" s="25">
        <v>27</v>
      </c>
      <c r="V389" s="84">
        <v>70</v>
      </c>
    </row>
    <row r="390" s="3" customFormat="1" customHeight="1" spans="1:22">
      <c r="A390" s="84">
        <v>15</v>
      </c>
      <c r="B390" s="175" t="s">
        <v>1622</v>
      </c>
      <c r="C390" s="175" t="s">
        <v>165</v>
      </c>
      <c r="D390" s="175" t="s">
        <v>1623</v>
      </c>
      <c r="E390" s="25">
        <v>15170969760</v>
      </c>
      <c r="F390" s="175" t="s">
        <v>506</v>
      </c>
      <c r="G390" s="175" t="s">
        <v>6</v>
      </c>
      <c r="H390" s="25">
        <v>202102021</v>
      </c>
      <c r="I390" s="175" t="s">
        <v>157</v>
      </c>
      <c r="J390" s="175" t="s">
        <v>1625</v>
      </c>
      <c r="K390" s="175" t="s">
        <v>750</v>
      </c>
      <c r="L390" s="175" t="s">
        <v>160</v>
      </c>
      <c r="M390" s="175" t="s">
        <v>1089</v>
      </c>
      <c r="N390" s="175" t="s">
        <v>6</v>
      </c>
      <c r="O390" s="175" t="s">
        <v>1626</v>
      </c>
      <c r="P390" s="26" t="str">
        <f>_xlfn.DISPIMG("ID_F5B5B7553FD14A38A3CEAB4A3171FC0C",1)</f>
        <v>=DISPIMG("ID_F5B5B7553FD14A38A3CEAB4A3171FC0C",1)</v>
      </c>
      <c r="Q390" s="25" t="s">
        <v>1627</v>
      </c>
      <c r="R390" s="25">
        <v>182</v>
      </c>
      <c r="S390" s="40" t="s">
        <v>4667</v>
      </c>
      <c r="T390" s="18" t="s">
        <v>60</v>
      </c>
      <c r="U390" s="25">
        <v>28</v>
      </c>
      <c r="V390" s="84">
        <v>0</v>
      </c>
    </row>
    <row r="391" s="3" customFormat="1" customHeight="1" spans="1:22">
      <c r="A391" s="84">
        <v>10</v>
      </c>
      <c r="B391" s="175" t="s">
        <v>1076</v>
      </c>
      <c r="C391" s="175" t="s">
        <v>165</v>
      </c>
      <c r="D391" s="175" t="s">
        <v>1077</v>
      </c>
      <c r="E391" s="25">
        <v>18870203440</v>
      </c>
      <c r="F391" s="175" t="s">
        <v>156</v>
      </c>
      <c r="G391" s="175" t="s">
        <v>6</v>
      </c>
      <c r="H391" s="25">
        <v>202102012</v>
      </c>
      <c r="I391" s="175" t="s">
        <v>157</v>
      </c>
      <c r="J391" s="175" t="s">
        <v>1079</v>
      </c>
      <c r="K391" s="175" t="s">
        <v>1080</v>
      </c>
      <c r="L391" s="175" t="s">
        <v>160</v>
      </c>
      <c r="M391" s="175" t="s">
        <v>235</v>
      </c>
      <c r="N391" s="175" t="s">
        <v>413</v>
      </c>
      <c r="O391" s="175" t="s">
        <v>1081</v>
      </c>
      <c r="P391" s="26" t="str">
        <f>_xlfn.DISPIMG("ID_78C412614C7B42A0AA2A4D942DD9F1A2",1)</f>
        <v>=DISPIMG("ID_78C412614C7B42A0AA2A4D942DD9F1A2",1)</v>
      </c>
      <c r="Q391" s="25" t="s">
        <v>1082</v>
      </c>
      <c r="R391" s="25">
        <v>112</v>
      </c>
      <c r="S391" s="40" t="s">
        <v>4656</v>
      </c>
      <c r="T391" s="18" t="s">
        <v>60</v>
      </c>
      <c r="U391" s="25">
        <v>29</v>
      </c>
      <c r="V391" s="84">
        <v>89</v>
      </c>
    </row>
    <row r="392" s="3" customFormat="1" customHeight="1" spans="1:22">
      <c r="A392" s="84">
        <v>5</v>
      </c>
      <c r="B392" s="175" t="s">
        <v>400</v>
      </c>
      <c r="C392" s="175" t="s">
        <v>165</v>
      </c>
      <c r="D392" s="175" t="s">
        <v>401</v>
      </c>
      <c r="E392" s="25">
        <v>18279242907</v>
      </c>
      <c r="F392" s="175" t="s">
        <v>156</v>
      </c>
      <c r="G392" s="175" t="s">
        <v>6</v>
      </c>
      <c r="H392" s="25">
        <v>202102012</v>
      </c>
      <c r="I392" s="175" t="s">
        <v>157</v>
      </c>
      <c r="J392" s="175" t="s">
        <v>403</v>
      </c>
      <c r="K392" s="175" t="s">
        <v>404</v>
      </c>
      <c r="L392" s="175" t="s">
        <v>160</v>
      </c>
      <c r="M392" s="175" t="s">
        <v>252</v>
      </c>
      <c r="N392" s="175" t="s">
        <v>6</v>
      </c>
      <c r="O392" s="175" t="s">
        <v>405</v>
      </c>
      <c r="P392" s="26" t="str">
        <f>_xlfn.DISPIMG("ID_CF4959AF4AC44C8391DB8D257F1D8B87",1)</f>
        <v>=DISPIMG("ID_CF4959AF4AC44C8391DB8D257F1D8B87",1)</v>
      </c>
      <c r="Q392" s="25" t="s">
        <v>406</v>
      </c>
      <c r="R392" s="25">
        <v>29</v>
      </c>
      <c r="S392" s="40" t="s">
        <v>4655</v>
      </c>
      <c r="T392" s="18" t="s">
        <v>60</v>
      </c>
      <c r="U392" s="25">
        <v>30</v>
      </c>
      <c r="V392" s="84">
        <v>81</v>
      </c>
    </row>
    <row r="393" s="3" customFormat="1" customHeight="1" spans="1:22">
      <c r="A393" s="84">
        <v>6</v>
      </c>
      <c r="B393" s="175" t="s">
        <v>4058</v>
      </c>
      <c r="C393" s="175" t="s">
        <v>165</v>
      </c>
      <c r="D393" s="175" t="s">
        <v>4059</v>
      </c>
      <c r="E393" s="25">
        <v>15679268911</v>
      </c>
      <c r="F393" s="175" t="s">
        <v>156</v>
      </c>
      <c r="G393" s="175" t="s">
        <v>6</v>
      </c>
      <c r="H393" s="25">
        <v>202102022</v>
      </c>
      <c r="I393" s="175" t="s">
        <v>157</v>
      </c>
      <c r="J393" s="175" t="s">
        <v>3054</v>
      </c>
      <c r="K393" s="175" t="s">
        <v>404</v>
      </c>
      <c r="L393" s="175" t="s">
        <v>160</v>
      </c>
      <c r="M393" s="175" t="s">
        <v>261</v>
      </c>
      <c r="N393" s="175" t="s">
        <v>4061</v>
      </c>
      <c r="O393" s="25">
        <v>0</v>
      </c>
      <c r="P393" s="26" t="str">
        <f>_xlfn.DISPIMG("ID_9ECCE1798899427AA809C16B6659E359",1)</f>
        <v>=DISPIMG("ID_9ECCE1798899427AA809C16B6659E359",1)</v>
      </c>
      <c r="Q393" s="25" t="s">
        <v>4062</v>
      </c>
      <c r="R393" s="25">
        <v>519</v>
      </c>
      <c r="S393" s="40" t="s">
        <v>4688</v>
      </c>
      <c r="T393" s="18" t="s">
        <v>62</v>
      </c>
      <c r="U393" s="25">
        <v>1</v>
      </c>
      <c r="V393" s="84">
        <v>61</v>
      </c>
    </row>
    <row r="394" s="3" customFormat="1" customHeight="1" spans="1:22">
      <c r="A394" s="84">
        <v>5</v>
      </c>
      <c r="B394" s="175" t="s">
        <v>3895</v>
      </c>
      <c r="C394" s="175" t="s">
        <v>165</v>
      </c>
      <c r="D394" s="175" t="s">
        <v>3896</v>
      </c>
      <c r="E394" s="25">
        <v>17859733350</v>
      </c>
      <c r="F394" s="175" t="s">
        <v>156</v>
      </c>
      <c r="G394" s="175" t="s">
        <v>6</v>
      </c>
      <c r="H394" s="25">
        <v>202102012</v>
      </c>
      <c r="I394" s="175" t="s">
        <v>157</v>
      </c>
      <c r="J394" s="175" t="s">
        <v>3898</v>
      </c>
      <c r="K394" s="175" t="s">
        <v>3784</v>
      </c>
      <c r="L394" s="175" t="s">
        <v>160</v>
      </c>
      <c r="M394" s="175" t="s">
        <v>235</v>
      </c>
      <c r="N394" s="175" t="s">
        <v>3899</v>
      </c>
      <c r="O394" s="175" t="s">
        <v>3900</v>
      </c>
      <c r="P394" s="26" t="str">
        <f>_xlfn.DISPIMG("ID_BC241117C250469C89F85CEC4B64E8AA",1)</f>
        <v>=DISPIMG("ID_BC241117C250469C89F85CEC4B64E8AA",1)</v>
      </c>
      <c r="Q394" s="25" t="s">
        <v>3901</v>
      </c>
      <c r="R394" s="25">
        <v>497</v>
      </c>
      <c r="S394" s="40" t="s">
        <v>4687</v>
      </c>
      <c r="T394" s="18" t="s">
        <v>62</v>
      </c>
      <c r="U394" s="25">
        <v>2</v>
      </c>
      <c r="V394" s="84">
        <v>0</v>
      </c>
    </row>
    <row r="395" s="3" customFormat="1" customHeight="1" spans="1:22">
      <c r="A395" s="84">
        <v>4</v>
      </c>
      <c r="B395" s="175" t="s">
        <v>3797</v>
      </c>
      <c r="C395" s="175" t="s">
        <v>165</v>
      </c>
      <c r="D395" s="175" t="s">
        <v>3798</v>
      </c>
      <c r="E395" s="25">
        <v>15879245873</v>
      </c>
      <c r="F395" s="175" t="s">
        <v>506</v>
      </c>
      <c r="G395" s="175" t="s">
        <v>6</v>
      </c>
      <c r="H395" s="25">
        <v>202102021</v>
      </c>
      <c r="I395" s="175" t="s">
        <v>157</v>
      </c>
      <c r="J395" s="175" t="s">
        <v>158</v>
      </c>
      <c r="K395" s="175" t="s">
        <v>188</v>
      </c>
      <c r="L395" s="175" t="s">
        <v>160</v>
      </c>
      <c r="M395" s="175" t="s">
        <v>306</v>
      </c>
      <c r="N395" s="175" t="s">
        <v>3800</v>
      </c>
      <c r="O395" s="25">
        <v>0</v>
      </c>
      <c r="P395" s="26" t="str">
        <f>_xlfn.DISPIMG("ID_B80DCC3A028B4FB2A6977287EC2BFAD8",1)</f>
        <v>=DISPIMG("ID_B80DCC3A028B4FB2A6977287EC2BFAD8",1)</v>
      </c>
      <c r="Q395" s="25" t="s">
        <v>3801</v>
      </c>
      <c r="R395" s="25">
        <v>484</v>
      </c>
      <c r="S395" s="40" t="s">
        <v>4686</v>
      </c>
      <c r="T395" s="18" t="s">
        <v>62</v>
      </c>
      <c r="U395" s="25">
        <v>3</v>
      </c>
      <c r="V395" s="84">
        <v>79</v>
      </c>
    </row>
    <row r="396" s="3" customFormat="1" customHeight="1" spans="1:22">
      <c r="A396" s="84">
        <v>3</v>
      </c>
      <c r="B396" s="175" t="s">
        <v>3780</v>
      </c>
      <c r="C396" s="175" t="s">
        <v>165</v>
      </c>
      <c r="D396" s="175" t="s">
        <v>3781</v>
      </c>
      <c r="E396" s="25">
        <v>18372112404</v>
      </c>
      <c r="F396" s="175" t="s">
        <v>156</v>
      </c>
      <c r="G396" s="175" t="s">
        <v>6</v>
      </c>
      <c r="H396" s="25">
        <v>202102012</v>
      </c>
      <c r="I396" s="175" t="s">
        <v>157</v>
      </c>
      <c r="J396" s="175" t="s">
        <v>3783</v>
      </c>
      <c r="K396" s="175" t="s">
        <v>3784</v>
      </c>
      <c r="L396" s="175" t="s">
        <v>160</v>
      </c>
      <c r="M396" s="175" t="s">
        <v>252</v>
      </c>
      <c r="N396" s="175" t="s">
        <v>6</v>
      </c>
      <c r="O396" s="175" t="s">
        <v>3785</v>
      </c>
      <c r="P396" s="26" t="str">
        <f>_xlfn.DISPIMG("ID_D2BC3DB6B6B24D07A1729D0ECE731594",1)</f>
        <v>=DISPIMG("ID_D2BC3DB6B6B24D07A1729D0ECE731594",1)</v>
      </c>
      <c r="Q396" s="25" t="s">
        <v>3786</v>
      </c>
      <c r="R396" s="25">
        <v>482</v>
      </c>
      <c r="S396" s="40" t="s">
        <v>4685</v>
      </c>
      <c r="T396" s="18" t="s">
        <v>62</v>
      </c>
      <c r="U396" s="25">
        <v>4</v>
      </c>
      <c r="V396" s="84">
        <v>84</v>
      </c>
    </row>
    <row r="397" s="3" customFormat="1" customHeight="1" spans="1:22">
      <c r="A397" s="84">
        <v>2</v>
      </c>
      <c r="B397" s="175" t="s">
        <v>3758</v>
      </c>
      <c r="C397" s="175" t="s">
        <v>165</v>
      </c>
      <c r="D397" s="175" t="s">
        <v>3759</v>
      </c>
      <c r="E397" s="25">
        <v>15946993908</v>
      </c>
      <c r="F397" s="175" t="s">
        <v>156</v>
      </c>
      <c r="G397" s="175" t="s">
        <v>6</v>
      </c>
      <c r="H397" s="25">
        <v>202102012</v>
      </c>
      <c r="I397" s="175" t="s">
        <v>157</v>
      </c>
      <c r="J397" s="175" t="s">
        <v>3761</v>
      </c>
      <c r="K397" s="175" t="s">
        <v>404</v>
      </c>
      <c r="L397" s="175" t="s">
        <v>160</v>
      </c>
      <c r="M397" s="175" t="s">
        <v>252</v>
      </c>
      <c r="N397" s="175" t="s">
        <v>6</v>
      </c>
      <c r="O397" s="175" t="s">
        <v>3762</v>
      </c>
      <c r="P397" s="26" t="str">
        <f>_xlfn.DISPIMG("ID_C2F02D4F7B2D4545A16075F83680F752",1)</f>
        <v>=DISPIMG("ID_C2F02D4F7B2D4545A16075F83680F752",1)</v>
      </c>
      <c r="Q397" s="25" t="s">
        <v>3763</v>
      </c>
      <c r="R397" s="25">
        <v>479</v>
      </c>
      <c r="S397" s="40" t="s">
        <v>4684</v>
      </c>
      <c r="T397" s="18" t="s">
        <v>62</v>
      </c>
      <c r="U397" s="25">
        <v>5</v>
      </c>
      <c r="V397" s="84">
        <v>0</v>
      </c>
    </row>
    <row r="398" s="4" customFormat="1" customHeight="1" spans="1:22">
      <c r="A398" s="84">
        <v>1</v>
      </c>
      <c r="B398" s="175" t="s">
        <v>3743</v>
      </c>
      <c r="C398" s="175" t="s">
        <v>165</v>
      </c>
      <c r="D398" s="175" t="s">
        <v>3744</v>
      </c>
      <c r="E398" s="25">
        <v>15679201300</v>
      </c>
      <c r="F398" s="175" t="s">
        <v>156</v>
      </c>
      <c r="G398" s="175" t="s">
        <v>6</v>
      </c>
      <c r="H398" s="25">
        <v>202102012</v>
      </c>
      <c r="I398" s="175" t="s">
        <v>157</v>
      </c>
      <c r="J398" s="175" t="s">
        <v>437</v>
      </c>
      <c r="K398" s="175" t="s">
        <v>3746</v>
      </c>
      <c r="L398" s="175" t="s">
        <v>160</v>
      </c>
      <c r="M398" s="175" t="s">
        <v>216</v>
      </c>
      <c r="N398" s="175" t="s">
        <v>18</v>
      </c>
      <c r="O398" s="175" t="s">
        <v>3747</v>
      </c>
      <c r="P398" s="26" t="str">
        <f>_xlfn.DISPIMG("ID_B41ADE81115D4115B428E62357BC8F70",1)</f>
        <v>=DISPIMG("ID_B41ADE81115D4115B428E62357BC8F70",1)</v>
      </c>
      <c r="Q398" s="25" t="s">
        <v>3748</v>
      </c>
      <c r="R398" s="25">
        <v>477</v>
      </c>
      <c r="S398" s="40" t="s">
        <v>4683</v>
      </c>
      <c r="T398" s="18" t="s">
        <v>62</v>
      </c>
      <c r="U398" s="25">
        <v>6</v>
      </c>
      <c r="V398" s="84">
        <v>0</v>
      </c>
    </row>
    <row r="399" s="3" customFormat="1" customHeight="1" spans="1:22">
      <c r="A399" s="84">
        <v>7</v>
      </c>
      <c r="B399" s="175" t="s">
        <v>164</v>
      </c>
      <c r="C399" s="175" t="s">
        <v>165</v>
      </c>
      <c r="D399" s="175" t="s">
        <v>166</v>
      </c>
      <c r="E399" s="25">
        <v>15879299279</v>
      </c>
      <c r="F399" s="175" t="s">
        <v>156</v>
      </c>
      <c r="G399" s="175" t="s">
        <v>4</v>
      </c>
      <c r="H399" s="25">
        <v>202102005</v>
      </c>
      <c r="I399" s="175" t="s">
        <v>157</v>
      </c>
      <c r="J399" s="175" t="s">
        <v>168</v>
      </c>
      <c r="K399" s="175" t="s">
        <v>169</v>
      </c>
      <c r="L399" s="175" t="s">
        <v>170</v>
      </c>
      <c r="M399" s="175" t="s">
        <v>171</v>
      </c>
      <c r="N399" s="175" t="s">
        <v>4</v>
      </c>
      <c r="O399" s="25">
        <v>0</v>
      </c>
      <c r="P399" s="26" t="str">
        <f>_xlfn.DISPIMG("ID_7D4B330FD7544FC19CF8CAA4A42A6F11",1)</f>
        <v>=DISPIMG("ID_7D4B330FD7544FC19CF8CAA4A42A6F11",1)</v>
      </c>
      <c r="Q399" s="25" t="s">
        <v>172</v>
      </c>
      <c r="R399" s="25">
        <v>3</v>
      </c>
      <c r="S399" s="40" t="s">
        <v>4689</v>
      </c>
      <c r="T399" s="18" t="s">
        <v>62</v>
      </c>
      <c r="U399" s="25">
        <v>7</v>
      </c>
      <c r="V399" s="84">
        <v>0</v>
      </c>
    </row>
    <row r="400" s="3" customFormat="1" customHeight="1" spans="1:22">
      <c r="A400" s="84">
        <v>9</v>
      </c>
      <c r="B400" s="175" t="s">
        <v>1393</v>
      </c>
      <c r="C400" s="175" t="s">
        <v>165</v>
      </c>
      <c r="D400" s="175" t="s">
        <v>1394</v>
      </c>
      <c r="E400" s="25">
        <v>18807004721</v>
      </c>
      <c r="F400" s="175" t="s">
        <v>156</v>
      </c>
      <c r="G400" s="175" t="s">
        <v>4</v>
      </c>
      <c r="H400" s="25">
        <v>202102005</v>
      </c>
      <c r="I400" s="175" t="s">
        <v>157</v>
      </c>
      <c r="J400" s="175" t="s">
        <v>1396</v>
      </c>
      <c r="K400" s="175" t="s">
        <v>1397</v>
      </c>
      <c r="L400" s="175" t="s">
        <v>160</v>
      </c>
      <c r="M400" s="175" t="s">
        <v>548</v>
      </c>
      <c r="N400" s="175" t="s">
        <v>1398</v>
      </c>
      <c r="O400" s="175" t="s">
        <v>1399</v>
      </c>
      <c r="P400" s="26" t="str">
        <f>_xlfn.DISPIMG("ID_55E386EEE22A4F28AA3DFCB82607D0EC",1)</f>
        <v>=DISPIMG("ID_55E386EEE22A4F28AA3DFCB82607D0EC",1)</v>
      </c>
      <c r="Q400" s="25" t="s">
        <v>1400</v>
      </c>
      <c r="R400" s="25">
        <v>153</v>
      </c>
      <c r="S400" s="40" t="s">
        <v>4691</v>
      </c>
      <c r="T400" s="18" t="s">
        <v>62</v>
      </c>
      <c r="U400" s="25">
        <v>8</v>
      </c>
      <c r="V400" s="70">
        <v>82</v>
      </c>
    </row>
    <row r="401" s="3" customFormat="1" customHeight="1" spans="1:22">
      <c r="A401" s="84">
        <v>11</v>
      </c>
      <c r="B401" s="175" t="s">
        <v>1882</v>
      </c>
      <c r="C401" s="175" t="s">
        <v>165</v>
      </c>
      <c r="D401" s="175" t="s">
        <v>1883</v>
      </c>
      <c r="E401" s="25">
        <v>19807985498</v>
      </c>
      <c r="F401" s="175" t="s">
        <v>156</v>
      </c>
      <c r="G401" s="175" t="s">
        <v>4</v>
      </c>
      <c r="H401" s="25">
        <v>202102005</v>
      </c>
      <c r="I401" s="175" t="s">
        <v>279</v>
      </c>
      <c r="J401" s="175" t="s">
        <v>269</v>
      </c>
      <c r="K401" s="175" t="s">
        <v>1088</v>
      </c>
      <c r="L401" s="175" t="s">
        <v>170</v>
      </c>
      <c r="M401" s="175" t="s">
        <v>171</v>
      </c>
      <c r="N401" s="175" t="s">
        <v>1885</v>
      </c>
      <c r="O401" s="175" t="s">
        <v>1886</v>
      </c>
      <c r="P401" s="26" t="str">
        <f>_xlfn.DISPIMG("ID_D29EC84107E94871B7B70E677BC40AB8",1)</f>
        <v>=DISPIMG("ID_D29EC84107E94871B7B70E677BC40AB8",1)</v>
      </c>
      <c r="Q401" s="25" t="s">
        <v>1887</v>
      </c>
      <c r="R401" s="25">
        <v>216</v>
      </c>
      <c r="S401" s="40" t="s">
        <v>4693</v>
      </c>
      <c r="T401" s="18" t="s">
        <v>62</v>
      </c>
      <c r="U401" s="25">
        <v>9</v>
      </c>
      <c r="V401" s="84">
        <v>73</v>
      </c>
    </row>
    <row r="402" s="3" customFormat="1" customHeight="1" spans="1:22">
      <c r="A402" s="84">
        <v>13</v>
      </c>
      <c r="B402" s="175" t="s">
        <v>3586</v>
      </c>
      <c r="C402" s="175" t="s">
        <v>165</v>
      </c>
      <c r="D402" s="175" t="s">
        <v>3587</v>
      </c>
      <c r="E402" s="25">
        <v>13970222797</v>
      </c>
      <c r="F402" s="175" t="s">
        <v>156</v>
      </c>
      <c r="G402" s="175" t="s">
        <v>4</v>
      </c>
      <c r="H402" s="25">
        <v>202102006</v>
      </c>
      <c r="I402" s="175" t="s">
        <v>157</v>
      </c>
      <c r="J402" s="175" t="s">
        <v>158</v>
      </c>
      <c r="K402" s="175" t="s">
        <v>3589</v>
      </c>
      <c r="L402" s="175" t="s">
        <v>160</v>
      </c>
      <c r="M402" s="175" t="s">
        <v>235</v>
      </c>
      <c r="N402" s="175" t="s">
        <v>4</v>
      </c>
      <c r="O402" s="175" t="s">
        <v>3590</v>
      </c>
      <c r="P402" s="26" t="str">
        <f>_xlfn.DISPIMG("ID_1E4E55AF2274433A8809E53B95627C78",1)</f>
        <v>=DISPIMG("ID_1E4E55AF2274433A8809E53B95627C78",1)</v>
      </c>
      <c r="Q402" s="25" t="s">
        <v>3591</v>
      </c>
      <c r="R402" s="25">
        <v>456</v>
      </c>
      <c r="S402" s="40" t="s">
        <v>4695</v>
      </c>
      <c r="T402" s="18" t="s">
        <v>62</v>
      </c>
      <c r="U402" s="25">
        <v>10</v>
      </c>
      <c r="V402" s="84">
        <v>72</v>
      </c>
    </row>
    <row r="403" s="3" customFormat="1" customHeight="1" spans="1:22">
      <c r="A403" s="84">
        <v>15</v>
      </c>
      <c r="B403" s="175" t="s">
        <v>3817</v>
      </c>
      <c r="C403" s="175" t="s">
        <v>165</v>
      </c>
      <c r="D403" s="175" t="s">
        <v>3818</v>
      </c>
      <c r="E403" s="25">
        <v>13002997695</v>
      </c>
      <c r="F403" s="175" t="s">
        <v>156</v>
      </c>
      <c r="G403" s="175" t="s">
        <v>4</v>
      </c>
      <c r="H403" s="25">
        <v>202102005</v>
      </c>
      <c r="I403" s="175" t="s">
        <v>157</v>
      </c>
      <c r="J403" s="175" t="s">
        <v>3820</v>
      </c>
      <c r="K403" s="175" t="s">
        <v>3821</v>
      </c>
      <c r="L403" s="175" t="s">
        <v>160</v>
      </c>
      <c r="M403" s="175" t="s">
        <v>199</v>
      </c>
      <c r="N403" s="175" t="s">
        <v>4</v>
      </c>
      <c r="O403" s="175" t="s">
        <v>3822</v>
      </c>
      <c r="P403" s="26" t="str">
        <f>_xlfn.DISPIMG("ID_F12BD6FEE7C74060A499738E5A967A51",1)</f>
        <v>=DISPIMG("ID_F12BD6FEE7C74060A499738E5A967A51",1)</v>
      </c>
      <c r="Q403" s="25" t="s">
        <v>3823</v>
      </c>
      <c r="R403" s="25">
        <v>487</v>
      </c>
      <c r="S403" s="40" t="s">
        <v>4697</v>
      </c>
      <c r="T403" s="18" t="s">
        <v>62</v>
      </c>
      <c r="U403" s="25">
        <v>11</v>
      </c>
      <c r="V403" s="84">
        <v>62</v>
      </c>
    </row>
    <row r="404" s="3" customFormat="1" customHeight="1" spans="1:22">
      <c r="A404" s="84">
        <v>17</v>
      </c>
      <c r="B404" s="175" t="s">
        <v>3962</v>
      </c>
      <c r="C404" s="175" t="s">
        <v>165</v>
      </c>
      <c r="D404" s="175" t="s">
        <v>3963</v>
      </c>
      <c r="E404" s="25">
        <v>18870866549</v>
      </c>
      <c r="F404" s="175" t="s">
        <v>156</v>
      </c>
      <c r="G404" s="175" t="s">
        <v>4</v>
      </c>
      <c r="H404" s="25">
        <v>202102005</v>
      </c>
      <c r="I404" s="175" t="s">
        <v>157</v>
      </c>
      <c r="J404" s="175" t="s">
        <v>3965</v>
      </c>
      <c r="K404" s="175" t="s">
        <v>3966</v>
      </c>
      <c r="L404" s="175" t="s">
        <v>160</v>
      </c>
      <c r="M404" s="175" t="s">
        <v>216</v>
      </c>
      <c r="N404" s="175" t="s">
        <v>4</v>
      </c>
      <c r="O404" s="25">
        <v>0</v>
      </c>
      <c r="P404" s="26" t="str">
        <f>_xlfn.DISPIMG("ID_B16A7073492C47F799EB61B1BAB98F3E",1)</f>
        <v>=DISPIMG("ID_B16A7073492C47F799EB61B1BAB98F3E",1)</v>
      </c>
      <c r="Q404" s="25" t="s">
        <v>3967</v>
      </c>
      <c r="R404" s="25">
        <v>506</v>
      </c>
      <c r="S404" s="40" t="s">
        <v>4706</v>
      </c>
      <c r="T404" s="18" t="s">
        <v>62</v>
      </c>
      <c r="U404" s="25">
        <v>12</v>
      </c>
      <c r="V404" s="84">
        <v>63</v>
      </c>
    </row>
    <row r="405" s="3" customFormat="1" customHeight="1" spans="1:22">
      <c r="A405" s="84">
        <v>18</v>
      </c>
      <c r="B405" s="175" t="s">
        <v>4267</v>
      </c>
      <c r="C405" s="175" t="s">
        <v>165</v>
      </c>
      <c r="D405" s="175" t="s">
        <v>4268</v>
      </c>
      <c r="E405" s="25">
        <v>15979953990</v>
      </c>
      <c r="F405" s="175" t="s">
        <v>156</v>
      </c>
      <c r="G405" s="175" t="s">
        <v>4</v>
      </c>
      <c r="H405" s="25">
        <v>202102005</v>
      </c>
      <c r="I405" s="175" t="s">
        <v>279</v>
      </c>
      <c r="J405" s="175" t="s">
        <v>269</v>
      </c>
      <c r="K405" s="175" t="s">
        <v>1088</v>
      </c>
      <c r="L405" s="175" t="s">
        <v>170</v>
      </c>
      <c r="M405" s="175" t="s">
        <v>235</v>
      </c>
      <c r="N405" s="175" t="s">
        <v>4</v>
      </c>
      <c r="O405" s="25">
        <v>0</v>
      </c>
      <c r="P405" s="26" t="str">
        <f>_xlfn.DISPIMG("ID_6B663AA29D5341758E4C0EAB0E013B9E",1)</f>
        <v>=DISPIMG("ID_6B663AA29D5341758E4C0EAB0E013B9E",1)</v>
      </c>
      <c r="Q405" s="25" t="s">
        <v>4270</v>
      </c>
      <c r="R405" s="25">
        <v>546</v>
      </c>
      <c r="S405" s="40" t="s">
        <v>4711</v>
      </c>
      <c r="T405" s="18" t="s">
        <v>62</v>
      </c>
      <c r="U405" s="25">
        <v>13</v>
      </c>
      <c r="V405" s="84">
        <v>0</v>
      </c>
    </row>
    <row r="406" s="4" customFormat="1" customHeight="1" spans="1:22">
      <c r="A406" s="84">
        <v>16</v>
      </c>
      <c r="B406" s="175" t="s">
        <v>3940</v>
      </c>
      <c r="C406" s="175" t="s">
        <v>165</v>
      </c>
      <c r="D406" s="175" t="s">
        <v>3941</v>
      </c>
      <c r="E406" s="25">
        <v>13699503652</v>
      </c>
      <c r="F406" s="175" t="s">
        <v>156</v>
      </c>
      <c r="G406" s="175" t="s">
        <v>4</v>
      </c>
      <c r="H406" s="25">
        <v>202102005</v>
      </c>
      <c r="I406" s="175" t="s">
        <v>157</v>
      </c>
      <c r="J406" s="175" t="s">
        <v>385</v>
      </c>
      <c r="K406" s="175" t="s">
        <v>3943</v>
      </c>
      <c r="L406" s="175" t="s">
        <v>170</v>
      </c>
      <c r="M406" s="175" t="s">
        <v>180</v>
      </c>
      <c r="N406" s="175" t="s">
        <v>4</v>
      </c>
      <c r="O406" s="175" t="s">
        <v>3944</v>
      </c>
      <c r="P406" s="26" t="str">
        <f>_xlfn.DISPIMG("ID_5F49521312D540BAA0750C7E0D3B723B",1)</f>
        <v>=DISPIMG("ID_5F49521312D540BAA0750C7E0D3B723B",1)</v>
      </c>
      <c r="Q406" s="25" t="s">
        <v>3945</v>
      </c>
      <c r="R406" s="25">
        <v>503</v>
      </c>
      <c r="S406" s="40" t="s">
        <v>4701</v>
      </c>
      <c r="T406" s="18" t="s">
        <v>62</v>
      </c>
      <c r="U406" s="25">
        <v>14</v>
      </c>
      <c r="V406" s="84">
        <v>74</v>
      </c>
    </row>
    <row r="407" s="3" customFormat="1" customHeight="1" spans="1:22">
      <c r="A407" s="84">
        <v>14</v>
      </c>
      <c r="B407" s="175" t="s">
        <v>3655</v>
      </c>
      <c r="C407" s="175" t="s">
        <v>153</v>
      </c>
      <c r="D407" s="175" t="s">
        <v>3656</v>
      </c>
      <c r="E407" s="25">
        <v>13177872440</v>
      </c>
      <c r="F407" s="175" t="s">
        <v>156</v>
      </c>
      <c r="G407" s="175" t="s">
        <v>4</v>
      </c>
      <c r="H407" s="25">
        <v>202102005</v>
      </c>
      <c r="I407" s="175" t="s">
        <v>157</v>
      </c>
      <c r="J407" s="175" t="s">
        <v>385</v>
      </c>
      <c r="K407" s="175" t="s">
        <v>179</v>
      </c>
      <c r="L407" s="175" t="s">
        <v>170</v>
      </c>
      <c r="M407" s="175" t="s">
        <v>368</v>
      </c>
      <c r="N407" s="175" t="s">
        <v>4</v>
      </c>
      <c r="O407" s="25">
        <v>0</v>
      </c>
      <c r="P407" s="26" t="str">
        <f>_xlfn.DISPIMG("ID_252B07FFDA0E4134A421E2449004C504",1)</f>
        <v>=DISPIMG("ID_252B07FFDA0E4134A421E2449004C504",1)</v>
      </c>
      <c r="Q407" s="25" t="s">
        <v>3658</v>
      </c>
      <c r="R407" s="25">
        <v>465</v>
      </c>
      <c r="S407" s="40" t="s">
        <v>4696</v>
      </c>
      <c r="T407" s="18" t="s">
        <v>62</v>
      </c>
      <c r="U407" s="25">
        <v>15</v>
      </c>
      <c r="V407" s="84">
        <v>0</v>
      </c>
    </row>
    <row r="408" s="3" customFormat="1" customHeight="1" spans="1:22">
      <c r="A408" s="84">
        <v>12</v>
      </c>
      <c r="B408" s="175" t="s">
        <v>2878</v>
      </c>
      <c r="C408" s="175" t="s">
        <v>165</v>
      </c>
      <c r="D408" s="175" t="s">
        <v>2879</v>
      </c>
      <c r="E408" s="25">
        <v>17310085449</v>
      </c>
      <c r="F408" s="175" t="s">
        <v>156</v>
      </c>
      <c r="G408" s="175" t="s">
        <v>4</v>
      </c>
      <c r="H408" s="25">
        <v>202102005</v>
      </c>
      <c r="I408" s="175" t="s">
        <v>157</v>
      </c>
      <c r="J408" s="175" t="s">
        <v>385</v>
      </c>
      <c r="K408" s="175" t="s">
        <v>2881</v>
      </c>
      <c r="L408" s="175" t="s">
        <v>170</v>
      </c>
      <c r="M408" s="175" t="s">
        <v>306</v>
      </c>
      <c r="N408" s="175" t="s">
        <v>2882</v>
      </c>
      <c r="O408" s="175" t="s">
        <v>2883</v>
      </c>
      <c r="P408" s="26" t="str">
        <f>_xlfn.DISPIMG("ID_EC7DE1A270244013822D2AF30798D0D0",1)</f>
        <v>=DISPIMG("ID_EC7DE1A270244013822D2AF30798D0D0",1)</v>
      </c>
      <c r="Q408" s="25" t="s">
        <v>2884</v>
      </c>
      <c r="R408" s="25">
        <v>350</v>
      </c>
      <c r="S408" s="40" t="s">
        <v>4694</v>
      </c>
      <c r="T408" s="18" t="s">
        <v>62</v>
      </c>
      <c r="U408" s="25">
        <v>16</v>
      </c>
      <c r="V408" s="84">
        <v>61</v>
      </c>
    </row>
    <row r="409" s="3" customFormat="1" customHeight="1" spans="1:22">
      <c r="A409" s="84">
        <v>10</v>
      </c>
      <c r="B409" s="175" t="s">
        <v>1511</v>
      </c>
      <c r="C409" s="175" t="s">
        <v>165</v>
      </c>
      <c r="D409" s="175" t="s">
        <v>1512</v>
      </c>
      <c r="E409" s="25">
        <v>15179159428</v>
      </c>
      <c r="F409" s="175" t="s">
        <v>156</v>
      </c>
      <c r="G409" s="175" t="s">
        <v>4</v>
      </c>
      <c r="H409" s="25">
        <v>202102005</v>
      </c>
      <c r="I409" s="175" t="s">
        <v>157</v>
      </c>
      <c r="J409" s="175" t="s">
        <v>1513</v>
      </c>
      <c r="K409" s="175" t="s">
        <v>1514</v>
      </c>
      <c r="L409" s="175" t="s">
        <v>160</v>
      </c>
      <c r="M409" s="175" t="s">
        <v>396</v>
      </c>
      <c r="N409" s="175" t="s">
        <v>1515</v>
      </c>
      <c r="O409" s="175" t="s">
        <v>1516</v>
      </c>
      <c r="P409" s="26" t="str">
        <f>_xlfn.DISPIMG("ID_0409F7F95EEA403395B315D31E8491E7",1)</f>
        <v>=DISPIMG("ID_0409F7F95EEA403395B315D31E8491E7",1)</v>
      </c>
      <c r="Q409" s="25" t="s">
        <v>1517</v>
      </c>
      <c r="R409" s="25">
        <v>168</v>
      </c>
      <c r="S409" s="40" t="s">
        <v>4692</v>
      </c>
      <c r="T409" s="18" t="s">
        <v>62</v>
      </c>
      <c r="U409" s="25">
        <v>17</v>
      </c>
      <c r="V409" s="84">
        <v>81</v>
      </c>
    </row>
    <row r="410" s="3" customFormat="1" customHeight="1" spans="1:22">
      <c r="A410" s="84">
        <v>8</v>
      </c>
      <c r="B410" s="175" t="s">
        <v>1085</v>
      </c>
      <c r="C410" s="175" t="s">
        <v>165</v>
      </c>
      <c r="D410" s="175" t="s">
        <v>1086</v>
      </c>
      <c r="E410" s="25">
        <v>15179282018</v>
      </c>
      <c r="F410" s="175" t="s">
        <v>156</v>
      </c>
      <c r="G410" s="175" t="s">
        <v>4</v>
      </c>
      <c r="H410" s="25">
        <v>202102005</v>
      </c>
      <c r="I410" s="175" t="s">
        <v>279</v>
      </c>
      <c r="J410" s="175" t="s">
        <v>158</v>
      </c>
      <c r="K410" s="175" t="s">
        <v>1088</v>
      </c>
      <c r="L410" s="175" t="s">
        <v>170</v>
      </c>
      <c r="M410" s="175" t="s">
        <v>1089</v>
      </c>
      <c r="N410" s="175" t="s">
        <v>4</v>
      </c>
      <c r="O410" s="175" t="s">
        <v>1090</v>
      </c>
      <c r="P410" s="26" t="str">
        <f>_xlfn.DISPIMG("ID_2B72C85721DF4DA8A46A71B57C490F39",1)</f>
        <v>=DISPIMG("ID_2B72C85721DF4DA8A46A71B57C490F39",1)</v>
      </c>
      <c r="Q410" s="25" t="s">
        <v>1091</v>
      </c>
      <c r="R410" s="25">
        <v>113</v>
      </c>
      <c r="S410" s="40" t="s">
        <v>4690</v>
      </c>
      <c r="T410" s="18" t="s">
        <v>62</v>
      </c>
      <c r="U410" s="25">
        <v>18</v>
      </c>
      <c r="V410" s="84">
        <v>65</v>
      </c>
    </row>
    <row r="411" s="3" customFormat="1" customHeight="1" spans="1:22">
      <c r="A411" s="84">
        <v>19</v>
      </c>
      <c r="B411" s="175" t="s">
        <v>212</v>
      </c>
      <c r="C411" s="175" t="s">
        <v>165</v>
      </c>
      <c r="D411" s="175" t="s">
        <v>213</v>
      </c>
      <c r="E411" s="25">
        <v>13197911998</v>
      </c>
      <c r="F411" s="175" t="s">
        <v>156</v>
      </c>
      <c r="G411" s="175" t="s">
        <v>15</v>
      </c>
      <c r="H411" s="25">
        <v>202102007</v>
      </c>
      <c r="I411" s="175" t="s">
        <v>157</v>
      </c>
      <c r="J411" s="175" t="s">
        <v>178</v>
      </c>
      <c r="K411" s="175" t="s">
        <v>215</v>
      </c>
      <c r="L411" s="175" t="s">
        <v>170</v>
      </c>
      <c r="M411" s="175" t="s">
        <v>216</v>
      </c>
      <c r="N411" s="175" t="s">
        <v>15</v>
      </c>
      <c r="O411" s="25">
        <v>0</v>
      </c>
      <c r="P411" s="26" t="str">
        <f>_xlfn.DISPIMG("ID_A8B2B34FEB1F4C29AD364FF328B946F1",1)</f>
        <v>=DISPIMG("ID_A8B2B34FEB1F4C29AD364FF328B946F1",1)</v>
      </c>
      <c r="Q411" s="25" t="s">
        <v>217</v>
      </c>
      <c r="R411" s="25">
        <v>8</v>
      </c>
      <c r="S411" s="40" t="s">
        <v>4716</v>
      </c>
      <c r="T411" s="18" t="s">
        <v>62</v>
      </c>
      <c r="U411" s="25">
        <v>19</v>
      </c>
      <c r="V411" s="84">
        <v>52</v>
      </c>
    </row>
    <row r="412" s="3" customFormat="1" customHeight="1" spans="1:22">
      <c r="A412" s="84">
        <v>20</v>
      </c>
      <c r="B412" s="175" t="s">
        <v>391</v>
      </c>
      <c r="C412" s="175" t="s">
        <v>165</v>
      </c>
      <c r="D412" s="175" t="s">
        <v>392</v>
      </c>
      <c r="E412" s="25">
        <v>17620119411</v>
      </c>
      <c r="F412" s="175" t="s">
        <v>156</v>
      </c>
      <c r="G412" s="175" t="s">
        <v>15</v>
      </c>
      <c r="H412" s="25">
        <v>202102007</v>
      </c>
      <c r="I412" s="175" t="s">
        <v>157</v>
      </c>
      <c r="J412" s="175" t="s">
        <v>394</v>
      </c>
      <c r="K412" s="175" t="s">
        <v>395</v>
      </c>
      <c r="L412" s="175" t="s">
        <v>160</v>
      </c>
      <c r="M412" s="175" t="s">
        <v>396</v>
      </c>
      <c r="N412" s="175" t="s">
        <v>15</v>
      </c>
      <c r="O412" s="25">
        <v>0</v>
      </c>
      <c r="P412" s="26" t="str">
        <f>_xlfn.DISPIMG("ID_EBB3EDBB16514C57957D178C829CE459",1)</f>
        <v>=DISPIMG("ID_EBB3EDBB16514C57957D178C829CE459",1)</v>
      </c>
      <c r="Q412" s="25" t="s">
        <v>397</v>
      </c>
      <c r="R412" s="25">
        <v>28</v>
      </c>
      <c r="S412" s="40" t="s">
        <v>4721</v>
      </c>
      <c r="T412" s="18" t="s">
        <v>62</v>
      </c>
      <c r="U412" s="25">
        <v>20</v>
      </c>
      <c r="V412" s="84">
        <v>75</v>
      </c>
    </row>
    <row r="413" s="3" customFormat="1" customHeight="1" spans="1:22">
      <c r="A413" s="84">
        <v>21</v>
      </c>
      <c r="B413" s="175" t="s">
        <v>856</v>
      </c>
      <c r="C413" s="175" t="s">
        <v>165</v>
      </c>
      <c r="D413" s="175" t="s">
        <v>857</v>
      </c>
      <c r="E413" s="25">
        <v>18296159294</v>
      </c>
      <c r="F413" s="175" t="s">
        <v>156</v>
      </c>
      <c r="G413" s="175" t="s">
        <v>15</v>
      </c>
      <c r="H413" s="25">
        <v>202102007</v>
      </c>
      <c r="I413" s="175" t="s">
        <v>279</v>
      </c>
      <c r="J413" s="175" t="s">
        <v>178</v>
      </c>
      <c r="K413" s="175" t="s">
        <v>215</v>
      </c>
      <c r="L413" s="175" t="s">
        <v>170</v>
      </c>
      <c r="M413" s="175" t="s">
        <v>216</v>
      </c>
      <c r="N413" s="175" t="s">
        <v>859</v>
      </c>
      <c r="O413" s="175" t="s">
        <v>860</v>
      </c>
      <c r="P413" s="26" t="str">
        <f>_xlfn.DISPIMG("ID_D74EFBEA1A81482A857D7A1473663067",1)</f>
        <v>=DISPIMG("ID_D74EFBEA1A81482A857D7A1473663067",1)</v>
      </c>
      <c r="Q413" s="25" t="s">
        <v>861</v>
      </c>
      <c r="R413" s="25">
        <v>85</v>
      </c>
      <c r="S413" s="40" t="s">
        <v>4698</v>
      </c>
      <c r="T413" s="18" t="s">
        <v>62</v>
      </c>
      <c r="U413" s="25">
        <v>21</v>
      </c>
      <c r="V413" s="84">
        <v>60.5</v>
      </c>
    </row>
    <row r="414" s="3" customFormat="1" customHeight="1" spans="1:22">
      <c r="A414" s="84">
        <v>23</v>
      </c>
      <c r="B414" s="175" t="s">
        <v>1897</v>
      </c>
      <c r="C414" s="175" t="s">
        <v>165</v>
      </c>
      <c r="D414" s="175" t="s">
        <v>1898</v>
      </c>
      <c r="E414" s="25">
        <v>13588255405</v>
      </c>
      <c r="F414" s="175" t="s">
        <v>156</v>
      </c>
      <c r="G414" s="175" t="s">
        <v>15</v>
      </c>
      <c r="H414" s="25">
        <v>202102007</v>
      </c>
      <c r="I414" s="175" t="s">
        <v>157</v>
      </c>
      <c r="J414" s="175" t="s">
        <v>1900</v>
      </c>
      <c r="K414" s="175" t="s">
        <v>179</v>
      </c>
      <c r="L414" s="175" t="s">
        <v>160</v>
      </c>
      <c r="M414" s="175" t="s">
        <v>235</v>
      </c>
      <c r="N414" s="175" t="s">
        <v>15</v>
      </c>
      <c r="O414" s="25">
        <v>0</v>
      </c>
      <c r="P414" s="26" t="str">
        <f>_xlfn.DISPIMG("ID_427E6301FF984C74BA8E87820A04494C",1)</f>
        <v>=DISPIMG("ID_427E6301FF984C74BA8E87820A04494C",1)</v>
      </c>
      <c r="Q414" s="25" t="s">
        <v>1901</v>
      </c>
      <c r="R414" s="25">
        <v>218</v>
      </c>
      <c r="S414" s="40" t="s">
        <v>4702</v>
      </c>
      <c r="T414" s="18" t="s">
        <v>62</v>
      </c>
      <c r="U414" s="25">
        <v>22</v>
      </c>
      <c r="V414" s="70">
        <v>0</v>
      </c>
    </row>
    <row r="415" s="3" customFormat="1" customHeight="1" spans="1:22">
      <c r="A415" s="84">
        <v>25</v>
      </c>
      <c r="B415" s="175" t="s">
        <v>2915</v>
      </c>
      <c r="C415" s="175" t="s">
        <v>165</v>
      </c>
      <c r="D415" s="175" t="s">
        <v>2916</v>
      </c>
      <c r="E415" s="25">
        <v>18779224246</v>
      </c>
      <c r="F415" s="175" t="s">
        <v>506</v>
      </c>
      <c r="G415" s="175" t="s">
        <v>15</v>
      </c>
      <c r="H415" s="25">
        <v>202102019</v>
      </c>
      <c r="I415" s="175" t="s">
        <v>279</v>
      </c>
      <c r="J415" s="175" t="s">
        <v>367</v>
      </c>
      <c r="K415" s="175" t="s">
        <v>348</v>
      </c>
      <c r="L415" s="175" t="s">
        <v>170</v>
      </c>
      <c r="M415" s="175" t="s">
        <v>180</v>
      </c>
      <c r="N415" s="175" t="s">
        <v>2918</v>
      </c>
      <c r="O415" s="25">
        <v>0</v>
      </c>
      <c r="P415" s="26" t="str">
        <f>_xlfn.DISPIMG("ID_0C4A3B774E384F888DCC2803C749C7F6",1)</f>
        <v>=DISPIMG("ID_0C4A3B774E384F888DCC2803C749C7F6",1)</v>
      </c>
      <c r="Q415" s="25" t="s">
        <v>2919</v>
      </c>
      <c r="R415" s="25">
        <v>355</v>
      </c>
      <c r="S415" s="40" t="s">
        <v>4707</v>
      </c>
      <c r="T415" s="18" t="s">
        <v>62</v>
      </c>
      <c r="U415" s="25">
        <v>23</v>
      </c>
      <c r="V415" s="84">
        <v>67</v>
      </c>
    </row>
    <row r="416" s="3" customFormat="1" customHeight="1" spans="1:22">
      <c r="A416" s="84">
        <v>27</v>
      </c>
      <c r="B416" s="175" t="s">
        <v>3579</v>
      </c>
      <c r="C416" s="175" t="s">
        <v>153</v>
      </c>
      <c r="D416" s="175" t="s">
        <v>3580</v>
      </c>
      <c r="E416" s="25">
        <v>15179270292</v>
      </c>
      <c r="F416" s="175" t="s">
        <v>156</v>
      </c>
      <c r="G416" s="175" t="s">
        <v>15</v>
      </c>
      <c r="H416" s="25">
        <v>202102007</v>
      </c>
      <c r="I416" s="175" t="s">
        <v>157</v>
      </c>
      <c r="J416" s="175" t="s">
        <v>158</v>
      </c>
      <c r="K416" s="175" t="s">
        <v>1832</v>
      </c>
      <c r="L416" s="175" t="s">
        <v>160</v>
      </c>
      <c r="M416" s="175" t="s">
        <v>368</v>
      </c>
      <c r="N416" s="175" t="s">
        <v>3582</v>
      </c>
      <c r="O416" s="25">
        <v>0</v>
      </c>
      <c r="P416" s="26" t="str">
        <f>_xlfn.DISPIMG("ID_10B7637016814F53B0B0689821F0D756",1)</f>
        <v>=DISPIMG("ID_10B7637016814F53B0B0689821F0D756",1)</v>
      </c>
      <c r="Q416" s="25" t="s">
        <v>3583</v>
      </c>
      <c r="R416" s="25">
        <v>455</v>
      </c>
      <c r="S416" s="40" t="s">
        <v>4712</v>
      </c>
      <c r="T416" s="18" t="s">
        <v>62</v>
      </c>
      <c r="U416" s="25">
        <v>24</v>
      </c>
      <c r="V416" s="84">
        <v>0</v>
      </c>
    </row>
    <row r="417" s="3" customFormat="1" customHeight="1" spans="1:22">
      <c r="A417" s="84">
        <v>28</v>
      </c>
      <c r="B417" s="175" t="s">
        <v>3841</v>
      </c>
      <c r="C417" s="175" t="s">
        <v>165</v>
      </c>
      <c r="D417" s="175" t="s">
        <v>3842</v>
      </c>
      <c r="E417" s="25">
        <v>13177873876</v>
      </c>
      <c r="F417" s="175" t="s">
        <v>156</v>
      </c>
      <c r="G417" s="175" t="s">
        <v>15</v>
      </c>
      <c r="H417" s="25">
        <v>202102007</v>
      </c>
      <c r="I417" s="175" t="s">
        <v>157</v>
      </c>
      <c r="J417" s="175" t="s">
        <v>233</v>
      </c>
      <c r="K417" s="175" t="s">
        <v>169</v>
      </c>
      <c r="L417" s="175" t="s">
        <v>170</v>
      </c>
      <c r="M417" s="175" t="s">
        <v>3844</v>
      </c>
      <c r="N417" s="175" t="s">
        <v>3845</v>
      </c>
      <c r="O417" s="175" t="s">
        <v>3846</v>
      </c>
      <c r="P417" s="26" t="str">
        <f>_xlfn.DISPIMG("ID_0D39E07DE3FA4F1EAFE382357648332E",1)</f>
        <v>=DISPIMG("ID_0D39E07DE3FA4F1EAFE382357648332E",1)</v>
      </c>
      <c r="Q417" s="25" t="s">
        <v>3847</v>
      </c>
      <c r="R417" s="25">
        <v>490</v>
      </c>
      <c r="S417" s="40" t="s">
        <v>4713</v>
      </c>
      <c r="T417" s="18" t="s">
        <v>62</v>
      </c>
      <c r="U417" s="25">
        <v>25</v>
      </c>
      <c r="V417" s="84">
        <v>0</v>
      </c>
    </row>
    <row r="418" s="3" customFormat="1" customHeight="1" spans="1:22">
      <c r="A418" s="84">
        <v>26</v>
      </c>
      <c r="B418" s="175" t="s">
        <v>3570</v>
      </c>
      <c r="C418" s="175" t="s">
        <v>165</v>
      </c>
      <c r="D418" s="175" t="s">
        <v>3571</v>
      </c>
      <c r="E418" s="25">
        <v>13879176428</v>
      </c>
      <c r="F418" s="175" t="s">
        <v>156</v>
      </c>
      <c r="G418" s="175" t="s">
        <v>15</v>
      </c>
      <c r="H418" s="25">
        <v>202102007</v>
      </c>
      <c r="I418" s="175" t="s">
        <v>157</v>
      </c>
      <c r="J418" s="175" t="s">
        <v>233</v>
      </c>
      <c r="K418" s="175" t="s">
        <v>454</v>
      </c>
      <c r="L418" s="175" t="s">
        <v>170</v>
      </c>
      <c r="M418" s="175" t="s">
        <v>3573</v>
      </c>
      <c r="N418" s="175" t="s">
        <v>3574</v>
      </c>
      <c r="O418" s="175" t="s">
        <v>3575</v>
      </c>
      <c r="P418" s="26" t="str">
        <f>_xlfn.DISPIMG("ID_4E9B8A157E55446AAA9BAC9D6541DF67",1)</f>
        <v>=DISPIMG("ID_4E9B8A157E55446AAA9BAC9D6541DF67",1)</v>
      </c>
      <c r="Q418" s="25" t="s">
        <v>3576</v>
      </c>
      <c r="R418" s="25">
        <v>454</v>
      </c>
      <c r="S418" s="40" t="s">
        <v>4708</v>
      </c>
      <c r="T418" s="18" t="s">
        <v>62</v>
      </c>
      <c r="U418" s="25">
        <v>26</v>
      </c>
      <c r="V418" s="84">
        <v>62</v>
      </c>
    </row>
    <row r="419" s="3" customFormat="1" customHeight="1" spans="1:22">
      <c r="A419" s="84">
        <v>24</v>
      </c>
      <c r="B419" s="175" t="s">
        <v>2407</v>
      </c>
      <c r="C419" s="175" t="s">
        <v>165</v>
      </c>
      <c r="D419" s="175" t="s">
        <v>2408</v>
      </c>
      <c r="E419" s="25">
        <v>15070401093</v>
      </c>
      <c r="F419" s="175" t="s">
        <v>156</v>
      </c>
      <c r="G419" s="175" t="s">
        <v>15</v>
      </c>
      <c r="H419" s="25">
        <v>202102007</v>
      </c>
      <c r="I419" s="175" t="s">
        <v>157</v>
      </c>
      <c r="J419" s="175" t="s">
        <v>827</v>
      </c>
      <c r="K419" s="175" t="s">
        <v>2394</v>
      </c>
      <c r="L419" s="175" t="s">
        <v>160</v>
      </c>
      <c r="M419" s="175" t="s">
        <v>171</v>
      </c>
      <c r="N419" s="175" t="s">
        <v>2410</v>
      </c>
      <c r="O419" s="175" t="s">
        <v>2411</v>
      </c>
      <c r="P419" s="26" t="str">
        <f>_xlfn.DISPIMG("ID_AC752CE0DFA24D83A60721AFA892E1C6",1)</f>
        <v>=DISPIMG("ID_AC752CE0DFA24D83A60721AFA892E1C6",1)</v>
      </c>
      <c r="Q419" s="25" t="s">
        <v>2412</v>
      </c>
      <c r="R419" s="25">
        <v>286</v>
      </c>
      <c r="S419" s="40" t="s">
        <v>4703</v>
      </c>
      <c r="T419" s="18" t="s">
        <v>62</v>
      </c>
      <c r="U419" s="25">
        <v>27</v>
      </c>
      <c r="V419" s="84">
        <v>0</v>
      </c>
    </row>
    <row r="420" s="3" customFormat="1" customHeight="1" spans="1:22">
      <c r="A420" s="84">
        <v>22</v>
      </c>
      <c r="B420" s="175" t="s">
        <v>1658</v>
      </c>
      <c r="C420" s="175" t="s">
        <v>153</v>
      </c>
      <c r="D420" s="175" t="s">
        <v>1659</v>
      </c>
      <c r="E420" s="25">
        <v>15170625945</v>
      </c>
      <c r="F420" s="175" t="s">
        <v>506</v>
      </c>
      <c r="G420" s="175" t="s">
        <v>15</v>
      </c>
      <c r="H420" s="25">
        <v>202102019</v>
      </c>
      <c r="I420" s="175" t="s">
        <v>157</v>
      </c>
      <c r="J420" s="175" t="s">
        <v>611</v>
      </c>
      <c r="K420" s="175" t="s">
        <v>454</v>
      </c>
      <c r="L420" s="175" t="s">
        <v>160</v>
      </c>
      <c r="M420" s="175" t="s">
        <v>261</v>
      </c>
      <c r="N420" s="175" t="s">
        <v>1661</v>
      </c>
      <c r="O420" s="25">
        <v>0</v>
      </c>
      <c r="P420" s="26" t="str">
        <f>_xlfn.DISPIMG("ID_40EE23CAD6BE466D8A6330DBB5734F8E",1)</f>
        <v>=DISPIMG("ID_40EE23CAD6BE466D8A6330DBB5734F8E",1)</v>
      </c>
      <c r="Q420" s="25" t="s">
        <v>1662</v>
      </c>
      <c r="R420" s="25">
        <v>187</v>
      </c>
      <c r="S420" s="40" t="s">
        <v>4699</v>
      </c>
      <c r="T420" s="18" t="s">
        <v>62</v>
      </c>
      <c r="U420" s="25">
        <v>28</v>
      </c>
      <c r="V420" s="84">
        <v>0</v>
      </c>
    </row>
    <row r="421" s="3" customFormat="1" customHeight="1" spans="1:22">
      <c r="A421" s="84"/>
      <c r="B421" s="25"/>
      <c r="C421" s="25"/>
      <c r="D421" s="25"/>
      <c r="E421" s="25"/>
      <c r="F421" s="25"/>
      <c r="G421" s="25"/>
      <c r="H421" s="25"/>
      <c r="I421" s="25"/>
      <c r="J421" s="25"/>
      <c r="K421" s="25"/>
      <c r="L421" s="25"/>
      <c r="M421" s="25"/>
      <c r="N421" s="25"/>
      <c r="O421" s="25"/>
      <c r="P421" s="26"/>
      <c r="Q421" s="25"/>
      <c r="R421" s="25"/>
      <c r="S421" s="40"/>
      <c r="T421" s="18"/>
      <c r="U421" s="25"/>
      <c r="V421" s="84"/>
    </row>
    <row r="422" s="3" customFormat="1" customHeight="1" spans="1:22">
      <c r="A422" s="84"/>
      <c r="B422" s="25"/>
      <c r="C422" s="25"/>
      <c r="D422" s="25"/>
      <c r="E422" s="25"/>
      <c r="F422" s="25"/>
      <c r="G422" s="25"/>
      <c r="H422" s="25"/>
      <c r="I422" s="25"/>
      <c r="J422" s="25"/>
      <c r="K422" s="25"/>
      <c r="L422" s="25"/>
      <c r="M422" s="25"/>
      <c r="N422" s="25"/>
      <c r="O422" s="25"/>
      <c r="P422" s="26"/>
      <c r="Q422" s="25"/>
      <c r="R422" s="25"/>
      <c r="S422" s="40"/>
      <c r="T422" s="18"/>
      <c r="U422" s="25"/>
      <c r="V422" s="84"/>
    </row>
    <row r="423" s="3" customFormat="1" customHeight="1" spans="1:22">
      <c r="A423" s="84">
        <v>6</v>
      </c>
      <c r="B423" s="175" t="s">
        <v>3685</v>
      </c>
      <c r="C423" s="175" t="s">
        <v>165</v>
      </c>
      <c r="D423" s="175" t="s">
        <v>3686</v>
      </c>
      <c r="E423" s="25">
        <v>18270929326</v>
      </c>
      <c r="F423" s="175" t="s">
        <v>156</v>
      </c>
      <c r="G423" s="175" t="s">
        <v>7</v>
      </c>
      <c r="H423" s="25">
        <v>202102006</v>
      </c>
      <c r="I423" s="175" t="s">
        <v>157</v>
      </c>
      <c r="J423" s="175" t="s">
        <v>884</v>
      </c>
      <c r="K423" s="175" t="s">
        <v>454</v>
      </c>
      <c r="L423" s="175" t="s">
        <v>170</v>
      </c>
      <c r="M423" s="175" t="s">
        <v>3687</v>
      </c>
      <c r="N423" s="175" t="s">
        <v>7</v>
      </c>
      <c r="O423" s="175" t="s">
        <v>3688</v>
      </c>
      <c r="P423" s="26" t="str">
        <f>_xlfn.DISPIMG("ID_E15A59AE3AB3482DA375DB6FC21D8F4C",1)</f>
        <v>=DISPIMG("ID_E15A59AE3AB3482DA375DB6FC21D8F4C",1)</v>
      </c>
      <c r="Q423" s="25" t="s">
        <v>3689</v>
      </c>
      <c r="R423" s="25">
        <v>469</v>
      </c>
      <c r="S423" s="40" t="s">
        <v>4704</v>
      </c>
      <c r="T423" s="18" t="s">
        <v>66</v>
      </c>
      <c r="U423" s="25">
        <v>1</v>
      </c>
      <c r="V423" s="84">
        <v>76</v>
      </c>
    </row>
    <row r="424" s="3" customFormat="1" customHeight="1" spans="1:22">
      <c r="A424" s="84">
        <v>5</v>
      </c>
      <c r="B424" s="175" t="s">
        <v>3263</v>
      </c>
      <c r="C424" s="175" t="s">
        <v>165</v>
      </c>
      <c r="D424" s="175" t="s">
        <v>3264</v>
      </c>
      <c r="E424" s="25">
        <v>15297923055</v>
      </c>
      <c r="F424" s="175" t="s">
        <v>156</v>
      </c>
      <c r="G424" s="175" t="s">
        <v>7</v>
      </c>
      <c r="H424" s="25">
        <v>202102006</v>
      </c>
      <c r="I424" s="175" t="s">
        <v>157</v>
      </c>
      <c r="J424" s="175" t="s">
        <v>507</v>
      </c>
      <c r="K424" s="175" t="s">
        <v>243</v>
      </c>
      <c r="L424" s="175" t="s">
        <v>160</v>
      </c>
      <c r="M424" s="175" t="s">
        <v>1089</v>
      </c>
      <c r="N424" s="175" t="s">
        <v>13</v>
      </c>
      <c r="O424" s="25">
        <v>0</v>
      </c>
      <c r="P424" s="26" t="str">
        <f>_xlfn.DISPIMG("ID_E2A16755D9294F19AC6C5724406D1776",1)</f>
        <v>=DISPIMG("ID_E2A16755D9294F19AC6C5724406D1776",1)</v>
      </c>
      <c r="Q424" s="25" t="s">
        <v>3265</v>
      </c>
      <c r="R424" s="25">
        <v>407</v>
      </c>
      <c r="S424" s="40" t="s">
        <v>4700</v>
      </c>
      <c r="T424" s="18" t="s">
        <v>66</v>
      </c>
      <c r="U424" s="25">
        <v>2</v>
      </c>
      <c r="V424" s="84">
        <v>84</v>
      </c>
    </row>
    <row r="425" s="3" customFormat="1" customHeight="1" spans="1:22">
      <c r="A425" s="84">
        <v>4</v>
      </c>
      <c r="B425" s="175" t="s">
        <v>2774</v>
      </c>
      <c r="C425" s="175" t="s">
        <v>165</v>
      </c>
      <c r="D425" s="175" t="s">
        <v>2775</v>
      </c>
      <c r="E425" s="25">
        <v>18720298910</v>
      </c>
      <c r="F425" s="175" t="s">
        <v>156</v>
      </c>
      <c r="G425" s="175" t="s">
        <v>7</v>
      </c>
      <c r="H425" s="25">
        <v>202102006</v>
      </c>
      <c r="I425" s="175" t="s">
        <v>157</v>
      </c>
      <c r="J425" s="175" t="s">
        <v>158</v>
      </c>
      <c r="K425" s="175" t="s">
        <v>1639</v>
      </c>
      <c r="L425" s="175" t="s">
        <v>170</v>
      </c>
      <c r="M425" s="175" t="s">
        <v>306</v>
      </c>
      <c r="N425" s="175" t="s">
        <v>19</v>
      </c>
      <c r="O425" s="175" t="s">
        <v>2777</v>
      </c>
      <c r="P425" s="26" t="str">
        <f>_xlfn.DISPIMG("ID_DC860A7FCB384FE48AFC2F135021FF6F",1)</f>
        <v>=DISPIMG("ID_DC860A7FCB384FE48AFC2F135021FF6F",1)</v>
      </c>
      <c r="Q425" s="25" t="s">
        <v>2778</v>
      </c>
      <c r="R425" s="25">
        <v>336</v>
      </c>
      <c r="S425" s="40" t="s">
        <v>4723</v>
      </c>
      <c r="T425" s="18" t="s">
        <v>66</v>
      </c>
      <c r="U425" s="25">
        <v>3</v>
      </c>
      <c r="V425" s="85">
        <v>0</v>
      </c>
    </row>
    <row r="426" s="3" customFormat="1" customHeight="1" spans="1:22">
      <c r="A426" s="84">
        <v>3</v>
      </c>
      <c r="B426" s="175" t="s">
        <v>2732</v>
      </c>
      <c r="C426" s="175" t="s">
        <v>165</v>
      </c>
      <c r="D426" s="175" t="s">
        <v>2733</v>
      </c>
      <c r="E426" s="25">
        <v>15079218024</v>
      </c>
      <c r="F426" s="175" t="s">
        <v>156</v>
      </c>
      <c r="G426" s="175" t="s">
        <v>7</v>
      </c>
      <c r="H426" s="25">
        <v>202102006</v>
      </c>
      <c r="I426" s="175" t="s">
        <v>157</v>
      </c>
      <c r="J426" s="175" t="s">
        <v>1112</v>
      </c>
      <c r="K426" s="175" t="s">
        <v>159</v>
      </c>
      <c r="L426" s="175" t="s">
        <v>160</v>
      </c>
      <c r="M426" s="175" t="s">
        <v>199</v>
      </c>
      <c r="N426" s="175" t="s">
        <v>19</v>
      </c>
      <c r="O426" s="175" t="s">
        <v>2735</v>
      </c>
      <c r="P426" s="26" t="str">
        <f>_xlfn.DISPIMG("ID_8B921756A8224507AE26B26EA7A47E29",1)</f>
        <v>=DISPIMG("ID_8B921756A8224507AE26B26EA7A47E29",1)</v>
      </c>
      <c r="Q426" s="25" t="s">
        <v>2736</v>
      </c>
      <c r="R426" s="25">
        <v>330</v>
      </c>
      <c r="S426" s="40" t="s">
        <v>4722</v>
      </c>
      <c r="T426" s="18" t="s">
        <v>66</v>
      </c>
      <c r="U426" s="25">
        <v>4</v>
      </c>
      <c r="V426" s="84">
        <v>86</v>
      </c>
    </row>
    <row r="427" s="3" customFormat="1" customHeight="1" spans="1:22">
      <c r="A427" s="84">
        <v>2</v>
      </c>
      <c r="B427" s="175" t="s">
        <v>2004</v>
      </c>
      <c r="C427" s="175" t="s">
        <v>153</v>
      </c>
      <c r="D427" s="175" t="s">
        <v>2005</v>
      </c>
      <c r="E427" s="25">
        <v>18296155146</v>
      </c>
      <c r="F427" s="175" t="s">
        <v>156</v>
      </c>
      <c r="G427" s="175" t="s">
        <v>7</v>
      </c>
      <c r="H427" s="25">
        <v>202102006</v>
      </c>
      <c r="I427" s="175" t="s">
        <v>157</v>
      </c>
      <c r="J427" s="175" t="s">
        <v>1112</v>
      </c>
      <c r="K427" s="175" t="s">
        <v>159</v>
      </c>
      <c r="L427" s="175" t="s">
        <v>160</v>
      </c>
      <c r="M427" s="175" t="s">
        <v>368</v>
      </c>
      <c r="N427" s="175" t="s">
        <v>2007</v>
      </c>
      <c r="O427" s="175" t="s">
        <v>2008</v>
      </c>
      <c r="P427" s="26" t="str">
        <f>_xlfn.DISPIMG("ID_56BCD58120C9403E8AA33B4C6EF6927A",1)</f>
        <v>=DISPIMG("ID_56BCD58120C9403E8AA33B4C6EF6927A",1)</v>
      </c>
      <c r="Q427" s="25" t="s">
        <v>2009</v>
      </c>
      <c r="R427" s="25">
        <v>233</v>
      </c>
      <c r="S427" s="40" t="s">
        <v>4718</v>
      </c>
      <c r="T427" s="18" t="s">
        <v>66</v>
      </c>
      <c r="U427" s="25">
        <v>5</v>
      </c>
      <c r="V427" s="84">
        <v>73</v>
      </c>
    </row>
    <row r="428" s="3" customFormat="1" customHeight="1" spans="1:22">
      <c r="A428" s="84">
        <v>1</v>
      </c>
      <c r="B428" s="175" t="s">
        <v>1671</v>
      </c>
      <c r="C428" s="175" t="s">
        <v>153</v>
      </c>
      <c r="D428" s="175" t="s">
        <v>1672</v>
      </c>
      <c r="E428" s="25">
        <v>13576944053</v>
      </c>
      <c r="F428" s="175" t="s">
        <v>156</v>
      </c>
      <c r="G428" s="175" t="s">
        <v>7</v>
      </c>
      <c r="H428" s="25">
        <v>202102006</v>
      </c>
      <c r="I428" s="175" t="s">
        <v>157</v>
      </c>
      <c r="J428" s="175" t="s">
        <v>1674</v>
      </c>
      <c r="K428" s="175" t="s">
        <v>1675</v>
      </c>
      <c r="L428" s="175" t="s">
        <v>170</v>
      </c>
      <c r="M428" s="175" t="s">
        <v>1676</v>
      </c>
      <c r="N428" s="175" t="s">
        <v>7</v>
      </c>
      <c r="O428" s="175" t="s">
        <v>1677</v>
      </c>
      <c r="P428" s="26" t="str">
        <f>_xlfn.DISPIMG("ID_834E256FE11F482DB22CD6E09A0E87FD",1)</f>
        <v>=DISPIMG("ID_834E256FE11F482DB22CD6E09A0E87FD",1)</v>
      </c>
      <c r="Q428" s="25" t="s">
        <v>1678</v>
      </c>
      <c r="R428" s="25">
        <v>189</v>
      </c>
      <c r="S428" s="40" t="s">
        <v>4717</v>
      </c>
      <c r="T428" s="18" t="s">
        <v>66</v>
      </c>
      <c r="U428" s="25">
        <v>6</v>
      </c>
      <c r="V428" s="84">
        <v>79</v>
      </c>
    </row>
    <row r="429" s="3" customFormat="1" customHeight="1" spans="1:22">
      <c r="A429" s="84">
        <v>7</v>
      </c>
      <c r="B429" s="175" t="s">
        <v>459</v>
      </c>
      <c r="C429" s="175" t="s">
        <v>153</v>
      </c>
      <c r="D429" s="175" t="s">
        <v>460</v>
      </c>
      <c r="E429" s="25">
        <v>13265072773</v>
      </c>
      <c r="F429" s="175" t="s">
        <v>156</v>
      </c>
      <c r="G429" s="175" t="s">
        <v>9</v>
      </c>
      <c r="H429" s="25">
        <v>202102011</v>
      </c>
      <c r="I429" s="175" t="s">
        <v>157</v>
      </c>
      <c r="J429" s="175" t="s">
        <v>462</v>
      </c>
      <c r="K429" s="175" t="s">
        <v>463</v>
      </c>
      <c r="L429" s="175" t="s">
        <v>160</v>
      </c>
      <c r="M429" s="175" t="s">
        <v>161</v>
      </c>
      <c r="N429" s="175" t="s">
        <v>464</v>
      </c>
      <c r="O429" s="25">
        <v>0</v>
      </c>
      <c r="P429" s="26" t="str">
        <f>_xlfn.DISPIMG("ID_DCCAD4E9E505474E946107D340C03662",1)</f>
        <v>=DISPIMG("ID_DCCAD4E9E505474E946107D340C03662",1)</v>
      </c>
      <c r="Q429" s="25" t="s">
        <v>465</v>
      </c>
      <c r="R429" s="25">
        <v>36</v>
      </c>
      <c r="S429" s="40" t="s">
        <v>4705</v>
      </c>
      <c r="T429" s="18" t="s">
        <v>66</v>
      </c>
      <c r="U429" s="25">
        <v>7</v>
      </c>
      <c r="V429" s="84">
        <v>56</v>
      </c>
    </row>
    <row r="430" s="3" customFormat="1" customHeight="1" spans="1:22">
      <c r="A430" s="84">
        <v>8</v>
      </c>
      <c r="B430" s="175" t="s">
        <v>1167</v>
      </c>
      <c r="C430" s="175" t="s">
        <v>153</v>
      </c>
      <c r="D430" s="175" t="s">
        <v>1168</v>
      </c>
      <c r="E430" s="25">
        <v>18370130888</v>
      </c>
      <c r="F430" s="175" t="s">
        <v>156</v>
      </c>
      <c r="G430" s="175" t="s">
        <v>9</v>
      </c>
      <c r="H430" s="25">
        <v>202102011</v>
      </c>
      <c r="I430" s="175" t="s">
        <v>279</v>
      </c>
      <c r="J430" s="175" t="s">
        <v>158</v>
      </c>
      <c r="K430" s="175" t="s">
        <v>682</v>
      </c>
      <c r="L430" s="175" t="s">
        <v>170</v>
      </c>
      <c r="M430" s="175" t="s">
        <v>1170</v>
      </c>
      <c r="N430" s="175" t="s">
        <v>1171</v>
      </c>
      <c r="O430" s="175" t="s">
        <v>1172</v>
      </c>
      <c r="P430" s="26" t="str">
        <f>_xlfn.DISPIMG("ID_A11E1242B6CE401EA988641535D09239",1)</f>
        <v>=DISPIMG("ID_A11E1242B6CE401EA988641535D09239",1)</v>
      </c>
      <c r="Q430" s="25" t="s">
        <v>1173</v>
      </c>
      <c r="R430" s="25">
        <v>123</v>
      </c>
      <c r="S430" s="40" t="s">
        <v>4709</v>
      </c>
      <c r="T430" s="18" t="s">
        <v>66</v>
      </c>
      <c r="U430" s="25">
        <v>8</v>
      </c>
      <c r="V430" s="84">
        <v>73.5</v>
      </c>
    </row>
    <row r="431" s="3" customFormat="1" customHeight="1" spans="1:22">
      <c r="A431" s="84">
        <v>10</v>
      </c>
      <c r="B431" s="175" t="s">
        <v>1821</v>
      </c>
      <c r="C431" s="175" t="s">
        <v>153</v>
      </c>
      <c r="D431" s="175" t="s">
        <v>1822</v>
      </c>
      <c r="E431" s="25">
        <v>15083520312</v>
      </c>
      <c r="F431" s="175" t="s">
        <v>156</v>
      </c>
      <c r="G431" s="175" t="s">
        <v>9</v>
      </c>
      <c r="H431" s="25">
        <v>202102011</v>
      </c>
      <c r="I431" s="175" t="s">
        <v>157</v>
      </c>
      <c r="J431" s="175" t="s">
        <v>437</v>
      </c>
      <c r="K431" s="175" t="s">
        <v>682</v>
      </c>
      <c r="L431" s="175" t="s">
        <v>170</v>
      </c>
      <c r="M431" s="175" t="s">
        <v>455</v>
      </c>
      <c r="N431" s="175" t="s">
        <v>1824</v>
      </c>
      <c r="O431" s="25">
        <v>0</v>
      </c>
      <c r="P431" s="26" t="str">
        <f>_xlfn.DISPIMG("ID_DDBA99C80B934FEAA0E6DE75BE0B792D",1)</f>
        <v>=DISPIMG("ID_DDBA99C80B934FEAA0E6DE75BE0B792D",1)</v>
      </c>
      <c r="Q431" s="25" t="s">
        <v>1825</v>
      </c>
      <c r="R431" s="25">
        <v>208</v>
      </c>
      <c r="S431" s="40" t="s">
        <v>4714</v>
      </c>
      <c r="T431" s="18" t="s">
        <v>66</v>
      </c>
      <c r="U431" s="25">
        <v>9</v>
      </c>
      <c r="V431" s="84">
        <v>69.5</v>
      </c>
    </row>
    <row r="432" s="4" customFormat="1" customHeight="1" spans="1:22">
      <c r="A432" s="84">
        <v>12</v>
      </c>
      <c r="B432" s="175" t="s">
        <v>2598</v>
      </c>
      <c r="C432" s="175" t="s">
        <v>153</v>
      </c>
      <c r="D432" s="175" t="s">
        <v>2599</v>
      </c>
      <c r="E432" s="25">
        <v>15979967100</v>
      </c>
      <c r="F432" s="175" t="s">
        <v>156</v>
      </c>
      <c r="G432" s="175" t="s">
        <v>9</v>
      </c>
      <c r="H432" s="25">
        <v>202102011</v>
      </c>
      <c r="I432" s="175" t="s">
        <v>157</v>
      </c>
      <c r="J432" s="175" t="s">
        <v>2601</v>
      </c>
      <c r="K432" s="175" t="s">
        <v>463</v>
      </c>
      <c r="L432" s="175" t="s">
        <v>160</v>
      </c>
      <c r="M432" s="175" t="s">
        <v>368</v>
      </c>
      <c r="N432" s="175" t="s">
        <v>1406</v>
      </c>
      <c r="O432" s="175" t="s">
        <v>2602</v>
      </c>
      <c r="P432" s="26" t="str">
        <f>_xlfn.DISPIMG("ID_6E5E26FD0608404987009AB35A215594",1)</f>
        <v>=DISPIMG("ID_6E5E26FD0608404987009AB35A215594",1)</v>
      </c>
      <c r="Q432" s="25" t="s">
        <v>2603</v>
      </c>
      <c r="R432" s="25">
        <v>312</v>
      </c>
      <c r="S432" s="40" t="s">
        <v>4719</v>
      </c>
      <c r="T432" s="18" t="s">
        <v>66</v>
      </c>
      <c r="U432" s="25">
        <v>10</v>
      </c>
      <c r="V432" s="84">
        <v>71</v>
      </c>
    </row>
    <row r="433" s="4" customFormat="1" customHeight="1" spans="1:22">
      <c r="A433" s="84">
        <v>14</v>
      </c>
      <c r="B433" s="175" t="s">
        <v>3543</v>
      </c>
      <c r="C433" s="175" t="s">
        <v>153</v>
      </c>
      <c r="D433" s="175" t="s">
        <v>3544</v>
      </c>
      <c r="E433" s="25">
        <v>17683950767</v>
      </c>
      <c r="F433" s="175" t="s">
        <v>156</v>
      </c>
      <c r="G433" s="175" t="s">
        <v>9</v>
      </c>
      <c r="H433" s="25">
        <v>202102011</v>
      </c>
      <c r="I433" s="175" t="s">
        <v>157</v>
      </c>
      <c r="J433" s="175" t="s">
        <v>3518</v>
      </c>
      <c r="K433" s="175" t="s">
        <v>472</v>
      </c>
      <c r="L433" s="175" t="s">
        <v>160</v>
      </c>
      <c r="M433" s="175" t="s">
        <v>455</v>
      </c>
      <c r="N433" s="175" t="s">
        <v>3519</v>
      </c>
      <c r="O433" s="25">
        <v>0</v>
      </c>
      <c r="P433" s="26" t="str">
        <f>_xlfn.DISPIMG("ID_2D99CEE979EF4ECAAD8A877BAF74FBA6",1)</f>
        <v>=DISPIMG("ID_2D99CEE979EF4ECAAD8A877BAF74FBA6",1)</v>
      </c>
      <c r="Q433" s="25" t="s">
        <v>3546</v>
      </c>
      <c r="R433" s="25">
        <v>450</v>
      </c>
      <c r="S433" s="40" t="s">
        <v>4724</v>
      </c>
      <c r="T433" s="18" t="s">
        <v>66</v>
      </c>
      <c r="U433" s="25">
        <v>11</v>
      </c>
      <c r="V433" s="84">
        <v>0</v>
      </c>
    </row>
    <row r="434" s="5" customFormat="1" customHeight="1" spans="1:22">
      <c r="A434" s="84">
        <v>16</v>
      </c>
      <c r="B434" s="175" t="s">
        <v>3556</v>
      </c>
      <c r="C434" s="175" t="s">
        <v>153</v>
      </c>
      <c r="D434" s="175" t="s">
        <v>3557</v>
      </c>
      <c r="E434" s="25">
        <v>17346719580</v>
      </c>
      <c r="F434" s="175" t="s">
        <v>156</v>
      </c>
      <c r="G434" s="175" t="s">
        <v>9</v>
      </c>
      <c r="H434" s="25">
        <v>202102011</v>
      </c>
      <c r="I434" s="175" t="s">
        <v>157</v>
      </c>
      <c r="J434" s="175" t="s">
        <v>3518</v>
      </c>
      <c r="K434" s="175" t="s">
        <v>3559</v>
      </c>
      <c r="L434" s="175" t="s">
        <v>160</v>
      </c>
      <c r="M434" s="175" t="s">
        <v>455</v>
      </c>
      <c r="N434" s="175" t="s">
        <v>3519</v>
      </c>
      <c r="O434" s="25">
        <v>0</v>
      </c>
      <c r="P434" s="26" t="str">
        <f>_xlfn.DISPIMG("ID_21EB11AFC3FB431C8DEC9B4C05162E66",1)</f>
        <v>=DISPIMG("ID_21EB11AFC3FB431C8DEC9B4C05162E66",1)</v>
      </c>
      <c r="Q434" s="25" t="s">
        <v>3560</v>
      </c>
      <c r="R434" s="25">
        <v>452</v>
      </c>
      <c r="S434" s="40" t="s">
        <v>4726</v>
      </c>
      <c r="T434" s="18" t="s">
        <v>66</v>
      </c>
      <c r="U434" s="25">
        <v>12</v>
      </c>
      <c r="V434" s="84">
        <v>0</v>
      </c>
    </row>
    <row r="435" s="3" customFormat="1" customHeight="1" spans="1:22">
      <c r="A435" s="84">
        <v>17</v>
      </c>
      <c r="B435" s="175" t="s">
        <v>3563</v>
      </c>
      <c r="C435" s="175" t="s">
        <v>153</v>
      </c>
      <c r="D435" s="175" t="s">
        <v>3564</v>
      </c>
      <c r="E435" s="25">
        <v>15907977787</v>
      </c>
      <c r="F435" s="175" t="s">
        <v>156</v>
      </c>
      <c r="G435" s="175" t="s">
        <v>9</v>
      </c>
      <c r="H435" s="25">
        <v>202102011</v>
      </c>
      <c r="I435" s="175" t="s">
        <v>157</v>
      </c>
      <c r="J435" s="175" t="s">
        <v>233</v>
      </c>
      <c r="K435" s="175" t="s">
        <v>3566</v>
      </c>
      <c r="L435" s="175" t="s">
        <v>170</v>
      </c>
      <c r="M435" s="175" t="s">
        <v>261</v>
      </c>
      <c r="N435" s="175" t="s">
        <v>1579</v>
      </c>
      <c r="O435" s="25">
        <v>0</v>
      </c>
      <c r="P435" s="26" t="str">
        <f>_xlfn.DISPIMG("ID_3C6447D057EF4BF7AE9ECFE35CBC5ECF",1)</f>
        <v>=DISPIMG("ID_3C6447D057EF4BF7AE9ECFE35CBC5ECF",1)</v>
      </c>
      <c r="Q435" s="25" t="s">
        <v>3567</v>
      </c>
      <c r="R435" s="25">
        <v>453</v>
      </c>
      <c r="S435" s="40" t="s">
        <v>4730</v>
      </c>
      <c r="T435" s="18" t="s">
        <v>66</v>
      </c>
      <c r="U435" s="25">
        <v>13</v>
      </c>
      <c r="V435" s="70">
        <v>0</v>
      </c>
    </row>
    <row r="436" s="3" customFormat="1" customHeight="1" spans="1:22">
      <c r="A436" s="84">
        <v>15</v>
      </c>
      <c r="B436" s="175" t="s">
        <v>3549</v>
      </c>
      <c r="C436" s="175" t="s">
        <v>153</v>
      </c>
      <c r="D436" s="175" t="s">
        <v>3550</v>
      </c>
      <c r="E436" s="25">
        <v>15879724111</v>
      </c>
      <c r="F436" s="175" t="s">
        <v>156</v>
      </c>
      <c r="G436" s="175" t="s">
        <v>9</v>
      </c>
      <c r="H436" s="25">
        <v>202102011</v>
      </c>
      <c r="I436" s="175" t="s">
        <v>157</v>
      </c>
      <c r="J436" s="175" t="s">
        <v>1413</v>
      </c>
      <c r="K436" s="175" t="s">
        <v>682</v>
      </c>
      <c r="L436" s="175" t="s">
        <v>170</v>
      </c>
      <c r="M436" s="175" t="s">
        <v>261</v>
      </c>
      <c r="N436" s="175" t="s">
        <v>3552</v>
      </c>
      <c r="O436" s="25">
        <v>0</v>
      </c>
      <c r="P436" s="26" t="str">
        <f>_xlfn.DISPIMG("ID_DB61A8C4A58C4CD3A7E5339498EDC8D8",1)</f>
        <v>=DISPIMG("ID_DB61A8C4A58C4CD3A7E5339498EDC8D8",1)</v>
      </c>
      <c r="Q436" s="25" t="s">
        <v>3553</v>
      </c>
      <c r="R436" s="25">
        <v>451</v>
      </c>
      <c r="S436" s="40" t="s">
        <v>4725</v>
      </c>
      <c r="T436" s="18" t="s">
        <v>66</v>
      </c>
      <c r="U436" s="25">
        <v>14</v>
      </c>
      <c r="V436" s="84">
        <v>0</v>
      </c>
    </row>
    <row r="437" s="3" customFormat="1" customHeight="1" spans="1:22">
      <c r="A437" s="84">
        <v>13</v>
      </c>
      <c r="B437" s="175" t="s">
        <v>3538</v>
      </c>
      <c r="C437" s="175" t="s">
        <v>153</v>
      </c>
      <c r="D437" s="175" t="s">
        <v>3539</v>
      </c>
      <c r="E437" s="25">
        <v>15770899535</v>
      </c>
      <c r="F437" s="175" t="s">
        <v>156</v>
      </c>
      <c r="G437" s="175" t="s">
        <v>9</v>
      </c>
      <c r="H437" s="25">
        <v>202102011</v>
      </c>
      <c r="I437" s="175" t="s">
        <v>157</v>
      </c>
      <c r="J437" s="175" t="s">
        <v>3518</v>
      </c>
      <c r="K437" s="175" t="s">
        <v>472</v>
      </c>
      <c r="L437" s="175" t="s">
        <v>160</v>
      </c>
      <c r="M437" s="175" t="s">
        <v>455</v>
      </c>
      <c r="N437" s="175" t="s">
        <v>3519</v>
      </c>
      <c r="O437" s="175" t="s">
        <v>3519</v>
      </c>
      <c r="P437" s="26" t="str">
        <f>_xlfn.DISPIMG("ID_0BCC1778ACA14DBF957E729E6605C713",1)</f>
        <v>=DISPIMG("ID_0BCC1778ACA14DBF957E729E6605C713",1)</v>
      </c>
      <c r="Q437" s="25" t="s">
        <v>3541</v>
      </c>
      <c r="R437" s="25">
        <v>449</v>
      </c>
      <c r="S437" s="40" t="s">
        <v>4720</v>
      </c>
      <c r="T437" s="18" t="s">
        <v>66</v>
      </c>
      <c r="U437" s="25">
        <v>15</v>
      </c>
      <c r="V437" s="70">
        <v>0</v>
      </c>
    </row>
    <row r="438" s="4" customFormat="1" customHeight="1" spans="1:22">
      <c r="A438" s="84">
        <v>11</v>
      </c>
      <c r="B438" s="175" t="s">
        <v>2330</v>
      </c>
      <c r="C438" s="175" t="s">
        <v>165</v>
      </c>
      <c r="D438" s="175" t="s">
        <v>2331</v>
      </c>
      <c r="E438" s="25">
        <v>13627002257</v>
      </c>
      <c r="F438" s="175" t="s">
        <v>156</v>
      </c>
      <c r="G438" s="175" t="s">
        <v>9</v>
      </c>
      <c r="H438" s="25">
        <v>202102011</v>
      </c>
      <c r="I438" s="175" t="s">
        <v>157</v>
      </c>
      <c r="J438" s="175" t="s">
        <v>233</v>
      </c>
      <c r="K438" s="175" t="s">
        <v>2333</v>
      </c>
      <c r="L438" s="175" t="s">
        <v>160</v>
      </c>
      <c r="M438" s="175" t="s">
        <v>455</v>
      </c>
      <c r="N438" s="175" t="s">
        <v>9</v>
      </c>
      <c r="O438" s="25">
        <v>0</v>
      </c>
      <c r="P438" s="26" t="str">
        <f>_xlfn.DISPIMG("ID_1491B19669C14541B371C6C8BBB97425",1)</f>
        <v>=DISPIMG("ID_1491B19669C14541B371C6C8BBB97425",1)</v>
      </c>
      <c r="Q438" s="25" t="s">
        <v>2334</v>
      </c>
      <c r="R438" s="25">
        <v>276</v>
      </c>
      <c r="S438" s="40" t="s">
        <v>4715</v>
      </c>
      <c r="T438" s="18" t="s">
        <v>66</v>
      </c>
      <c r="U438" s="25">
        <v>16</v>
      </c>
      <c r="V438" s="84">
        <v>45</v>
      </c>
    </row>
    <row r="439" s="3" customFormat="1" customHeight="1" spans="1:22">
      <c r="A439" s="84">
        <v>9</v>
      </c>
      <c r="B439" s="175" t="s">
        <v>1403</v>
      </c>
      <c r="C439" s="175" t="s">
        <v>153</v>
      </c>
      <c r="D439" s="175" t="s">
        <v>1404</v>
      </c>
      <c r="E439" s="25">
        <v>15779981835</v>
      </c>
      <c r="F439" s="175" t="s">
        <v>156</v>
      </c>
      <c r="G439" s="175" t="s">
        <v>9</v>
      </c>
      <c r="H439" s="25">
        <v>202102011</v>
      </c>
      <c r="I439" s="175" t="s">
        <v>157</v>
      </c>
      <c r="J439" s="175" t="s">
        <v>827</v>
      </c>
      <c r="K439" s="175" t="s">
        <v>682</v>
      </c>
      <c r="L439" s="175" t="s">
        <v>170</v>
      </c>
      <c r="M439" s="175" t="s">
        <v>261</v>
      </c>
      <c r="N439" s="175" t="s">
        <v>1406</v>
      </c>
      <c r="O439" s="25">
        <v>0</v>
      </c>
      <c r="P439" s="26" t="str">
        <f>_xlfn.DISPIMG("ID_FA69E1E4EF8743A583B1A39075AAAF21",1)</f>
        <v>=DISPIMG("ID_FA69E1E4EF8743A583B1A39075AAAF21",1)</v>
      </c>
      <c r="Q439" s="25" t="s">
        <v>1407</v>
      </c>
      <c r="R439" s="25">
        <v>154</v>
      </c>
      <c r="S439" s="40" t="s">
        <v>4710</v>
      </c>
      <c r="T439" s="18" t="s">
        <v>66</v>
      </c>
      <c r="U439" s="25">
        <v>17</v>
      </c>
      <c r="V439" s="84">
        <v>75</v>
      </c>
    </row>
    <row r="440" s="3" customFormat="1" customHeight="1" spans="1:22">
      <c r="A440" s="84">
        <v>18</v>
      </c>
      <c r="B440" s="175" t="s">
        <v>3248</v>
      </c>
      <c r="C440" s="175" t="s">
        <v>153</v>
      </c>
      <c r="D440" s="175" t="s">
        <v>3249</v>
      </c>
      <c r="E440" s="25">
        <v>15180608216</v>
      </c>
      <c r="F440" s="175" t="s">
        <v>156</v>
      </c>
      <c r="G440" s="175" t="s">
        <v>11</v>
      </c>
      <c r="H440" s="25">
        <v>202102013</v>
      </c>
      <c r="I440" s="175" t="s">
        <v>157</v>
      </c>
      <c r="J440" s="175" t="s">
        <v>827</v>
      </c>
      <c r="K440" s="175" t="s">
        <v>3251</v>
      </c>
      <c r="L440" s="175" t="s">
        <v>160</v>
      </c>
      <c r="M440" s="175" t="s">
        <v>161</v>
      </c>
      <c r="N440" s="175" t="s">
        <v>8</v>
      </c>
      <c r="O440" s="25">
        <v>0</v>
      </c>
      <c r="P440" s="26" t="str">
        <f>_xlfn.DISPIMG("ID_80F22CEDB358451BB7235F67F99FD33D",1)</f>
        <v>=DISPIMG("ID_80F22CEDB358451BB7235F67F99FD33D",1)</v>
      </c>
      <c r="Q440" s="25" t="s">
        <v>3252</v>
      </c>
      <c r="R440" s="25">
        <v>405</v>
      </c>
      <c r="S440" s="40" t="s">
        <v>4734</v>
      </c>
      <c r="T440" s="18" t="s">
        <v>66</v>
      </c>
      <c r="U440" s="25">
        <v>18</v>
      </c>
      <c r="V440" s="84">
        <v>0</v>
      </c>
    </row>
    <row r="441" s="3" customFormat="1" customHeight="1" spans="1:22">
      <c r="A441" s="84">
        <v>19</v>
      </c>
      <c r="B441" s="175" t="s">
        <v>3335</v>
      </c>
      <c r="C441" s="175" t="s">
        <v>165</v>
      </c>
      <c r="D441" s="175" t="s">
        <v>3336</v>
      </c>
      <c r="E441" s="25">
        <v>15170662594</v>
      </c>
      <c r="F441" s="175" t="s">
        <v>156</v>
      </c>
      <c r="G441" s="175" t="s">
        <v>11</v>
      </c>
      <c r="H441" s="25">
        <v>202102013</v>
      </c>
      <c r="I441" s="175" t="s">
        <v>157</v>
      </c>
      <c r="J441" s="175" t="s">
        <v>3070</v>
      </c>
      <c r="K441" s="175" t="s">
        <v>1147</v>
      </c>
      <c r="L441" s="175" t="s">
        <v>170</v>
      </c>
      <c r="M441" s="175" t="s">
        <v>306</v>
      </c>
      <c r="N441" s="175" t="s">
        <v>23</v>
      </c>
      <c r="O441" s="175" t="s">
        <v>3338</v>
      </c>
      <c r="P441" s="26" t="str">
        <f>_xlfn.DISPIMG("ID_1086188647994FC4A050F44FE33ED3AF",1)</f>
        <v>=DISPIMG("ID_1086188647994FC4A050F44FE33ED3AF",1)</v>
      </c>
      <c r="Q441" s="25" t="s">
        <v>3339</v>
      </c>
      <c r="R441" s="25">
        <v>420</v>
      </c>
      <c r="S441" s="40" t="s">
        <v>4738</v>
      </c>
      <c r="T441" s="18" t="s">
        <v>66</v>
      </c>
      <c r="U441" s="25">
        <v>19</v>
      </c>
      <c r="V441" s="84">
        <v>0</v>
      </c>
    </row>
    <row r="442" s="3" customFormat="1" customHeight="1" spans="1:22">
      <c r="A442" s="84"/>
      <c r="B442" s="25"/>
      <c r="C442" s="25"/>
      <c r="D442" s="25"/>
      <c r="E442" s="25"/>
      <c r="F442" s="25"/>
      <c r="G442" s="25"/>
      <c r="H442" s="25"/>
      <c r="I442" s="25"/>
      <c r="J442" s="25"/>
      <c r="K442" s="25"/>
      <c r="L442" s="25"/>
      <c r="M442" s="25"/>
      <c r="N442" s="25"/>
      <c r="O442" s="25"/>
      <c r="P442" s="26"/>
      <c r="Q442" s="25"/>
      <c r="R442" s="25"/>
      <c r="S442" s="40"/>
      <c r="T442" s="18"/>
      <c r="U442" s="25"/>
      <c r="V442" s="84"/>
    </row>
    <row r="443" s="3" customFormat="1" customHeight="1" spans="1:22">
      <c r="A443" s="84"/>
      <c r="B443" s="25"/>
      <c r="C443" s="25"/>
      <c r="D443" s="25"/>
      <c r="E443" s="25"/>
      <c r="F443" s="25"/>
      <c r="G443" s="25"/>
      <c r="H443" s="25"/>
      <c r="I443" s="25"/>
      <c r="J443" s="25"/>
      <c r="K443" s="25"/>
      <c r="L443" s="25"/>
      <c r="M443" s="25"/>
      <c r="N443" s="25"/>
      <c r="O443" s="25"/>
      <c r="P443" s="26"/>
      <c r="Q443" s="25"/>
      <c r="R443" s="25"/>
      <c r="S443" s="40"/>
      <c r="T443" s="18"/>
      <c r="U443" s="25"/>
      <c r="V443" s="84"/>
    </row>
    <row r="444" s="3" customFormat="1" customHeight="1" spans="1:22">
      <c r="A444" s="84"/>
      <c r="B444" s="25"/>
      <c r="C444" s="25"/>
      <c r="D444" s="25"/>
      <c r="E444" s="25"/>
      <c r="F444" s="25"/>
      <c r="G444" s="25"/>
      <c r="H444" s="25"/>
      <c r="I444" s="25"/>
      <c r="J444" s="25"/>
      <c r="K444" s="25"/>
      <c r="L444" s="25"/>
      <c r="M444" s="25"/>
      <c r="N444" s="25"/>
      <c r="O444" s="25"/>
      <c r="P444" s="26"/>
      <c r="Q444" s="25"/>
      <c r="R444" s="25"/>
      <c r="S444" s="40"/>
      <c r="T444" s="18"/>
      <c r="U444" s="25"/>
      <c r="V444" s="84"/>
    </row>
    <row r="445" s="3" customFormat="1" customHeight="1" spans="1:22">
      <c r="A445" s="84"/>
      <c r="B445" s="25"/>
      <c r="C445" s="25"/>
      <c r="D445" s="25"/>
      <c r="E445" s="25"/>
      <c r="F445" s="25"/>
      <c r="G445" s="25"/>
      <c r="H445" s="25"/>
      <c r="I445" s="25"/>
      <c r="J445" s="25"/>
      <c r="K445" s="25"/>
      <c r="L445" s="25"/>
      <c r="M445" s="25"/>
      <c r="N445" s="25"/>
      <c r="O445" s="25"/>
      <c r="P445" s="26"/>
      <c r="Q445" s="25"/>
      <c r="R445" s="25"/>
      <c r="S445" s="40"/>
      <c r="T445" s="18"/>
      <c r="U445" s="25"/>
      <c r="V445" s="84"/>
    </row>
    <row r="446" s="3" customFormat="1" customHeight="1" spans="1:22">
      <c r="A446" s="84"/>
      <c r="B446" s="25"/>
      <c r="C446" s="25"/>
      <c r="D446" s="25"/>
      <c r="E446" s="25"/>
      <c r="F446" s="25"/>
      <c r="G446" s="25"/>
      <c r="H446" s="25"/>
      <c r="I446" s="25"/>
      <c r="J446" s="25"/>
      <c r="K446" s="25"/>
      <c r="L446" s="25"/>
      <c r="M446" s="25"/>
      <c r="N446" s="25"/>
      <c r="O446" s="25"/>
      <c r="P446" s="26"/>
      <c r="Q446" s="25"/>
      <c r="R446" s="25"/>
      <c r="S446" s="40"/>
      <c r="T446" s="18"/>
      <c r="U446" s="25"/>
      <c r="V446" s="84"/>
    </row>
    <row r="447" s="3" customFormat="1" customHeight="1" spans="1:22">
      <c r="A447" s="84"/>
      <c r="B447" s="25"/>
      <c r="C447" s="25"/>
      <c r="D447" s="25"/>
      <c r="E447" s="25"/>
      <c r="F447" s="25"/>
      <c r="G447" s="25"/>
      <c r="H447" s="25"/>
      <c r="I447" s="25"/>
      <c r="J447" s="25"/>
      <c r="K447" s="25"/>
      <c r="L447" s="25"/>
      <c r="M447" s="25"/>
      <c r="N447" s="25"/>
      <c r="O447" s="25"/>
      <c r="P447" s="26"/>
      <c r="Q447" s="25"/>
      <c r="R447" s="25"/>
      <c r="S447" s="40"/>
      <c r="T447" s="18"/>
      <c r="U447" s="25"/>
      <c r="V447" s="84"/>
    </row>
    <row r="448" s="3" customFormat="1" customHeight="1" spans="1:22">
      <c r="A448" s="84"/>
      <c r="B448" s="25"/>
      <c r="C448" s="25"/>
      <c r="D448" s="25"/>
      <c r="E448" s="25"/>
      <c r="F448" s="25"/>
      <c r="G448" s="25"/>
      <c r="H448" s="25"/>
      <c r="I448" s="25"/>
      <c r="J448" s="25"/>
      <c r="K448" s="25"/>
      <c r="L448" s="25"/>
      <c r="M448" s="25"/>
      <c r="N448" s="25"/>
      <c r="O448" s="25"/>
      <c r="P448" s="26"/>
      <c r="Q448" s="25"/>
      <c r="R448" s="25"/>
      <c r="S448" s="40"/>
      <c r="T448" s="18"/>
      <c r="U448" s="25"/>
      <c r="V448" s="84"/>
    </row>
    <row r="449" s="3" customFormat="1" customHeight="1" spans="1:22">
      <c r="A449" s="84"/>
      <c r="B449" s="25"/>
      <c r="C449" s="25"/>
      <c r="D449" s="25"/>
      <c r="E449" s="25"/>
      <c r="F449" s="25"/>
      <c r="G449" s="25"/>
      <c r="H449" s="25"/>
      <c r="I449" s="25"/>
      <c r="J449" s="25"/>
      <c r="K449" s="25"/>
      <c r="L449" s="25"/>
      <c r="M449" s="25"/>
      <c r="N449" s="25"/>
      <c r="O449" s="25"/>
      <c r="P449" s="26"/>
      <c r="Q449" s="25"/>
      <c r="R449" s="25"/>
      <c r="S449" s="40"/>
      <c r="T449" s="18"/>
      <c r="U449" s="25"/>
      <c r="V449" s="84"/>
    </row>
    <row r="450" s="3" customFormat="1" customHeight="1" spans="1:22">
      <c r="A450" s="84"/>
      <c r="B450" s="25"/>
      <c r="C450" s="25"/>
      <c r="D450" s="25"/>
      <c r="E450" s="25"/>
      <c r="F450" s="25"/>
      <c r="G450" s="25"/>
      <c r="H450" s="25"/>
      <c r="I450" s="25"/>
      <c r="J450" s="25"/>
      <c r="K450" s="25"/>
      <c r="L450" s="25"/>
      <c r="M450" s="25"/>
      <c r="N450" s="25"/>
      <c r="O450" s="25"/>
      <c r="P450" s="26"/>
      <c r="Q450" s="25"/>
      <c r="R450" s="25"/>
      <c r="S450" s="40"/>
      <c r="T450" s="18"/>
      <c r="U450" s="25"/>
      <c r="V450" s="84"/>
    </row>
    <row r="451" s="3" customFormat="1" customHeight="1" spans="1:22">
      <c r="A451" s="84"/>
      <c r="B451" s="25"/>
      <c r="C451" s="25"/>
      <c r="D451" s="25"/>
      <c r="E451" s="25"/>
      <c r="F451" s="25"/>
      <c r="G451" s="25"/>
      <c r="H451" s="25"/>
      <c r="I451" s="25"/>
      <c r="J451" s="25"/>
      <c r="K451" s="25"/>
      <c r="L451" s="25"/>
      <c r="M451" s="25"/>
      <c r="N451" s="25"/>
      <c r="O451" s="25"/>
      <c r="P451" s="26"/>
      <c r="Q451" s="25"/>
      <c r="R451" s="25"/>
      <c r="S451" s="40"/>
      <c r="T451" s="18"/>
      <c r="U451" s="25"/>
      <c r="V451" s="84"/>
    </row>
    <row r="452" s="3" customFormat="1" customHeight="1" spans="1:22">
      <c r="A452" s="84"/>
      <c r="B452" s="25"/>
      <c r="C452" s="25"/>
      <c r="D452" s="25"/>
      <c r="E452" s="25"/>
      <c r="F452" s="25"/>
      <c r="G452" s="25"/>
      <c r="H452" s="25"/>
      <c r="I452" s="25"/>
      <c r="J452" s="25"/>
      <c r="K452" s="25"/>
      <c r="L452" s="25"/>
      <c r="M452" s="25"/>
      <c r="N452" s="25"/>
      <c r="O452" s="25"/>
      <c r="P452" s="26"/>
      <c r="Q452" s="25"/>
      <c r="R452" s="25"/>
      <c r="S452" s="40"/>
      <c r="T452" s="18"/>
      <c r="U452" s="25"/>
      <c r="V452" s="84"/>
    </row>
    <row r="453" s="3" customFormat="1" customHeight="1" spans="1:22">
      <c r="A453" s="84">
        <v>26</v>
      </c>
      <c r="B453" s="175" t="s">
        <v>3386</v>
      </c>
      <c r="C453" s="175" t="s">
        <v>165</v>
      </c>
      <c r="D453" s="175" t="s">
        <v>3387</v>
      </c>
      <c r="E453" s="25">
        <v>15070657835</v>
      </c>
      <c r="F453" s="175" t="s">
        <v>384</v>
      </c>
      <c r="G453" s="175" t="s">
        <v>25</v>
      </c>
      <c r="H453" s="25">
        <v>202101007</v>
      </c>
      <c r="I453" s="175" t="s">
        <v>705</v>
      </c>
      <c r="J453" s="175" t="s">
        <v>233</v>
      </c>
      <c r="K453" s="175" t="s">
        <v>3389</v>
      </c>
      <c r="L453" s="175" t="s">
        <v>160</v>
      </c>
      <c r="M453" s="175" t="s">
        <v>261</v>
      </c>
      <c r="N453" s="175" t="s">
        <v>1506</v>
      </c>
      <c r="O453" s="25">
        <v>0</v>
      </c>
      <c r="P453" s="26" t="str">
        <f>_xlfn.DISPIMG("ID_E7900D53DC2C42DFA545534A1C33490B",1)</f>
        <v>=DISPIMG("ID_E7900D53DC2C42DFA545534A1C33490B",1)</v>
      </c>
      <c r="Q453" s="25" t="s">
        <v>3390</v>
      </c>
      <c r="R453" s="25">
        <v>427</v>
      </c>
      <c r="S453" s="40" t="s">
        <v>4755</v>
      </c>
      <c r="T453" s="18" t="s">
        <v>70</v>
      </c>
      <c r="U453" s="25">
        <v>1</v>
      </c>
      <c r="V453" s="84">
        <v>79</v>
      </c>
    </row>
    <row r="454" s="3" customFormat="1" customHeight="1" spans="1:22">
      <c r="A454" s="84">
        <v>21</v>
      </c>
      <c r="B454" s="175" t="s">
        <v>2674</v>
      </c>
      <c r="C454" s="175" t="s">
        <v>165</v>
      </c>
      <c r="D454" s="175" t="s">
        <v>2675</v>
      </c>
      <c r="E454" s="25">
        <v>18000227120</v>
      </c>
      <c r="F454" s="175" t="s">
        <v>297</v>
      </c>
      <c r="G454" s="175" t="s">
        <v>25</v>
      </c>
      <c r="H454" s="25">
        <v>202101008</v>
      </c>
      <c r="I454" s="175" t="s">
        <v>157</v>
      </c>
      <c r="J454" s="175" t="s">
        <v>269</v>
      </c>
      <c r="K454" s="175" t="s">
        <v>2677</v>
      </c>
      <c r="L454" s="175" t="s">
        <v>160</v>
      </c>
      <c r="M454" s="175" t="s">
        <v>224</v>
      </c>
      <c r="N454" s="175" t="s">
        <v>25</v>
      </c>
      <c r="O454" s="175" t="s">
        <v>2678</v>
      </c>
      <c r="P454" s="26" t="str">
        <f>_xlfn.DISPIMG("ID_03E1DAA8D63B4AFF99883CCD0E6E65E6",1)</f>
        <v>=DISPIMG("ID_03E1DAA8D63B4AFF99883CCD0E6E65E6",1)</v>
      </c>
      <c r="Q454" s="25" t="s">
        <v>2679</v>
      </c>
      <c r="R454" s="25">
        <v>359</v>
      </c>
      <c r="S454" s="40" t="s">
        <v>4750</v>
      </c>
      <c r="T454" s="18" t="s">
        <v>70</v>
      </c>
      <c r="U454" s="25">
        <v>2</v>
      </c>
      <c r="V454" s="84">
        <v>77</v>
      </c>
    </row>
    <row r="455" s="3" customFormat="1" customHeight="1" spans="1:22">
      <c r="A455" s="84">
        <v>16</v>
      </c>
      <c r="B455" s="175" t="s">
        <v>2069</v>
      </c>
      <c r="C455" s="175" t="s">
        <v>165</v>
      </c>
      <c r="D455" s="175" t="s">
        <v>2070</v>
      </c>
      <c r="E455" s="25">
        <v>18970492528</v>
      </c>
      <c r="F455" s="175" t="s">
        <v>384</v>
      </c>
      <c r="G455" s="175" t="s">
        <v>25</v>
      </c>
      <c r="H455" s="25">
        <v>202101007</v>
      </c>
      <c r="I455" s="175" t="s">
        <v>157</v>
      </c>
      <c r="J455" s="175" t="s">
        <v>233</v>
      </c>
      <c r="K455" s="175" t="s">
        <v>179</v>
      </c>
      <c r="L455" s="175" t="s">
        <v>170</v>
      </c>
      <c r="M455" s="175" t="s">
        <v>1346</v>
      </c>
      <c r="N455" s="175" t="s">
        <v>25</v>
      </c>
      <c r="O455" s="175" t="s">
        <v>2072</v>
      </c>
      <c r="P455" s="26" t="str">
        <f>_xlfn.DISPIMG("ID_AE7BFEF114344F24954EA3AA4FC71BD8",1)</f>
        <v>=DISPIMG("ID_AE7BFEF114344F24954EA3AA4FC71BD8",1)</v>
      </c>
      <c r="Q455" s="25" t="s">
        <v>2073</v>
      </c>
      <c r="R455" s="25">
        <v>241</v>
      </c>
      <c r="S455" s="40" t="s">
        <v>4744</v>
      </c>
      <c r="T455" s="18" t="s">
        <v>70</v>
      </c>
      <c r="U455" s="25">
        <v>3</v>
      </c>
      <c r="V455" s="70">
        <v>0</v>
      </c>
    </row>
    <row r="456" s="3" customFormat="1" customHeight="1" spans="1:22">
      <c r="A456" s="84">
        <v>11</v>
      </c>
      <c r="B456" s="175" t="s">
        <v>1552</v>
      </c>
      <c r="C456" s="175" t="s">
        <v>165</v>
      </c>
      <c r="D456" s="175" t="s">
        <v>1553</v>
      </c>
      <c r="E456" s="25">
        <v>18795899857</v>
      </c>
      <c r="F456" s="175" t="s">
        <v>384</v>
      </c>
      <c r="G456" s="175" t="s">
        <v>25</v>
      </c>
      <c r="H456" s="25">
        <v>202101007</v>
      </c>
      <c r="I456" s="175" t="s">
        <v>157</v>
      </c>
      <c r="J456" s="175" t="s">
        <v>385</v>
      </c>
      <c r="K456" s="175" t="s">
        <v>828</v>
      </c>
      <c r="L456" s="175" t="s">
        <v>170</v>
      </c>
      <c r="M456" s="175" t="s">
        <v>548</v>
      </c>
      <c r="N456" s="175" t="s">
        <v>25</v>
      </c>
      <c r="O456" s="175" t="s">
        <v>1555</v>
      </c>
      <c r="P456" s="26" t="str">
        <f>_xlfn.DISPIMG("ID_3244697DE8F74EF1A671D4FB148CF806",1)</f>
        <v>=DISPIMG("ID_3244697DE8F74EF1A671D4FB148CF806",1)</v>
      </c>
      <c r="Q456" s="25" t="s">
        <v>1556</v>
      </c>
      <c r="R456" s="25">
        <v>173</v>
      </c>
      <c r="S456" s="40" t="s">
        <v>4737</v>
      </c>
      <c r="T456" s="18" t="s">
        <v>70</v>
      </c>
      <c r="U456" s="25">
        <v>4</v>
      </c>
      <c r="V456" s="84">
        <v>0</v>
      </c>
    </row>
    <row r="457" s="3" customFormat="1" customHeight="1" spans="1:22">
      <c r="A457" s="84">
        <v>6</v>
      </c>
      <c r="B457" s="175" t="s">
        <v>720</v>
      </c>
      <c r="C457" s="175" t="s">
        <v>165</v>
      </c>
      <c r="D457" s="175" t="s">
        <v>721</v>
      </c>
      <c r="E457" s="25">
        <v>18070248182</v>
      </c>
      <c r="F457" s="175" t="s">
        <v>384</v>
      </c>
      <c r="G457" s="175" t="s">
        <v>25</v>
      </c>
      <c r="H457" s="25">
        <v>202101007</v>
      </c>
      <c r="I457" s="175" t="s">
        <v>157</v>
      </c>
      <c r="J457" s="175" t="s">
        <v>723</v>
      </c>
      <c r="K457" s="175" t="s">
        <v>223</v>
      </c>
      <c r="L457" s="175" t="s">
        <v>170</v>
      </c>
      <c r="M457" s="175" t="s">
        <v>252</v>
      </c>
      <c r="N457" s="175" t="s">
        <v>724</v>
      </c>
      <c r="O457" s="175" t="s">
        <v>725</v>
      </c>
      <c r="P457" s="26" t="str">
        <f>_xlfn.DISPIMG("ID_18752421A8044E9999D06F0B98A5B3A9",1)</f>
        <v>=DISPIMG("ID_18752421A8044E9999D06F0B98A5B3A9",1)</v>
      </c>
      <c r="Q457" s="25" t="s">
        <v>726</v>
      </c>
      <c r="R457" s="25">
        <v>68</v>
      </c>
      <c r="S457" s="40" t="s">
        <v>4731</v>
      </c>
      <c r="T457" s="18" t="s">
        <v>70</v>
      </c>
      <c r="U457" s="25">
        <v>5</v>
      </c>
      <c r="V457" s="84">
        <v>0</v>
      </c>
    </row>
    <row r="458" s="3" customFormat="1" customHeight="1" spans="1:22">
      <c r="A458" s="84">
        <v>1</v>
      </c>
      <c r="B458" s="175" t="s">
        <v>294</v>
      </c>
      <c r="C458" s="175" t="s">
        <v>165</v>
      </c>
      <c r="D458" s="175" t="s">
        <v>295</v>
      </c>
      <c r="E458" s="25">
        <v>18214938323</v>
      </c>
      <c r="F458" s="175" t="s">
        <v>297</v>
      </c>
      <c r="G458" s="175" t="s">
        <v>25</v>
      </c>
      <c r="H458" s="25">
        <v>202101008</v>
      </c>
      <c r="I458" s="175" t="s">
        <v>157</v>
      </c>
      <c r="J458" s="175" t="s">
        <v>178</v>
      </c>
      <c r="K458" s="175" t="s">
        <v>298</v>
      </c>
      <c r="L458" s="175" t="s">
        <v>160</v>
      </c>
      <c r="M458" s="175" t="s">
        <v>261</v>
      </c>
      <c r="N458" s="175" t="s">
        <v>25</v>
      </c>
      <c r="O458" s="25">
        <v>0</v>
      </c>
      <c r="P458" s="26" t="str">
        <f>_xlfn.DISPIMG("ID_60CDE70AF1564D1B99D89BFC637EF6FF",1)</f>
        <v>=DISPIMG("ID_60CDE70AF1564D1B99D89BFC637EF6FF",1)</v>
      </c>
      <c r="Q458" s="25" t="s">
        <v>299</v>
      </c>
      <c r="R458" s="25">
        <v>17</v>
      </c>
      <c r="S458" s="40" t="s">
        <v>4742</v>
      </c>
      <c r="T458" s="18" t="s">
        <v>70</v>
      </c>
      <c r="U458" s="25">
        <v>6</v>
      </c>
      <c r="V458" s="84">
        <v>78</v>
      </c>
    </row>
    <row r="459" s="3" customFormat="1" customHeight="1" spans="1:22">
      <c r="A459" s="84">
        <v>2</v>
      </c>
      <c r="B459" s="175" t="s">
        <v>312</v>
      </c>
      <c r="C459" s="175" t="s">
        <v>165</v>
      </c>
      <c r="D459" s="175" t="s">
        <v>313</v>
      </c>
      <c r="E459" s="25">
        <v>13479263942</v>
      </c>
      <c r="F459" s="175" t="s">
        <v>297</v>
      </c>
      <c r="G459" s="175" t="s">
        <v>25</v>
      </c>
      <c r="H459" s="25">
        <v>202101008</v>
      </c>
      <c r="I459" s="175" t="s">
        <v>157</v>
      </c>
      <c r="J459" s="175" t="s">
        <v>158</v>
      </c>
      <c r="K459" s="175" t="s">
        <v>223</v>
      </c>
      <c r="L459" s="175" t="s">
        <v>170</v>
      </c>
      <c r="M459" s="175" t="s">
        <v>306</v>
      </c>
      <c r="N459" s="175" t="s">
        <v>315</v>
      </c>
      <c r="O459" s="175" t="s">
        <v>316</v>
      </c>
      <c r="P459" s="26" t="str">
        <f>_xlfn.DISPIMG("ID_70953AC2E42945A88FA3E573D09D6D1B",1)</f>
        <v>=DISPIMG("ID_70953AC2E42945A88FA3E573D09D6D1B",1)</v>
      </c>
      <c r="Q459" s="25" t="s">
        <v>317</v>
      </c>
      <c r="R459" s="25">
        <v>19</v>
      </c>
      <c r="S459" s="40" t="s">
        <v>4745</v>
      </c>
      <c r="T459" s="18" t="s">
        <v>70</v>
      </c>
      <c r="U459" s="25">
        <v>7</v>
      </c>
      <c r="V459" s="84">
        <v>83</v>
      </c>
    </row>
    <row r="460" s="3" customFormat="1" customHeight="1" spans="1:22">
      <c r="A460" s="84">
        <v>7</v>
      </c>
      <c r="B460" s="175" t="s">
        <v>786</v>
      </c>
      <c r="C460" s="175" t="s">
        <v>165</v>
      </c>
      <c r="D460" s="175" t="s">
        <v>787</v>
      </c>
      <c r="E460" s="25">
        <v>15870883510</v>
      </c>
      <c r="F460" s="175" t="s">
        <v>384</v>
      </c>
      <c r="G460" s="175" t="s">
        <v>25</v>
      </c>
      <c r="H460" s="25">
        <v>202101007</v>
      </c>
      <c r="I460" s="175" t="s">
        <v>705</v>
      </c>
      <c r="J460" s="175" t="s">
        <v>789</v>
      </c>
      <c r="K460" s="175" t="s">
        <v>790</v>
      </c>
      <c r="L460" s="175" t="s">
        <v>160</v>
      </c>
      <c r="M460" s="175" t="s">
        <v>455</v>
      </c>
      <c r="N460" s="175" t="s">
        <v>307</v>
      </c>
      <c r="O460" s="175" t="s">
        <v>791</v>
      </c>
      <c r="P460" s="26" t="str">
        <f>_xlfn.DISPIMG("ID_81CFC0148DBF4084ADB804B82E5E7200",1)</f>
        <v>=DISPIMG("ID_81CFC0148DBF4084ADB804B82E5E7200",1)</v>
      </c>
      <c r="Q460" s="25" t="s">
        <v>792</v>
      </c>
      <c r="R460" s="25">
        <v>76</v>
      </c>
      <c r="S460" s="40" t="s">
        <v>4732</v>
      </c>
      <c r="T460" s="18" t="s">
        <v>70</v>
      </c>
      <c r="U460" s="25">
        <v>8</v>
      </c>
      <c r="V460" s="84">
        <v>0</v>
      </c>
    </row>
    <row r="461" s="3" customFormat="1" customHeight="1" spans="1:22">
      <c r="A461" s="84">
        <v>12</v>
      </c>
      <c r="B461" s="175" t="s">
        <v>1597</v>
      </c>
      <c r="C461" s="175" t="s">
        <v>153</v>
      </c>
      <c r="D461" s="175" t="s">
        <v>1598</v>
      </c>
      <c r="E461" s="25">
        <v>13979287846</v>
      </c>
      <c r="F461" s="175" t="s">
        <v>384</v>
      </c>
      <c r="G461" s="175" t="s">
        <v>25</v>
      </c>
      <c r="H461" s="25">
        <v>202101007</v>
      </c>
      <c r="I461" s="175" t="s">
        <v>157</v>
      </c>
      <c r="J461" s="175" t="s">
        <v>1600</v>
      </c>
      <c r="K461" s="175" t="s">
        <v>1601</v>
      </c>
      <c r="L461" s="175" t="s">
        <v>170</v>
      </c>
      <c r="M461" s="175" t="s">
        <v>252</v>
      </c>
      <c r="N461" s="175" t="s">
        <v>25</v>
      </c>
      <c r="O461" s="175" t="s">
        <v>1602</v>
      </c>
      <c r="P461" s="26" t="str">
        <f>_xlfn.DISPIMG("ID_E78F3BF41C5D43B8884910B23D8EE46A",1)</f>
        <v>=DISPIMG("ID_E78F3BF41C5D43B8884910B23D8EE46A",1)</v>
      </c>
      <c r="Q461" s="25" t="s">
        <v>1603</v>
      </c>
      <c r="R461" s="25">
        <v>179</v>
      </c>
      <c r="S461" s="40" t="s">
        <v>4739</v>
      </c>
      <c r="T461" s="18" t="s">
        <v>70</v>
      </c>
      <c r="U461" s="25">
        <v>9</v>
      </c>
      <c r="V461" s="85">
        <v>77</v>
      </c>
    </row>
    <row r="462" s="3" customFormat="1" customHeight="1" spans="1:22">
      <c r="A462" s="84">
        <v>17</v>
      </c>
      <c r="B462" s="175" t="s">
        <v>2360</v>
      </c>
      <c r="C462" s="175" t="s">
        <v>165</v>
      </c>
      <c r="D462" s="175" t="s">
        <v>2361</v>
      </c>
      <c r="E462" s="25">
        <v>18070140896</v>
      </c>
      <c r="F462" s="175" t="s">
        <v>384</v>
      </c>
      <c r="G462" s="175" t="s">
        <v>25</v>
      </c>
      <c r="H462" s="25">
        <v>202101007</v>
      </c>
      <c r="I462" s="175" t="s">
        <v>157</v>
      </c>
      <c r="J462" s="175" t="s">
        <v>2363</v>
      </c>
      <c r="K462" s="175" t="s">
        <v>179</v>
      </c>
      <c r="L462" s="175" t="s">
        <v>170</v>
      </c>
      <c r="M462" s="175" t="s">
        <v>577</v>
      </c>
      <c r="N462" s="175" t="s">
        <v>25</v>
      </c>
      <c r="O462" s="175" t="s">
        <v>2364</v>
      </c>
      <c r="P462" s="26" t="str">
        <f>_xlfn.DISPIMG("ID_9FF2F7CED6DC40CB89E306847985BA44",1)</f>
        <v>=DISPIMG("ID_9FF2F7CED6DC40CB89E306847985BA44",1)</v>
      </c>
      <c r="Q462" s="25" t="s">
        <v>2365</v>
      </c>
      <c r="R462" s="25">
        <v>280</v>
      </c>
      <c r="S462" s="40" t="s">
        <v>4746</v>
      </c>
      <c r="T462" s="18" t="s">
        <v>70</v>
      </c>
      <c r="U462" s="25">
        <v>10</v>
      </c>
      <c r="V462" s="70">
        <v>75</v>
      </c>
    </row>
    <row r="463" s="3" customFormat="1" customHeight="1" spans="1:22">
      <c r="A463" s="84">
        <v>22</v>
      </c>
      <c r="B463" s="175" t="s">
        <v>3002</v>
      </c>
      <c r="C463" s="175" t="s">
        <v>165</v>
      </c>
      <c r="D463" s="175" t="s">
        <v>3003</v>
      </c>
      <c r="E463" s="25">
        <v>15798074733</v>
      </c>
      <c r="F463" s="175" t="s">
        <v>297</v>
      </c>
      <c r="G463" s="175" t="s">
        <v>25</v>
      </c>
      <c r="H463" s="25">
        <v>202101008</v>
      </c>
      <c r="I463" s="175" t="s">
        <v>157</v>
      </c>
      <c r="J463" s="175" t="s">
        <v>540</v>
      </c>
      <c r="K463" s="175" t="s">
        <v>179</v>
      </c>
      <c r="L463" s="175" t="s">
        <v>160</v>
      </c>
      <c r="M463" s="175" t="s">
        <v>2047</v>
      </c>
      <c r="N463" s="175" t="s">
        <v>3005</v>
      </c>
      <c r="O463" s="25">
        <v>0</v>
      </c>
      <c r="P463" s="26" t="str">
        <f>_xlfn.DISPIMG("ID_4E0EBDB804BA45EB8B4195F5A93DFBBD",1)</f>
        <v>=DISPIMG("ID_4E0EBDB804BA45EB8B4195F5A93DFBBD",1)</v>
      </c>
      <c r="Q463" s="25" t="s">
        <v>3006</v>
      </c>
      <c r="R463" s="25">
        <v>370</v>
      </c>
      <c r="S463" s="40" t="s">
        <v>4751</v>
      </c>
      <c r="T463" s="18" t="s">
        <v>70</v>
      </c>
      <c r="U463" s="25">
        <v>11</v>
      </c>
      <c r="V463" s="84">
        <v>0</v>
      </c>
    </row>
    <row r="464" s="5" customFormat="1" customHeight="1" spans="1:22">
      <c r="A464" s="84">
        <v>27</v>
      </c>
      <c r="B464" s="175" t="s">
        <v>3789</v>
      </c>
      <c r="C464" s="175" t="s">
        <v>165</v>
      </c>
      <c r="D464" s="175" t="s">
        <v>3790</v>
      </c>
      <c r="E464" s="25">
        <v>15979943806</v>
      </c>
      <c r="F464" s="175" t="s">
        <v>384</v>
      </c>
      <c r="G464" s="175" t="s">
        <v>25</v>
      </c>
      <c r="H464" s="25">
        <v>202101007</v>
      </c>
      <c r="I464" s="175" t="s">
        <v>157</v>
      </c>
      <c r="J464" s="175" t="s">
        <v>2874</v>
      </c>
      <c r="K464" s="175" t="s">
        <v>3792</v>
      </c>
      <c r="L464" s="175" t="s">
        <v>170</v>
      </c>
      <c r="M464" s="175" t="s">
        <v>216</v>
      </c>
      <c r="N464" s="175" t="s">
        <v>25</v>
      </c>
      <c r="O464" s="175" t="s">
        <v>3793</v>
      </c>
      <c r="P464" s="26" t="str">
        <f>_xlfn.DISPIMG("ID_7E3A3C48C46B4922B18A5C2AD1587AC0",1)</f>
        <v>=DISPIMG("ID_7E3A3C48C46B4922B18A5C2AD1587AC0",1)</v>
      </c>
      <c r="Q464" s="25" t="s">
        <v>3794</v>
      </c>
      <c r="R464" s="25">
        <v>483</v>
      </c>
      <c r="S464" s="40" t="s">
        <v>4756</v>
      </c>
      <c r="T464" s="18" t="s">
        <v>70</v>
      </c>
      <c r="U464" s="25">
        <v>12</v>
      </c>
      <c r="V464" s="84">
        <v>0</v>
      </c>
    </row>
    <row r="465" s="3" customFormat="1" customHeight="1" spans="1:22">
      <c r="A465" s="84">
        <v>28</v>
      </c>
      <c r="B465" s="175" t="s">
        <v>3918</v>
      </c>
      <c r="C465" s="175" t="s">
        <v>165</v>
      </c>
      <c r="D465" s="175" t="s">
        <v>3919</v>
      </c>
      <c r="E465" s="25">
        <v>18979261626</v>
      </c>
      <c r="F465" s="175" t="s">
        <v>384</v>
      </c>
      <c r="G465" s="175" t="s">
        <v>25</v>
      </c>
      <c r="H465" s="25">
        <v>202101007</v>
      </c>
      <c r="I465" s="175" t="s">
        <v>157</v>
      </c>
      <c r="J465" s="175" t="s">
        <v>178</v>
      </c>
      <c r="K465" s="175" t="s">
        <v>179</v>
      </c>
      <c r="L465" s="175" t="s">
        <v>170</v>
      </c>
      <c r="M465" s="175" t="s">
        <v>161</v>
      </c>
      <c r="N465" s="175" t="s">
        <v>952</v>
      </c>
      <c r="O465" s="175" t="s">
        <v>3920</v>
      </c>
      <c r="P465" s="26" t="str">
        <f>_xlfn.DISPIMG("ID_64C458B5785C4AE8B3EB4D932C0866CC",1)</f>
        <v>=DISPIMG("ID_64C458B5785C4AE8B3EB4D932C0866CC",1)</v>
      </c>
      <c r="Q465" s="25" t="s">
        <v>3921</v>
      </c>
      <c r="R465" s="25">
        <v>500</v>
      </c>
      <c r="S465" s="40" t="s">
        <v>4757</v>
      </c>
      <c r="T465" s="18" t="s">
        <v>70</v>
      </c>
      <c r="U465" s="25">
        <v>13</v>
      </c>
      <c r="V465" s="84">
        <v>80.5</v>
      </c>
    </row>
    <row r="466" s="3" customFormat="1" customHeight="1" spans="1:22">
      <c r="A466" s="84">
        <v>23</v>
      </c>
      <c r="B466" s="175" t="s">
        <v>3130</v>
      </c>
      <c r="C466" s="175" t="s">
        <v>165</v>
      </c>
      <c r="D466" s="175" t="s">
        <v>3131</v>
      </c>
      <c r="E466" s="25">
        <v>13510703252</v>
      </c>
      <c r="F466" s="175" t="s">
        <v>384</v>
      </c>
      <c r="G466" s="175" t="s">
        <v>25</v>
      </c>
      <c r="H466" s="25">
        <v>202101007</v>
      </c>
      <c r="I466" s="175" t="s">
        <v>157</v>
      </c>
      <c r="J466" s="175" t="s">
        <v>1203</v>
      </c>
      <c r="K466" s="175" t="s">
        <v>223</v>
      </c>
      <c r="L466" s="175" t="s">
        <v>170</v>
      </c>
      <c r="M466" s="175" t="s">
        <v>224</v>
      </c>
      <c r="N466" s="175" t="s">
        <v>25</v>
      </c>
      <c r="O466" s="175" t="s">
        <v>3132</v>
      </c>
      <c r="P466" s="26" t="str">
        <f>_xlfn.DISPIMG("ID_DD2B22793A5D42C5A4C202130135D188",1)</f>
        <v>=DISPIMG("ID_DD2B22793A5D42C5A4C202130135D188",1)</v>
      </c>
      <c r="Q466" s="25" t="s">
        <v>3133</v>
      </c>
      <c r="R466" s="25">
        <v>387</v>
      </c>
      <c r="S466" s="40" t="s">
        <v>4752</v>
      </c>
      <c r="T466" s="18" t="s">
        <v>70</v>
      </c>
      <c r="U466" s="25">
        <v>14</v>
      </c>
      <c r="V466" s="84">
        <v>80</v>
      </c>
    </row>
    <row r="467" s="3" customFormat="1" customHeight="1" spans="1:22">
      <c r="A467" s="84">
        <v>18</v>
      </c>
      <c r="B467" s="175" t="s">
        <v>2415</v>
      </c>
      <c r="C467" s="175" t="s">
        <v>165</v>
      </c>
      <c r="D467" s="175" t="s">
        <v>2416</v>
      </c>
      <c r="E467" s="25">
        <v>18179591146</v>
      </c>
      <c r="F467" s="175" t="s">
        <v>384</v>
      </c>
      <c r="G467" s="175" t="s">
        <v>25</v>
      </c>
      <c r="H467" s="25">
        <v>202101007</v>
      </c>
      <c r="I467" s="175" t="s">
        <v>157</v>
      </c>
      <c r="J467" s="175" t="s">
        <v>1258</v>
      </c>
      <c r="K467" s="175" t="s">
        <v>828</v>
      </c>
      <c r="L467" s="175" t="s">
        <v>170</v>
      </c>
      <c r="M467" s="175" t="s">
        <v>171</v>
      </c>
      <c r="N467" s="175" t="s">
        <v>25</v>
      </c>
      <c r="O467" s="175" t="s">
        <v>2418</v>
      </c>
      <c r="P467" s="26" t="str">
        <f>_xlfn.DISPIMG("ID_CD5C977DBB8D404E885C56F791C17D27",1)</f>
        <v>=DISPIMG("ID_CD5C977DBB8D404E885C56F791C17D27",1)</v>
      </c>
      <c r="Q467" s="25" t="s">
        <v>2419</v>
      </c>
      <c r="R467" s="25">
        <v>287</v>
      </c>
      <c r="S467" s="40" t="s">
        <v>4747</v>
      </c>
      <c r="T467" s="18" t="s">
        <v>70</v>
      </c>
      <c r="U467" s="25">
        <v>15</v>
      </c>
      <c r="V467" s="84">
        <v>70</v>
      </c>
    </row>
    <row r="468" s="4" customFormat="1" customHeight="1" spans="1:22">
      <c r="A468" s="84">
        <v>13</v>
      </c>
      <c r="B468" s="175" t="s">
        <v>1689</v>
      </c>
      <c r="C468" s="175" t="s">
        <v>165</v>
      </c>
      <c r="D468" s="175" t="s">
        <v>1690</v>
      </c>
      <c r="E468" s="25">
        <v>13677055035</v>
      </c>
      <c r="F468" s="175" t="s">
        <v>384</v>
      </c>
      <c r="G468" s="175" t="s">
        <v>25</v>
      </c>
      <c r="H468" s="25">
        <v>202101007</v>
      </c>
      <c r="I468" s="175" t="s">
        <v>157</v>
      </c>
      <c r="J468" s="175" t="s">
        <v>1258</v>
      </c>
      <c r="K468" s="175" t="s">
        <v>179</v>
      </c>
      <c r="L468" s="175" t="s">
        <v>170</v>
      </c>
      <c r="M468" s="175" t="s">
        <v>180</v>
      </c>
      <c r="N468" s="175" t="s">
        <v>1692</v>
      </c>
      <c r="O468" s="175" t="s">
        <v>1693</v>
      </c>
      <c r="P468" s="26" t="str">
        <f>_xlfn.DISPIMG("ID_43885BD9A06C404291EA89276C573B8A",1)</f>
        <v>=DISPIMG("ID_43885BD9A06C404291EA89276C573B8A",1)</v>
      </c>
      <c r="Q468" s="25" t="s">
        <v>1694</v>
      </c>
      <c r="R468" s="25">
        <v>191</v>
      </c>
      <c r="S468" s="40" t="s">
        <v>4740</v>
      </c>
      <c r="T468" s="18" t="s">
        <v>70</v>
      </c>
      <c r="U468" s="25">
        <v>16</v>
      </c>
      <c r="V468" s="84">
        <v>81</v>
      </c>
    </row>
    <row r="469" s="4" customFormat="1" customHeight="1" spans="1:22">
      <c r="A469" s="84">
        <v>8</v>
      </c>
      <c r="B469" s="175" t="s">
        <v>824</v>
      </c>
      <c r="C469" s="175" t="s">
        <v>165</v>
      </c>
      <c r="D469" s="175" t="s">
        <v>825</v>
      </c>
      <c r="E469" s="25">
        <v>18870036528</v>
      </c>
      <c r="F469" s="175" t="s">
        <v>297</v>
      </c>
      <c r="G469" s="175" t="s">
        <v>25</v>
      </c>
      <c r="H469" s="25">
        <v>202101008</v>
      </c>
      <c r="I469" s="175" t="s">
        <v>157</v>
      </c>
      <c r="J469" s="175" t="s">
        <v>827</v>
      </c>
      <c r="K469" s="175" t="s">
        <v>828</v>
      </c>
      <c r="L469" s="175" t="s">
        <v>170</v>
      </c>
      <c r="M469" s="175" t="s">
        <v>396</v>
      </c>
      <c r="N469" s="175" t="s">
        <v>25</v>
      </c>
      <c r="O469" s="175" t="s">
        <v>829</v>
      </c>
      <c r="P469" s="26" t="str">
        <f>_xlfn.DISPIMG("ID_8A1A22938F334E1D900FC8311DB2BE9A",1)</f>
        <v>=DISPIMG("ID_8A1A22938F334E1D900FC8311DB2BE9A",1)</v>
      </c>
      <c r="Q469" s="25" t="s">
        <v>830</v>
      </c>
      <c r="R469" s="25">
        <v>81</v>
      </c>
      <c r="S469" s="40" t="s">
        <v>4733</v>
      </c>
      <c r="T469" s="18" t="s">
        <v>70</v>
      </c>
      <c r="U469" s="25">
        <v>17</v>
      </c>
      <c r="V469" s="84">
        <v>83</v>
      </c>
    </row>
    <row r="470" s="3" customFormat="1" customHeight="1" spans="1:22">
      <c r="A470" s="84">
        <v>3</v>
      </c>
      <c r="B470" s="175" t="s">
        <v>381</v>
      </c>
      <c r="C470" s="175" t="s">
        <v>165</v>
      </c>
      <c r="D470" s="175" t="s">
        <v>382</v>
      </c>
      <c r="E470" s="25">
        <v>15180106412</v>
      </c>
      <c r="F470" s="175" t="s">
        <v>384</v>
      </c>
      <c r="G470" s="175" t="s">
        <v>25</v>
      </c>
      <c r="H470" s="25">
        <v>202101007</v>
      </c>
      <c r="I470" s="175" t="s">
        <v>157</v>
      </c>
      <c r="J470" s="175" t="s">
        <v>385</v>
      </c>
      <c r="K470" s="175" t="s">
        <v>386</v>
      </c>
      <c r="L470" s="175" t="s">
        <v>170</v>
      </c>
      <c r="M470" s="175" t="s">
        <v>216</v>
      </c>
      <c r="N470" s="175" t="s">
        <v>25</v>
      </c>
      <c r="O470" s="175" t="s">
        <v>387</v>
      </c>
      <c r="P470" s="26" t="str">
        <f>_xlfn.DISPIMG("ID_66D69597049F4F76B0A0201065CACE75",1)</f>
        <v>=DISPIMG("ID_66D69597049F4F76B0A0201065CACE75",1)</v>
      </c>
      <c r="Q470" s="25" t="s">
        <v>388</v>
      </c>
      <c r="R470" s="25">
        <v>27</v>
      </c>
      <c r="S470" s="40" t="s">
        <v>4727</v>
      </c>
      <c r="T470" s="18" t="s">
        <v>70</v>
      </c>
      <c r="U470" s="25">
        <v>18</v>
      </c>
      <c r="V470" s="84">
        <v>77.5</v>
      </c>
    </row>
    <row r="471" s="3" customFormat="1" customHeight="1" spans="1:22">
      <c r="A471" s="84">
        <v>4</v>
      </c>
      <c r="B471" s="175" t="s">
        <v>545</v>
      </c>
      <c r="C471" s="175" t="s">
        <v>165</v>
      </c>
      <c r="D471" s="175" t="s">
        <v>546</v>
      </c>
      <c r="E471" s="25">
        <v>13282964470</v>
      </c>
      <c r="F471" s="175" t="s">
        <v>384</v>
      </c>
      <c r="G471" s="175" t="s">
        <v>25</v>
      </c>
      <c r="H471" s="25">
        <v>202101007</v>
      </c>
      <c r="I471" s="175" t="s">
        <v>157</v>
      </c>
      <c r="J471" s="175" t="s">
        <v>158</v>
      </c>
      <c r="K471" s="175" t="s">
        <v>223</v>
      </c>
      <c r="L471" s="175" t="s">
        <v>170</v>
      </c>
      <c r="M471" s="175" t="s">
        <v>548</v>
      </c>
      <c r="N471" s="175" t="s">
        <v>549</v>
      </c>
      <c r="O471" s="175" t="s">
        <v>550</v>
      </c>
      <c r="P471" s="26" t="str">
        <f>_xlfn.DISPIMG("ID_815DB3FDB9924FE5A27318CA3E9A763D",1)</f>
        <v>=DISPIMG("ID_815DB3FDB9924FE5A27318CA3E9A763D",1)</v>
      </c>
      <c r="Q471" s="25" t="s">
        <v>551</v>
      </c>
      <c r="R471" s="25">
        <v>47</v>
      </c>
      <c r="S471" s="40" t="s">
        <v>4728</v>
      </c>
      <c r="T471" s="18" t="s">
        <v>70</v>
      </c>
      <c r="U471" s="25">
        <v>19</v>
      </c>
      <c r="V471" s="84">
        <v>74</v>
      </c>
    </row>
    <row r="472" s="3" customFormat="1" customHeight="1" spans="1:22">
      <c r="A472" s="84">
        <v>9</v>
      </c>
      <c r="B472" s="175" t="s">
        <v>949</v>
      </c>
      <c r="C472" s="175" t="s">
        <v>165</v>
      </c>
      <c r="D472" s="175" t="s">
        <v>950</v>
      </c>
      <c r="E472" s="25">
        <v>15720934889</v>
      </c>
      <c r="F472" s="175" t="s">
        <v>384</v>
      </c>
      <c r="G472" s="175" t="s">
        <v>25</v>
      </c>
      <c r="H472" s="25">
        <v>202101007</v>
      </c>
      <c r="I472" s="175" t="s">
        <v>157</v>
      </c>
      <c r="J472" s="175" t="s">
        <v>269</v>
      </c>
      <c r="K472" s="175" t="s">
        <v>179</v>
      </c>
      <c r="L472" s="175" t="s">
        <v>170</v>
      </c>
      <c r="M472" s="175" t="s">
        <v>171</v>
      </c>
      <c r="N472" s="175" t="s">
        <v>952</v>
      </c>
      <c r="O472" s="175" t="s">
        <v>953</v>
      </c>
      <c r="P472" s="26" t="str">
        <f>_xlfn.DISPIMG("ID_7778BC47A591458DA9EA33FB1000B681",1)</f>
        <v>=DISPIMG("ID_7778BC47A591458DA9EA33FB1000B681",1)</v>
      </c>
      <c r="Q472" s="25" t="s">
        <v>954</v>
      </c>
      <c r="R472" s="25">
        <v>96</v>
      </c>
      <c r="S472" s="40" t="s">
        <v>4735</v>
      </c>
      <c r="T472" s="18" t="s">
        <v>70</v>
      </c>
      <c r="U472" s="25">
        <v>20</v>
      </c>
      <c r="V472" s="84">
        <v>0</v>
      </c>
    </row>
    <row r="473" s="6" customFormat="1" customHeight="1" spans="1:22">
      <c r="A473" s="84">
        <v>14</v>
      </c>
      <c r="B473" s="175" t="s">
        <v>1807</v>
      </c>
      <c r="C473" s="175" t="s">
        <v>165</v>
      </c>
      <c r="D473" s="175" t="s">
        <v>1808</v>
      </c>
      <c r="E473" s="25">
        <v>18279208598</v>
      </c>
      <c r="F473" s="175" t="s">
        <v>384</v>
      </c>
      <c r="G473" s="175" t="s">
        <v>25</v>
      </c>
      <c r="H473" s="25">
        <v>202101007</v>
      </c>
      <c r="I473" s="175" t="s">
        <v>157</v>
      </c>
      <c r="J473" s="175" t="s">
        <v>1413</v>
      </c>
      <c r="K473" s="175" t="s">
        <v>179</v>
      </c>
      <c r="L473" s="175" t="s">
        <v>170</v>
      </c>
      <c r="M473" s="175" t="s">
        <v>235</v>
      </c>
      <c r="N473" s="175" t="s">
        <v>1692</v>
      </c>
      <c r="O473" s="175" t="s">
        <v>1810</v>
      </c>
      <c r="P473" s="26" t="str">
        <f>_xlfn.DISPIMG("ID_CF289AF208E247F38051A435A278D00A",1)</f>
        <v>=DISPIMG("ID_CF289AF208E247F38051A435A278D00A",1)</v>
      </c>
      <c r="Q473" s="25" t="s">
        <v>1811</v>
      </c>
      <c r="R473" s="25">
        <v>206</v>
      </c>
      <c r="S473" s="40" t="s">
        <v>4741</v>
      </c>
      <c r="T473" s="18" t="s">
        <v>70</v>
      </c>
      <c r="U473" s="25">
        <v>21</v>
      </c>
      <c r="V473" s="84">
        <v>76.5</v>
      </c>
    </row>
    <row r="474" s="3" customFormat="1" customHeight="1" spans="1:22">
      <c r="A474" s="84">
        <v>19</v>
      </c>
      <c r="B474" s="175" t="s">
        <v>2495</v>
      </c>
      <c r="C474" s="175" t="s">
        <v>165</v>
      </c>
      <c r="D474" s="175" t="s">
        <v>2496</v>
      </c>
      <c r="E474" s="25">
        <v>15170284980</v>
      </c>
      <c r="F474" s="175" t="s">
        <v>384</v>
      </c>
      <c r="G474" s="175" t="s">
        <v>25</v>
      </c>
      <c r="H474" s="25">
        <v>202101007</v>
      </c>
      <c r="I474" s="175" t="s">
        <v>157</v>
      </c>
      <c r="J474" s="175" t="s">
        <v>662</v>
      </c>
      <c r="K474" s="175" t="s">
        <v>179</v>
      </c>
      <c r="L474" s="175" t="s">
        <v>170</v>
      </c>
      <c r="M474" s="175" t="s">
        <v>261</v>
      </c>
      <c r="N474" s="175" t="s">
        <v>25</v>
      </c>
      <c r="O474" s="25">
        <v>0</v>
      </c>
      <c r="P474" s="26" t="str">
        <f>_xlfn.DISPIMG("ID_9517FA682BDD4A72AC67B046C0A956F9",1)</f>
        <v>=DISPIMG("ID_9517FA682BDD4A72AC67B046C0A956F9",1)</v>
      </c>
      <c r="Q474" s="25" t="s">
        <v>2498</v>
      </c>
      <c r="R474" s="25">
        <v>298</v>
      </c>
      <c r="S474" s="40" t="s">
        <v>4748</v>
      </c>
      <c r="T474" s="18" t="s">
        <v>70</v>
      </c>
      <c r="U474" s="25">
        <v>22</v>
      </c>
      <c r="V474" s="84">
        <v>79.5</v>
      </c>
    </row>
    <row r="475" s="3" customFormat="1" customHeight="1" spans="1:22">
      <c r="A475" s="84">
        <v>24</v>
      </c>
      <c r="B475" s="175" t="s">
        <v>3185</v>
      </c>
      <c r="C475" s="175" t="s">
        <v>165</v>
      </c>
      <c r="D475" s="175" t="s">
        <v>3186</v>
      </c>
      <c r="E475" s="25">
        <v>15070259733</v>
      </c>
      <c r="F475" s="175" t="s">
        <v>297</v>
      </c>
      <c r="G475" s="175" t="s">
        <v>25</v>
      </c>
      <c r="H475" s="25">
        <v>202101008</v>
      </c>
      <c r="I475" s="175" t="s">
        <v>157</v>
      </c>
      <c r="J475" s="175" t="s">
        <v>646</v>
      </c>
      <c r="K475" s="175" t="s">
        <v>179</v>
      </c>
      <c r="L475" s="175" t="s">
        <v>170</v>
      </c>
      <c r="M475" s="175" t="s">
        <v>161</v>
      </c>
      <c r="N475" s="175" t="s">
        <v>3188</v>
      </c>
      <c r="O475" s="25">
        <v>0</v>
      </c>
      <c r="P475" s="26" t="str">
        <f>_xlfn.DISPIMG("ID_76C776A08E8241118AA436F440F434C8",1)</f>
        <v>=DISPIMG("ID_76C776A08E8241118AA436F440F434C8",1)</v>
      </c>
      <c r="Q475" s="25" t="s">
        <v>3189</v>
      </c>
      <c r="R475" s="25">
        <v>396</v>
      </c>
      <c r="S475" s="40" t="s">
        <v>4753</v>
      </c>
      <c r="T475" s="18" t="s">
        <v>70</v>
      </c>
      <c r="U475" s="25">
        <v>23</v>
      </c>
      <c r="V475" s="84">
        <v>76</v>
      </c>
    </row>
    <row r="476" s="3" customFormat="1" customHeight="1" spans="1:22">
      <c r="A476" s="84">
        <v>29</v>
      </c>
      <c r="B476" s="175" t="s">
        <v>4006</v>
      </c>
      <c r="C476" s="175" t="s">
        <v>165</v>
      </c>
      <c r="D476" s="175" t="s">
        <v>4007</v>
      </c>
      <c r="E476" s="25">
        <v>15979112724</v>
      </c>
      <c r="F476" s="175" t="s">
        <v>297</v>
      </c>
      <c r="G476" s="175" t="s">
        <v>25</v>
      </c>
      <c r="H476" s="25">
        <v>202101008</v>
      </c>
      <c r="I476" s="175" t="s">
        <v>157</v>
      </c>
      <c r="J476" s="175" t="s">
        <v>3070</v>
      </c>
      <c r="K476" s="175" t="s">
        <v>179</v>
      </c>
      <c r="L476" s="175" t="s">
        <v>170</v>
      </c>
      <c r="M476" s="175" t="s">
        <v>306</v>
      </c>
      <c r="N476" s="175" t="s">
        <v>1692</v>
      </c>
      <c r="O476" s="175" t="s">
        <v>4009</v>
      </c>
      <c r="P476" s="26" t="str">
        <f>_xlfn.DISPIMG("ID_410BA329CDB34577BE3D2E13C6D8589F",1)</f>
        <v>=DISPIMG("ID_410BA329CDB34577BE3D2E13C6D8589F",1)</v>
      </c>
      <c r="Q476" s="25" t="s">
        <v>4010</v>
      </c>
      <c r="R476" s="25">
        <v>512</v>
      </c>
      <c r="S476" s="40" t="s">
        <v>4758</v>
      </c>
      <c r="T476" s="18" t="s">
        <v>70</v>
      </c>
      <c r="U476" s="25">
        <v>24</v>
      </c>
      <c r="V476" s="84">
        <v>0</v>
      </c>
    </row>
    <row r="477" s="4" customFormat="1" customHeight="1" spans="1:22">
      <c r="A477" s="84">
        <v>30</v>
      </c>
      <c r="B477" s="175" t="s">
        <v>4073</v>
      </c>
      <c r="C477" s="175" t="s">
        <v>165</v>
      </c>
      <c r="D477" s="175" t="s">
        <v>4074</v>
      </c>
      <c r="E477" s="25">
        <v>18379233389</v>
      </c>
      <c r="F477" s="175" t="s">
        <v>297</v>
      </c>
      <c r="G477" s="175" t="s">
        <v>25</v>
      </c>
      <c r="H477" s="25">
        <v>202101008</v>
      </c>
      <c r="I477" s="175" t="s">
        <v>157</v>
      </c>
      <c r="J477" s="175" t="s">
        <v>4076</v>
      </c>
      <c r="K477" s="175" t="s">
        <v>179</v>
      </c>
      <c r="L477" s="175" t="s">
        <v>160</v>
      </c>
      <c r="M477" s="175" t="s">
        <v>919</v>
      </c>
      <c r="N477" s="175" t="s">
        <v>4077</v>
      </c>
      <c r="O477" s="175" t="s">
        <v>4078</v>
      </c>
      <c r="P477" s="26" t="str">
        <f>_xlfn.DISPIMG("ID_5240EB7A8E6D4B1A8B52378BBD0117F8",1)</f>
        <v>=DISPIMG("ID_5240EB7A8E6D4B1A8B52378BBD0117F8",1)</v>
      </c>
      <c r="Q477" s="25" t="s">
        <v>4079</v>
      </c>
      <c r="R477" s="25">
        <v>521</v>
      </c>
      <c r="S477" s="40" t="s">
        <v>4759</v>
      </c>
      <c r="T477" s="18" t="s">
        <v>70</v>
      </c>
      <c r="U477" s="25">
        <v>25</v>
      </c>
      <c r="V477" s="84">
        <v>75</v>
      </c>
    </row>
    <row r="478" s="3" customFormat="1" customHeight="1" spans="1:22">
      <c r="A478" s="84">
        <v>25</v>
      </c>
      <c r="B478" s="175" t="s">
        <v>3219</v>
      </c>
      <c r="C478" s="175" t="s">
        <v>165</v>
      </c>
      <c r="D478" s="175" t="s">
        <v>3220</v>
      </c>
      <c r="E478" s="25">
        <v>18279832090</v>
      </c>
      <c r="F478" s="175" t="s">
        <v>384</v>
      </c>
      <c r="G478" s="175" t="s">
        <v>25</v>
      </c>
      <c r="H478" s="25">
        <v>202101007</v>
      </c>
      <c r="I478" s="175" t="s">
        <v>157</v>
      </c>
      <c r="J478" s="175" t="s">
        <v>507</v>
      </c>
      <c r="K478" s="175" t="s">
        <v>828</v>
      </c>
      <c r="L478" s="175" t="s">
        <v>170</v>
      </c>
      <c r="M478" s="175" t="s">
        <v>161</v>
      </c>
      <c r="N478" s="175" t="s">
        <v>25</v>
      </c>
      <c r="O478" s="175" t="s">
        <v>3222</v>
      </c>
      <c r="P478" s="26" t="str">
        <f>_xlfn.DISPIMG("ID_31DA0D5E67EC49E4A7DA2145DC608874",1)</f>
        <v>=DISPIMG("ID_31DA0D5E67EC49E4A7DA2145DC608874",1)</v>
      </c>
      <c r="Q478" s="25" t="s">
        <v>3223</v>
      </c>
      <c r="R478" s="25">
        <v>401</v>
      </c>
      <c r="S478" s="40" t="s">
        <v>4754</v>
      </c>
      <c r="T478" s="18" t="s">
        <v>70</v>
      </c>
      <c r="U478" s="25">
        <v>26</v>
      </c>
      <c r="V478" s="70">
        <v>84.5</v>
      </c>
    </row>
    <row r="479" s="3" customFormat="1" customHeight="1" spans="1:22">
      <c r="A479" s="84">
        <v>20</v>
      </c>
      <c r="B479" s="175" t="s">
        <v>2606</v>
      </c>
      <c r="C479" s="175" t="s">
        <v>165</v>
      </c>
      <c r="D479" s="175" t="s">
        <v>2607</v>
      </c>
      <c r="E479" s="25">
        <v>18720995920</v>
      </c>
      <c r="F479" s="175" t="s">
        <v>297</v>
      </c>
      <c r="G479" s="175" t="s">
        <v>25</v>
      </c>
      <c r="H479" s="25">
        <v>202101008</v>
      </c>
      <c r="I479" s="175" t="s">
        <v>157</v>
      </c>
      <c r="J479" s="175" t="s">
        <v>1654</v>
      </c>
      <c r="K479" s="175" t="s">
        <v>2609</v>
      </c>
      <c r="L479" s="175" t="s">
        <v>160</v>
      </c>
      <c r="M479" s="175" t="s">
        <v>281</v>
      </c>
      <c r="N479" s="175" t="s">
        <v>2610</v>
      </c>
      <c r="O479" s="175" t="s">
        <v>2611</v>
      </c>
      <c r="P479" s="26" t="str">
        <f>_xlfn.DISPIMG("ID_1DA33C1DACDA463582C160858194DE2A",1)</f>
        <v>=DISPIMG("ID_1DA33C1DACDA463582C160858194DE2A",1)</v>
      </c>
      <c r="Q479" s="25" t="s">
        <v>2612</v>
      </c>
      <c r="R479" s="25">
        <v>313</v>
      </c>
      <c r="S479" s="40" t="s">
        <v>4749</v>
      </c>
      <c r="T479" s="18" t="s">
        <v>70</v>
      </c>
      <c r="U479" s="25">
        <v>27</v>
      </c>
      <c r="V479" s="84">
        <v>81</v>
      </c>
    </row>
    <row r="480" s="3" customFormat="1" customHeight="1" spans="1:22">
      <c r="A480" s="84">
        <v>15</v>
      </c>
      <c r="B480" s="175" t="s">
        <v>1912</v>
      </c>
      <c r="C480" s="175" t="s">
        <v>165</v>
      </c>
      <c r="D480" s="175" t="s">
        <v>1913</v>
      </c>
      <c r="E480" s="25">
        <v>15079288765</v>
      </c>
      <c r="F480" s="175" t="s">
        <v>297</v>
      </c>
      <c r="G480" s="175" t="s">
        <v>25</v>
      </c>
      <c r="H480" s="25">
        <v>202101008</v>
      </c>
      <c r="I480" s="175" t="s">
        <v>157</v>
      </c>
      <c r="J480" s="175" t="s">
        <v>233</v>
      </c>
      <c r="K480" s="175" t="s">
        <v>298</v>
      </c>
      <c r="L480" s="175" t="s">
        <v>160</v>
      </c>
      <c r="M480" s="175" t="s">
        <v>587</v>
      </c>
      <c r="N480" s="175" t="s">
        <v>25</v>
      </c>
      <c r="O480" s="175" t="s">
        <v>1915</v>
      </c>
      <c r="P480" s="26" t="str">
        <f>_xlfn.DISPIMG("ID_845D85CFFC3A4B2FB996A756749DD1B9",1)</f>
        <v>=DISPIMG("ID_845D85CFFC3A4B2FB996A756749DD1B9",1)</v>
      </c>
      <c r="Q480" s="25" t="s">
        <v>1916</v>
      </c>
      <c r="R480" s="25">
        <v>220</v>
      </c>
      <c r="S480" s="40" t="s">
        <v>4743</v>
      </c>
      <c r="T480" s="18" t="s">
        <v>70</v>
      </c>
      <c r="U480" s="25">
        <v>28</v>
      </c>
      <c r="V480" s="84">
        <v>77</v>
      </c>
    </row>
    <row r="481" s="3" customFormat="1" customHeight="1" spans="1:22">
      <c r="A481" s="84">
        <v>10</v>
      </c>
      <c r="B481" s="175" t="s">
        <v>1373</v>
      </c>
      <c r="C481" s="175" t="s">
        <v>165</v>
      </c>
      <c r="D481" s="175" t="s">
        <v>1374</v>
      </c>
      <c r="E481" s="25">
        <v>15070130599</v>
      </c>
      <c r="F481" s="175" t="s">
        <v>384</v>
      </c>
      <c r="G481" s="175" t="s">
        <v>25</v>
      </c>
      <c r="H481" s="25">
        <v>202101007</v>
      </c>
      <c r="I481" s="175" t="s">
        <v>705</v>
      </c>
      <c r="J481" s="175" t="s">
        <v>1376</v>
      </c>
      <c r="K481" s="175" t="s">
        <v>790</v>
      </c>
      <c r="L481" s="175" t="s">
        <v>160</v>
      </c>
      <c r="M481" s="175" t="s">
        <v>455</v>
      </c>
      <c r="N481" s="175" t="s">
        <v>1156</v>
      </c>
      <c r="O481" s="25">
        <v>0</v>
      </c>
      <c r="P481" s="26" t="str">
        <f>_xlfn.DISPIMG("ID_ECF84772EBB248C2BC2BD56C2C168331",1)</f>
        <v>=DISPIMG("ID_ECF84772EBB248C2BC2BD56C2C168331",1)</v>
      </c>
      <c r="Q481" s="25" t="s">
        <v>1377</v>
      </c>
      <c r="R481" s="25">
        <v>150</v>
      </c>
      <c r="S481" s="40" t="s">
        <v>4736</v>
      </c>
      <c r="T481" s="18" t="s">
        <v>70</v>
      </c>
      <c r="U481" s="25">
        <v>29</v>
      </c>
      <c r="V481" s="84">
        <v>0</v>
      </c>
    </row>
    <row r="482" s="3" customFormat="1" customHeight="1" spans="1:22">
      <c r="A482" s="84">
        <v>5</v>
      </c>
      <c r="B482" s="175" t="s">
        <v>554</v>
      </c>
      <c r="C482" s="175" t="s">
        <v>165</v>
      </c>
      <c r="D482" s="175" t="s">
        <v>555</v>
      </c>
      <c r="E482" s="25">
        <v>15508941977</v>
      </c>
      <c r="F482" s="175" t="s">
        <v>384</v>
      </c>
      <c r="G482" s="175" t="s">
        <v>25</v>
      </c>
      <c r="H482" s="25">
        <v>202101007</v>
      </c>
      <c r="I482" s="175" t="s">
        <v>157</v>
      </c>
      <c r="J482" s="175" t="s">
        <v>557</v>
      </c>
      <c r="K482" s="175" t="s">
        <v>558</v>
      </c>
      <c r="L482" s="175" t="s">
        <v>170</v>
      </c>
      <c r="M482" s="175" t="s">
        <v>559</v>
      </c>
      <c r="N482" s="175" t="s">
        <v>560</v>
      </c>
      <c r="O482" s="175" t="s">
        <v>561</v>
      </c>
      <c r="P482" s="26" t="str">
        <f>_xlfn.DISPIMG("ID_ED037D5B8E7D49BEA8FD0DBFF3A4827B",1)</f>
        <v>=DISPIMG("ID_ED037D5B8E7D49BEA8FD0DBFF3A4827B",1)</v>
      </c>
      <c r="Q482" s="25" t="s">
        <v>562</v>
      </c>
      <c r="R482" s="25">
        <v>48</v>
      </c>
      <c r="S482" s="40" t="s">
        <v>4729</v>
      </c>
      <c r="T482" s="18" t="s">
        <v>70</v>
      </c>
      <c r="U482" s="25">
        <v>30</v>
      </c>
      <c r="V482" s="84">
        <v>83</v>
      </c>
    </row>
    <row r="483" s="3" customFormat="1" customHeight="1" spans="1:22">
      <c r="A483" s="84">
        <v>11</v>
      </c>
      <c r="B483" s="175" t="s">
        <v>3978</v>
      </c>
      <c r="C483" s="175" t="s">
        <v>165</v>
      </c>
      <c r="D483" s="175" t="s">
        <v>3979</v>
      </c>
      <c r="E483" s="25">
        <v>15070298026</v>
      </c>
      <c r="F483" s="175" t="s">
        <v>268</v>
      </c>
      <c r="G483" s="175" t="s">
        <v>20</v>
      </c>
      <c r="H483" s="25">
        <v>202101004</v>
      </c>
      <c r="I483" s="175" t="s">
        <v>157</v>
      </c>
      <c r="J483" s="175" t="s">
        <v>178</v>
      </c>
      <c r="K483" s="175" t="s">
        <v>270</v>
      </c>
      <c r="L483" s="175" t="s">
        <v>170</v>
      </c>
      <c r="M483" s="175" t="s">
        <v>261</v>
      </c>
      <c r="N483" s="175" t="s">
        <v>20</v>
      </c>
      <c r="O483" s="25">
        <v>0</v>
      </c>
      <c r="P483" s="26" t="str">
        <f>_xlfn.DISPIMG("ID_41FDB18DF8F04859BBDC981BC12AE5F4",1)</f>
        <v>=DISPIMG("ID_41FDB18DF8F04859BBDC981BC12AE5F4",1)</v>
      </c>
      <c r="Q483" s="25" t="s">
        <v>3981</v>
      </c>
      <c r="R483" s="25">
        <v>508</v>
      </c>
      <c r="S483" s="40" t="s">
        <v>4770</v>
      </c>
      <c r="T483" s="18" t="s">
        <v>72</v>
      </c>
      <c r="U483" s="25">
        <v>1</v>
      </c>
      <c r="V483" s="84">
        <v>75.5</v>
      </c>
    </row>
    <row r="484" s="3" customFormat="1" customHeight="1" spans="1:22">
      <c r="A484" s="84">
        <v>9</v>
      </c>
      <c r="B484" s="175" t="s">
        <v>3661</v>
      </c>
      <c r="C484" s="175" t="s">
        <v>165</v>
      </c>
      <c r="D484" s="175" t="s">
        <v>3662</v>
      </c>
      <c r="E484" s="25">
        <v>15623206169</v>
      </c>
      <c r="F484" s="175" t="s">
        <v>297</v>
      </c>
      <c r="G484" s="175" t="s">
        <v>20</v>
      </c>
      <c r="H484" s="25">
        <v>202101006</v>
      </c>
      <c r="I484" s="175" t="s">
        <v>157</v>
      </c>
      <c r="J484" s="175" t="s">
        <v>3663</v>
      </c>
      <c r="K484" s="175" t="s">
        <v>1832</v>
      </c>
      <c r="L484" s="175" t="s">
        <v>160</v>
      </c>
      <c r="M484" s="175" t="s">
        <v>455</v>
      </c>
      <c r="N484" s="175" t="s">
        <v>20</v>
      </c>
      <c r="O484" s="25">
        <v>0</v>
      </c>
      <c r="P484" s="26" t="str">
        <f>_xlfn.DISPIMG("ID_2A9E22A9ABC949F8A9FA9AA3239D48CC",1)</f>
        <v>=DISPIMG("ID_2A9E22A9ABC949F8A9FA9AA3239D48CC",1)</v>
      </c>
      <c r="Q484" s="25" t="s">
        <v>3664</v>
      </c>
      <c r="R484" s="25">
        <v>466</v>
      </c>
      <c r="S484" s="40" t="s">
        <v>4768</v>
      </c>
      <c r="T484" s="18" t="s">
        <v>72</v>
      </c>
      <c r="U484" s="25">
        <v>2</v>
      </c>
      <c r="V484" s="84">
        <v>62</v>
      </c>
    </row>
    <row r="485" s="3" customFormat="1" customHeight="1" spans="1:22">
      <c r="A485" s="84">
        <v>7</v>
      </c>
      <c r="B485" s="175" t="s">
        <v>2172</v>
      </c>
      <c r="C485" s="175" t="s">
        <v>153</v>
      </c>
      <c r="D485" s="175" t="s">
        <v>2173</v>
      </c>
      <c r="E485" s="25">
        <v>18370791182</v>
      </c>
      <c r="F485" s="175" t="s">
        <v>297</v>
      </c>
      <c r="G485" s="175" t="s">
        <v>20</v>
      </c>
      <c r="H485" s="25">
        <v>202101006</v>
      </c>
      <c r="I485" s="175" t="s">
        <v>157</v>
      </c>
      <c r="J485" s="175" t="s">
        <v>1413</v>
      </c>
      <c r="K485" s="175" t="s">
        <v>243</v>
      </c>
      <c r="L485" s="175" t="s">
        <v>160</v>
      </c>
      <c r="M485" s="175" t="s">
        <v>199</v>
      </c>
      <c r="N485" s="175" t="s">
        <v>2175</v>
      </c>
      <c r="O485" s="175" t="s">
        <v>2176</v>
      </c>
      <c r="P485" s="26" t="str">
        <f>_xlfn.DISPIMG("ID_164BFB36FB944A6B8D1C179D10EFE455",1)</f>
        <v>=DISPIMG("ID_164BFB36FB944A6B8D1C179D10EFE455",1)</v>
      </c>
      <c r="Q485" s="25" t="s">
        <v>2177</v>
      </c>
      <c r="R485" s="25">
        <v>255</v>
      </c>
      <c r="S485" s="40" t="s">
        <v>4766</v>
      </c>
      <c r="T485" s="18" t="s">
        <v>72</v>
      </c>
      <c r="U485" s="25">
        <v>3</v>
      </c>
      <c r="V485" s="84">
        <v>0</v>
      </c>
    </row>
    <row r="486" s="3" customFormat="1" customHeight="1" spans="1:22">
      <c r="A486" s="84">
        <v>5</v>
      </c>
      <c r="B486" s="175" t="s">
        <v>1729</v>
      </c>
      <c r="C486" s="175" t="s">
        <v>153</v>
      </c>
      <c r="D486" s="175" t="s">
        <v>1730</v>
      </c>
      <c r="E486" s="25">
        <v>18720253839</v>
      </c>
      <c r="F486" s="175" t="s">
        <v>384</v>
      </c>
      <c r="G486" s="175" t="s">
        <v>20</v>
      </c>
      <c r="H486" s="25">
        <v>202101005</v>
      </c>
      <c r="I486" s="175" t="s">
        <v>157</v>
      </c>
      <c r="J486" s="175" t="s">
        <v>1258</v>
      </c>
      <c r="K486" s="175" t="s">
        <v>270</v>
      </c>
      <c r="L486" s="175" t="s">
        <v>170</v>
      </c>
      <c r="M486" s="175" t="s">
        <v>349</v>
      </c>
      <c r="N486" s="175" t="s">
        <v>1732</v>
      </c>
      <c r="O486" s="175" t="s">
        <v>1733</v>
      </c>
      <c r="P486" s="26" t="str">
        <f>_xlfn.DISPIMG("ID_677AC12F255C494892F34EE0AF9DED02",1)</f>
        <v>=DISPIMG("ID_677AC12F255C494892F34EE0AF9DED02",1)</v>
      </c>
      <c r="Q486" s="25" t="s">
        <v>1734</v>
      </c>
      <c r="R486" s="25">
        <v>196</v>
      </c>
      <c r="S486" s="40" t="s">
        <v>4764</v>
      </c>
      <c r="T486" s="18" t="s">
        <v>72</v>
      </c>
      <c r="U486" s="25">
        <v>4</v>
      </c>
      <c r="V486" s="84">
        <v>64</v>
      </c>
    </row>
    <row r="487" s="3" customFormat="1" customHeight="1" spans="1:22">
      <c r="A487" s="84">
        <v>3</v>
      </c>
      <c r="B487" s="175" t="s">
        <v>1050</v>
      </c>
      <c r="C487" s="175" t="s">
        <v>165</v>
      </c>
      <c r="D487" s="175" t="s">
        <v>1051</v>
      </c>
      <c r="E487" s="25">
        <v>15180471768</v>
      </c>
      <c r="F487" s="175" t="s">
        <v>384</v>
      </c>
      <c r="G487" s="175" t="s">
        <v>20</v>
      </c>
      <c r="H487" s="25">
        <v>202101005</v>
      </c>
      <c r="I487" s="175" t="s">
        <v>157</v>
      </c>
      <c r="J487" s="175" t="s">
        <v>178</v>
      </c>
      <c r="K487" s="175" t="s">
        <v>270</v>
      </c>
      <c r="L487" s="175" t="s">
        <v>170</v>
      </c>
      <c r="M487" s="175" t="s">
        <v>261</v>
      </c>
      <c r="N487" s="175" t="s">
        <v>20</v>
      </c>
      <c r="O487" s="25">
        <v>0</v>
      </c>
      <c r="P487" s="26" t="str">
        <f>_xlfn.DISPIMG("ID_296B75901486490E98D040532231AC8D",1)</f>
        <v>=DISPIMG("ID_296B75901486490E98D040532231AC8D",1)</v>
      </c>
      <c r="Q487" s="25" t="s">
        <v>1052</v>
      </c>
      <c r="R487" s="25">
        <v>108</v>
      </c>
      <c r="S487" s="40" t="s">
        <v>4762</v>
      </c>
      <c r="T487" s="18" t="s">
        <v>72</v>
      </c>
      <c r="U487" s="25">
        <v>5</v>
      </c>
      <c r="V487" s="84">
        <v>65</v>
      </c>
    </row>
    <row r="488" s="3" customFormat="1" customHeight="1" spans="1:22">
      <c r="A488" s="84">
        <v>1</v>
      </c>
      <c r="B488" s="175" t="s">
        <v>265</v>
      </c>
      <c r="C488" s="175" t="s">
        <v>153</v>
      </c>
      <c r="D488" s="175" t="s">
        <v>266</v>
      </c>
      <c r="E488" s="25">
        <v>15720975163</v>
      </c>
      <c r="F488" s="175" t="s">
        <v>268</v>
      </c>
      <c r="G488" s="175" t="s">
        <v>20</v>
      </c>
      <c r="H488" s="25">
        <v>202101004</v>
      </c>
      <c r="I488" s="175" t="s">
        <v>157</v>
      </c>
      <c r="J488" s="175" t="s">
        <v>269</v>
      </c>
      <c r="K488" s="175" t="s">
        <v>270</v>
      </c>
      <c r="L488" s="175" t="s">
        <v>170</v>
      </c>
      <c r="M488" s="175" t="s">
        <v>261</v>
      </c>
      <c r="N488" s="175" t="s">
        <v>20</v>
      </c>
      <c r="O488" s="175" t="s">
        <v>271</v>
      </c>
      <c r="P488" s="26" t="str">
        <f>_xlfn.DISPIMG("ID_E6B64D542CF24756B648DE72B52C0790",1)</f>
        <v>=DISPIMG("ID_E6B64D542CF24756B648DE72B52C0790",1)</v>
      </c>
      <c r="Q488" s="25" t="s">
        <v>272</v>
      </c>
      <c r="R488" s="25">
        <v>14</v>
      </c>
      <c r="S488" s="40" t="s">
        <v>4760</v>
      </c>
      <c r="T488" s="18" t="s">
        <v>72</v>
      </c>
      <c r="U488" s="25">
        <v>6</v>
      </c>
      <c r="V488" s="84">
        <v>76</v>
      </c>
    </row>
    <row r="489" s="3" customFormat="1" customHeight="1" spans="1:22">
      <c r="A489" s="84">
        <v>2</v>
      </c>
      <c r="B489" s="175" t="s">
        <v>522</v>
      </c>
      <c r="C489" s="175" t="s">
        <v>165</v>
      </c>
      <c r="D489" s="175" t="s">
        <v>523</v>
      </c>
      <c r="E489" s="25">
        <v>18779278905</v>
      </c>
      <c r="F489" s="175" t="s">
        <v>268</v>
      </c>
      <c r="G489" s="175" t="s">
        <v>20</v>
      </c>
      <c r="H489" s="25">
        <v>202101004</v>
      </c>
      <c r="I489" s="175" t="s">
        <v>157</v>
      </c>
      <c r="J489" s="175" t="s">
        <v>233</v>
      </c>
      <c r="K489" s="175" t="s">
        <v>525</v>
      </c>
      <c r="L489" s="175" t="s">
        <v>170</v>
      </c>
      <c r="M489" s="175" t="s">
        <v>161</v>
      </c>
      <c r="N489" s="175" t="s">
        <v>20</v>
      </c>
      <c r="O489" s="25">
        <v>0</v>
      </c>
      <c r="P489" s="26" t="str">
        <f>_xlfn.DISPIMG("ID_71DE12F1CD59449693F0263DC215D27B",1)</f>
        <v>=DISPIMG("ID_71DE12F1CD59449693F0263DC215D27B",1)</v>
      </c>
      <c r="Q489" s="25" t="s">
        <v>526</v>
      </c>
      <c r="R489" s="25">
        <v>44</v>
      </c>
      <c r="S489" s="40" t="s">
        <v>4761</v>
      </c>
      <c r="T489" s="18" t="s">
        <v>72</v>
      </c>
      <c r="U489" s="25">
        <v>7</v>
      </c>
      <c r="V489" s="84">
        <v>84</v>
      </c>
    </row>
    <row r="490" s="3" customFormat="1" customHeight="1" spans="1:22">
      <c r="A490" s="84">
        <v>4</v>
      </c>
      <c r="B490" s="175" t="s">
        <v>1055</v>
      </c>
      <c r="C490" s="175" t="s">
        <v>165</v>
      </c>
      <c r="D490" s="175" t="s">
        <v>1056</v>
      </c>
      <c r="E490" s="25">
        <v>15279286807</v>
      </c>
      <c r="F490" s="175" t="s">
        <v>384</v>
      </c>
      <c r="G490" s="175" t="s">
        <v>20</v>
      </c>
      <c r="H490" s="25">
        <v>202101005</v>
      </c>
      <c r="I490" s="175" t="s">
        <v>157</v>
      </c>
      <c r="J490" s="175" t="s">
        <v>178</v>
      </c>
      <c r="K490" s="175" t="s">
        <v>270</v>
      </c>
      <c r="L490" s="175" t="s">
        <v>170</v>
      </c>
      <c r="M490" s="175" t="s">
        <v>261</v>
      </c>
      <c r="N490" s="175" t="s">
        <v>20</v>
      </c>
      <c r="O490" s="25">
        <v>0</v>
      </c>
      <c r="P490" s="26" t="str">
        <f>_xlfn.DISPIMG("ID_1261702926BF4B91B3BBC8CF57D7C930",1)</f>
        <v>=DISPIMG("ID_1261702926BF4B91B3BBC8CF57D7C930",1)</v>
      </c>
      <c r="Q490" s="25" t="s">
        <v>1058</v>
      </c>
      <c r="R490" s="25">
        <v>109</v>
      </c>
      <c r="S490" s="40" t="s">
        <v>4763</v>
      </c>
      <c r="T490" s="18" t="s">
        <v>72</v>
      </c>
      <c r="U490" s="25">
        <v>8</v>
      </c>
      <c r="V490" s="84">
        <v>0</v>
      </c>
    </row>
    <row r="491" s="3" customFormat="1" customHeight="1" spans="1:22">
      <c r="A491" s="84">
        <v>6</v>
      </c>
      <c r="B491" s="175" t="s">
        <v>2044</v>
      </c>
      <c r="C491" s="175" t="s">
        <v>153</v>
      </c>
      <c r="D491" s="175" t="s">
        <v>2045</v>
      </c>
      <c r="E491" s="25">
        <v>15949584388</v>
      </c>
      <c r="F491" s="175" t="s">
        <v>384</v>
      </c>
      <c r="G491" s="175" t="s">
        <v>20</v>
      </c>
      <c r="H491" s="25">
        <v>202101005</v>
      </c>
      <c r="I491" s="175" t="s">
        <v>157</v>
      </c>
      <c r="J491" s="175" t="s">
        <v>158</v>
      </c>
      <c r="K491" s="175" t="s">
        <v>270</v>
      </c>
      <c r="L491" s="175" t="s">
        <v>170</v>
      </c>
      <c r="M491" s="175" t="s">
        <v>2047</v>
      </c>
      <c r="N491" s="175" t="s">
        <v>2048</v>
      </c>
      <c r="O491" s="175" t="s">
        <v>2049</v>
      </c>
      <c r="P491" s="26" t="str">
        <f>_xlfn.DISPIMG("ID_AA05B8B9BBB64A2C8B2DEFAC2B7912C3",1)</f>
        <v>=DISPIMG("ID_AA05B8B9BBB64A2C8B2DEFAC2B7912C3",1)</v>
      </c>
      <c r="Q491" s="25" t="s">
        <v>2050</v>
      </c>
      <c r="R491" s="25">
        <v>238</v>
      </c>
      <c r="S491" s="40" t="s">
        <v>4765</v>
      </c>
      <c r="T491" s="18" t="s">
        <v>72</v>
      </c>
      <c r="U491" s="25">
        <v>9</v>
      </c>
      <c r="V491" s="84">
        <v>78</v>
      </c>
    </row>
    <row r="492" s="3" customFormat="1" customHeight="1" spans="1:22">
      <c r="A492" s="84">
        <v>8</v>
      </c>
      <c r="B492" s="175" t="s">
        <v>3473</v>
      </c>
      <c r="C492" s="175" t="s">
        <v>165</v>
      </c>
      <c r="D492" s="175" t="s">
        <v>3474</v>
      </c>
      <c r="E492" s="25">
        <v>16605630524</v>
      </c>
      <c r="F492" s="175" t="s">
        <v>384</v>
      </c>
      <c r="G492" s="175" t="s">
        <v>20</v>
      </c>
      <c r="H492" s="25">
        <v>202101005</v>
      </c>
      <c r="I492" s="175" t="s">
        <v>705</v>
      </c>
      <c r="J492" s="175" t="s">
        <v>1112</v>
      </c>
      <c r="K492" s="175" t="s">
        <v>3476</v>
      </c>
      <c r="L492" s="175" t="s">
        <v>160</v>
      </c>
      <c r="M492" s="175" t="s">
        <v>455</v>
      </c>
      <c r="N492" s="175" t="s">
        <v>3477</v>
      </c>
      <c r="O492" s="25">
        <v>0</v>
      </c>
      <c r="P492" s="26" t="str">
        <f>_xlfn.DISPIMG("ID_BFF35F7767BD4AFE8B2C782755AFDE14",1)</f>
        <v>=DISPIMG("ID_BFF35F7767BD4AFE8B2C782755AFDE14",1)</v>
      </c>
      <c r="Q492" s="25" t="s">
        <v>3478</v>
      </c>
      <c r="R492" s="25">
        <v>439</v>
      </c>
      <c r="S492" s="40" t="s">
        <v>4767</v>
      </c>
      <c r="T492" s="18" t="s">
        <v>72</v>
      </c>
      <c r="U492" s="25">
        <v>10</v>
      </c>
      <c r="V492" s="84">
        <v>56</v>
      </c>
    </row>
    <row r="493" s="3" customFormat="1" customHeight="1" spans="1:22">
      <c r="A493" s="84">
        <v>10</v>
      </c>
      <c r="B493" s="175" t="s">
        <v>3955</v>
      </c>
      <c r="C493" s="175" t="s">
        <v>153</v>
      </c>
      <c r="D493" s="175" t="s">
        <v>3956</v>
      </c>
      <c r="E493" s="25">
        <v>18379670015</v>
      </c>
      <c r="F493" s="175" t="s">
        <v>384</v>
      </c>
      <c r="G493" s="175" t="s">
        <v>20</v>
      </c>
      <c r="H493" s="25">
        <v>202101005</v>
      </c>
      <c r="I493" s="175" t="s">
        <v>157</v>
      </c>
      <c r="J493" s="175" t="s">
        <v>507</v>
      </c>
      <c r="K493" s="175" t="s">
        <v>270</v>
      </c>
      <c r="L493" s="175" t="s">
        <v>170</v>
      </c>
      <c r="M493" s="175" t="s">
        <v>235</v>
      </c>
      <c r="N493" s="175" t="s">
        <v>1322</v>
      </c>
      <c r="O493" s="175" t="s">
        <v>3958</v>
      </c>
      <c r="P493" s="26" t="str">
        <f>_xlfn.DISPIMG("ID_C25C6B154C2847C9934F6981B40FCD0C",1)</f>
        <v>=DISPIMG("ID_C25C6B154C2847C9934F6981B40FCD0C",1)</v>
      </c>
      <c r="Q493" s="25" t="s">
        <v>3959</v>
      </c>
      <c r="R493" s="25">
        <v>505</v>
      </c>
      <c r="S493" s="40" t="s">
        <v>4769</v>
      </c>
      <c r="T493" s="18" t="s">
        <v>72</v>
      </c>
      <c r="U493" s="25">
        <v>11</v>
      </c>
      <c r="V493" s="84">
        <v>75</v>
      </c>
    </row>
    <row r="494" s="5" customFormat="1" customHeight="1" spans="1:22">
      <c r="A494" s="84">
        <v>12</v>
      </c>
      <c r="B494" s="175" t="s">
        <v>4161</v>
      </c>
      <c r="C494" s="175" t="s">
        <v>165</v>
      </c>
      <c r="D494" s="175" t="s">
        <v>4162</v>
      </c>
      <c r="E494" s="25">
        <v>15999192756</v>
      </c>
      <c r="F494" s="175" t="s">
        <v>297</v>
      </c>
      <c r="G494" s="175" t="s">
        <v>20</v>
      </c>
      <c r="H494" s="25">
        <v>202101006</v>
      </c>
      <c r="I494" s="175" t="s">
        <v>157</v>
      </c>
      <c r="J494" s="175" t="s">
        <v>4164</v>
      </c>
      <c r="K494" s="175" t="s">
        <v>4165</v>
      </c>
      <c r="L494" s="175" t="s">
        <v>160</v>
      </c>
      <c r="M494" s="175" t="s">
        <v>1089</v>
      </c>
      <c r="N494" s="175" t="s">
        <v>20</v>
      </c>
      <c r="O494" s="175" t="s">
        <v>4166</v>
      </c>
      <c r="P494" s="26" t="str">
        <f>_xlfn.DISPIMG("ID_0FB1CC236BB0441E8D7B28856D597318",1)</f>
        <v>=DISPIMG("ID_0FB1CC236BB0441E8D7B28856D597318",1)</v>
      </c>
      <c r="Q494" s="25" t="s">
        <v>4167</v>
      </c>
      <c r="R494" s="25">
        <v>532</v>
      </c>
      <c r="S494" s="40" t="s">
        <v>4771</v>
      </c>
      <c r="T494" s="18" t="s">
        <v>72</v>
      </c>
      <c r="U494" s="25">
        <v>12</v>
      </c>
      <c r="V494" s="84">
        <v>39</v>
      </c>
    </row>
    <row r="495" s="3" customFormat="1" customHeight="1" spans="1:22">
      <c r="A495" s="84">
        <v>17</v>
      </c>
      <c r="B495" s="175" t="s">
        <v>2940</v>
      </c>
      <c r="C495" s="175" t="s">
        <v>153</v>
      </c>
      <c r="D495" s="175" t="s">
        <v>2941</v>
      </c>
      <c r="E495" s="25">
        <v>18679635856</v>
      </c>
      <c r="F495" s="175" t="s">
        <v>156</v>
      </c>
      <c r="G495" s="175" t="s">
        <v>10</v>
      </c>
      <c r="H495" s="25">
        <v>202102004</v>
      </c>
      <c r="I495" s="175" t="s">
        <v>157</v>
      </c>
      <c r="J495" s="175" t="s">
        <v>2943</v>
      </c>
      <c r="K495" s="175" t="s">
        <v>2093</v>
      </c>
      <c r="L495" s="175" t="s">
        <v>160</v>
      </c>
      <c r="M495" s="175" t="s">
        <v>587</v>
      </c>
      <c r="N495" s="175" t="s">
        <v>10</v>
      </c>
      <c r="O495" s="25">
        <v>0</v>
      </c>
      <c r="P495" s="26" t="str">
        <f>_xlfn.DISPIMG("ID_5CF4EBD7502F4485844CA64AA4EECF8E",1)</f>
        <v>=DISPIMG("ID_5CF4EBD7502F4485844CA64AA4EECF8E",1)</v>
      </c>
      <c r="Q495" s="25" t="s">
        <v>2944</v>
      </c>
      <c r="R495" s="25">
        <v>361</v>
      </c>
      <c r="S495" s="40" t="s">
        <v>4776</v>
      </c>
      <c r="T495" s="18" t="s">
        <v>72</v>
      </c>
      <c r="U495" s="25">
        <v>13</v>
      </c>
      <c r="V495" s="84">
        <v>85</v>
      </c>
    </row>
    <row r="496" s="3" customFormat="1" customHeight="1" spans="1:22">
      <c r="A496" s="84">
        <v>16</v>
      </c>
      <c r="B496" s="175" t="s">
        <v>152</v>
      </c>
      <c r="C496" s="175" t="s">
        <v>153</v>
      </c>
      <c r="D496" s="175" t="s">
        <v>154</v>
      </c>
      <c r="E496" s="25">
        <v>18807023240</v>
      </c>
      <c r="F496" s="175" t="s">
        <v>156</v>
      </c>
      <c r="G496" s="175" t="s">
        <v>10</v>
      </c>
      <c r="H496" s="25">
        <v>202102004</v>
      </c>
      <c r="I496" s="175" t="s">
        <v>157</v>
      </c>
      <c r="J496" s="175" t="s">
        <v>158</v>
      </c>
      <c r="K496" s="175" t="s">
        <v>159</v>
      </c>
      <c r="L496" s="175" t="s">
        <v>160</v>
      </c>
      <c r="M496" s="175" t="s">
        <v>161</v>
      </c>
      <c r="N496" s="175" t="s">
        <v>10</v>
      </c>
      <c r="O496" s="25">
        <v>0</v>
      </c>
      <c r="P496" s="26" t="str">
        <f>_xlfn.DISPIMG("ID_1BBFB8252D30496F95F71593A2B76AF5",1)</f>
        <v>=DISPIMG("ID_1BBFB8252D30496F95F71593A2B76AF5",1)</v>
      </c>
      <c r="Q496" s="25" t="s">
        <v>162</v>
      </c>
      <c r="R496" s="25">
        <v>2</v>
      </c>
      <c r="S496" s="40" t="s">
        <v>4775</v>
      </c>
      <c r="T496" s="18" t="s">
        <v>72</v>
      </c>
      <c r="U496" s="25">
        <v>14</v>
      </c>
      <c r="V496" s="84">
        <v>86</v>
      </c>
    </row>
    <row r="497" s="3" customFormat="1" customHeight="1" spans="1:22">
      <c r="A497" s="84">
        <v>15</v>
      </c>
      <c r="B497" s="175" t="s">
        <v>2104</v>
      </c>
      <c r="C497" s="175" t="s">
        <v>165</v>
      </c>
      <c r="D497" s="175" t="s">
        <v>2105</v>
      </c>
      <c r="E497" s="25">
        <v>13817884693</v>
      </c>
      <c r="F497" s="175" t="s">
        <v>384</v>
      </c>
      <c r="G497" s="175" t="s">
        <v>19</v>
      </c>
      <c r="H497" s="25">
        <v>202101014</v>
      </c>
      <c r="I497" s="175" t="s">
        <v>705</v>
      </c>
      <c r="J497" s="175" t="s">
        <v>2063</v>
      </c>
      <c r="K497" s="175" t="s">
        <v>2107</v>
      </c>
      <c r="L497" s="175" t="s">
        <v>160</v>
      </c>
      <c r="M497" s="175" t="s">
        <v>396</v>
      </c>
      <c r="N497" s="175" t="s">
        <v>2108</v>
      </c>
      <c r="O497" s="175" t="s">
        <v>2109</v>
      </c>
      <c r="P497" s="26" t="str">
        <f>_xlfn.DISPIMG("ID_21FE4349EE994987AC614A279458E356",1)</f>
        <v>=DISPIMG("ID_21FE4349EE994987AC614A279458E356",1)</v>
      </c>
      <c r="Q497" s="25" t="s">
        <v>2110</v>
      </c>
      <c r="R497" s="25">
        <v>246</v>
      </c>
      <c r="S497" s="40" t="s">
        <v>4774</v>
      </c>
      <c r="T497" s="18" t="s">
        <v>72</v>
      </c>
      <c r="U497" s="25">
        <v>15</v>
      </c>
      <c r="V497" s="84">
        <v>0</v>
      </c>
    </row>
    <row r="498" s="3" customFormat="1" customHeight="1" spans="1:22">
      <c r="A498" s="84">
        <v>14</v>
      </c>
      <c r="B498" s="175" t="s">
        <v>1637</v>
      </c>
      <c r="C498" s="175" t="s">
        <v>165</v>
      </c>
      <c r="D498" s="175" t="s">
        <v>1638</v>
      </c>
      <c r="E498" s="25">
        <v>18279206250</v>
      </c>
      <c r="F498" s="175" t="s">
        <v>384</v>
      </c>
      <c r="G498" s="175" t="s">
        <v>19</v>
      </c>
      <c r="H498" s="25">
        <v>202101014</v>
      </c>
      <c r="I498" s="175" t="s">
        <v>157</v>
      </c>
      <c r="J498" s="175" t="s">
        <v>178</v>
      </c>
      <c r="K498" s="175" t="s">
        <v>1639</v>
      </c>
      <c r="L498" s="175" t="s">
        <v>170</v>
      </c>
      <c r="M498" s="175" t="s">
        <v>455</v>
      </c>
      <c r="N498" s="175" t="s">
        <v>19</v>
      </c>
      <c r="O498" s="25">
        <v>0</v>
      </c>
      <c r="P498" s="26" t="str">
        <f>_xlfn.DISPIMG("ID_74FDF0D5FA0548BCA212C8D2C43783F4",1)</f>
        <v>=DISPIMG("ID_74FDF0D5FA0548BCA212C8D2C43783F4",1)</v>
      </c>
      <c r="Q498" s="25" t="s">
        <v>1640</v>
      </c>
      <c r="R498" s="25">
        <v>184</v>
      </c>
      <c r="S498" s="40" t="s">
        <v>4773</v>
      </c>
      <c r="T498" s="18" t="s">
        <v>72</v>
      </c>
      <c r="U498" s="25">
        <v>16</v>
      </c>
      <c r="V498" s="84">
        <v>80</v>
      </c>
    </row>
    <row r="499" s="3" customFormat="1" customHeight="1" spans="1:22">
      <c r="A499" s="84">
        <v>13</v>
      </c>
      <c r="B499" s="175" t="s">
        <v>833</v>
      </c>
      <c r="C499" s="175" t="s">
        <v>165</v>
      </c>
      <c r="D499" s="175" t="s">
        <v>1302</v>
      </c>
      <c r="E499" s="25">
        <v>15770803797</v>
      </c>
      <c r="F499" s="175" t="s">
        <v>384</v>
      </c>
      <c r="G499" s="175" t="s">
        <v>19</v>
      </c>
      <c r="H499" s="25">
        <v>202101014</v>
      </c>
      <c r="I499" s="175" t="s">
        <v>705</v>
      </c>
      <c r="J499" s="175" t="s">
        <v>1304</v>
      </c>
      <c r="K499" s="175" t="s">
        <v>1305</v>
      </c>
      <c r="L499" s="175" t="s">
        <v>160</v>
      </c>
      <c r="M499" s="175" t="s">
        <v>516</v>
      </c>
      <c r="N499" s="175" t="s">
        <v>1306</v>
      </c>
      <c r="O499" s="175" t="s">
        <v>1307</v>
      </c>
      <c r="P499" s="26" t="str">
        <f>_xlfn.DISPIMG("ID_2E0E8C97ADBC44CDA9BEA81CC587B750",1)</f>
        <v>=DISPIMG("ID_2E0E8C97ADBC44CDA9BEA81CC587B750",1)</v>
      </c>
      <c r="Q499" s="25" t="s">
        <v>1308</v>
      </c>
      <c r="R499" s="25">
        <v>141</v>
      </c>
      <c r="S499" s="40" t="s">
        <v>4772</v>
      </c>
      <c r="T499" s="18" t="s">
        <v>72</v>
      </c>
      <c r="U499" s="25">
        <v>17</v>
      </c>
      <c r="V499" s="84">
        <v>0</v>
      </c>
    </row>
    <row r="500" s="3" customFormat="1" customHeight="1" spans="1:22">
      <c r="A500" s="84"/>
      <c r="B500" s="25"/>
      <c r="C500" s="25"/>
      <c r="D500" s="25"/>
      <c r="E500" s="25"/>
      <c r="F500" s="25"/>
      <c r="G500" s="25"/>
      <c r="H500" s="25"/>
      <c r="I500" s="25"/>
      <c r="J500" s="25"/>
      <c r="K500" s="25"/>
      <c r="L500" s="25"/>
      <c r="M500" s="25"/>
      <c r="N500" s="25"/>
      <c r="O500" s="25"/>
      <c r="P500" s="26"/>
      <c r="Q500" s="25"/>
      <c r="R500" s="25"/>
      <c r="S500" s="40"/>
      <c r="T500" s="18"/>
      <c r="U500" s="25"/>
      <c r="V500" s="84"/>
    </row>
    <row r="501" s="3" customFormat="1" customHeight="1" spans="1:22">
      <c r="A501" s="84"/>
      <c r="B501" s="25"/>
      <c r="C501" s="25"/>
      <c r="D501" s="25"/>
      <c r="E501" s="25"/>
      <c r="F501" s="25"/>
      <c r="G501" s="25"/>
      <c r="H501" s="25"/>
      <c r="I501" s="25"/>
      <c r="J501" s="25"/>
      <c r="K501" s="25"/>
      <c r="L501" s="25"/>
      <c r="M501" s="25"/>
      <c r="N501" s="25"/>
      <c r="O501" s="25"/>
      <c r="P501" s="26"/>
      <c r="Q501" s="25"/>
      <c r="R501" s="25"/>
      <c r="S501" s="40"/>
      <c r="T501" s="18"/>
      <c r="U501" s="25"/>
      <c r="V501" s="84"/>
    </row>
    <row r="502" s="3" customFormat="1" customHeight="1" spans="1:22">
      <c r="A502" s="84"/>
      <c r="B502" s="25"/>
      <c r="C502" s="25"/>
      <c r="D502" s="25"/>
      <c r="E502" s="25"/>
      <c r="F502" s="25"/>
      <c r="G502" s="25"/>
      <c r="H502" s="25"/>
      <c r="I502" s="25"/>
      <c r="J502" s="25"/>
      <c r="K502" s="25"/>
      <c r="L502" s="25"/>
      <c r="M502" s="25"/>
      <c r="N502" s="25"/>
      <c r="O502" s="25"/>
      <c r="P502" s="26"/>
      <c r="Q502" s="25"/>
      <c r="R502" s="25"/>
      <c r="S502" s="40"/>
      <c r="T502" s="18"/>
      <c r="U502" s="25"/>
      <c r="V502" s="84"/>
    </row>
    <row r="503" s="3" customFormat="1" customHeight="1" spans="1:22">
      <c r="A503" s="84"/>
      <c r="B503" s="25"/>
      <c r="C503" s="25"/>
      <c r="D503" s="25"/>
      <c r="E503" s="25"/>
      <c r="F503" s="25"/>
      <c r="G503" s="25"/>
      <c r="H503" s="25"/>
      <c r="I503" s="25"/>
      <c r="J503" s="25"/>
      <c r="K503" s="25"/>
      <c r="L503" s="25"/>
      <c r="M503" s="25"/>
      <c r="N503" s="25"/>
      <c r="O503" s="25"/>
      <c r="P503" s="26"/>
      <c r="Q503" s="25"/>
      <c r="R503" s="25"/>
      <c r="S503" s="40"/>
      <c r="T503" s="18"/>
      <c r="U503" s="25"/>
      <c r="V503" s="84"/>
    </row>
    <row r="504" s="3" customFormat="1" customHeight="1" spans="1:22">
      <c r="A504" s="84"/>
      <c r="B504" s="25"/>
      <c r="C504" s="25"/>
      <c r="D504" s="25"/>
      <c r="E504" s="25"/>
      <c r="F504" s="25"/>
      <c r="G504" s="25"/>
      <c r="H504" s="25"/>
      <c r="I504" s="25"/>
      <c r="J504" s="25"/>
      <c r="K504" s="25"/>
      <c r="L504" s="25"/>
      <c r="M504" s="25"/>
      <c r="N504" s="25"/>
      <c r="O504" s="25"/>
      <c r="P504" s="26"/>
      <c r="Q504" s="25"/>
      <c r="R504" s="25"/>
      <c r="S504" s="40"/>
      <c r="T504" s="18"/>
      <c r="U504" s="25"/>
      <c r="V504" s="84"/>
    </row>
    <row r="505" s="3" customFormat="1" customHeight="1" spans="1:22">
      <c r="A505" s="84"/>
      <c r="B505" s="25"/>
      <c r="C505" s="25"/>
      <c r="D505" s="25"/>
      <c r="E505" s="25"/>
      <c r="F505" s="25"/>
      <c r="G505" s="25"/>
      <c r="H505" s="25"/>
      <c r="I505" s="25"/>
      <c r="J505" s="25"/>
      <c r="K505" s="25"/>
      <c r="L505" s="25"/>
      <c r="M505" s="25"/>
      <c r="N505" s="25"/>
      <c r="O505" s="25"/>
      <c r="P505" s="26"/>
      <c r="Q505" s="25"/>
      <c r="R505" s="25"/>
      <c r="S505" s="40"/>
      <c r="T505" s="18"/>
      <c r="U505" s="25"/>
      <c r="V505" s="84"/>
    </row>
    <row r="506" s="3" customFormat="1" customHeight="1" spans="1:22">
      <c r="A506" s="84"/>
      <c r="B506" s="25"/>
      <c r="C506" s="25"/>
      <c r="D506" s="25"/>
      <c r="E506" s="25"/>
      <c r="F506" s="25"/>
      <c r="G506" s="25"/>
      <c r="H506" s="25"/>
      <c r="I506" s="25"/>
      <c r="J506" s="25"/>
      <c r="K506" s="25"/>
      <c r="L506" s="25"/>
      <c r="M506" s="25"/>
      <c r="N506" s="25"/>
      <c r="O506" s="25"/>
      <c r="P506" s="26"/>
      <c r="Q506" s="25"/>
      <c r="R506" s="25"/>
      <c r="S506" s="40"/>
      <c r="T506" s="18"/>
      <c r="U506" s="25"/>
      <c r="V506" s="84"/>
    </row>
    <row r="507" s="3" customFormat="1" customHeight="1" spans="1:22">
      <c r="A507" s="84"/>
      <c r="B507" s="25"/>
      <c r="C507" s="25"/>
      <c r="D507" s="25"/>
      <c r="E507" s="25"/>
      <c r="F507" s="25"/>
      <c r="G507" s="25"/>
      <c r="H507" s="25"/>
      <c r="I507" s="25"/>
      <c r="J507" s="25"/>
      <c r="K507" s="25"/>
      <c r="L507" s="25"/>
      <c r="M507" s="25"/>
      <c r="N507" s="25"/>
      <c r="O507" s="25"/>
      <c r="P507" s="26"/>
      <c r="Q507" s="25"/>
      <c r="R507" s="25"/>
      <c r="S507" s="40"/>
      <c r="T507" s="18"/>
      <c r="U507" s="25"/>
      <c r="V507" s="84"/>
    </row>
    <row r="508" s="3" customFormat="1" customHeight="1" spans="1:22">
      <c r="A508" s="84"/>
      <c r="B508" s="25"/>
      <c r="C508" s="25"/>
      <c r="D508" s="25"/>
      <c r="E508" s="25"/>
      <c r="F508" s="25"/>
      <c r="G508" s="25"/>
      <c r="H508" s="25"/>
      <c r="I508" s="25"/>
      <c r="J508" s="25"/>
      <c r="K508" s="25"/>
      <c r="L508" s="25"/>
      <c r="M508" s="25"/>
      <c r="N508" s="25"/>
      <c r="O508" s="25"/>
      <c r="P508" s="26"/>
      <c r="Q508" s="25"/>
      <c r="R508" s="25"/>
      <c r="S508" s="40"/>
      <c r="T508" s="18"/>
      <c r="U508" s="25"/>
      <c r="V508" s="84"/>
    </row>
    <row r="509" s="3" customFormat="1" customHeight="1" spans="1:22">
      <c r="A509" s="84"/>
      <c r="B509" s="25"/>
      <c r="C509" s="25"/>
      <c r="D509" s="25"/>
      <c r="E509" s="25"/>
      <c r="F509" s="25"/>
      <c r="G509" s="25"/>
      <c r="H509" s="25"/>
      <c r="I509" s="25"/>
      <c r="J509" s="25"/>
      <c r="K509" s="25"/>
      <c r="L509" s="25"/>
      <c r="M509" s="25"/>
      <c r="N509" s="25"/>
      <c r="O509" s="25"/>
      <c r="P509" s="26"/>
      <c r="Q509" s="25"/>
      <c r="R509" s="25"/>
      <c r="S509" s="40"/>
      <c r="T509" s="18"/>
      <c r="U509" s="25"/>
      <c r="V509" s="84"/>
    </row>
    <row r="510" s="3" customFormat="1" customHeight="1" spans="1:22">
      <c r="A510" s="84"/>
      <c r="B510" s="25"/>
      <c r="C510" s="25"/>
      <c r="D510" s="25"/>
      <c r="E510" s="25"/>
      <c r="F510" s="25"/>
      <c r="G510" s="25"/>
      <c r="H510" s="25"/>
      <c r="I510" s="25"/>
      <c r="J510" s="25"/>
      <c r="K510" s="25"/>
      <c r="L510" s="25"/>
      <c r="M510" s="25"/>
      <c r="N510" s="25"/>
      <c r="O510" s="25"/>
      <c r="P510" s="26"/>
      <c r="Q510" s="25"/>
      <c r="R510" s="25"/>
      <c r="S510" s="40"/>
      <c r="T510" s="18"/>
      <c r="U510" s="25"/>
      <c r="V510" s="84"/>
    </row>
    <row r="511" s="3" customFormat="1" customHeight="1" spans="1:22">
      <c r="A511" s="84"/>
      <c r="B511" s="25"/>
      <c r="C511" s="25"/>
      <c r="D511" s="25"/>
      <c r="E511" s="25"/>
      <c r="F511" s="25"/>
      <c r="G511" s="25"/>
      <c r="H511" s="25"/>
      <c r="I511" s="25"/>
      <c r="J511" s="25"/>
      <c r="K511" s="25"/>
      <c r="L511" s="25"/>
      <c r="M511" s="25"/>
      <c r="N511" s="25"/>
      <c r="O511" s="25"/>
      <c r="P511" s="26"/>
      <c r="Q511" s="25"/>
      <c r="R511" s="25"/>
      <c r="S511" s="40"/>
      <c r="T511" s="18"/>
      <c r="U511" s="25"/>
      <c r="V511" s="84"/>
    </row>
    <row r="512" s="3" customFormat="1" customHeight="1" spans="1:22">
      <c r="A512" s="84"/>
      <c r="B512" s="25"/>
      <c r="C512" s="25"/>
      <c r="D512" s="25"/>
      <c r="E512" s="25"/>
      <c r="F512" s="25"/>
      <c r="G512" s="25"/>
      <c r="H512" s="25"/>
      <c r="I512" s="25"/>
      <c r="J512" s="25"/>
      <c r="K512" s="25"/>
      <c r="L512" s="25"/>
      <c r="M512" s="25"/>
      <c r="N512" s="25"/>
      <c r="O512" s="25"/>
      <c r="P512" s="26"/>
      <c r="Q512" s="25"/>
      <c r="R512" s="25"/>
      <c r="S512" s="40"/>
      <c r="T512" s="18"/>
      <c r="U512" s="25"/>
      <c r="V512" s="84"/>
    </row>
    <row r="513" s="3" customFormat="1" customHeight="1" spans="1:22">
      <c r="A513" s="84">
        <v>11</v>
      </c>
      <c r="B513" s="175" t="s">
        <v>4251</v>
      </c>
      <c r="C513" s="175" t="s">
        <v>153</v>
      </c>
      <c r="D513" s="175" t="s">
        <v>4252</v>
      </c>
      <c r="E513" s="25">
        <v>13340012018</v>
      </c>
      <c r="F513" s="175" t="s">
        <v>268</v>
      </c>
      <c r="G513" s="175" t="s">
        <v>16</v>
      </c>
      <c r="H513" s="25">
        <v>202101011</v>
      </c>
      <c r="I513" s="175" t="s">
        <v>705</v>
      </c>
      <c r="J513" s="175" t="s">
        <v>233</v>
      </c>
      <c r="K513" s="175" t="s">
        <v>4254</v>
      </c>
      <c r="L513" s="175" t="s">
        <v>160</v>
      </c>
      <c r="M513" s="175" t="s">
        <v>455</v>
      </c>
      <c r="N513" s="175" t="s">
        <v>16</v>
      </c>
      <c r="O513" s="175" t="s">
        <v>4255</v>
      </c>
      <c r="P513" s="26" t="str">
        <f>_xlfn.DISPIMG("ID_7B994A5EE1894E46909466AD8B994299",1)</f>
        <v>=DISPIMG("ID_7B994A5EE1894E46909466AD8B994299",1)</v>
      </c>
      <c r="Q513" s="25" t="s">
        <v>4256</v>
      </c>
      <c r="R513" s="25">
        <v>544</v>
      </c>
      <c r="S513" s="40" t="s">
        <v>4794</v>
      </c>
      <c r="T513" s="18" t="s">
        <v>76</v>
      </c>
      <c r="U513" s="25">
        <v>1</v>
      </c>
      <c r="V513" s="84">
        <v>0</v>
      </c>
    </row>
    <row r="514" s="3" customFormat="1" customHeight="1" spans="1:22">
      <c r="A514" s="84">
        <v>9</v>
      </c>
      <c r="B514" s="175" t="s">
        <v>4184</v>
      </c>
      <c r="C514" s="175" t="s">
        <v>153</v>
      </c>
      <c r="D514" s="175" t="s">
        <v>4185</v>
      </c>
      <c r="E514" s="25">
        <v>15779857764</v>
      </c>
      <c r="F514" s="175" t="s">
        <v>384</v>
      </c>
      <c r="G514" s="175" t="s">
        <v>16</v>
      </c>
      <c r="H514" s="25">
        <v>202101012</v>
      </c>
      <c r="I514" s="175" t="s">
        <v>157</v>
      </c>
      <c r="J514" s="175" t="s">
        <v>507</v>
      </c>
      <c r="K514" s="175" t="s">
        <v>977</v>
      </c>
      <c r="L514" s="175" t="s">
        <v>170</v>
      </c>
      <c r="M514" s="175" t="s">
        <v>281</v>
      </c>
      <c r="N514" s="175" t="s">
        <v>16</v>
      </c>
      <c r="O514" s="175" t="s">
        <v>4187</v>
      </c>
      <c r="P514" s="26" t="str">
        <f>_xlfn.DISPIMG("ID_CB7789B563324522805F1ED9D1BFD221",1)</f>
        <v>=DISPIMG("ID_CB7789B563324522805F1ED9D1BFD221",1)</v>
      </c>
      <c r="Q514" s="25" t="s">
        <v>4188</v>
      </c>
      <c r="R514" s="25">
        <v>535</v>
      </c>
      <c r="S514" s="40" t="s">
        <v>4788</v>
      </c>
      <c r="T514" s="18" t="s">
        <v>76</v>
      </c>
      <c r="U514" s="25">
        <v>2</v>
      </c>
      <c r="V514" s="84">
        <v>0</v>
      </c>
    </row>
    <row r="515" s="3" customFormat="1" customHeight="1" spans="1:22">
      <c r="A515" s="84">
        <v>7</v>
      </c>
      <c r="B515" s="175" t="s">
        <v>3833</v>
      </c>
      <c r="C515" s="175" t="s">
        <v>153</v>
      </c>
      <c r="D515" s="175" t="s">
        <v>3834</v>
      </c>
      <c r="E515" s="25">
        <v>15970472554</v>
      </c>
      <c r="F515" s="175" t="s">
        <v>268</v>
      </c>
      <c r="G515" s="175" t="s">
        <v>16</v>
      </c>
      <c r="H515" s="25">
        <v>202101011</v>
      </c>
      <c r="I515" s="175" t="s">
        <v>705</v>
      </c>
      <c r="J515" s="175" t="s">
        <v>1654</v>
      </c>
      <c r="K515" s="175" t="s">
        <v>3836</v>
      </c>
      <c r="L515" s="175" t="s">
        <v>160</v>
      </c>
      <c r="M515" s="175" t="s">
        <v>235</v>
      </c>
      <c r="N515" s="175" t="s">
        <v>16</v>
      </c>
      <c r="O515" s="175" t="s">
        <v>3837</v>
      </c>
      <c r="P515" s="26" t="str">
        <f>_xlfn.DISPIMG("ID_34928AEB616641BE854DC3D58FC2EECD",1)</f>
        <v>=DISPIMG("ID_34928AEB616641BE854DC3D58FC2EECD",1)</v>
      </c>
      <c r="Q515" s="25" t="s">
        <v>3838</v>
      </c>
      <c r="R515" s="25">
        <v>489</v>
      </c>
      <c r="S515" s="40" t="s">
        <v>4783</v>
      </c>
      <c r="T515" s="18" t="s">
        <v>76</v>
      </c>
      <c r="U515" s="25">
        <v>3</v>
      </c>
      <c r="V515" s="84">
        <v>0</v>
      </c>
    </row>
    <row r="516" s="3" customFormat="1" customHeight="1" spans="1:22">
      <c r="A516" s="84">
        <v>5</v>
      </c>
      <c r="B516" s="175" t="s">
        <v>3022</v>
      </c>
      <c r="C516" s="175" t="s">
        <v>165</v>
      </c>
      <c r="D516" s="175" t="s">
        <v>3023</v>
      </c>
      <c r="E516" s="25">
        <v>15870035090</v>
      </c>
      <c r="F516" s="175" t="s">
        <v>268</v>
      </c>
      <c r="G516" s="175" t="s">
        <v>16</v>
      </c>
      <c r="H516" s="25">
        <v>202101011</v>
      </c>
      <c r="I516" s="175" t="s">
        <v>157</v>
      </c>
      <c r="J516" s="175" t="s">
        <v>233</v>
      </c>
      <c r="K516" s="175" t="s">
        <v>1088</v>
      </c>
      <c r="L516" s="175" t="s">
        <v>170</v>
      </c>
      <c r="M516" s="175" t="s">
        <v>548</v>
      </c>
      <c r="N516" s="175" t="s">
        <v>1579</v>
      </c>
      <c r="O516" s="175" t="s">
        <v>3025</v>
      </c>
      <c r="P516" s="26" t="str">
        <f>_xlfn.DISPIMG("ID_B71153A1EE7A48CF8E15967732B6C043",1)</f>
        <v>=DISPIMG("ID_B71153A1EE7A48CF8E15967732B6C043",1)</v>
      </c>
      <c r="Q516" s="25" t="s">
        <v>3026</v>
      </c>
      <c r="R516" s="25">
        <v>412</v>
      </c>
      <c r="S516" s="40" t="s">
        <v>4778</v>
      </c>
      <c r="T516" s="18" t="s">
        <v>76</v>
      </c>
      <c r="U516" s="25">
        <v>4</v>
      </c>
      <c r="V516" s="84">
        <v>0</v>
      </c>
    </row>
    <row r="517" s="3" customFormat="1" customHeight="1" spans="1:22">
      <c r="A517" s="84">
        <v>3</v>
      </c>
      <c r="B517" s="175" t="s">
        <v>2961</v>
      </c>
      <c r="C517" s="175" t="s">
        <v>153</v>
      </c>
      <c r="D517" s="175" t="s">
        <v>2962</v>
      </c>
      <c r="E517" s="25">
        <v>15180672774</v>
      </c>
      <c r="F517" s="175" t="s">
        <v>268</v>
      </c>
      <c r="G517" s="175" t="s">
        <v>16</v>
      </c>
      <c r="H517" s="25">
        <v>202101011</v>
      </c>
      <c r="I517" s="175" t="s">
        <v>157</v>
      </c>
      <c r="J517" s="175" t="s">
        <v>385</v>
      </c>
      <c r="K517" s="175" t="s">
        <v>2964</v>
      </c>
      <c r="L517" s="175" t="s">
        <v>170</v>
      </c>
      <c r="M517" s="175" t="s">
        <v>161</v>
      </c>
      <c r="N517" s="175" t="s">
        <v>1156</v>
      </c>
      <c r="O517" s="175" t="s">
        <v>2965</v>
      </c>
      <c r="P517" s="26" t="str">
        <f>_xlfn.DISPIMG("ID_7E33BA02CEC345A989E0186D8EADFECF",1)</f>
        <v>=DISPIMG("ID_7E33BA02CEC345A989E0186D8EADFECF",1)</v>
      </c>
      <c r="Q517" s="25" t="s">
        <v>2966</v>
      </c>
      <c r="R517" s="25">
        <v>364</v>
      </c>
      <c r="S517" s="40" t="s">
        <v>4798</v>
      </c>
      <c r="T517" s="18" t="s">
        <v>76</v>
      </c>
      <c r="U517" s="25">
        <v>5</v>
      </c>
      <c r="V517" s="84">
        <v>64</v>
      </c>
    </row>
    <row r="518" s="3" customFormat="1" customHeight="1" spans="1:22">
      <c r="A518" s="84">
        <v>1</v>
      </c>
      <c r="B518" s="175" t="s">
        <v>974</v>
      </c>
      <c r="C518" s="175" t="s">
        <v>153</v>
      </c>
      <c r="D518" s="175" t="s">
        <v>975</v>
      </c>
      <c r="E518" s="25">
        <v>14796380079</v>
      </c>
      <c r="F518" s="175" t="s">
        <v>268</v>
      </c>
      <c r="G518" s="175" t="s">
        <v>16</v>
      </c>
      <c r="H518" s="25">
        <v>202101011</v>
      </c>
      <c r="I518" s="175" t="s">
        <v>157</v>
      </c>
      <c r="J518" s="175" t="s">
        <v>233</v>
      </c>
      <c r="K518" s="175" t="s">
        <v>977</v>
      </c>
      <c r="L518" s="175" t="s">
        <v>170</v>
      </c>
      <c r="M518" s="175" t="s">
        <v>235</v>
      </c>
      <c r="N518" s="175" t="s">
        <v>978</v>
      </c>
      <c r="O518" s="175" t="s">
        <v>979</v>
      </c>
      <c r="P518" s="26" t="str">
        <f>_xlfn.DISPIMG("ID_9AC6BD34E9E244F89B50B29F8EA156DD",1)</f>
        <v>=DISPIMG("ID_9AC6BD34E9E244F89B50B29F8EA156DD",1)</v>
      </c>
      <c r="Q518" s="25" t="s">
        <v>980</v>
      </c>
      <c r="R518" s="25">
        <v>99</v>
      </c>
      <c r="S518" s="40" t="s">
        <v>4777</v>
      </c>
      <c r="T518" s="18" t="s">
        <v>76</v>
      </c>
      <c r="U518" s="25">
        <v>6</v>
      </c>
      <c r="V518" s="84">
        <v>75.5</v>
      </c>
    </row>
    <row r="519" s="3" customFormat="1" customHeight="1" spans="1:22">
      <c r="A519" s="84">
        <v>2</v>
      </c>
      <c r="B519" s="175" t="s">
        <v>2831</v>
      </c>
      <c r="C519" s="175" t="s">
        <v>165</v>
      </c>
      <c r="D519" s="175" t="s">
        <v>2832</v>
      </c>
      <c r="E519" s="25">
        <v>17794516178</v>
      </c>
      <c r="F519" s="175" t="s">
        <v>268</v>
      </c>
      <c r="G519" s="175" t="s">
        <v>16</v>
      </c>
      <c r="H519" s="25">
        <v>202101011</v>
      </c>
      <c r="I519" s="175" t="s">
        <v>705</v>
      </c>
      <c r="J519" s="175" t="s">
        <v>2834</v>
      </c>
      <c r="K519" s="175" t="s">
        <v>1397</v>
      </c>
      <c r="L519" s="175" t="s">
        <v>160</v>
      </c>
      <c r="M519" s="175" t="s">
        <v>261</v>
      </c>
      <c r="N519" s="175" t="s">
        <v>2835</v>
      </c>
      <c r="O519" s="25">
        <v>0</v>
      </c>
      <c r="P519" s="26" t="str">
        <f>_xlfn.DISPIMG("ID_012851E191D54E319B75F7300CFFD208",1)</f>
        <v>=DISPIMG("ID_012851E191D54E319B75F7300CFFD208",1)</v>
      </c>
      <c r="Q519" s="25" t="s">
        <v>2836</v>
      </c>
      <c r="R519" s="25">
        <v>344</v>
      </c>
      <c r="S519" s="40" t="s">
        <v>4793</v>
      </c>
      <c r="T519" s="18" t="s">
        <v>76</v>
      </c>
      <c r="U519" s="25">
        <v>7</v>
      </c>
      <c r="V519" s="84">
        <v>0</v>
      </c>
    </row>
    <row r="520" s="3" customFormat="1" customHeight="1" spans="1:22">
      <c r="A520" s="84">
        <v>4</v>
      </c>
      <c r="B520" s="175" t="s">
        <v>3116</v>
      </c>
      <c r="C520" s="175" t="s">
        <v>165</v>
      </c>
      <c r="D520" s="175" t="s">
        <v>3117</v>
      </c>
      <c r="E520" s="25">
        <v>15279286337</v>
      </c>
      <c r="F520" s="175" t="s">
        <v>268</v>
      </c>
      <c r="G520" s="175" t="s">
        <v>16</v>
      </c>
      <c r="H520" s="25">
        <v>202101011</v>
      </c>
      <c r="I520" s="175" t="s">
        <v>157</v>
      </c>
      <c r="J520" s="175" t="s">
        <v>385</v>
      </c>
      <c r="K520" s="175" t="s">
        <v>3119</v>
      </c>
      <c r="L520" s="175" t="s">
        <v>170</v>
      </c>
      <c r="M520" s="175" t="s">
        <v>161</v>
      </c>
      <c r="N520" s="175" t="s">
        <v>190</v>
      </c>
      <c r="O520" s="25">
        <v>0</v>
      </c>
      <c r="P520" s="26" t="str">
        <f>_xlfn.DISPIMG("ID_BC4D6E67EBDF472A876E1598CD3DE965",1)</f>
        <v>=DISPIMG("ID_BC4D6E67EBDF472A876E1598CD3DE965",1)</v>
      </c>
      <c r="Q520" s="25" t="s">
        <v>3120</v>
      </c>
      <c r="R520" s="25">
        <v>385</v>
      </c>
      <c r="S520" s="40" t="s">
        <v>4803</v>
      </c>
      <c r="T520" s="18" t="s">
        <v>76</v>
      </c>
      <c r="U520" s="25">
        <v>8</v>
      </c>
      <c r="V520" s="84">
        <v>0</v>
      </c>
    </row>
    <row r="521" s="3" customFormat="1" customHeight="1" spans="1:22">
      <c r="A521" s="84">
        <v>6</v>
      </c>
      <c r="B521" s="175" t="s">
        <v>3507</v>
      </c>
      <c r="C521" s="175" t="s">
        <v>165</v>
      </c>
      <c r="D521" s="175" t="s">
        <v>3508</v>
      </c>
      <c r="E521" s="25">
        <v>15179282402</v>
      </c>
      <c r="F521" s="175" t="s">
        <v>384</v>
      </c>
      <c r="G521" s="175" t="s">
        <v>16</v>
      </c>
      <c r="H521" s="25">
        <v>202101012</v>
      </c>
      <c r="I521" s="175" t="s">
        <v>157</v>
      </c>
      <c r="J521" s="175" t="s">
        <v>158</v>
      </c>
      <c r="K521" s="175" t="s">
        <v>2742</v>
      </c>
      <c r="L521" s="175" t="s">
        <v>160</v>
      </c>
      <c r="M521" s="175" t="s">
        <v>281</v>
      </c>
      <c r="N521" s="175" t="s">
        <v>3510</v>
      </c>
      <c r="O521" s="25">
        <v>0</v>
      </c>
      <c r="P521" s="26" t="str">
        <f>_xlfn.DISPIMG("ID_F203C9D79BED4D608F3184BA9064F545",1)</f>
        <v>=DISPIMG("ID_F203C9D79BED4D608F3184BA9064F545",1)</v>
      </c>
      <c r="Q521" s="25" t="s">
        <v>3511</v>
      </c>
      <c r="R521" s="25">
        <v>445</v>
      </c>
      <c r="S521" s="40" t="s">
        <v>4779</v>
      </c>
      <c r="T521" s="18" t="s">
        <v>76</v>
      </c>
      <c r="U521" s="25">
        <v>9</v>
      </c>
      <c r="V521" s="84">
        <v>0</v>
      </c>
    </row>
    <row r="522" s="3" customFormat="1" customHeight="1" spans="1:22">
      <c r="A522" s="84">
        <v>8</v>
      </c>
      <c r="B522" s="175" t="s">
        <v>4111</v>
      </c>
      <c r="C522" s="175" t="s">
        <v>153</v>
      </c>
      <c r="D522" s="175" t="s">
        <v>4112</v>
      </c>
      <c r="E522" s="25">
        <v>15155149842</v>
      </c>
      <c r="F522" s="175" t="s">
        <v>268</v>
      </c>
      <c r="G522" s="175" t="s">
        <v>16</v>
      </c>
      <c r="H522" s="25">
        <v>202101011</v>
      </c>
      <c r="I522" s="175" t="s">
        <v>705</v>
      </c>
      <c r="J522" s="175" t="s">
        <v>4114</v>
      </c>
      <c r="K522" s="175" t="s">
        <v>4115</v>
      </c>
      <c r="L522" s="175" t="s">
        <v>160</v>
      </c>
      <c r="M522" s="175" t="s">
        <v>161</v>
      </c>
      <c r="N522" s="175" t="s">
        <v>16</v>
      </c>
      <c r="O522" s="175" t="s">
        <v>4116</v>
      </c>
      <c r="P522" s="26" t="str">
        <f>_xlfn.DISPIMG("ID_AB3A7CA2D44F41A18DEECB4F4C161234",1)</f>
        <v>=DISPIMG("ID_AB3A7CA2D44F41A18DEECB4F4C161234",1)</v>
      </c>
      <c r="Q522" s="25" t="s">
        <v>4117</v>
      </c>
      <c r="R522" s="25">
        <v>526</v>
      </c>
      <c r="S522" s="40" t="s">
        <v>4784</v>
      </c>
      <c r="T522" s="18" t="s">
        <v>76</v>
      </c>
      <c r="U522" s="25">
        <v>10</v>
      </c>
      <c r="V522" s="84">
        <v>68.5</v>
      </c>
    </row>
    <row r="523" s="3" customFormat="1" customHeight="1" spans="1:22">
      <c r="A523" s="84">
        <v>10</v>
      </c>
      <c r="B523" s="175" t="s">
        <v>4222</v>
      </c>
      <c r="C523" s="175" t="s">
        <v>165</v>
      </c>
      <c r="D523" s="175" t="s">
        <v>4223</v>
      </c>
      <c r="E523" s="25">
        <v>18170013045</v>
      </c>
      <c r="F523" s="175" t="s">
        <v>268</v>
      </c>
      <c r="G523" s="175" t="s">
        <v>16</v>
      </c>
      <c r="H523" s="25">
        <v>202101011</v>
      </c>
      <c r="I523" s="175" t="s">
        <v>157</v>
      </c>
      <c r="J523" s="175" t="s">
        <v>385</v>
      </c>
      <c r="K523" s="175" t="s">
        <v>4225</v>
      </c>
      <c r="L523" s="175" t="s">
        <v>170</v>
      </c>
      <c r="M523" s="175" t="s">
        <v>224</v>
      </c>
      <c r="N523" s="175" t="s">
        <v>16</v>
      </c>
      <c r="O523" s="175" t="s">
        <v>4226</v>
      </c>
      <c r="P523" s="26" t="str">
        <f>_xlfn.DISPIMG("ID_6A583EA485744871AED4CEE0D95D9DC4",1)</f>
        <v>=DISPIMG("ID_6A583EA485744871AED4CEE0D95D9DC4",1)</v>
      </c>
      <c r="Q523" s="25" t="s">
        <v>4227</v>
      </c>
      <c r="R523" s="25">
        <v>540</v>
      </c>
      <c r="S523" s="40" t="s">
        <v>4789</v>
      </c>
      <c r="T523" s="18" t="s">
        <v>76</v>
      </c>
      <c r="U523" s="25">
        <v>11</v>
      </c>
      <c r="V523" s="84">
        <v>0</v>
      </c>
    </row>
    <row r="524" s="3" customFormat="1" customHeight="1" spans="1:22">
      <c r="A524" s="84">
        <v>15</v>
      </c>
      <c r="B524" s="175" t="s">
        <v>3099</v>
      </c>
      <c r="C524" s="175" t="s">
        <v>165</v>
      </c>
      <c r="D524" s="175" t="s">
        <v>3100</v>
      </c>
      <c r="E524" s="25">
        <v>15720976892</v>
      </c>
      <c r="F524" s="175" t="s">
        <v>384</v>
      </c>
      <c r="G524" s="175" t="s">
        <v>17</v>
      </c>
      <c r="H524" s="25">
        <v>202101018</v>
      </c>
      <c r="I524" s="175" t="s">
        <v>157</v>
      </c>
      <c r="J524" s="175" t="s">
        <v>385</v>
      </c>
      <c r="K524" s="175" t="s">
        <v>290</v>
      </c>
      <c r="L524" s="175" t="s">
        <v>170</v>
      </c>
      <c r="M524" s="175" t="s">
        <v>577</v>
      </c>
      <c r="N524" s="175" t="s">
        <v>3102</v>
      </c>
      <c r="O524" s="175" t="s">
        <v>3103</v>
      </c>
      <c r="P524" s="26" t="str">
        <f>_xlfn.DISPIMG("ID_FEEAA5237B6C4B708D314FC0E0560DA3",1)</f>
        <v>=DISPIMG("ID_FEEAA5237B6C4B708D314FC0E0560DA3",1)</v>
      </c>
      <c r="Q524" s="25" t="s">
        <v>3104</v>
      </c>
      <c r="R524" s="25">
        <v>383</v>
      </c>
      <c r="S524" s="40" t="s">
        <v>4804</v>
      </c>
      <c r="T524" s="18" t="s">
        <v>76</v>
      </c>
      <c r="U524" s="25">
        <v>12</v>
      </c>
      <c r="V524" s="84">
        <v>75.5</v>
      </c>
    </row>
    <row r="525" s="3" customFormat="1" customHeight="1" spans="1:22">
      <c r="A525" s="84">
        <v>16</v>
      </c>
      <c r="B525" s="175" t="s">
        <v>3192</v>
      </c>
      <c r="C525" s="175" t="s">
        <v>165</v>
      </c>
      <c r="D525" s="175" t="s">
        <v>3193</v>
      </c>
      <c r="E525" s="25">
        <v>13361729367</v>
      </c>
      <c r="F525" s="175" t="s">
        <v>268</v>
      </c>
      <c r="G525" s="175" t="s">
        <v>17</v>
      </c>
      <c r="H525" s="25">
        <v>202101017</v>
      </c>
      <c r="I525" s="175" t="s">
        <v>157</v>
      </c>
      <c r="J525" s="175" t="s">
        <v>1258</v>
      </c>
      <c r="K525" s="175" t="s">
        <v>3195</v>
      </c>
      <c r="L525" s="175" t="s">
        <v>170</v>
      </c>
      <c r="M525" s="175" t="s">
        <v>216</v>
      </c>
      <c r="N525" s="175" t="s">
        <v>17</v>
      </c>
      <c r="O525" s="175" t="s">
        <v>3196</v>
      </c>
      <c r="P525" s="26" t="str">
        <f>_xlfn.DISPIMG("ID_F0B384F7F2BD4ECB81B75D08A62A8621",1)</f>
        <v>=DISPIMG("ID_F0B384F7F2BD4ECB81B75D08A62A8621",1)</v>
      </c>
      <c r="Q525" s="25" t="s">
        <v>3197</v>
      </c>
      <c r="R525" s="25">
        <v>397</v>
      </c>
      <c r="S525" s="40" t="s">
        <v>4805</v>
      </c>
      <c r="T525" s="18" t="s">
        <v>76</v>
      </c>
      <c r="U525" s="25">
        <v>13</v>
      </c>
      <c r="V525" s="84">
        <v>0</v>
      </c>
    </row>
    <row r="526" s="3" customFormat="1" customHeight="1" spans="1:22">
      <c r="A526" s="84">
        <v>14</v>
      </c>
      <c r="B526" s="175" t="s">
        <v>2805</v>
      </c>
      <c r="C526" s="175" t="s">
        <v>153</v>
      </c>
      <c r="D526" s="175" t="s">
        <v>2806</v>
      </c>
      <c r="E526" s="25">
        <v>15350253333</v>
      </c>
      <c r="F526" s="175" t="s">
        <v>268</v>
      </c>
      <c r="G526" s="175" t="s">
        <v>17</v>
      </c>
      <c r="H526" s="25">
        <v>202101007</v>
      </c>
      <c r="I526" s="175" t="s">
        <v>157</v>
      </c>
      <c r="J526" s="175" t="s">
        <v>269</v>
      </c>
      <c r="K526" s="175" t="s">
        <v>290</v>
      </c>
      <c r="L526" s="175" t="s">
        <v>170</v>
      </c>
      <c r="M526" s="175" t="s">
        <v>368</v>
      </c>
      <c r="N526" s="175" t="s">
        <v>17</v>
      </c>
      <c r="O526" s="175" t="s">
        <v>2808</v>
      </c>
      <c r="P526" s="26" t="str">
        <f>_xlfn.DISPIMG("ID_7C47A0694F0147EB860DAA1E2F9E87A3",1)</f>
        <v>=DISPIMG("ID_7C47A0694F0147EB860DAA1E2F9E87A3",1)</v>
      </c>
      <c r="Q526" s="25" t="s">
        <v>2809</v>
      </c>
      <c r="R526" s="25">
        <v>340</v>
      </c>
      <c r="S526" s="40" t="s">
        <v>4800</v>
      </c>
      <c r="T526" s="18" t="s">
        <v>76</v>
      </c>
      <c r="U526" s="25">
        <v>14</v>
      </c>
      <c r="V526" s="84">
        <v>0</v>
      </c>
    </row>
    <row r="527" s="3" customFormat="1" customHeight="1" spans="1:22">
      <c r="A527" s="84">
        <v>13</v>
      </c>
      <c r="B527" s="175" t="s">
        <v>1365</v>
      </c>
      <c r="C527" s="175" t="s">
        <v>153</v>
      </c>
      <c r="D527" s="175" t="s">
        <v>1366</v>
      </c>
      <c r="E527" s="25">
        <v>15720964071</v>
      </c>
      <c r="F527" s="175" t="s">
        <v>268</v>
      </c>
      <c r="G527" s="175" t="s">
        <v>17</v>
      </c>
      <c r="H527" s="25">
        <v>202101017</v>
      </c>
      <c r="I527" s="175" t="s">
        <v>157</v>
      </c>
      <c r="J527" s="175" t="s">
        <v>1368</v>
      </c>
      <c r="K527" s="175" t="s">
        <v>290</v>
      </c>
      <c r="L527" s="175" t="s">
        <v>170</v>
      </c>
      <c r="M527" s="175" t="s">
        <v>455</v>
      </c>
      <c r="N527" s="175" t="s">
        <v>1369</v>
      </c>
      <c r="O527" s="25">
        <v>0</v>
      </c>
      <c r="P527" s="26" t="str">
        <f>_xlfn.DISPIMG("ID_EB5AC667C054437CBFE2486B339F8A77",1)</f>
        <v>=DISPIMG("ID_EB5AC667C054437CBFE2486B339F8A77",1)</v>
      </c>
      <c r="Q527" s="25" t="s">
        <v>1370</v>
      </c>
      <c r="R527" s="25">
        <v>149</v>
      </c>
      <c r="S527" s="40" t="s">
        <v>4799</v>
      </c>
      <c r="T527" s="18" t="s">
        <v>76</v>
      </c>
      <c r="U527" s="25">
        <v>15</v>
      </c>
      <c r="V527" s="84">
        <v>71.5</v>
      </c>
    </row>
    <row r="528" s="3" customFormat="1" customHeight="1" spans="1:22">
      <c r="A528" s="84">
        <v>12</v>
      </c>
      <c r="B528" s="175" t="s">
        <v>1061</v>
      </c>
      <c r="C528" s="175" t="s">
        <v>165</v>
      </c>
      <c r="D528" s="175" t="s">
        <v>1062</v>
      </c>
      <c r="E528" s="25">
        <v>18370272213</v>
      </c>
      <c r="F528" s="175" t="s">
        <v>268</v>
      </c>
      <c r="G528" s="175" t="s">
        <v>17</v>
      </c>
      <c r="H528" s="25">
        <v>202101017</v>
      </c>
      <c r="I528" s="175" t="s">
        <v>157</v>
      </c>
      <c r="J528" s="175" t="s">
        <v>269</v>
      </c>
      <c r="K528" s="175" t="s">
        <v>290</v>
      </c>
      <c r="L528" s="175" t="s">
        <v>170</v>
      </c>
      <c r="M528" s="175" t="s">
        <v>261</v>
      </c>
      <c r="N528" s="175" t="s">
        <v>1064</v>
      </c>
      <c r="O528" s="25">
        <v>0</v>
      </c>
      <c r="P528" s="26" t="str">
        <f>_xlfn.DISPIMG("ID_9916007E0F6C44BAA2C2DFDD815EDF7E",1)</f>
        <v>=DISPIMG("ID_9916007E0F6C44BAA2C2DFDD815EDF7E",1)</v>
      </c>
      <c r="Q528" s="25" t="s">
        <v>1065</v>
      </c>
      <c r="R528" s="25">
        <v>110</v>
      </c>
      <c r="S528" s="40" t="s">
        <v>4795</v>
      </c>
      <c r="T528" s="18" t="s">
        <v>76</v>
      </c>
      <c r="U528" s="25">
        <v>16</v>
      </c>
      <c r="V528" s="84">
        <v>65.5</v>
      </c>
    </row>
    <row r="529" s="3" customFormat="1" customHeight="1" spans="1:22">
      <c r="A529" s="84">
        <v>19</v>
      </c>
      <c r="B529" s="175" t="s">
        <v>1789</v>
      </c>
      <c r="C529" s="175" t="s">
        <v>165</v>
      </c>
      <c r="D529" s="175" t="s">
        <v>1790</v>
      </c>
      <c r="E529" s="25">
        <v>15350130023</v>
      </c>
      <c r="F529" s="175" t="s">
        <v>384</v>
      </c>
      <c r="G529" s="175" t="s">
        <v>18</v>
      </c>
      <c r="H529" s="25">
        <v>202101023</v>
      </c>
      <c r="I529" s="175" t="s">
        <v>157</v>
      </c>
      <c r="J529" s="175" t="s">
        <v>1792</v>
      </c>
      <c r="K529" s="175" t="s">
        <v>1793</v>
      </c>
      <c r="L529" s="175" t="s">
        <v>160</v>
      </c>
      <c r="M529" s="175" t="s">
        <v>455</v>
      </c>
      <c r="N529" s="175" t="s">
        <v>1794</v>
      </c>
      <c r="O529" s="25">
        <v>0</v>
      </c>
      <c r="P529" s="26" t="str">
        <f>_xlfn.DISPIMG("ID_F2D31DD52A09466996724F8ACF5386A0",1)</f>
        <v>=DISPIMG("ID_F2D31DD52A09466996724F8ACF5386A0",1)</v>
      </c>
      <c r="Q529" s="25" t="s">
        <v>1795</v>
      </c>
      <c r="R529" s="25">
        <v>204</v>
      </c>
      <c r="S529" s="40" t="s">
        <v>4782</v>
      </c>
      <c r="T529" s="18" t="s">
        <v>76</v>
      </c>
      <c r="U529" s="25">
        <v>17</v>
      </c>
      <c r="V529" s="84">
        <v>0</v>
      </c>
    </row>
    <row r="530" s="3" customFormat="1" customHeight="1" spans="1:22">
      <c r="A530" s="84">
        <v>17</v>
      </c>
      <c r="B530" s="175" t="s">
        <v>1294</v>
      </c>
      <c r="C530" s="175" t="s">
        <v>165</v>
      </c>
      <c r="D530" s="175" t="s">
        <v>1295</v>
      </c>
      <c r="E530" s="25">
        <v>16607139534</v>
      </c>
      <c r="F530" s="175" t="s">
        <v>384</v>
      </c>
      <c r="G530" s="175" t="s">
        <v>18</v>
      </c>
      <c r="H530" s="25">
        <v>202101024</v>
      </c>
      <c r="I530" s="175" t="s">
        <v>705</v>
      </c>
      <c r="J530" s="175" t="s">
        <v>1297</v>
      </c>
      <c r="K530" s="175" t="s">
        <v>323</v>
      </c>
      <c r="L530" s="175" t="s">
        <v>160</v>
      </c>
      <c r="M530" s="175" t="s">
        <v>455</v>
      </c>
      <c r="N530" s="175" t="s">
        <v>18</v>
      </c>
      <c r="O530" s="175" t="s">
        <v>1298</v>
      </c>
      <c r="P530" s="26" t="str">
        <f>_xlfn.DISPIMG("ID_0467DD9C16B84F62946A6DA8763F5DB1",1)</f>
        <v>=DISPIMG("ID_0467DD9C16B84F62946A6DA8763F5DB1",1)</v>
      </c>
      <c r="Q530" s="25" t="s">
        <v>1299</v>
      </c>
      <c r="R530" s="25">
        <v>140</v>
      </c>
      <c r="S530" s="40" t="s">
        <v>4780</v>
      </c>
      <c r="T530" s="18" t="s">
        <v>76</v>
      </c>
      <c r="U530" s="25">
        <v>18</v>
      </c>
      <c r="V530" s="84">
        <v>75</v>
      </c>
    </row>
    <row r="531" s="3" customFormat="1" customHeight="1" spans="1:22">
      <c r="A531" s="84">
        <v>18</v>
      </c>
      <c r="B531" s="175" t="s">
        <v>1387</v>
      </c>
      <c r="C531" s="175" t="s">
        <v>165</v>
      </c>
      <c r="D531" s="175" t="s">
        <v>1388</v>
      </c>
      <c r="E531" s="25">
        <v>15079175259</v>
      </c>
      <c r="F531" s="175" t="s">
        <v>156</v>
      </c>
      <c r="G531" s="175" t="s">
        <v>18</v>
      </c>
      <c r="H531" s="25">
        <v>202101012</v>
      </c>
      <c r="I531" s="175" t="s">
        <v>157</v>
      </c>
      <c r="J531" s="175" t="s">
        <v>827</v>
      </c>
      <c r="K531" s="175" t="s">
        <v>1390</v>
      </c>
      <c r="L531" s="175" t="s">
        <v>170</v>
      </c>
      <c r="M531" s="175" t="s">
        <v>261</v>
      </c>
      <c r="N531" s="175" t="s">
        <v>18</v>
      </c>
      <c r="O531" s="25">
        <v>0</v>
      </c>
      <c r="P531" s="26" t="str">
        <f>_xlfn.DISPIMG("ID_22A5305EF7CD44458C8E85EF1B5003E3",1)</f>
        <v>=DISPIMG("ID_22A5305EF7CD44458C8E85EF1B5003E3",1)</v>
      </c>
      <c r="Q531" s="25" t="s">
        <v>1391</v>
      </c>
      <c r="R531" s="25">
        <v>152</v>
      </c>
      <c r="S531" s="40" t="s">
        <v>4781</v>
      </c>
      <c r="T531" s="18" t="s">
        <v>76</v>
      </c>
      <c r="U531" s="25">
        <v>19</v>
      </c>
      <c r="V531" s="84">
        <v>72.5</v>
      </c>
    </row>
    <row r="532" s="3" customFormat="1" customHeight="1" spans="1:22">
      <c r="A532" s="84">
        <v>20</v>
      </c>
      <c r="B532" s="175" t="s">
        <v>3051</v>
      </c>
      <c r="C532" s="175" t="s">
        <v>165</v>
      </c>
      <c r="D532" s="175" t="s">
        <v>3052</v>
      </c>
      <c r="E532" s="25">
        <v>18779104869</v>
      </c>
      <c r="F532" s="175" t="s">
        <v>384</v>
      </c>
      <c r="G532" s="175" t="s">
        <v>18</v>
      </c>
      <c r="H532" s="25">
        <v>202101024</v>
      </c>
      <c r="I532" s="175" t="s">
        <v>157</v>
      </c>
      <c r="J532" s="175" t="s">
        <v>3054</v>
      </c>
      <c r="K532" s="175" t="s">
        <v>404</v>
      </c>
      <c r="L532" s="175" t="s">
        <v>160</v>
      </c>
      <c r="M532" s="175" t="s">
        <v>455</v>
      </c>
      <c r="N532" s="175" t="s">
        <v>18</v>
      </c>
      <c r="O532" s="25">
        <v>0</v>
      </c>
      <c r="P532" s="26" t="str">
        <f>_xlfn.DISPIMG("ID_030DD5A3CEBA48E5AA84D6300BCE898E",1)</f>
        <v>=DISPIMG("ID_030DD5A3CEBA48E5AA84D6300BCE898E",1)</v>
      </c>
      <c r="Q532" s="25" t="s">
        <v>3055</v>
      </c>
      <c r="R532" s="25">
        <v>377</v>
      </c>
      <c r="S532" s="40" t="s">
        <v>4785</v>
      </c>
      <c r="T532" s="18" t="s">
        <v>76</v>
      </c>
      <c r="U532" s="25">
        <v>20</v>
      </c>
      <c r="V532" s="84">
        <v>0</v>
      </c>
    </row>
    <row r="533" s="3" customFormat="1" customHeight="1" spans="1:22">
      <c r="A533" s="84"/>
      <c r="B533" s="25"/>
      <c r="C533" s="25"/>
      <c r="D533" s="25"/>
      <c r="E533" s="25"/>
      <c r="F533" s="25"/>
      <c r="G533" s="25"/>
      <c r="H533" s="25"/>
      <c r="I533" s="25"/>
      <c r="J533" s="25"/>
      <c r="K533" s="25"/>
      <c r="L533" s="25"/>
      <c r="M533" s="25"/>
      <c r="N533" s="25"/>
      <c r="O533" s="25"/>
      <c r="P533" s="26"/>
      <c r="Q533" s="25"/>
      <c r="R533" s="25"/>
      <c r="S533" s="40"/>
      <c r="T533" s="18"/>
      <c r="U533" s="25"/>
      <c r="V533" s="84"/>
    </row>
    <row r="534" s="3" customFormat="1" customHeight="1" spans="1:22">
      <c r="A534" s="84"/>
      <c r="B534" s="25"/>
      <c r="C534" s="25"/>
      <c r="D534" s="25"/>
      <c r="E534" s="25"/>
      <c r="F534" s="25"/>
      <c r="G534" s="25"/>
      <c r="H534" s="25"/>
      <c r="I534" s="25"/>
      <c r="J534" s="25"/>
      <c r="K534" s="25"/>
      <c r="L534" s="25"/>
      <c r="M534" s="25"/>
      <c r="N534" s="25"/>
      <c r="O534" s="25"/>
      <c r="P534" s="26"/>
      <c r="Q534" s="25"/>
      <c r="R534" s="25"/>
      <c r="S534" s="40"/>
      <c r="T534" s="18"/>
      <c r="U534" s="25"/>
      <c r="V534" s="84"/>
    </row>
    <row r="535" s="3" customFormat="1" customHeight="1" spans="1:22">
      <c r="A535" s="84"/>
      <c r="B535" s="25"/>
      <c r="C535" s="25"/>
      <c r="D535" s="25"/>
      <c r="E535" s="25"/>
      <c r="F535" s="25"/>
      <c r="G535" s="25"/>
      <c r="H535" s="25"/>
      <c r="I535" s="25"/>
      <c r="J535" s="25"/>
      <c r="K535" s="25"/>
      <c r="L535" s="25"/>
      <c r="M535" s="25"/>
      <c r="N535" s="25"/>
      <c r="O535" s="25"/>
      <c r="P535" s="26"/>
      <c r="Q535" s="25"/>
      <c r="R535" s="25"/>
      <c r="S535" s="40"/>
      <c r="T535" s="18"/>
      <c r="U535" s="25"/>
      <c r="V535" s="84"/>
    </row>
    <row r="536" s="3" customFormat="1" customHeight="1" spans="1:22">
      <c r="A536" s="84"/>
      <c r="B536" s="25"/>
      <c r="C536" s="25"/>
      <c r="D536" s="25"/>
      <c r="E536" s="25"/>
      <c r="F536" s="25"/>
      <c r="G536" s="25"/>
      <c r="H536" s="25"/>
      <c r="I536" s="25"/>
      <c r="J536" s="25"/>
      <c r="K536" s="25"/>
      <c r="L536" s="25"/>
      <c r="M536" s="25"/>
      <c r="N536" s="25"/>
      <c r="O536" s="25"/>
      <c r="P536" s="26"/>
      <c r="Q536" s="25"/>
      <c r="R536" s="25"/>
      <c r="S536" s="40"/>
      <c r="T536" s="18"/>
      <c r="U536" s="25"/>
      <c r="V536" s="84"/>
    </row>
    <row r="537" s="3" customFormat="1" customHeight="1" spans="1:22">
      <c r="A537" s="84"/>
      <c r="B537" s="25"/>
      <c r="C537" s="25"/>
      <c r="D537" s="25"/>
      <c r="E537" s="25"/>
      <c r="F537" s="25"/>
      <c r="G537" s="25"/>
      <c r="H537" s="25"/>
      <c r="I537" s="25"/>
      <c r="J537" s="25"/>
      <c r="K537" s="25"/>
      <c r="L537" s="25"/>
      <c r="M537" s="25"/>
      <c r="N537" s="25"/>
      <c r="O537" s="25"/>
      <c r="P537" s="26"/>
      <c r="Q537" s="25"/>
      <c r="R537" s="25"/>
      <c r="S537" s="40"/>
      <c r="T537" s="18"/>
      <c r="U537" s="25"/>
      <c r="V537" s="84"/>
    </row>
    <row r="538" s="3" customFormat="1" customHeight="1" spans="1:22">
      <c r="A538" s="84"/>
      <c r="B538" s="25"/>
      <c r="C538" s="25"/>
      <c r="D538" s="25"/>
      <c r="E538" s="25"/>
      <c r="F538" s="25"/>
      <c r="G538" s="25"/>
      <c r="H538" s="25"/>
      <c r="I538" s="25"/>
      <c r="J538" s="25"/>
      <c r="K538" s="25"/>
      <c r="L538" s="25"/>
      <c r="M538" s="25"/>
      <c r="N538" s="25"/>
      <c r="O538" s="25"/>
      <c r="P538" s="26"/>
      <c r="Q538" s="25"/>
      <c r="R538" s="25"/>
      <c r="S538" s="40"/>
      <c r="T538" s="18"/>
      <c r="U538" s="25"/>
      <c r="V538" s="84"/>
    </row>
    <row r="539" s="3" customFormat="1" customHeight="1" spans="1:22">
      <c r="A539" s="84"/>
      <c r="B539" s="25"/>
      <c r="C539" s="25"/>
      <c r="D539" s="25"/>
      <c r="E539" s="25"/>
      <c r="F539" s="25"/>
      <c r="G539" s="25"/>
      <c r="H539" s="25"/>
      <c r="I539" s="25"/>
      <c r="J539" s="25"/>
      <c r="K539" s="25"/>
      <c r="L539" s="25"/>
      <c r="M539" s="25"/>
      <c r="N539" s="25"/>
      <c r="O539" s="25"/>
      <c r="P539" s="26"/>
      <c r="Q539" s="25"/>
      <c r="R539" s="25"/>
      <c r="S539" s="40"/>
      <c r="T539" s="18"/>
      <c r="U539" s="25"/>
      <c r="V539" s="84"/>
    </row>
    <row r="540" s="3" customFormat="1" customHeight="1" spans="1:22">
      <c r="A540" s="84"/>
      <c r="B540" s="25"/>
      <c r="C540" s="25"/>
      <c r="D540" s="25"/>
      <c r="E540" s="25"/>
      <c r="F540" s="25"/>
      <c r="G540" s="25"/>
      <c r="H540" s="25"/>
      <c r="I540" s="25"/>
      <c r="J540" s="25"/>
      <c r="K540" s="25"/>
      <c r="L540" s="25"/>
      <c r="M540" s="25"/>
      <c r="N540" s="25"/>
      <c r="O540" s="25"/>
      <c r="P540" s="26"/>
      <c r="Q540" s="25"/>
      <c r="R540" s="25"/>
      <c r="S540" s="40"/>
      <c r="T540" s="18"/>
      <c r="U540" s="25"/>
      <c r="V540" s="84"/>
    </row>
    <row r="541" s="3" customFormat="1" customHeight="1" spans="1:22">
      <c r="A541" s="84"/>
      <c r="B541" s="25"/>
      <c r="C541" s="25"/>
      <c r="D541" s="25"/>
      <c r="E541" s="25"/>
      <c r="F541" s="25"/>
      <c r="G541" s="25"/>
      <c r="H541" s="25"/>
      <c r="I541" s="25"/>
      <c r="J541" s="25"/>
      <c r="K541" s="25"/>
      <c r="L541" s="25"/>
      <c r="M541" s="25"/>
      <c r="N541" s="25"/>
      <c r="O541" s="25"/>
      <c r="P541" s="26"/>
      <c r="Q541" s="25"/>
      <c r="R541" s="25"/>
      <c r="S541" s="40"/>
      <c r="T541" s="18"/>
      <c r="U541" s="25"/>
      <c r="V541" s="84"/>
    </row>
    <row r="542" s="3" customFormat="1" customHeight="1" spans="1:22">
      <c r="A542" s="84"/>
      <c r="B542" s="25"/>
      <c r="C542" s="25"/>
      <c r="D542" s="25"/>
      <c r="E542" s="25"/>
      <c r="F542" s="25"/>
      <c r="G542" s="25"/>
      <c r="H542" s="25"/>
      <c r="I542" s="25"/>
      <c r="J542" s="25"/>
      <c r="K542" s="25"/>
      <c r="L542" s="25"/>
      <c r="M542" s="25"/>
      <c r="N542" s="25"/>
      <c r="O542" s="25"/>
      <c r="P542" s="26"/>
      <c r="Q542" s="25"/>
      <c r="R542" s="25"/>
      <c r="S542" s="40"/>
      <c r="T542" s="18"/>
      <c r="U542" s="25"/>
      <c r="V542" s="84"/>
    </row>
    <row r="543" s="3" customFormat="1" customHeight="1" spans="1:22">
      <c r="A543" s="84">
        <v>9</v>
      </c>
      <c r="B543" s="175" t="s">
        <v>4127</v>
      </c>
      <c r="C543" s="175" t="s">
        <v>165</v>
      </c>
      <c r="D543" s="175" t="s">
        <v>4128</v>
      </c>
      <c r="E543" s="25">
        <v>18779230962</v>
      </c>
      <c r="F543" s="175" t="s">
        <v>268</v>
      </c>
      <c r="G543" s="175" t="s">
        <v>26</v>
      </c>
      <c r="H543" s="25">
        <v>202101001</v>
      </c>
      <c r="I543" s="175" t="s">
        <v>157</v>
      </c>
      <c r="J543" s="175" t="s">
        <v>233</v>
      </c>
      <c r="K543" s="175" t="s">
        <v>454</v>
      </c>
      <c r="L543" s="175" t="s">
        <v>170</v>
      </c>
      <c r="M543" s="175" t="s">
        <v>252</v>
      </c>
      <c r="N543" s="175" t="s">
        <v>26</v>
      </c>
      <c r="O543" s="175" t="s">
        <v>4130</v>
      </c>
      <c r="P543" s="26" t="str">
        <f>_xlfn.DISPIMG("ID_135AA7394FE044C981CB1DCD13A764A0",1)</f>
        <v>=DISPIMG("ID_135AA7394FE044C981CB1DCD13A764A0",1)</v>
      </c>
      <c r="Q543" s="25" t="s">
        <v>4131</v>
      </c>
      <c r="R543" s="25">
        <v>528</v>
      </c>
      <c r="S543" s="40" t="s">
        <v>4802</v>
      </c>
      <c r="T543" s="18" t="s">
        <v>80</v>
      </c>
      <c r="U543" s="25">
        <v>1</v>
      </c>
      <c r="V543" s="84">
        <v>70</v>
      </c>
    </row>
    <row r="544" s="3" customFormat="1" customHeight="1" spans="1:22">
      <c r="A544" s="84">
        <v>8</v>
      </c>
      <c r="B544" s="175" t="s">
        <v>3359</v>
      </c>
      <c r="C544" s="175" t="s">
        <v>165</v>
      </c>
      <c r="D544" s="175" t="s">
        <v>3360</v>
      </c>
      <c r="E544" s="25">
        <v>18970285935</v>
      </c>
      <c r="F544" s="175" t="s">
        <v>297</v>
      </c>
      <c r="G544" s="175" t="s">
        <v>26</v>
      </c>
      <c r="H544" s="25">
        <v>202101003</v>
      </c>
      <c r="I544" s="175" t="s">
        <v>157</v>
      </c>
      <c r="J544" s="175" t="s">
        <v>1213</v>
      </c>
      <c r="K544" s="175" t="s">
        <v>3362</v>
      </c>
      <c r="L544" s="175" t="s">
        <v>160</v>
      </c>
      <c r="M544" s="175" t="s">
        <v>224</v>
      </c>
      <c r="N544" s="175" t="s">
        <v>26</v>
      </c>
      <c r="O544" s="25">
        <v>0</v>
      </c>
      <c r="P544" s="26" t="str">
        <f>_xlfn.DISPIMG("ID_8997E37C597A4A678DEC3DE2B773630A",1)</f>
        <v>=DISPIMG("ID_8997E37C597A4A678DEC3DE2B773630A",1)</v>
      </c>
      <c r="Q544" s="25" t="s">
        <v>3363</v>
      </c>
      <c r="R544" s="25">
        <v>423</v>
      </c>
      <c r="S544" s="40" t="s">
        <v>4801</v>
      </c>
      <c r="T544" s="18" t="s">
        <v>80</v>
      </c>
      <c r="U544" s="25">
        <v>2</v>
      </c>
      <c r="V544" s="84">
        <v>67</v>
      </c>
    </row>
    <row r="545" s="3" customFormat="1" customHeight="1" spans="1:22">
      <c r="A545" s="84">
        <v>7</v>
      </c>
      <c r="B545" s="175" t="s">
        <v>1932</v>
      </c>
      <c r="C545" s="175" t="s">
        <v>165</v>
      </c>
      <c r="D545" s="175" t="s">
        <v>1933</v>
      </c>
      <c r="E545" s="25">
        <v>13507099496</v>
      </c>
      <c r="F545" s="175" t="s">
        <v>384</v>
      </c>
      <c r="G545" s="175" t="s">
        <v>26</v>
      </c>
      <c r="H545" s="25">
        <v>202101002</v>
      </c>
      <c r="I545" s="175" t="s">
        <v>157</v>
      </c>
      <c r="J545" s="175" t="s">
        <v>827</v>
      </c>
      <c r="K545" s="175" t="s">
        <v>454</v>
      </c>
      <c r="L545" s="175" t="s">
        <v>170</v>
      </c>
      <c r="M545" s="175" t="s">
        <v>199</v>
      </c>
      <c r="N545" s="175" t="s">
        <v>324</v>
      </c>
      <c r="O545" s="175" t="s">
        <v>1935</v>
      </c>
      <c r="P545" s="26" t="str">
        <f>_xlfn.DISPIMG("ID_4ED50304A31443EC8E946100C168F137",1)</f>
        <v>=DISPIMG("ID_4ED50304A31443EC8E946100C168F137",1)</v>
      </c>
      <c r="Q545" s="25" t="s">
        <v>1936</v>
      </c>
      <c r="R545" s="25">
        <v>223</v>
      </c>
      <c r="S545" s="40" t="s">
        <v>4797</v>
      </c>
      <c r="T545" s="18" t="s">
        <v>80</v>
      </c>
      <c r="U545" s="25">
        <v>3</v>
      </c>
      <c r="V545" s="84">
        <v>60</v>
      </c>
    </row>
    <row r="546" s="3" customFormat="1" customHeight="1" spans="1:22">
      <c r="A546" s="84">
        <v>5</v>
      </c>
      <c r="B546" s="175" t="s">
        <v>1566</v>
      </c>
      <c r="C546" s="175" t="s">
        <v>165</v>
      </c>
      <c r="D546" s="175" t="s">
        <v>1567</v>
      </c>
      <c r="E546" s="25">
        <v>13535561771</v>
      </c>
      <c r="F546" s="175" t="s">
        <v>268</v>
      </c>
      <c r="G546" s="175" t="s">
        <v>26</v>
      </c>
      <c r="H546" s="25">
        <v>202101001</v>
      </c>
      <c r="I546" s="175" t="s">
        <v>705</v>
      </c>
      <c r="J546" s="175" t="s">
        <v>1569</v>
      </c>
      <c r="K546" s="175" t="s">
        <v>1570</v>
      </c>
      <c r="L546" s="175" t="s">
        <v>160</v>
      </c>
      <c r="M546" s="175" t="s">
        <v>171</v>
      </c>
      <c r="N546" s="175" t="s">
        <v>1571</v>
      </c>
      <c r="O546" s="25">
        <v>0</v>
      </c>
      <c r="P546" s="26" t="str">
        <f>_xlfn.DISPIMG("ID_F9DBEEB152DD4F6D9E9954F28F8B48D4",1)</f>
        <v>=DISPIMG("ID_F9DBEEB152DD4F6D9E9954F28F8B48D4",1)</v>
      </c>
      <c r="Q546" s="25" t="s">
        <v>1572</v>
      </c>
      <c r="R546" s="25">
        <v>175</v>
      </c>
      <c r="S546" s="40" t="s">
        <v>4792</v>
      </c>
      <c r="T546" s="18" t="s">
        <v>80</v>
      </c>
      <c r="U546" s="25">
        <v>4</v>
      </c>
      <c r="V546" s="84">
        <v>80</v>
      </c>
    </row>
    <row r="547" s="3" customFormat="1" customHeight="1" spans="1:22">
      <c r="A547" s="84">
        <v>3</v>
      </c>
      <c r="B547" s="175" t="s">
        <v>898</v>
      </c>
      <c r="C547" s="175" t="s">
        <v>165</v>
      </c>
      <c r="D547" s="175" t="s">
        <v>899</v>
      </c>
      <c r="E547" s="25">
        <v>18970287322</v>
      </c>
      <c r="F547" s="175" t="s">
        <v>268</v>
      </c>
      <c r="G547" s="175" t="s">
        <v>26</v>
      </c>
      <c r="H547" s="25">
        <v>202101001</v>
      </c>
      <c r="I547" s="175" t="s">
        <v>157</v>
      </c>
      <c r="J547" s="175" t="s">
        <v>901</v>
      </c>
      <c r="K547" s="175" t="s">
        <v>454</v>
      </c>
      <c r="L547" s="175" t="s">
        <v>170</v>
      </c>
      <c r="M547" s="175" t="s">
        <v>235</v>
      </c>
      <c r="N547" s="175" t="s">
        <v>26</v>
      </c>
      <c r="O547" s="175" t="s">
        <v>902</v>
      </c>
      <c r="P547" s="26" t="str">
        <f>_xlfn.DISPIMG("ID_1BFE84DC97BC469ABB3506659F95FD8E",1)</f>
        <v>=DISPIMG("ID_1BFE84DC97BC469ABB3506659F95FD8E",1)</v>
      </c>
      <c r="Q547" s="25" t="s">
        <v>903</v>
      </c>
      <c r="R547" s="25">
        <v>90</v>
      </c>
      <c r="S547" s="40" t="s">
        <v>4790</v>
      </c>
      <c r="T547" s="18" t="s">
        <v>80</v>
      </c>
      <c r="U547" s="25">
        <v>5</v>
      </c>
      <c r="V547" s="84">
        <v>79</v>
      </c>
    </row>
    <row r="548" s="3" customFormat="1" customHeight="1" spans="1:22">
      <c r="A548" s="84">
        <v>1</v>
      </c>
      <c r="B548" s="175" t="s">
        <v>702</v>
      </c>
      <c r="C548" s="175" t="s">
        <v>165</v>
      </c>
      <c r="D548" s="175" t="s">
        <v>703</v>
      </c>
      <c r="E548" s="25">
        <v>18720956827</v>
      </c>
      <c r="F548" s="175" t="s">
        <v>384</v>
      </c>
      <c r="G548" s="175" t="s">
        <v>26</v>
      </c>
      <c r="H548" s="25">
        <v>202101002</v>
      </c>
      <c r="I548" s="175" t="s">
        <v>705</v>
      </c>
      <c r="J548" s="175" t="s">
        <v>233</v>
      </c>
      <c r="K548" s="175" t="s">
        <v>706</v>
      </c>
      <c r="L548" s="175" t="s">
        <v>170</v>
      </c>
      <c r="M548" s="175" t="s">
        <v>161</v>
      </c>
      <c r="N548" s="175" t="s">
        <v>707</v>
      </c>
      <c r="O548" s="175" t="s">
        <v>708</v>
      </c>
      <c r="P548" s="26" t="str">
        <f>_xlfn.DISPIMG("ID_0553F27943C1489A99AB032B2AD0761A",1)</f>
        <v>=DISPIMG("ID_0553F27943C1489A99AB032B2AD0761A",1)</v>
      </c>
      <c r="Q548" s="25" t="s">
        <v>709</v>
      </c>
      <c r="R548" s="25">
        <v>66</v>
      </c>
      <c r="S548" s="40" t="s">
        <v>4786</v>
      </c>
      <c r="T548" s="18" t="s">
        <v>80</v>
      </c>
      <c r="U548" s="25">
        <v>6</v>
      </c>
      <c r="V548" s="84">
        <v>71</v>
      </c>
    </row>
    <row r="549" s="3" customFormat="1" customHeight="1" spans="1:22">
      <c r="A549" s="84">
        <v>2</v>
      </c>
      <c r="B549" s="175" t="s">
        <v>817</v>
      </c>
      <c r="C549" s="175" t="s">
        <v>165</v>
      </c>
      <c r="D549" s="175" t="s">
        <v>818</v>
      </c>
      <c r="E549" s="25">
        <v>15270286273</v>
      </c>
      <c r="F549" s="175" t="s">
        <v>297</v>
      </c>
      <c r="G549" s="175" t="s">
        <v>26</v>
      </c>
      <c r="H549" s="25">
        <v>202101003</v>
      </c>
      <c r="I549" s="175" t="s">
        <v>157</v>
      </c>
      <c r="J549" s="175" t="s">
        <v>820</v>
      </c>
      <c r="K549" s="175" t="s">
        <v>454</v>
      </c>
      <c r="L549" s="175" t="s">
        <v>160</v>
      </c>
      <c r="M549" s="175" t="s">
        <v>252</v>
      </c>
      <c r="N549" s="175" t="s">
        <v>26</v>
      </c>
      <c r="O549" s="25">
        <v>0</v>
      </c>
      <c r="P549" s="26" t="str">
        <f>_xlfn.DISPIMG("ID_D94148DE170D425EB66AE2DFFF655A13",1)</f>
        <v>=DISPIMG("ID_D94148DE170D425EB66AE2DFFF655A13",1)</v>
      </c>
      <c r="Q549" s="25" t="s">
        <v>821</v>
      </c>
      <c r="R549" s="25">
        <v>80</v>
      </c>
      <c r="S549" s="40" t="s">
        <v>4787</v>
      </c>
      <c r="T549" s="18" t="s">
        <v>80</v>
      </c>
      <c r="U549" s="25">
        <v>7</v>
      </c>
      <c r="V549" s="84">
        <v>68</v>
      </c>
    </row>
    <row r="550" s="3" customFormat="1" customHeight="1" spans="1:22">
      <c r="A550" s="84">
        <v>4</v>
      </c>
      <c r="B550" s="175" t="s">
        <v>932</v>
      </c>
      <c r="C550" s="175" t="s">
        <v>165</v>
      </c>
      <c r="D550" s="175" t="s">
        <v>933</v>
      </c>
      <c r="E550" s="25">
        <v>15373854743</v>
      </c>
      <c r="F550" s="175" t="s">
        <v>268</v>
      </c>
      <c r="G550" s="175" t="s">
        <v>26</v>
      </c>
      <c r="H550" s="25">
        <v>202101001</v>
      </c>
      <c r="I550" s="175" t="s">
        <v>157</v>
      </c>
      <c r="J550" s="175" t="s">
        <v>935</v>
      </c>
      <c r="K550" s="175" t="s">
        <v>936</v>
      </c>
      <c r="L550" s="175" t="s">
        <v>170</v>
      </c>
      <c r="M550" s="175" t="s">
        <v>252</v>
      </c>
      <c r="N550" s="175" t="s">
        <v>26</v>
      </c>
      <c r="O550" s="175" t="s">
        <v>937</v>
      </c>
      <c r="P550" s="26" t="str">
        <f>_xlfn.DISPIMG("ID_B0F72DE4E87649C28924E4AA265BAF06",1)</f>
        <v>=DISPIMG("ID_B0F72DE4E87649C28924E4AA265BAF06",1)</v>
      </c>
      <c r="Q550" s="25" t="s">
        <v>938</v>
      </c>
      <c r="R550" s="25">
        <v>94</v>
      </c>
      <c r="S550" s="40" t="s">
        <v>4791</v>
      </c>
      <c r="T550" s="18" t="s">
        <v>80</v>
      </c>
      <c r="U550" s="25">
        <v>8</v>
      </c>
      <c r="V550" s="84">
        <v>0</v>
      </c>
    </row>
    <row r="551" s="3" customFormat="1" customHeight="1" spans="1:22">
      <c r="A551" s="84">
        <v>6</v>
      </c>
      <c r="B551" s="175" t="s">
        <v>1606</v>
      </c>
      <c r="C551" s="175" t="s">
        <v>165</v>
      </c>
      <c r="D551" s="175" t="s">
        <v>1607</v>
      </c>
      <c r="E551" s="25">
        <v>15180623635</v>
      </c>
      <c r="F551" s="175" t="s">
        <v>384</v>
      </c>
      <c r="G551" s="175" t="s">
        <v>26</v>
      </c>
      <c r="H551" s="25">
        <v>202101002</v>
      </c>
      <c r="I551" s="175" t="s">
        <v>705</v>
      </c>
      <c r="J551" s="175" t="s">
        <v>1112</v>
      </c>
      <c r="K551" s="175" t="s">
        <v>1489</v>
      </c>
      <c r="L551" s="175" t="s">
        <v>170</v>
      </c>
      <c r="M551" s="175" t="s">
        <v>261</v>
      </c>
      <c r="N551" s="175" t="s">
        <v>26</v>
      </c>
      <c r="O551" s="175" t="s">
        <v>1609</v>
      </c>
      <c r="P551" s="26" t="str">
        <f>_xlfn.DISPIMG("ID_D4D81D5180FB4698ABF9FADCA15E9025",1)</f>
        <v>=DISPIMG("ID_D4D81D5180FB4698ABF9FADCA15E9025",1)</v>
      </c>
      <c r="Q551" s="25" t="s">
        <v>1610</v>
      </c>
      <c r="R551" s="25">
        <v>180</v>
      </c>
      <c r="S551" s="40" t="s">
        <v>4796</v>
      </c>
      <c r="T551" s="18" t="s">
        <v>80</v>
      </c>
      <c r="U551" s="25">
        <v>9</v>
      </c>
      <c r="V551" s="84">
        <v>81</v>
      </c>
    </row>
    <row r="552" s="3" customFormat="1" customHeight="1" spans="1:22">
      <c r="A552" s="84">
        <v>10</v>
      </c>
      <c r="B552" s="175" t="s">
        <v>329</v>
      </c>
      <c r="C552" s="175" t="s">
        <v>165</v>
      </c>
      <c r="D552" s="175" t="s">
        <v>330</v>
      </c>
      <c r="E552" s="25">
        <v>13635987780</v>
      </c>
      <c r="F552" s="175" t="s">
        <v>156</v>
      </c>
      <c r="G552" s="175" t="s">
        <v>3</v>
      </c>
      <c r="H552" s="25">
        <v>202102009</v>
      </c>
      <c r="I552" s="175" t="s">
        <v>157</v>
      </c>
      <c r="J552" s="175" t="s">
        <v>332</v>
      </c>
      <c r="K552" s="175" t="s">
        <v>333</v>
      </c>
      <c r="L552" s="175" t="s">
        <v>160</v>
      </c>
      <c r="M552" s="175" t="s">
        <v>199</v>
      </c>
      <c r="N552" s="175" t="s">
        <v>3</v>
      </c>
      <c r="O552" s="25">
        <v>0</v>
      </c>
      <c r="P552" s="26" t="str">
        <f>_xlfn.DISPIMG("ID_66E2A8C103C040BCBC4789F49E6E9C74",1)</f>
        <v>=DISPIMG("ID_66E2A8C103C040BCBC4789F49E6E9C74",1)</v>
      </c>
      <c r="Q552" s="25" t="s">
        <v>334</v>
      </c>
      <c r="R552" s="25">
        <v>21</v>
      </c>
      <c r="S552" s="40" t="s">
        <v>4806</v>
      </c>
      <c r="T552" s="18" t="s">
        <v>80</v>
      </c>
      <c r="U552" s="25">
        <v>10</v>
      </c>
      <c r="V552" s="84">
        <v>81</v>
      </c>
    </row>
    <row r="553" s="3" customFormat="1" customHeight="1" spans="1:22">
      <c r="A553" s="84">
        <v>12</v>
      </c>
      <c r="B553" s="175" t="s">
        <v>1161</v>
      </c>
      <c r="C553" s="175" t="s">
        <v>165</v>
      </c>
      <c r="D553" s="175" t="s">
        <v>1162</v>
      </c>
      <c r="E553" s="25">
        <v>15879899835</v>
      </c>
      <c r="F553" s="175" t="s">
        <v>156</v>
      </c>
      <c r="G553" s="175" t="s">
        <v>3</v>
      </c>
      <c r="H553" s="25">
        <v>202102009</v>
      </c>
      <c r="I553" s="175" t="s">
        <v>157</v>
      </c>
      <c r="J553" s="175" t="s">
        <v>1146</v>
      </c>
      <c r="K553" s="175" t="s">
        <v>1164</v>
      </c>
      <c r="L553" s="175" t="s">
        <v>160</v>
      </c>
      <c r="M553" s="175" t="s">
        <v>252</v>
      </c>
      <c r="N553" s="175" t="s">
        <v>3</v>
      </c>
      <c r="O553" s="25">
        <v>0</v>
      </c>
      <c r="P553" s="26" t="str">
        <f>_xlfn.DISPIMG("ID_AF5F9594083C4D63A9C12F6DBB9E6CAE",1)</f>
        <v>=DISPIMG("ID_AF5F9594083C4D63A9C12F6DBB9E6CAE",1)</v>
      </c>
      <c r="Q553" s="25" t="s">
        <v>1165</v>
      </c>
      <c r="R553" s="25">
        <v>122</v>
      </c>
      <c r="S553" s="40" t="s">
        <v>4808</v>
      </c>
      <c r="T553" s="18" t="s">
        <v>80</v>
      </c>
      <c r="U553" s="25">
        <v>11</v>
      </c>
      <c r="V553" s="84">
        <v>0</v>
      </c>
    </row>
    <row r="554" s="3" customFormat="1" customHeight="1" spans="1:22">
      <c r="A554" s="84">
        <v>14</v>
      </c>
      <c r="B554" s="175" t="s">
        <v>2871</v>
      </c>
      <c r="C554" s="175" t="s">
        <v>165</v>
      </c>
      <c r="D554" s="175" t="s">
        <v>2872</v>
      </c>
      <c r="E554" s="25">
        <v>15135136743</v>
      </c>
      <c r="F554" s="175" t="s">
        <v>156</v>
      </c>
      <c r="G554" s="175" t="s">
        <v>3</v>
      </c>
      <c r="H554" s="25">
        <v>202102009</v>
      </c>
      <c r="I554" s="175" t="s">
        <v>157</v>
      </c>
      <c r="J554" s="175" t="s">
        <v>2874</v>
      </c>
      <c r="K554" s="175" t="s">
        <v>169</v>
      </c>
      <c r="L554" s="175" t="s">
        <v>170</v>
      </c>
      <c r="M554" s="175" t="s">
        <v>171</v>
      </c>
      <c r="N554" s="175" t="s">
        <v>1425</v>
      </c>
      <c r="O554" s="25">
        <v>0</v>
      </c>
      <c r="P554" s="26" t="str">
        <f>_xlfn.DISPIMG("ID_16C7080DFBEB4260AD8944B9B8A16C63",1)</f>
        <v>=DISPIMG("ID_16C7080DFBEB4260AD8944B9B8A16C63",1)</v>
      </c>
      <c r="Q554" s="25" t="s">
        <v>2875</v>
      </c>
      <c r="R554" s="25">
        <v>349</v>
      </c>
      <c r="S554" s="40" t="s">
        <v>4812</v>
      </c>
      <c r="T554" s="18" t="s">
        <v>80</v>
      </c>
      <c r="U554" s="25">
        <v>12</v>
      </c>
      <c r="V554" s="84">
        <v>0</v>
      </c>
    </row>
    <row r="555" s="3" customFormat="1" customHeight="1" spans="1:22">
      <c r="A555" s="84">
        <v>15</v>
      </c>
      <c r="B555" s="175" t="s">
        <v>3301</v>
      </c>
      <c r="C555" s="175" t="s">
        <v>165</v>
      </c>
      <c r="D555" s="175" t="s">
        <v>3302</v>
      </c>
      <c r="E555" s="25">
        <v>13870479934</v>
      </c>
      <c r="F555" s="175" t="s">
        <v>156</v>
      </c>
      <c r="G555" s="175" t="s">
        <v>3</v>
      </c>
      <c r="H555" s="25">
        <v>202102009</v>
      </c>
      <c r="I555" s="175" t="s">
        <v>157</v>
      </c>
      <c r="J555" s="175" t="s">
        <v>178</v>
      </c>
      <c r="K555" s="175" t="s">
        <v>454</v>
      </c>
      <c r="L555" s="175" t="s">
        <v>170</v>
      </c>
      <c r="M555" s="175" t="s">
        <v>261</v>
      </c>
      <c r="N555" s="175" t="s">
        <v>1425</v>
      </c>
      <c r="O555" s="25">
        <v>0</v>
      </c>
      <c r="P555" s="26" t="str">
        <f>_xlfn.DISPIMG("ID_DD8D706699DA435AABD3242B003A06E3",1)</f>
        <v>=DISPIMG("ID_DD8D706699DA435AABD3242B003A06E3",1)</v>
      </c>
      <c r="Q555" s="25" t="s">
        <v>3304</v>
      </c>
      <c r="R555" s="25">
        <v>414</v>
      </c>
      <c r="S555" s="40" t="s">
        <v>4813</v>
      </c>
      <c r="T555" s="18" t="s">
        <v>80</v>
      </c>
      <c r="U555" s="25">
        <v>13</v>
      </c>
      <c r="V555" s="84">
        <v>84</v>
      </c>
    </row>
    <row r="556" s="3" customFormat="1" customHeight="1" spans="1:22">
      <c r="A556" s="84">
        <v>13</v>
      </c>
      <c r="B556" s="175" t="s">
        <v>1421</v>
      </c>
      <c r="C556" s="175" t="s">
        <v>165</v>
      </c>
      <c r="D556" s="175" t="s">
        <v>1422</v>
      </c>
      <c r="E556" s="25">
        <v>15179266183</v>
      </c>
      <c r="F556" s="175" t="s">
        <v>156</v>
      </c>
      <c r="G556" s="175" t="s">
        <v>3</v>
      </c>
      <c r="H556" s="25">
        <v>202102009</v>
      </c>
      <c r="I556" s="175" t="s">
        <v>157</v>
      </c>
      <c r="J556" s="175" t="s">
        <v>1424</v>
      </c>
      <c r="K556" s="175" t="s">
        <v>298</v>
      </c>
      <c r="L556" s="175" t="s">
        <v>160</v>
      </c>
      <c r="M556" s="175" t="s">
        <v>252</v>
      </c>
      <c r="N556" s="175" t="s">
        <v>1425</v>
      </c>
      <c r="O556" s="25">
        <v>0</v>
      </c>
      <c r="P556" s="26" t="str">
        <f>_xlfn.DISPIMG("ID_9A5193B60E294BCB8EBBC32356364290",1)</f>
        <v>=DISPIMG("ID_9A5193B60E294BCB8EBBC32356364290",1)</v>
      </c>
      <c r="Q556" s="25" t="s">
        <v>1426</v>
      </c>
      <c r="R556" s="25">
        <v>157</v>
      </c>
      <c r="S556" s="40" t="s">
        <v>4809</v>
      </c>
      <c r="T556" s="18" t="s">
        <v>80</v>
      </c>
      <c r="U556" s="25">
        <v>14</v>
      </c>
      <c r="V556" s="84">
        <v>87</v>
      </c>
    </row>
    <row r="557" s="3" customFormat="1" customHeight="1" spans="1:22">
      <c r="A557" s="84">
        <v>11</v>
      </c>
      <c r="B557" s="175" t="s">
        <v>965</v>
      </c>
      <c r="C557" s="175" t="s">
        <v>165</v>
      </c>
      <c r="D557" s="175" t="s">
        <v>966</v>
      </c>
      <c r="E557" s="25">
        <v>18379223080</v>
      </c>
      <c r="F557" s="175" t="s">
        <v>156</v>
      </c>
      <c r="G557" s="175" t="s">
        <v>3</v>
      </c>
      <c r="H557" s="25">
        <v>202102009</v>
      </c>
      <c r="I557" s="175" t="s">
        <v>157</v>
      </c>
      <c r="J557" s="175" t="s">
        <v>158</v>
      </c>
      <c r="K557" s="175" t="s">
        <v>968</v>
      </c>
      <c r="L557" s="175" t="s">
        <v>160</v>
      </c>
      <c r="M557" s="175" t="s">
        <v>368</v>
      </c>
      <c r="N557" s="175" t="s">
        <v>969</v>
      </c>
      <c r="O557" s="175" t="s">
        <v>970</v>
      </c>
      <c r="P557" s="26" t="str">
        <f>_xlfn.DISPIMG("ID_25A1371DB5D24E7E87AED819AD313075",1)</f>
        <v>=DISPIMG("ID_25A1371DB5D24E7E87AED819AD313075",1)</v>
      </c>
      <c r="Q557" s="25" t="s">
        <v>971</v>
      </c>
      <c r="R557" s="25">
        <v>98</v>
      </c>
      <c r="S557" s="40" t="s">
        <v>4807</v>
      </c>
      <c r="T557" s="18" t="s">
        <v>80</v>
      </c>
      <c r="U557" s="25">
        <v>15</v>
      </c>
      <c r="V557" s="84">
        <v>0</v>
      </c>
    </row>
    <row r="558" s="3" customFormat="1" customHeight="1" spans="1:22">
      <c r="A558" s="84">
        <v>16</v>
      </c>
      <c r="B558" s="175" t="s">
        <v>1410</v>
      </c>
      <c r="C558" s="175" t="s">
        <v>165</v>
      </c>
      <c r="D558" s="175" t="s">
        <v>1411</v>
      </c>
      <c r="E558" s="25">
        <v>19979027323</v>
      </c>
      <c r="F558" s="175" t="s">
        <v>268</v>
      </c>
      <c r="G558" s="175" t="s">
        <v>22</v>
      </c>
      <c r="H558" s="25">
        <v>202101009</v>
      </c>
      <c r="I558" s="175" t="s">
        <v>157</v>
      </c>
      <c r="J558" s="175" t="s">
        <v>1413</v>
      </c>
      <c r="K558" s="175" t="s">
        <v>944</v>
      </c>
      <c r="L558" s="175" t="s">
        <v>170</v>
      </c>
      <c r="M558" s="175" t="s">
        <v>396</v>
      </c>
      <c r="N558" s="175" t="s">
        <v>1414</v>
      </c>
      <c r="O558" s="175" t="s">
        <v>1415</v>
      </c>
      <c r="P558" s="26" t="str">
        <f>_xlfn.DISPIMG("ID_7AA3981AEA4B4044958F80E226B55196",1)</f>
        <v>=DISPIMG("ID_7AA3981AEA4B4044958F80E226B55196",1)</v>
      </c>
      <c r="Q558" s="25" t="s">
        <v>1416</v>
      </c>
      <c r="R558" s="25">
        <v>155</v>
      </c>
      <c r="S558" s="40" t="s">
        <v>4816</v>
      </c>
      <c r="T558" s="18" t="s">
        <v>80</v>
      </c>
      <c r="U558" s="25">
        <v>16</v>
      </c>
      <c r="V558" s="84">
        <v>91</v>
      </c>
    </row>
    <row r="559" s="3" customFormat="1" customHeight="1" spans="1:22">
      <c r="A559" s="84"/>
      <c r="B559" s="25"/>
      <c r="C559" s="25"/>
      <c r="D559" s="25"/>
      <c r="E559" s="25"/>
      <c r="F559" s="25"/>
      <c r="G559" s="25"/>
      <c r="H559" s="25"/>
      <c r="I559" s="25"/>
      <c r="J559" s="25"/>
      <c r="K559" s="25"/>
      <c r="L559" s="25"/>
      <c r="M559" s="25"/>
      <c r="N559" s="25"/>
      <c r="O559" s="25"/>
      <c r="P559" s="26"/>
      <c r="Q559" s="25"/>
      <c r="R559" s="25"/>
      <c r="S559" s="40"/>
      <c r="T559" s="18"/>
      <c r="U559" s="25"/>
      <c r="V559" s="84"/>
    </row>
    <row r="560" s="3" customFormat="1" customHeight="1" spans="1:22">
      <c r="A560" s="84"/>
      <c r="B560" s="25"/>
      <c r="C560" s="25"/>
      <c r="D560" s="25"/>
      <c r="E560" s="25"/>
      <c r="F560" s="25"/>
      <c r="G560" s="25"/>
      <c r="H560" s="25"/>
      <c r="I560" s="25"/>
      <c r="J560" s="25"/>
      <c r="K560" s="25"/>
      <c r="L560" s="25"/>
      <c r="M560" s="25"/>
      <c r="N560" s="25"/>
      <c r="O560" s="25"/>
      <c r="P560" s="26"/>
      <c r="Q560" s="25"/>
      <c r="R560" s="25"/>
      <c r="S560" s="40"/>
      <c r="T560" s="18"/>
      <c r="U560" s="25"/>
      <c r="V560" s="84"/>
    </row>
    <row r="561" s="3" customFormat="1" customHeight="1" spans="1:22">
      <c r="A561" s="84"/>
      <c r="B561" s="25"/>
      <c r="C561" s="25"/>
      <c r="D561" s="25"/>
      <c r="E561" s="25"/>
      <c r="F561" s="25"/>
      <c r="G561" s="25"/>
      <c r="H561" s="25"/>
      <c r="I561" s="25"/>
      <c r="J561" s="25"/>
      <c r="K561" s="25"/>
      <c r="L561" s="25"/>
      <c r="M561" s="25"/>
      <c r="N561" s="25"/>
      <c r="O561" s="25"/>
      <c r="P561" s="26"/>
      <c r="Q561" s="25"/>
      <c r="R561" s="25"/>
      <c r="S561" s="40"/>
      <c r="T561" s="18"/>
      <c r="U561" s="25"/>
      <c r="V561" s="84"/>
    </row>
    <row r="562" s="3" customFormat="1" customHeight="1" spans="1:22">
      <c r="A562" s="84"/>
      <c r="B562" s="25"/>
      <c r="C562" s="25"/>
      <c r="D562" s="25"/>
      <c r="E562" s="25"/>
      <c r="F562" s="25"/>
      <c r="G562" s="25"/>
      <c r="H562" s="25"/>
      <c r="I562" s="25"/>
      <c r="J562" s="25"/>
      <c r="K562" s="25"/>
      <c r="L562" s="25"/>
      <c r="M562" s="25"/>
      <c r="N562" s="25"/>
      <c r="O562" s="25"/>
      <c r="P562" s="26"/>
      <c r="Q562" s="25"/>
      <c r="R562" s="25"/>
      <c r="S562" s="40"/>
      <c r="T562" s="18"/>
      <c r="U562" s="25"/>
      <c r="V562" s="84"/>
    </row>
    <row r="563" s="3" customFormat="1" customHeight="1" spans="1:22">
      <c r="A563" s="84"/>
      <c r="B563" s="25"/>
      <c r="C563" s="25"/>
      <c r="D563" s="25"/>
      <c r="E563" s="25"/>
      <c r="F563" s="25"/>
      <c r="G563" s="25"/>
      <c r="H563" s="25"/>
      <c r="I563" s="25"/>
      <c r="J563" s="25"/>
      <c r="K563" s="25"/>
      <c r="L563" s="25"/>
      <c r="M563" s="25"/>
      <c r="N563" s="25"/>
      <c r="O563" s="25"/>
      <c r="P563" s="26"/>
      <c r="Q563" s="25"/>
      <c r="R563" s="25"/>
      <c r="S563" s="40"/>
      <c r="T563" s="18"/>
      <c r="U563" s="25"/>
      <c r="V563" s="84"/>
    </row>
    <row r="564" s="3" customFormat="1" customHeight="1" spans="1:22">
      <c r="A564" s="84"/>
      <c r="B564" s="25"/>
      <c r="C564" s="25"/>
      <c r="D564" s="25"/>
      <c r="E564" s="25"/>
      <c r="F564" s="25"/>
      <c r="G564" s="25"/>
      <c r="H564" s="25"/>
      <c r="I564" s="25"/>
      <c r="J564" s="25"/>
      <c r="K564" s="25"/>
      <c r="L564" s="25"/>
      <c r="M564" s="25"/>
      <c r="N564" s="25"/>
      <c r="O564" s="25"/>
      <c r="P564" s="26"/>
      <c r="Q564" s="25"/>
      <c r="R564" s="25"/>
      <c r="S564" s="40"/>
      <c r="T564" s="18"/>
      <c r="U564" s="25"/>
      <c r="V564" s="84"/>
    </row>
    <row r="565" s="3" customFormat="1" customHeight="1" spans="1:22">
      <c r="A565" s="84"/>
      <c r="B565" s="25"/>
      <c r="C565" s="25"/>
      <c r="D565" s="25"/>
      <c r="E565" s="25"/>
      <c r="F565" s="25"/>
      <c r="G565" s="25"/>
      <c r="H565" s="25"/>
      <c r="I565" s="25"/>
      <c r="J565" s="25"/>
      <c r="K565" s="25"/>
      <c r="L565" s="25"/>
      <c r="M565" s="25"/>
      <c r="N565" s="25"/>
      <c r="O565" s="25"/>
      <c r="P565" s="26"/>
      <c r="Q565" s="25"/>
      <c r="R565" s="25"/>
      <c r="S565" s="40"/>
      <c r="T565" s="18"/>
      <c r="U565" s="25"/>
      <c r="V565" s="84"/>
    </row>
    <row r="566" s="3" customFormat="1" customHeight="1" spans="1:22">
      <c r="A566" s="84"/>
      <c r="B566" s="25"/>
      <c r="C566" s="25"/>
      <c r="D566" s="25"/>
      <c r="E566" s="25"/>
      <c r="F566" s="25"/>
      <c r="G566" s="25"/>
      <c r="H566" s="25"/>
      <c r="I566" s="25"/>
      <c r="J566" s="25"/>
      <c r="K566" s="25"/>
      <c r="L566" s="25"/>
      <c r="M566" s="25"/>
      <c r="N566" s="25"/>
      <c r="O566" s="25"/>
      <c r="P566" s="26"/>
      <c r="Q566" s="25"/>
      <c r="R566" s="25"/>
      <c r="S566" s="40"/>
      <c r="T566" s="18"/>
      <c r="U566" s="25"/>
      <c r="V566" s="84"/>
    </row>
    <row r="567" s="3" customFormat="1" customHeight="1" spans="1:22">
      <c r="A567" s="84"/>
      <c r="B567" s="25"/>
      <c r="C567" s="25"/>
      <c r="D567" s="25"/>
      <c r="E567" s="25"/>
      <c r="F567" s="25"/>
      <c r="G567" s="25"/>
      <c r="H567" s="25"/>
      <c r="I567" s="25"/>
      <c r="J567" s="25"/>
      <c r="K567" s="25"/>
      <c r="L567" s="25"/>
      <c r="M567" s="25"/>
      <c r="N567" s="25"/>
      <c r="O567" s="25"/>
      <c r="P567" s="26"/>
      <c r="Q567" s="25"/>
      <c r="R567" s="25"/>
      <c r="S567" s="40"/>
      <c r="T567" s="18"/>
      <c r="U567" s="25"/>
      <c r="V567" s="84"/>
    </row>
    <row r="568" s="3" customFormat="1" customHeight="1" spans="1:22">
      <c r="A568" s="84"/>
      <c r="B568" s="25"/>
      <c r="C568" s="25"/>
      <c r="D568" s="25"/>
      <c r="E568" s="25"/>
      <c r="F568" s="25"/>
      <c r="G568" s="25"/>
      <c r="H568" s="25"/>
      <c r="I568" s="25"/>
      <c r="J568" s="25"/>
      <c r="K568" s="25"/>
      <c r="L568" s="25"/>
      <c r="M568" s="25"/>
      <c r="N568" s="25"/>
      <c r="O568" s="25"/>
      <c r="P568" s="26"/>
      <c r="Q568" s="25"/>
      <c r="R568" s="25"/>
      <c r="S568" s="40"/>
      <c r="T568" s="18"/>
      <c r="U568" s="25"/>
      <c r="V568" s="84"/>
    </row>
    <row r="569" s="3" customFormat="1" customHeight="1" spans="1:22">
      <c r="A569" s="84"/>
      <c r="B569" s="25"/>
      <c r="C569" s="25"/>
      <c r="D569" s="25"/>
      <c r="E569" s="25"/>
      <c r="F569" s="25"/>
      <c r="G569" s="25"/>
      <c r="H569" s="25"/>
      <c r="I569" s="25"/>
      <c r="J569" s="25"/>
      <c r="K569" s="25"/>
      <c r="L569" s="25"/>
      <c r="M569" s="25"/>
      <c r="N569" s="25"/>
      <c r="O569" s="25"/>
      <c r="P569" s="26"/>
      <c r="Q569" s="25"/>
      <c r="R569" s="25"/>
      <c r="S569" s="40"/>
      <c r="T569" s="18"/>
      <c r="U569" s="25"/>
      <c r="V569" s="84"/>
    </row>
    <row r="570" s="3" customFormat="1" customHeight="1" spans="1:22">
      <c r="A570" s="84"/>
      <c r="B570" s="25"/>
      <c r="C570" s="25"/>
      <c r="D570" s="25"/>
      <c r="E570" s="25"/>
      <c r="F570" s="25"/>
      <c r="G570" s="25"/>
      <c r="H570" s="25"/>
      <c r="I570" s="25"/>
      <c r="J570" s="25"/>
      <c r="K570" s="25"/>
      <c r="L570" s="25"/>
      <c r="M570" s="25"/>
      <c r="N570" s="25"/>
      <c r="O570" s="25"/>
      <c r="P570" s="26"/>
      <c r="Q570" s="25"/>
      <c r="R570" s="25"/>
      <c r="S570" s="40"/>
      <c r="T570" s="18"/>
      <c r="U570" s="25"/>
      <c r="V570" s="84"/>
    </row>
    <row r="571" s="3" customFormat="1" customHeight="1" spans="1:22">
      <c r="A571" s="84"/>
      <c r="B571" s="25"/>
      <c r="C571" s="25"/>
      <c r="D571" s="25"/>
      <c r="E571" s="25"/>
      <c r="F571" s="25"/>
      <c r="G571" s="25"/>
      <c r="H571" s="25"/>
      <c r="I571" s="25"/>
      <c r="J571" s="25"/>
      <c r="K571" s="25"/>
      <c r="L571" s="25"/>
      <c r="M571" s="25"/>
      <c r="N571" s="25"/>
      <c r="O571" s="25"/>
      <c r="P571" s="26"/>
      <c r="Q571" s="25"/>
      <c r="R571" s="25"/>
      <c r="S571" s="40"/>
      <c r="T571" s="18"/>
      <c r="U571" s="25"/>
      <c r="V571" s="84"/>
    </row>
    <row r="572" s="3" customFormat="1" customHeight="1" spans="1:22">
      <c r="A572" s="84"/>
      <c r="B572" s="25"/>
      <c r="C572" s="25"/>
      <c r="D572" s="25"/>
      <c r="E572" s="25"/>
      <c r="F572" s="25"/>
      <c r="G572" s="25"/>
      <c r="H572" s="25"/>
      <c r="I572" s="25"/>
      <c r="J572" s="25"/>
      <c r="K572" s="25"/>
      <c r="L572" s="25"/>
      <c r="M572" s="25"/>
      <c r="N572" s="25"/>
      <c r="O572" s="25"/>
      <c r="P572" s="26"/>
      <c r="Q572" s="25"/>
      <c r="R572" s="25"/>
      <c r="S572" s="40"/>
      <c r="T572" s="18"/>
      <c r="U572" s="25"/>
      <c r="V572" s="84"/>
    </row>
    <row r="573" s="3" customFormat="1" customHeight="1" spans="1:22">
      <c r="A573" s="84">
        <v>12</v>
      </c>
      <c r="B573" s="175" t="s">
        <v>3531</v>
      </c>
      <c r="C573" s="175" t="s">
        <v>153</v>
      </c>
      <c r="D573" s="175" t="s">
        <v>3532</v>
      </c>
      <c r="E573" s="25">
        <v>17687910769</v>
      </c>
      <c r="F573" s="175" t="s">
        <v>384</v>
      </c>
      <c r="G573" s="175" t="s">
        <v>21</v>
      </c>
      <c r="H573" s="25">
        <v>202101023</v>
      </c>
      <c r="I573" s="175" t="s">
        <v>157</v>
      </c>
      <c r="J573" s="175" t="s">
        <v>3518</v>
      </c>
      <c r="K573" s="175" t="s">
        <v>3534</v>
      </c>
      <c r="L573" s="175" t="s">
        <v>160</v>
      </c>
      <c r="M573" s="175" t="s">
        <v>455</v>
      </c>
      <c r="N573" s="175" t="s">
        <v>2462</v>
      </c>
      <c r="O573" s="25">
        <v>0</v>
      </c>
      <c r="P573" s="26" t="str">
        <f>_xlfn.DISPIMG("ID_B9B540B424394A6290A83DEC0AB8F385",1)</f>
        <v>=DISPIMG("ID_B9B540B424394A6290A83DEC0AB8F385",1)</v>
      </c>
      <c r="Q573" s="25" t="s">
        <v>3535</v>
      </c>
      <c r="R573" s="25">
        <v>448</v>
      </c>
      <c r="S573" s="40" t="s">
        <v>4810</v>
      </c>
      <c r="T573" s="18" t="s">
        <v>84</v>
      </c>
      <c r="U573" s="25">
        <v>1</v>
      </c>
      <c r="V573" s="84">
        <v>0</v>
      </c>
    </row>
    <row r="574" s="3" customFormat="1" customHeight="1" spans="1:22">
      <c r="A574" s="84">
        <v>9</v>
      </c>
      <c r="B574" s="175" t="s">
        <v>3159</v>
      </c>
      <c r="C574" s="175" t="s">
        <v>153</v>
      </c>
      <c r="D574" s="175" t="s">
        <v>3160</v>
      </c>
      <c r="E574" s="25">
        <v>15070024256</v>
      </c>
      <c r="F574" s="175" t="s">
        <v>268</v>
      </c>
      <c r="G574" s="175" t="s">
        <v>21</v>
      </c>
      <c r="H574" s="25">
        <v>202101022</v>
      </c>
      <c r="I574" s="175" t="s">
        <v>157</v>
      </c>
      <c r="J574" s="175" t="s">
        <v>827</v>
      </c>
      <c r="K574" s="175" t="s">
        <v>682</v>
      </c>
      <c r="L574" s="175" t="s">
        <v>170</v>
      </c>
      <c r="M574" s="175" t="s">
        <v>281</v>
      </c>
      <c r="N574" s="175" t="s">
        <v>2244</v>
      </c>
      <c r="O574" s="175" t="s">
        <v>3162</v>
      </c>
      <c r="P574" s="26" t="str">
        <f>_xlfn.DISPIMG("ID_2F448B7CE8524D1AA48554771DC3D4AB",1)</f>
        <v>=DISPIMG("ID_2F448B7CE8524D1AA48554771DC3D4AB",1)</v>
      </c>
      <c r="Q574" s="25" t="s">
        <v>3163</v>
      </c>
      <c r="R574" s="25">
        <v>392</v>
      </c>
      <c r="S574" s="40" t="s">
        <v>4824</v>
      </c>
      <c r="T574" s="18" t="s">
        <v>84</v>
      </c>
      <c r="U574" s="25">
        <v>2</v>
      </c>
      <c r="V574" s="84">
        <v>63</v>
      </c>
    </row>
    <row r="575" s="3" customFormat="1" customHeight="1" spans="1:22">
      <c r="A575" s="84">
        <v>7</v>
      </c>
      <c r="B575" s="175" t="s">
        <v>2969</v>
      </c>
      <c r="C575" s="175" t="s">
        <v>153</v>
      </c>
      <c r="D575" s="175" t="s">
        <v>2970</v>
      </c>
      <c r="E575" s="25">
        <v>18579193689</v>
      </c>
      <c r="F575" s="175" t="s">
        <v>268</v>
      </c>
      <c r="G575" s="175" t="s">
        <v>21</v>
      </c>
      <c r="H575" s="25">
        <v>202101022</v>
      </c>
      <c r="I575" s="175" t="s">
        <v>157</v>
      </c>
      <c r="J575" s="175" t="s">
        <v>827</v>
      </c>
      <c r="K575" s="175" t="s">
        <v>682</v>
      </c>
      <c r="L575" s="175" t="s">
        <v>170</v>
      </c>
      <c r="M575" s="175" t="s">
        <v>252</v>
      </c>
      <c r="N575" s="175" t="s">
        <v>2972</v>
      </c>
      <c r="O575" s="25">
        <v>0</v>
      </c>
      <c r="P575" s="26" t="str">
        <f>_xlfn.DISPIMG("ID_99E38CC0E4B2437A8E74F9D976F948B9",1)</f>
        <v>=DISPIMG("ID_99E38CC0E4B2437A8E74F9D976F948B9",1)</v>
      </c>
      <c r="Q575" s="25" t="s">
        <v>2973</v>
      </c>
      <c r="R575" s="25">
        <v>365</v>
      </c>
      <c r="S575" s="40" t="s">
        <v>4818</v>
      </c>
      <c r="T575" s="18" t="s">
        <v>84</v>
      </c>
      <c r="U575" s="25">
        <v>3</v>
      </c>
      <c r="V575" s="84">
        <v>0</v>
      </c>
    </row>
    <row r="576" s="3" customFormat="1" customHeight="1" spans="1:22">
      <c r="A576" s="84">
        <v>5</v>
      </c>
      <c r="B576" s="175" t="s">
        <v>2524</v>
      </c>
      <c r="C576" s="175" t="s">
        <v>153</v>
      </c>
      <c r="D576" s="175" t="s">
        <v>2525</v>
      </c>
      <c r="E576" s="25">
        <v>13133668154</v>
      </c>
      <c r="F576" s="175" t="s">
        <v>268</v>
      </c>
      <c r="G576" s="175" t="s">
        <v>21</v>
      </c>
      <c r="H576" s="25">
        <v>202101022</v>
      </c>
      <c r="I576" s="175" t="s">
        <v>157</v>
      </c>
      <c r="J576" s="175" t="s">
        <v>876</v>
      </c>
      <c r="K576" s="175" t="s">
        <v>682</v>
      </c>
      <c r="L576" s="175" t="s">
        <v>170</v>
      </c>
      <c r="M576" s="175" t="s">
        <v>180</v>
      </c>
      <c r="N576" s="175" t="s">
        <v>2527</v>
      </c>
      <c r="O576" s="175" t="s">
        <v>2528</v>
      </c>
      <c r="P576" s="26" t="str">
        <f>_xlfn.DISPIMG("ID_C8BB1148198145FCA2837FAC9D925FDE",1)</f>
        <v>=DISPIMG("ID_C8BB1148198145FCA2837FAC9D925FDE",1)</v>
      </c>
      <c r="Q576" s="25" t="s">
        <v>2529</v>
      </c>
      <c r="R576" s="25">
        <v>302</v>
      </c>
      <c r="S576" s="40" t="s">
        <v>4823</v>
      </c>
      <c r="T576" s="18" t="s">
        <v>84</v>
      </c>
      <c r="U576" s="25">
        <v>4</v>
      </c>
      <c r="V576" s="84">
        <v>55</v>
      </c>
    </row>
    <row r="577" s="3" customFormat="1" customHeight="1" spans="1:22">
      <c r="A577" s="84">
        <v>3</v>
      </c>
      <c r="B577" s="175" t="s">
        <v>1590</v>
      </c>
      <c r="C577" s="175" t="s">
        <v>153</v>
      </c>
      <c r="D577" s="175" t="s">
        <v>1591</v>
      </c>
      <c r="E577" s="25">
        <v>19165078910</v>
      </c>
      <c r="F577" s="175" t="s">
        <v>268</v>
      </c>
      <c r="G577" s="175" t="s">
        <v>21</v>
      </c>
      <c r="H577" s="25">
        <v>202101022</v>
      </c>
      <c r="I577" s="175" t="s">
        <v>157</v>
      </c>
      <c r="J577" s="175" t="s">
        <v>827</v>
      </c>
      <c r="K577" s="175" t="s">
        <v>682</v>
      </c>
      <c r="L577" s="175" t="s">
        <v>170</v>
      </c>
      <c r="M577" s="175" t="s">
        <v>455</v>
      </c>
      <c r="N577" s="175" t="s">
        <v>1593</v>
      </c>
      <c r="O577" s="25">
        <v>0</v>
      </c>
      <c r="P577" s="26" t="str">
        <f>_xlfn.DISPIMG("ID_A40AE5361B8D44C884FA7CDADC74343E",1)</f>
        <v>=DISPIMG("ID_A40AE5361B8D44C884FA7CDADC74343E",1)</v>
      </c>
      <c r="Q577" s="25" t="s">
        <v>1594</v>
      </c>
      <c r="R577" s="25">
        <v>178</v>
      </c>
      <c r="S577" s="40" t="s">
        <v>4820</v>
      </c>
      <c r="T577" s="18" t="s">
        <v>84</v>
      </c>
      <c r="U577" s="25">
        <v>5</v>
      </c>
      <c r="V577" s="84">
        <v>44</v>
      </c>
    </row>
    <row r="578" s="3" customFormat="1" customHeight="1" spans="1:22">
      <c r="A578" s="84">
        <v>1</v>
      </c>
      <c r="B578" s="175" t="s">
        <v>679</v>
      </c>
      <c r="C578" s="175" t="s">
        <v>165</v>
      </c>
      <c r="D578" s="175" t="s">
        <v>680</v>
      </c>
      <c r="E578" s="25">
        <v>15079252278</v>
      </c>
      <c r="F578" s="175" t="s">
        <v>384</v>
      </c>
      <c r="G578" s="175" t="s">
        <v>21</v>
      </c>
      <c r="H578" s="25">
        <v>202101023</v>
      </c>
      <c r="I578" s="175" t="s">
        <v>157</v>
      </c>
      <c r="J578" s="175" t="s">
        <v>233</v>
      </c>
      <c r="K578" s="175" t="s">
        <v>682</v>
      </c>
      <c r="L578" s="175" t="s">
        <v>170</v>
      </c>
      <c r="M578" s="175" t="s">
        <v>261</v>
      </c>
      <c r="N578" s="175" t="s">
        <v>683</v>
      </c>
      <c r="O578" s="25">
        <v>0</v>
      </c>
      <c r="P578" s="26" t="str">
        <f>_xlfn.DISPIMG("ID_6F0A1E5B97CE4F0C8967B602A8189E7F",1)</f>
        <v>=DISPIMG("ID_6F0A1E5B97CE4F0C8967B602A8189E7F",1)</v>
      </c>
      <c r="Q578" s="25" t="s">
        <v>684</v>
      </c>
      <c r="R578" s="25">
        <v>63</v>
      </c>
      <c r="S578" s="40" t="s">
        <v>4817</v>
      </c>
      <c r="T578" s="18" t="s">
        <v>84</v>
      </c>
      <c r="U578" s="25">
        <v>6</v>
      </c>
      <c r="V578" s="84">
        <v>0</v>
      </c>
    </row>
    <row r="579" s="3" customFormat="1" customHeight="1" spans="1:22">
      <c r="A579" s="84">
        <v>2</v>
      </c>
      <c r="B579" s="175" t="s">
        <v>1584</v>
      </c>
      <c r="C579" s="175" t="s">
        <v>153</v>
      </c>
      <c r="D579" s="175" t="s">
        <v>1585</v>
      </c>
      <c r="E579" s="25">
        <v>18460003044</v>
      </c>
      <c r="F579" s="175" t="s">
        <v>268</v>
      </c>
      <c r="G579" s="175" t="s">
        <v>21</v>
      </c>
      <c r="H579" s="25">
        <v>202101022</v>
      </c>
      <c r="I579" s="175" t="s">
        <v>157</v>
      </c>
      <c r="J579" s="175" t="s">
        <v>827</v>
      </c>
      <c r="K579" s="175" t="s">
        <v>682</v>
      </c>
      <c r="L579" s="175" t="s">
        <v>170</v>
      </c>
      <c r="M579" s="175" t="s">
        <v>455</v>
      </c>
      <c r="N579" s="175" t="s">
        <v>1587</v>
      </c>
      <c r="O579" s="25">
        <v>0</v>
      </c>
      <c r="P579" s="26" t="str">
        <f>_xlfn.DISPIMG("ID_E364C79C5CB74A97A356C87CFF697310",1)</f>
        <v>=DISPIMG("ID_E364C79C5CB74A97A356C87CFF697310",1)</v>
      </c>
      <c r="Q579" s="25" t="s">
        <v>1588</v>
      </c>
      <c r="R579" s="25">
        <v>177</v>
      </c>
      <c r="S579" s="40" t="s">
        <v>4819</v>
      </c>
      <c r="T579" s="18" t="s">
        <v>84</v>
      </c>
      <c r="U579" s="25">
        <v>7</v>
      </c>
      <c r="V579" s="84">
        <v>65.5</v>
      </c>
    </row>
    <row r="580" s="3" customFormat="1" customHeight="1" spans="1:22">
      <c r="A580" s="84">
        <v>4</v>
      </c>
      <c r="B580" s="175" t="s">
        <v>1737</v>
      </c>
      <c r="C580" s="175" t="s">
        <v>153</v>
      </c>
      <c r="D580" s="175" t="s">
        <v>1738</v>
      </c>
      <c r="E580" s="25">
        <v>19815092923</v>
      </c>
      <c r="F580" s="175" t="s">
        <v>384</v>
      </c>
      <c r="G580" s="175" t="s">
        <v>21</v>
      </c>
      <c r="H580" s="25">
        <v>202101023</v>
      </c>
      <c r="I580" s="175" t="s">
        <v>157</v>
      </c>
      <c r="J580" s="175" t="s">
        <v>1740</v>
      </c>
      <c r="K580" s="175" t="s">
        <v>682</v>
      </c>
      <c r="L580" s="175" t="s">
        <v>170</v>
      </c>
      <c r="M580" s="175" t="s">
        <v>281</v>
      </c>
      <c r="N580" s="175" t="s">
        <v>21</v>
      </c>
      <c r="O580" s="25">
        <v>0</v>
      </c>
      <c r="P580" s="26" t="str">
        <f>_xlfn.DISPIMG("ID_5626D0773278487D84DF299D01619D61",1)</f>
        <v>=DISPIMG("ID_5626D0773278487D84DF299D01619D61",1)</v>
      </c>
      <c r="Q580" s="25" t="s">
        <v>1741</v>
      </c>
      <c r="R580" s="25">
        <v>197</v>
      </c>
      <c r="S580" s="40" t="s">
        <v>4822</v>
      </c>
      <c r="T580" s="18" t="s">
        <v>84</v>
      </c>
      <c r="U580" s="25">
        <v>8</v>
      </c>
      <c r="V580" s="84">
        <v>0</v>
      </c>
    </row>
    <row r="581" s="3" customFormat="1" customHeight="1" spans="1:22">
      <c r="A581" s="84">
        <v>6</v>
      </c>
      <c r="B581" s="175" t="s">
        <v>2539</v>
      </c>
      <c r="C581" s="175" t="s">
        <v>153</v>
      </c>
      <c r="D581" s="175" t="s">
        <v>2540</v>
      </c>
      <c r="E581" s="25">
        <v>18507928899</v>
      </c>
      <c r="F581" s="175" t="s">
        <v>384</v>
      </c>
      <c r="G581" s="175" t="s">
        <v>21</v>
      </c>
      <c r="H581" s="25">
        <v>202101023</v>
      </c>
      <c r="I581" s="175" t="s">
        <v>157</v>
      </c>
      <c r="J581" s="175" t="s">
        <v>876</v>
      </c>
      <c r="K581" s="175" t="s">
        <v>682</v>
      </c>
      <c r="L581" s="175" t="s">
        <v>170</v>
      </c>
      <c r="M581" s="175" t="s">
        <v>180</v>
      </c>
      <c r="N581" s="175" t="s">
        <v>2542</v>
      </c>
      <c r="O581" s="175" t="s">
        <v>2543</v>
      </c>
      <c r="P581" s="26" t="str">
        <f>_xlfn.DISPIMG("ID_718ACAD550894B0696EED0DE65C7554F",1)</f>
        <v>=DISPIMG("ID_718ACAD550894B0696EED0DE65C7554F",1)</v>
      </c>
      <c r="Q581" s="25" t="s">
        <v>2544</v>
      </c>
      <c r="R581" s="25">
        <v>304</v>
      </c>
      <c r="S581" s="40" t="s">
        <v>4825</v>
      </c>
      <c r="T581" s="18" t="s">
        <v>84</v>
      </c>
      <c r="U581" s="25">
        <v>9</v>
      </c>
      <c r="V581" s="84">
        <v>66</v>
      </c>
    </row>
    <row r="582" s="3" customFormat="1" customHeight="1" spans="1:22">
      <c r="A582" s="84">
        <v>8</v>
      </c>
      <c r="B582" s="175" t="s">
        <v>3107</v>
      </c>
      <c r="C582" s="175" t="s">
        <v>165</v>
      </c>
      <c r="D582" s="175" t="s">
        <v>3108</v>
      </c>
      <c r="E582" s="25">
        <v>15070251262</v>
      </c>
      <c r="F582" s="175" t="s">
        <v>384</v>
      </c>
      <c r="G582" s="175" t="s">
        <v>21</v>
      </c>
      <c r="H582" s="25">
        <v>202101023</v>
      </c>
      <c r="I582" s="175" t="s">
        <v>157</v>
      </c>
      <c r="J582" s="175" t="s">
        <v>1203</v>
      </c>
      <c r="K582" s="175" t="s">
        <v>682</v>
      </c>
      <c r="L582" s="175" t="s">
        <v>170</v>
      </c>
      <c r="M582" s="175" t="s">
        <v>3110</v>
      </c>
      <c r="N582" s="175" t="s">
        <v>3111</v>
      </c>
      <c r="O582" s="175" t="s">
        <v>3112</v>
      </c>
      <c r="P582" s="26" t="str">
        <f>_xlfn.DISPIMG("ID_865FFCD2F6414202A972206BA39BAB94",1)</f>
        <v>=DISPIMG("ID_865FFCD2F6414202A972206BA39BAB94",1)</v>
      </c>
      <c r="Q582" s="25" t="s">
        <v>3113</v>
      </c>
      <c r="R582" s="25">
        <v>384</v>
      </c>
      <c r="S582" s="40" t="s">
        <v>4821</v>
      </c>
      <c r="T582" s="18" t="s">
        <v>84</v>
      </c>
      <c r="U582" s="25">
        <v>10</v>
      </c>
      <c r="V582" s="85">
        <v>70</v>
      </c>
    </row>
    <row r="583" s="3" customFormat="1" customHeight="1" spans="1:22">
      <c r="A583" s="84">
        <v>10</v>
      </c>
      <c r="B583" s="175" t="s">
        <v>3178</v>
      </c>
      <c r="C583" s="175" t="s">
        <v>153</v>
      </c>
      <c r="D583" s="175" t="s">
        <v>3179</v>
      </c>
      <c r="E583" s="25">
        <v>15257934004</v>
      </c>
      <c r="F583" s="175" t="s">
        <v>384</v>
      </c>
      <c r="G583" s="175" t="s">
        <v>21</v>
      </c>
      <c r="H583" s="25">
        <v>202101023</v>
      </c>
      <c r="I583" s="175" t="s">
        <v>157</v>
      </c>
      <c r="J583" s="175" t="s">
        <v>1258</v>
      </c>
      <c r="K583" s="175" t="s">
        <v>682</v>
      </c>
      <c r="L583" s="175" t="s">
        <v>170</v>
      </c>
      <c r="M583" s="175" t="s">
        <v>587</v>
      </c>
      <c r="N583" s="175" t="s">
        <v>1824</v>
      </c>
      <c r="O583" s="175" t="s">
        <v>3181</v>
      </c>
      <c r="P583" s="26" t="str">
        <f>_xlfn.DISPIMG("ID_D70CF13D201844A6B6408BAB9F88D034",1)</f>
        <v>=DISPIMG("ID_D70CF13D201844A6B6408BAB9F88D034",1)</v>
      </c>
      <c r="Q583" s="25" t="s">
        <v>3182</v>
      </c>
      <c r="R583" s="25">
        <v>395</v>
      </c>
      <c r="S583" s="40" t="s">
        <v>4826</v>
      </c>
      <c r="T583" s="18" t="s">
        <v>84</v>
      </c>
      <c r="U583" s="25">
        <v>11</v>
      </c>
      <c r="V583" s="84">
        <v>38</v>
      </c>
    </row>
    <row r="584" s="3" customFormat="1" customHeight="1" spans="1:22">
      <c r="A584" s="84">
        <v>13</v>
      </c>
      <c r="B584" s="175" t="s">
        <v>3699</v>
      </c>
      <c r="C584" s="175" t="s">
        <v>153</v>
      </c>
      <c r="D584" s="175" t="s">
        <v>3700</v>
      </c>
      <c r="E584" s="25">
        <v>18046710217</v>
      </c>
      <c r="F584" s="175" t="s">
        <v>384</v>
      </c>
      <c r="G584" s="175" t="s">
        <v>21</v>
      </c>
      <c r="H584" s="25">
        <v>202101023</v>
      </c>
      <c r="I584" s="175" t="s">
        <v>157</v>
      </c>
      <c r="J584" s="175" t="s">
        <v>233</v>
      </c>
      <c r="K584" s="175" t="s">
        <v>682</v>
      </c>
      <c r="L584" s="175" t="s">
        <v>170</v>
      </c>
      <c r="M584" s="175" t="s">
        <v>306</v>
      </c>
      <c r="N584" s="175" t="s">
        <v>1579</v>
      </c>
      <c r="O584" s="175" t="s">
        <v>3702</v>
      </c>
      <c r="P584" s="26" t="str">
        <f>_xlfn.DISPIMG("ID_E2F022B7DBF04DECBE980BB970833FC7",1)</f>
        <v>=DISPIMG("ID_E2F022B7DBF04DECBE980BB970833FC7",1)</v>
      </c>
      <c r="Q584" s="25" t="s">
        <v>3703</v>
      </c>
      <c r="R584" s="25">
        <v>471</v>
      </c>
      <c r="S584" s="40" t="s">
        <v>4811</v>
      </c>
      <c r="T584" s="18" t="s">
        <v>84</v>
      </c>
      <c r="U584" s="25">
        <v>12</v>
      </c>
      <c r="V584" s="84">
        <v>74.5</v>
      </c>
    </row>
    <row r="585" s="3" customFormat="1" customHeight="1" spans="1:22">
      <c r="A585" s="84">
        <v>14</v>
      </c>
      <c r="B585" s="175" t="s">
        <v>3751</v>
      </c>
      <c r="C585" s="175" t="s">
        <v>153</v>
      </c>
      <c r="D585" s="175" t="s">
        <v>3752</v>
      </c>
      <c r="E585" s="25">
        <v>15180696881</v>
      </c>
      <c r="F585" s="175" t="s">
        <v>384</v>
      </c>
      <c r="G585" s="175" t="s">
        <v>21</v>
      </c>
      <c r="H585" s="25">
        <v>202101023</v>
      </c>
      <c r="I585" s="175" t="s">
        <v>157</v>
      </c>
      <c r="J585" s="175" t="s">
        <v>827</v>
      </c>
      <c r="K585" s="175" t="s">
        <v>682</v>
      </c>
      <c r="L585" s="175" t="s">
        <v>170</v>
      </c>
      <c r="M585" s="175" t="s">
        <v>161</v>
      </c>
      <c r="N585" s="175" t="s">
        <v>3754</v>
      </c>
      <c r="O585" s="25">
        <v>0</v>
      </c>
      <c r="P585" s="26" t="str">
        <f>_xlfn.DISPIMG("ID_0C4C873C986C4E8A8DE913748576F208",1)</f>
        <v>=DISPIMG("ID_0C4C873C986C4E8A8DE913748576F208",1)</v>
      </c>
      <c r="Q585" s="25" t="s">
        <v>3755</v>
      </c>
      <c r="R585" s="25">
        <v>478</v>
      </c>
      <c r="S585" s="40" t="s">
        <v>4814</v>
      </c>
      <c r="T585" s="18" t="s">
        <v>84</v>
      </c>
      <c r="U585" s="25">
        <v>13</v>
      </c>
      <c r="V585" s="84">
        <v>77</v>
      </c>
    </row>
    <row r="586" s="3" customFormat="1" customHeight="1" spans="1:22">
      <c r="A586" s="84">
        <v>11</v>
      </c>
      <c r="B586" s="175" t="s">
        <v>2831</v>
      </c>
      <c r="C586" s="175" t="s">
        <v>165</v>
      </c>
      <c r="D586" s="175" t="s">
        <v>3200</v>
      </c>
      <c r="E586" s="25">
        <v>15079253920</v>
      </c>
      <c r="F586" s="175" t="s">
        <v>384</v>
      </c>
      <c r="G586" s="175" t="s">
        <v>21</v>
      </c>
      <c r="H586" s="25">
        <v>202101023</v>
      </c>
      <c r="I586" s="175" t="s">
        <v>157</v>
      </c>
      <c r="J586" s="175" t="s">
        <v>1413</v>
      </c>
      <c r="K586" s="175" t="s">
        <v>682</v>
      </c>
      <c r="L586" s="175" t="s">
        <v>170</v>
      </c>
      <c r="M586" s="175" t="s">
        <v>261</v>
      </c>
      <c r="N586" s="175" t="s">
        <v>1824</v>
      </c>
      <c r="O586" s="25">
        <v>0</v>
      </c>
      <c r="P586" s="26" t="str">
        <f>_xlfn.DISPIMG("ID_6FA15DDD4AA745CAA44305EB8A7C29E0",1)</f>
        <v>=DISPIMG("ID_6FA15DDD4AA745CAA44305EB8A7C29E0",1)</v>
      </c>
      <c r="Q586" s="25" t="s">
        <v>4312</v>
      </c>
      <c r="R586" s="25">
        <v>398</v>
      </c>
      <c r="S586" s="40" t="s">
        <v>4827</v>
      </c>
      <c r="T586" s="18" t="s">
        <v>84</v>
      </c>
      <c r="U586" s="25">
        <v>14</v>
      </c>
      <c r="V586" s="84">
        <v>0</v>
      </c>
    </row>
    <row r="587" s="3" customFormat="1" customHeight="1" spans="1:22">
      <c r="A587" s="84">
        <v>18</v>
      </c>
      <c r="B587" s="175" t="s">
        <v>4051</v>
      </c>
      <c r="C587" s="175" t="s">
        <v>153</v>
      </c>
      <c r="D587" s="175" t="s">
        <v>4052</v>
      </c>
      <c r="E587" s="25">
        <v>15170932237</v>
      </c>
      <c r="F587" s="175" t="s">
        <v>384</v>
      </c>
      <c r="G587" s="175" t="s">
        <v>23</v>
      </c>
      <c r="H587" s="25">
        <v>202101025</v>
      </c>
      <c r="I587" s="175" t="s">
        <v>157</v>
      </c>
      <c r="J587" s="175" t="s">
        <v>269</v>
      </c>
      <c r="K587" s="175" t="s">
        <v>1147</v>
      </c>
      <c r="L587" s="175" t="s">
        <v>170</v>
      </c>
      <c r="M587" s="175" t="s">
        <v>235</v>
      </c>
      <c r="N587" s="175" t="s">
        <v>4053</v>
      </c>
      <c r="O587" s="175" t="s">
        <v>4054</v>
      </c>
      <c r="P587" s="26" t="str">
        <f>_xlfn.DISPIMG("ID_D924765B597248FDA57FB5DFF006BD17",1)</f>
        <v>=DISPIMG("ID_D924765B597248FDA57FB5DFF006BD17",1)</v>
      </c>
      <c r="Q587" s="25" t="s">
        <v>4055</v>
      </c>
      <c r="R587" s="25">
        <v>518</v>
      </c>
      <c r="S587" s="40" t="s">
        <v>4830</v>
      </c>
      <c r="T587" s="18" t="s">
        <v>84</v>
      </c>
      <c r="U587" s="25">
        <v>15</v>
      </c>
      <c r="V587" s="84">
        <v>63</v>
      </c>
    </row>
    <row r="588" s="3" customFormat="1" customHeight="1" spans="1:22">
      <c r="A588" s="84">
        <v>17</v>
      </c>
      <c r="B588" s="175" t="s">
        <v>4028</v>
      </c>
      <c r="C588" s="175" t="s">
        <v>165</v>
      </c>
      <c r="D588" s="175" t="s">
        <v>4029</v>
      </c>
      <c r="E588" s="25">
        <v>13820505031</v>
      </c>
      <c r="F588" s="175" t="s">
        <v>384</v>
      </c>
      <c r="G588" s="175" t="s">
        <v>23</v>
      </c>
      <c r="H588" s="25">
        <v>202101025</v>
      </c>
      <c r="I588" s="175" t="s">
        <v>157</v>
      </c>
      <c r="J588" s="175" t="s">
        <v>3737</v>
      </c>
      <c r="K588" s="175" t="s">
        <v>1616</v>
      </c>
      <c r="L588" s="175" t="s">
        <v>170</v>
      </c>
      <c r="M588" s="175" t="s">
        <v>235</v>
      </c>
      <c r="N588" s="175" t="s">
        <v>4031</v>
      </c>
      <c r="O588" s="175" t="s">
        <v>4032</v>
      </c>
      <c r="P588" s="26" t="str">
        <f>_xlfn.DISPIMG("ID_4D845800D3864A2B99D106DDD9FD3F5D",1)</f>
        <v>=DISPIMG("ID_4D845800D3864A2B99D106DDD9FD3F5D",1)</v>
      </c>
      <c r="Q588" s="25" t="s">
        <v>4033</v>
      </c>
      <c r="R588" s="25">
        <v>515</v>
      </c>
      <c r="S588" s="40" t="s">
        <v>4829</v>
      </c>
      <c r="T588" s="18" t="s">
        <v>84</v>
      </c>
      <c r="U588" s="25">
        <v>16</v>
      </c>
      <c r="V588" s="84">
        <v>0</v>
      </c>
    </row>
    <row r="589" s="3" customFormat="1" customHeight="1" spans="1:22">
      <c r="A589" s="84">
        <v>16</v>
      </c>
      <c r="B589" s="175" t="s">
        <v>2036</v>
      </c>
      <c r="C589" s="175" t="s">
        <v>165</v>
      </c>
      <c r="D589" s="175" t="s">
        <v>2037</v>
      </c>
      <c r="E589" s="25">
        <v>17770040821</v>
      </c>
      <c r="F589" s="175" t="s">
        <v>297</v>
      </c>
      <c r="G589" s="175" t="s">
        <v>23</v>
      </c>
      <c r="H589" s="25">
        <v>202101031</v>
      </c>
      <c r="I589" s="175" t="s">
        <v>157</v>
      </c>
      <c r="J589" s="175" t="s">
        <v>2039</v>
      </c>
      <c r="K589" s="175" t="s">
        <v>1147</v>
      </c>
      <c r="L589" s="175" t="s">
        <v>170</v>
      </c>
      <c r="M589" s="175" t="s">
        <v>368</v>
      </c>
      <c r="N589" s="175" t="s">
        <v>23</v>
      </c>
      <c r="O589" s="175" t="s">
        <v>2040</v>
      </c>
      <c r="P589" s="26" t="str">
        <f>_xlfn.DISPIMG("ID_99E16B0934D843998C9152B322CD2339",1)</f>
        <v>=DISPIMG("ID_99E16B0934D843998C9152B322CD2339",1)</v>
      </c>
      <c r="Q589" s="25" t="s">
        <v>2041</v>
      </c>
      <c r="R589" s="25">
        <v>237</v>
      </c>
      <c r="S589" s="40" t="s">
        <v>4828</v>
      </c>
      <c r="T589" s="18" t="s">
        <v>84</v>
      </c>
      <c r="U589" s="25">
        <v>17</v>
      </c>
      <c r="V589" s="84">
        <v>83</v>
      </c>
    </row>
    <row r="590" s="3" customFormat="1" customHeight="1" spans="1:22">
      <c r="A590" s="84">
        <v>15</v>
      </c>
      <c r="B590" s="175" t="s">
        <v>1143</v>
      </c>
      <c r="C590" s="175" t="s">
        <v>165</v>
      </c>
      <c r="D590" s="175" t="s">
        <v>1144</v>
      </c>
      <c r="E590" s="25">
        <v>15777198130</v>
      </c>
      <c r="F590" s="175" t="s">
        <v>384</v>
      </c>
      <c r="G590" s="175" t="s">
        <v>23</v>
      </c>
      <c r="H590" s="25">
        <v>202101025</v>
      </c>
      <c r="I590" s="175" t="s">
        <v>157</v>
      </c>
      <c r="J590" s="175" t="s">
        <v>1146</v>
      </c>
      <c r="K590" s="175" t="s">
        <v>1147</v>
      </c>
      <c r="L590" s="175" t="s">
        <v>170</v>
      </c>
      <c r="M590" s="175" t="s">
        <v>455</v>
      </c>
      <c r="N590" s="175" t="s">
        <v>1148</v>
      </c>
      <c r="O590" s="175" t="s">
        <v>1149</v>
      </c>
      <c r="P590" s="26" t="str">
        <f>_xlfn.DISPIMG("ID_0415E10C85C94C988A22FA5D4842DE09",1)</f>
        <v>=DISPIMG("ID_0415E10C85C94C988A22FA5D4842DE09",1)</v>
      </c>
      <c r="Q590" s="25" t="s">
        <v>1150</v>
      </c>
      <c r="R590" s="25">
        <v>120</v>
      </c>
      <c r="S590" s="40" t="s">
        <v>4815</v>
      </c>
      <c r="T590" s="18" t="s">
        <v>84</v>
      </c>
      <c r="U590" s="25">
        <v>18</v>
      </c>
      <c r="V590" s="84">
        <v>0</v>
      </c>
    </row>
    <row r="591" s="3" customFormat="1" customHeight="1" spans="1:22">
      <c r="A591" s="87">
        <v>19</v>
      </c>
      <c r="B591" s="175" t="s">
        <v>4142</v>
      </c>
      <c r="C591" s="175" t="s">
        <v>153</v>
      </c>
      <c r="D591" s="175" t="s">
        <v>4143</v>
      </c>
      <c r="E591" s="25">
        <v>13330123354</v>
      </c>
      <c r="F591" s="175" t="s">
        <v>297</v>
      </c>
      <c r="G591" s="162" t="s">
        <v>30</v>
      </c>
      <c r="H591" s="25">
        <v>202101032</v>
      </c>
      <c r="I591" s="175" t="s">
        <v>705</v>
      </c>
      <c r="J591" s="175" t="s">
        <v>4145</v>
      </c>
      <c r="K591" s="175" t="s">
        <v>4146</v>
      </c>
      <c r="L591" s="175" t="s">
        <v>160</v>
      </c>
      <c r="M591" s="175" t="s">
        <v>235</v>
      </c>
      <c r="N591" s="175" t="s">
        <v>4147</v>
      </c>
      <c r="O591" s="175" t="s">
        <v>4148</v>
      </c>
      <c r="P591" s="26" t="str">
        <f>_xlfn.DISPIMG("ID_28A32B60C96343E48DA79AC0817DB8B2",1)</f>
        <v>=DISPIMG("ID_28A32B60C96343E48DA79AC0817DB8B2",1)</v>
      </c>
      <c r="Q591" s="25" t="s">
        <v>4149</v>
      </c>
      <c r="R591" s="25">
        <v>530</v>
      </c>
      <c r="S591" s="40" t="s">
        <v>4831</v>
      </c>
      <c r="T591" s="18" t="s">
        <v>84</v>
      </c>
      <c r="U591" s="25">
        <v>19</v>
      </c>
      <c r="V591" s="84">
        <v>0</v>
      </c>
    </row>
  </sheetData>
  <sheetProtection formatCells="0" insertHyperlinks="0" autoFilter="0"/>
  <autoFilter ref="A2:XFD591">
    <extLst/>
  </autoFilter>
  <sortState ref="A573:XFC591">
    <sortCondition ref="U573:U591"/>
  </sortState>
  <mergeCells count="1">
    <mergeCell ref="A1:V1"/>
  </mergeCells>
  <printOptions horizontalCentered="1"/>
  <pageMargins left="0.554861111111111" right="0.554861111111111" top="0.802777777777778" bottom="0.802777777777778" header="0.5" footer="0.5"/>
  <pageSetup paperSize="9" orientation="portrait" horizontalDpi="600"/>
  <headerFooter>
    <oddFooter>&amp;C登分人签字：</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W517"/>
  <sheetViews>
    <sheetView workbookViewId="0">
      <pane xSplit="2" ySplit="2" topLeftCell="C3" activePane="bottomRight" state="frozen"/>
      <selection/>
      <selection pane="topRight"/>
      <selection pane="bottomLeft"/>
      <selection pane="bottomRight" activeCell="Z386" sqref="Z386"/>
    </sheetView>
  </sheetViews>
  <sheetFormatPr defaultColWidth="9" defaultRowHeight="22.5" customHeight="1"/>
  <cols>
    <col min="1" max="1" width="5.87962962962963" style="36" hidden="1" customWidth="1"/>
    <col min="2" max="2" width="9.12962962962963" style="36" customWidth="1"/>
    <col min="3" max="3" width="6.37962962962963" style="36" customWidth="1"/>
    <col min="4" max="4" width="22.1296296296296" style="36" hidden="1" customWidth="1"/>
    <col min="5" max="5" width="14.3796296296296" style="36" hidden="1" customWidth="1"/>
    <col min="6" max="6" width="11.6296296296296" style="36" customWidth="1"/>
    <col min="7" max="7" width="10.75" style="36" customWidth="1"/>
    <col min="8" max="8" width="11.1296296296296" style="36" customWidth="1"/>
    <col min="9" max="18" width="13" style="36" hidden="1" customWidth="1"/>
    <col min="19" max="19" width="13" style="36" customWidth="1"/>
    <col min="20" max="20" width="10.5" style="36" customWidth="1"/>
    <col min="21" max="21" width="7.12962962962963" style="36" customWidth="1"/>
    <col min="22" max="22" width="6.75" style="36" customWidth="1"/>
    <col min="23" max="23" width="6.12962962962963" style="36" customWidth="1"/>
    <col min="24" max="16384" width="9" style="36" customWidth="1"/>
  </cols>
  <sheetData>
    <row r="1" customHeight="1" spans="1:22">
      <c r="A1" s="65" t="s">
        <v>4857</v>
      </c>
      <c r="B1" s="65"/>
      <c r="C1" s="65"/>
      <c r="D1" s="65"/>
      <c r="E1" s="65"/>
      <c r="F1" s="65"/>
      <c r="G1" s="65"/>
      <c r="H1" s="65"/>
      <c r="I1" s="65"/>
      <c r="J1" s="65"/>
      <c r="K1" s="65"/>
      <c r="L1" s="65"/>
      <c r="M1" s="65"/>
      <c r="N1" s="65"/>
      <c r="O1" s="65"/>
      <c r="P1" s="65"/>
      <c r="Q1" s="65"/>
      <c r="R1" s="65"/>
      <c r="S1" s="65"/>
      <c r="T1" s="65"/>
      <c r="U1" s="65"/>
      <c r="V1" s="65"/>
    </row>
    <row r="2" s="34" customFormat="1" customHeight="1" spans="1:23">
      <c r="A2" s="39" t="s">
        <v>116</v>
      </c>
      <c r="B2" s="39" t="s">
        <v>133</v>
      </c>
      <c r="C2" s="39" t="s">
        <v>134</v>
      </c>
      <c r="D2" s="39" t="s">
        <v>135</v>
      </c>
      <c r="E2" s="39" t="s">
        <v>136</v>
      </c>
      <c r="F2" s="39" t="s">
        <v>138</v>
      </c>
      <c r="G2" s="39" t="s">
        <v>1</v>
      </c>
      <c r="H2" s="39" t="s">
        <v>139</v>
      </c>
      <c r="I2" s="39" t="s">
        <v>140</v>
      </c>
      <c r="J2" s="39" t="s">
        <v>141</v>
      </c>
      <c r="K2" s="39" t="s">
        <v>142</v>
      </c>
      <c r="L2" s="39" t="s">
        <v>143</v>
      </c>
      <c r="M2" s="39" t="s">
        <v>144</v>
      </c>
      <c r="N2" s="39" t="s">
        <v>145</v>
      </c>
      <c r="O2" s="39" t="s">
        <v>146</v>
      </c>
      <c r="P2" s="39" t="s">
        <v>147</v>
      </c>
      <c r="Q2" s="39" t="s">
        <v>148</v>
      </c>
      <c r="R2" s="39" t="s">
        <v>149</v>
      </c>
      <c r="S2" s="39" t="s">
        <v>4313</v>
      </c>
      <c r="T2" s="39" t="s">
        <v>32</v>
      </c>
      <c r="U2" s="39" t="s">
        <v>4314</v>
      </c>
      <c r="V2" s="39" t="s">
        <v>4858</v>
      </c>
      <c r="W2" s="39" t="s">
        <v>4859</v>
      </c>
    </row>
    <row r="3" s="61" customFormat="1" hidden="1" customHeight="1" spans="1:23">
      <c r="A3" s="66">
        <v>22</v>
      </c>
      <c r="B3" s="182" t="s">
        <v>2060</v>
      </c>
      <c r="C3" s="182" t="s">
        <v>165</v>
      </c>
      <c r="D3" s="182" t="s">
        <v>2061</v>
      </c>
      <c r="E3" s="66">
        <v>15112002923</v>
      </c>
      <c r="F3" s="182" t="s">
        <v>278</v>
      </c>
      <c r="G3" s="182" t="s">
        <v>28</v>
      </c>
      <c r="H3" s="66">
        <v>202103001</v>
      </c>
      <c r="I3" s="182" t="s">
        <v>157</v>
      </c>
      <c r="J3" s="182" t="s">
        <v>2063</v>
      </c>
      <c r="K3" s="182" t="s">
        <v>280</v>
      </c>
      <c r="L3" s="182" t="s">
        <v>170</v>
      </c>
      <c r="M3" s="182" t="s">
        <v>2064</v>
      </c>
      <c r="N3" s="182" t="s">
        <v>517</v>
      </c>
      <c r="O3" s="182" t="s">
        <v>2065</v>
      </c>
      <c r="P3" s="67" t="str">
        <f>_xlfn.DISPIMG("ID_BF9AE392AFDD4458A2909A9A2C941241",1)</f>
        <v>=DISPIMG("ID_BF9AE392AFDD4458A2909A9A2C941241",1)</v>
      </c>
      <c r="Q3" s="66" t="s">
        <v>2066</v>
      </c>
      <c r="R3" s="66">
        <v>240</v>
      </c>
      <c r="S3" s="68" t="s">
        <v>4366</v>
      </c>
      <c r="T3" s="69" t="s">
        <v>38</v>
      </c>
      <c r="U3" s="66">
        <v>11</v>
      </c>
      <c r="V3" s="66">
        <v>90.5</v>
      </c>
      <c r="W3" s="66">
        <v>1</v>
      </c>
    </row>
    <row r="4" s="61" customFormat="1" hidden="1" customHeight="1" spans="1:23">
      <c r="A4" s="66">
        <v>19</v>
      </c>
      <c r="B4" s="182" t="s">
        <v>801</v>
      </c>
      <c r="C4" s="182" t="s">
        <v>165</v>
      </c>
      <c r="D4" s="182" t="s">
        <v>802</v>
      </c>
      <c r="E4" s="66">
        <v>13698021995</v>
      </c>
      <c r="F4" s="182" t="s">
        <v>278</v>
      </c>
      <c r="G4" s="182" t="s">
        <v>28</v>
      </c>
      <c r="H4" s="66">
        <v>202103001</v>
      </c>
      <c r="I4" s="182" t="s">
        <v>585</v>
      </c>
      <c r="J4" s="182" t="s">
        <v>804</v>
      </c>
      <c r="K4" s="182" t="s">
        <v>280</v>
      </c>
      <c r="L4" s="182" t="s">
        <v>170</v>
      </c>
      <c r="M4" s="182" t="s">
        <v>805</v>
      </c>
      <c r="N4" s="182" t="s">
        <v>376</v>
      </c>
      <c r="O4" s="182" t="s">
        <v>806</v>
      </c>
      <c r="P4" s="67" t="str">
        <f>_xlfn.DISPIMG("ID_AEB241E66C41495DBC633E36C32A72C8",1)</f>
        <v>=DISPIMG("ID_AEB241E66C41495DBC633E36C32A72C8",1)</v>
      </c>
      <c r="Q4" s="66" t="s">
        <v>807</v>
      </c>
      <c r="R4" s="66">
        <v>78</v>
      </c>
      <c r="S4" s="68" t="s">
        <v>4333</v>
      </c>
      <c r="T4" s="69" t="s">
        <v>36</v>
      </c>
      <c r="U4" s="66">
        <v>22</v>
      </c>
      <c r="V4" s="66">
        <v>89</v>
      </c>
      <c r="W4" s="66">
        <v>2</v>
      </c>
    </row>
    <row r="5" s="61" customFormat="1" hidden="1" customHeight="1" spans="1:23">
      <c r="A5" s="66">
        <v>3</v>
      </c>
      <c r="B5" s="182" t="s">
        <v>3488</v>
      </c>
      <c r="C5" s="182" t="s">
        <v>165</v>
      </c>
      <c r="D5" s="182" t="s">
        <v>3489</v>
      </c>
      <c r="E5" s="66">
        <v>13755200519</v>
      </c>
      <c r="F5" s="182" t="s">
        <v>278</v>
      </c>
      <c r="G5" s="182" t="s">
        <v>28</v>
      </c>
      <c r="H5" s="66">
        <v>202103001</v>
      </c>
      <c r="I5" s="182" t="s">
        <v>279</v>
      </c>
      <c r="J5" s="182" t="s">
        <v>3490</v>
      </c>
      <c r="K5" s="182" t="s">
        <v>404</v>
      </c>
      <c r="L5" s="182" t="s">
        <v>160</v>
      </c>
      <c r="M5" s="182" t="s">
        <v>1346</v>
      </c>
      <c r="N5" s="182" t="s">
        <v>517</v>
      </c>
      <c r="O5" s="182" t="s">
        <v>3491</v>
      </c>
      <c r="P5" s="67" t="str">
        <f>_xlfn.DISPIMG("ID_6A8C51914B494C9CBD5F245F39A2E519",1)</f>
        <v>=DISPIMG("ID_6A8C51914B494C9CBD5F245F39A2E519",1)</v>
      </c>
      <c r="Q5" s="66" t="s">
        <v>3492</v>
      </c>
      <c r="R5" s="66">
        <v>441</v>
      </c>
      <c r="S5" s="68" t="s">
        <v>4411</v>
      </c>
      <c r="T5" s="69" t="s">
        <v>40</v>
      </c>
      <c r="U5" s="66">
        <v>5</v>
      </c>
      <c r="V5" s="66">
        <v>87</v>
      </c>
      <c r="W5" s="66">
        <v>3</v>
      </c>
    </row>
    <row r="6" s="61" customFormat="1" hidden="1" customHeight="1" spans="1:23">
      <c r="A6" s="66">
        <v>5</v>
      </c>
      <c r="B6" s="182" t="s">
        <v>2509</v>
      </c>
      <c r="C6" s="182" t="s">
        <v>165</v>
      </c>
      <c r="D6" s="182" t="s">
        <v>2510</v>
      </c>
      <c r="E6" s="66">
        <v>15170261589</v>
      </c>
      <c r="F6" s="182" t="s">
        <v>278</v>
      </c>
      <c r="G6" s="182" t="s">
        <v>28</v>
      </c>
      <c r="H6" s="66">
        <v>202103001</v>
      </c>
      <c r="I6" s="182" t="s">
        <v>279</v>
      </c>
      <c r="J6" s="182" t="s">
        <v>168</v>
      </c>
      <c r="K6" s="182" t="s">
        <v>280</v>
      </c>
      <c r="L6" s="182" t="s">
        <v>170</v>
      </c>
      <c r="M6" s="182" t="s">
        <v>171</v>
      </c>
      <c r="N6" s="182" t="s">
        <v>28</v>
      </c>
      <c r="O6" s="182" t="s">
        <v>2512</v>
      </c>
      <c r="P6" s="67" t="str">
        <f>_xlfn.DISPIMG("ID_7074182E322C4D868E189D169988DEEF",1)</f>
        <v>=DISPIMG("ID_7074182E322C4D868E189D169988DEEF",1)</v>
      </c>
      <c r="Q6" s="66" t="s">
        <v>2513</v>
      </c>
      <c r="R6" s="66">
        <v>300</v>
      </c>
      <c r="S6" s="68" t="s">
        <v>4379</v>
      </c>
      <c r="T6" s="69" t="s">
        <v>39</v>
      </c>
      <c r="U6" s="66">
        <v>30</v>
      </c>
      <c r="V6" s="66">
        <v>85</v>
      </c>
      <c r="W6" s="66">
        <v>4</v>
      </c>
    </row>
    <row r="7" s="61" customFormat="1" hidden="1" customHeight="1" spans="1:23">
      <c r="A7" s="66">
        <v>2</v>
      </c>
      <c r="B7" s="182" t="s">
        <v>3443</v>
      </c>
      <c r="C7" s="182" t="s">
        <v>165</v>
      </c>
      <c r="D7" s="182" t="s">
        <v>3444</v>
      </c>
      <c r="E7" s="66">
        <v>18607912074</v>
      </c>
      <c r="F7" s="182" t="s">
        <v>278</v>
      </c>
      <c r="G7" s="182" t="s">
        <v>28</v>
      </c>
      <c r="H7" s="66">
        <v>202103001</v>
      </c>
      <c r="I7" s="182" t="s">
        <v>279</v>
      </c>
      <c r="J7" s="182" t="s">
        <v>515</v>
      </c>
      <c r="K7" s="182" t="s">
        <v>280</v>
      </c>
      <c r="L7" s="182" t="s">
        <v>170</v>
      </c>
      <c r="M7" s="182" t="s">
        <v>224</v>
      </c>
      <c r="N7" s="182" t="s">
        <v>517</v>
      </c>
      <c r="O7" s="182" t="s">
        <v>3446</v>
      </c>
      <c r="P7" s="67" t="str">
        <f>_xlfn.DISPIMG("ID_BD52B8A2C60C41F6B5F6C165401F5CB1",1)</f>
        <v>=DISPIMG("ID_BD52B8A2C60C41F6B5F6C165401F5CB1",1)</v>
      </c>
      <c r="Q7" s="66" t="s">
        <v>3447</v>
      </c>
      <c r="R7" s="66">
        <v>435</v>
      </c>
      <c r="S7" s="68" t="s">
        <v>4406</v>
      </c>
      <c r="T7" s="69" t="s">
        <v>40</v>
      </c>
      <c r="U7" s="66">
        <v>7</v>
      </c>
      <c r="V7" s="66">
        <v>84.5</v>
      </c>
      <c r="W7" s="66">
        <v>5</v>
      </c>
    </row>
    <row r="8" s="61" customFormat="1" hidden="1" customHeight="1" spans="1:23">
      <c r="A8" s="66">
        <v>3</v>
      </c>
      <c r="B8" s="182" t="s">
        <v>2487</v>
      </c>
      <c r="C8" s="182" t="s">
        <v>165</v>
      </c>
      <c r="D8" s="182" t="s">
        <v>2488</v>
      </c>
      <c r="E8" s="66">
        <v>18979216011</v>
      </c>
      <c r="F8" s="182" t="s">
        <v>278</v>
      </c>
      <c r="G8" s="182" t="s">
        <v>28</v>
      </c>
      <c r="H8" s="66">
        <v>202103001</v>
      </c>
      <c r="I8" s="182" t="s">
        <v>157</v>
      </c>
      <c r="J8" s="182" t="s">
        <v>178</v>
      </c>
      <c r="K8" s="182" t="s">
        <v>280</v>
      </c>
      <c r="L8" s="182" t="s">
        <v>170</v>
      </c>
      <c r="M8" s="182" t="s">
        <v>2490</v>
      </c>
      <c r="N8" s="182" t="s">
        <v>28</v>
      </c>
      <c r="O8" s="182" t="s">
        <v>2491</v>
      </c>
      <c r="P8" s="67" t="str">
        <f>_xlfn.DISPIMG("ID_53B9839AEAC4407495ABBD356F420DDD",1)</f>
        <v>=DISPIMG("ID_53B9839AEAC4407495ABBD356F420DDD",1)</v>
      </c>
      <c r="Q8" s="66" t="s">
        <v>2492</v>
      </c>
      <c r="R8" s="66">
        <v>297</v>
      </c>
      <c r="S8" s="68" t="s">
        <v>4377</v>
      </c>
      <c r="T8" s="69" t="s">
        <v>39</v>
      </c>
      <c r="U8" s="66">
        <v>18</v>
      </c>
      <c r="V8" s="66">
        <v>84</v>
      </c>
      <c r="W8" s="66">
        <v>6</v>
      </c>
    </row>
    <row r="9" s="61" customFormat="1" hidden="1" customHeight="1" spans="1:23">
      <c r="A9" s="66">
        <v>5</v>
      </c>
      <c r="B9" s="182" t="s">
        <v>1280</v>
      </c>
      <c r="C9" s="182" t="s">
        <v>165</v>
      </c>
      <c r="D9" s="182" t="s">
        <v>1281</v>
      </c>
      <c r="E9" s="66">
        <v>15779415003</v>
      </c>
      <c r="F9" s="182" t="s">
        <v>278</v>
      </c>
      <c r="G9" s="182" t="s">
        <v>28</v>
      </c>
      <c r="H9" s="66">
        <v>202103001</v>
      </c>
      <c r="I9" s="182" t="s">
        <v>279</v>
      </c>
      <c r="J9" s="182" t="s">
        <v>367</v>
      </c>
      <c r="K9" s="182" t="s">
        <v>280</v>
      </c>
      <c r="L9" s="182" t="s">
        <v>170</v>
      </c>
      <c r="M9" s="182" t="s">
        <v>368</v>
      </c>
      <c r="N9" s="182" t="s">
        <v>340</v>
      </c>
      <c r="O9" s="182" t="s">
        <v>1283</v>
      </c>
      <c r="P9" s="67" t="str">
        <f>_xlfn.DISPIMG("ID_7CFB1AF7BB454AE0866D54E1D87E03E1",1)</f>
        <v>=DISPIMG("ID_7CFB1AF7BB454AE0866D54E1D87E03E1",1)</v>
      </c>
      <c r="Q9" s="66" t="s">
        <v>1284</v>
      </c>
      <c r="R9" s="66">
        <v>138</v>
      </c>
      <c r="S9" s="68" t="s">
        <v>4349</v>
      </c>
      <c r="T9" s="69" t="s">
        <v>38</v>
      </c>
      <c r="U9" s="66">
        <v>30</v>
      </c>
      <c r="V9" s="66">
        <v>83.5</v>
      </c>
      <c r="W9" s="66">
        <v>7</v>
      </c>
    </row>
    <row r="10" s="61" customFormat="1" hidden="1" customHeight="1" spans="1:23">
      <c r="A10" s="66">
        <v>18</v>
      </c>
      <c r="B10" s="182" t="s">
        <v>1814</v>
      </c>
      <c r="C10" s="182" t="s">
        <v>165</v>
      </c>
      <c r="D10" s="182" t="s">
        <v>1815</v>
      </c>
      <c r="E10" s="66">
        <v>15879170317</v>
      </c>
      <c r="F10" s="182" t="s">
        <v>278</v>
      </c>
      <c r="G10" s="182" t="s">
        <v>28</v>
      </c>
      <c r="H10" s="66">
        <v>202103001</v>
      </c>
      <c r="I10" s="182" t="s">
        <v>279</v>
      </c>
      <c r="J10" s="182" t="s">
        <v>732</v>
      </c>
      <c r="K10" s="182" t="s">
        <v>280</v>
      </c>
      <c r="L10" s="182" t="s">
        <v>170</v>
      </c>
      <c r="M10" s="182" t="s">
        <v>306</v>
      </c>
      <c r="N10" s="182" t="s">
        <v>1013</v>
      </c>
      <c r="O10" s="182" t="s">
        <v>1817</v>
      </c>
      <c r="P10" s="67" t="str">
        <f>_xlfn.DISPIMG("ID_6DE4E02A017F4BA2AD59ACE3034B4E4E",1)</f>
        <v>=DISPIMG("ID_6DE4E02A017F4BA2AD59ACE3034B4E4E",1)</v>
      </c>
      <c r="Q10" s="66" t="s">
        <v>1818</v>
      </c>
      <c r="R10" s="66">
        <v>207</v>
      </c>
      <c r="S10" s="68" t="s">
        <v>4362</v>
      </c>
      <c r="T10" s="69" t="s">
        <v>38</v>
      </c>
      <c r="U10" s="66">
        <v>15</v>
      </c>
      <c r="V10" s="66">
        <v>83</v>
      </c>
      <c r="W10" s="66">
        <v>8</v>
      </c>
    </row>
    <row r="11" s="61" customFormat="1" hidden="1" customHeight="1" spans="1:23">
      <c r="A11" s="66">
        <v>3</v>
      </c>
      <c r="B11" s="182" t="s">
        <v>373</v>
      </c>
      <c r="C11" s="182" t="s">
        <v>165</v>
      </c>
      <c r="D11" s="182" t="s">
        <v>374</v>
      </c>
      <c r="E11" s="66">
        <v>15170964571</v>
      </c>
      <c r="F11" s="182" t="s">
        <v>278</v>
      </c>
      <c r="G11" s="182" t="s">
        <v>28</v>
      </c>
      <c r="H11" s="66">
        <v>202103001</v>
      </c>
      <c r="I11" s="182" t="s">
        <v>279</v>
      </c>
      <c r="J11" s="182" t="s">
        <v>367</v>
      </c>
      <c r="K11" s="182" t="s">
        <v>280</v>
      </c>
      <c r="L11" s="182" t="s">
        <v>170</v>
      </c>
      <c r="M11" s="182" t="s">
        <v>224</v>
      </c>
      <c r="N11" s="182" t="s">
        <v>376</v>
      </c>
      <c r="O11" s="182" t="s">
        <v>377</v>
      </c>
      <c r="P11" s="67" t="str">
        <f>_xlfn.DISPIMG("ID_C8327FEC732A4CC39200F90994F97069",1)</f>
        <v>=DISPIMG("ID_C8327FEC732A4CC39200F90994F97069",1)</v>
      </c>
      <c r="Q11" s="66" t="s">
        <v>378</v>
      </c>
      <c r="R11" s="66">
        <v>26</v>
      </c>
      <c r="S11" s="68" t="s">
        <v>4317</v>
      </c>
      <c r="T11" s="69" t="s">
        <v>36</v>
      </c>
      <c r="U11" s="66">
        <v>18</v>
      </c>
      <c r="V11" s="66">
        <v>82.5</v>
      </c>
      <c r="W11" s="66">
        <v>9</v>
      </c>
    </row>
    <row r="12" s="61" customFormat="1" hidden="1" customHeight="1" spans="1:23">
      <c r="A12" s="66">
        <v>5</v>
      </c>
      <c r="B12" s="182" t="s">
        <v>477</v>
      </c>
      <c r="C12" s="182" t="s">
        <v>165</v>
      </c>
      <c r="D12" s="182" t="s">
        <v>478</v>
      </c>
      <c r="E12" s="66">
        <v>18770282894</v>
      </c>
      <c r="F12" s="182" t="s">
        <v>278</v>
      </c>
      <c r="G12" s="182" t="s">
        <v>28</v>
      </c>
      <c r="H12" s="66">
        <v>202103001</v>
      </c>
      <c r="I12" s="182" t="s">
        <v>279</v>
      </c>
      <c r="J12" s="182" t="s">
        <v>367</v>
      </c>
      <c r="K12" s="182" t="s">
        <v>280</v>
      </c>
      <c r="L12" s="182" t="s">
        <v>170</v>
      </c>
      <c r="M12" s="182" t="s">
        <v>216</v>
      </c>
      <c r="N12" s="182" t="s">
        <v>340</v>
      </c>
      <c r="O12" s="182" t="s">
        <v>480</v>
      </c>
      <c r="P12" s="67" t="str">
        <f>_xlfn.DISPIMG("ID_CA960935E07F423087EFDE1A92D5AFE3",1)</f>
        <v>=DISPIMG("ID_CA960935E07F423087EFDE1A92D5AFE3",1)</v>
      </c>
      <c r="Q12" s="66" t="s">
        <v>481</v>
      </c>
      <c r="R12" s="66">
        <v>38</v>
      </c>
      <c r="S12" s="68" t="s">
        <v>4319</v>
      </c>
      <c r="T12" s="69" t="s">
        <v>36</v>
      </c>
      <c r="U12" s="66">
        <v>30</v>
      </c>
      <c r="V12" s="66">
        <v>82</v>
      </c>
      <c r="W12" s="66">
        <v>10</v>
      </c>
    </row>
    <row r="13" s="61" customFormat="1" hidden="1" customHeight="1" spans="1:23">
      <c r="A13" s="66">
        <v>15</v>
      </c>
      <c r="B13" s="182" t="s">
        <v>1681</v>
      </c>
      <c r="C13" s="182" t="s">
        <v>165</v>
      </c>
      <c r="D13" s="182" t="s">
        <v>1682</v>
      </c>
      <c r="E13" s="66">
        <v>15707021172</v>
      </c>
      <c r="F13" s="182" t="s">
        <v>278</v>
      </c>
      <c r="G13" s="182" t="s">
        <v>28</v>
      </c>
      <c r="H13" s="66">
        <v>202103001</v>
      </c>
      <c r="I13" s="182" t="s">
        <v>279</v>
      </c>
      <c r="J13" s="182" t="s">
        <v>367</v>
      </c>
      <c r="K13" s="182" t="s">
        <v>1684</v>
      </c>
      <c r="L13" s="182" t="s">
        <v>170</v>
      </c>
      <c r="M13" s="182" t="s">
        <v>368</v>
      </c>
      <c r="N13" s="182" t="s">
        <v>376</v>
      </c>
      <c r="O13" s="182" t="s">
        <v>1685</v>
      </c>
      <c r="P13" s="67" t="str">
        <f>_xlfn.DISPIMG("ID_F515C4DE5D464F10B51159D5558C7D1A",1)</f>
        <v>=DISPIMG("ID_F515C4DE5D464F10B51159D5558C7D1A",1)</v>
      </c>
      <c r="Q13" s="66" t="s">
        <v>1686</v>
      </c>
      <c r="R13" s="66">
        <v>190</v>
      </c>
      <c r="S13" s="68" t="s">
        <v>4359</v>
      </c>
      <c r="T13" s="69" t="s">
        <v>38</v>
      </c>
      <c r="U13" s="66">
        <v>28</v>
      </c>
      <c r="V13" s="66">
        <v>82</v>
      </c>
      <c r="W13" s="66">
        <v>10</v>
      </c>
    </row>
    <row r="14" s="61" customFormat="1" hidden="1" customHeight="1" spans="1:23">
      <c r="A14" s="66">
        <v>24</v>
      </c>
      <c r="B14" s="182" t="s">
        <v>3293</v>
      </c>
      <c r="C14" s="182" t="s">
        <v>165</v>
      </c>
      <c r="D14" s="182" t="s">
        <v>3294</v>
      </c>
      <c r="E14" s="66">
        <v>18170265828</v>
      </c>
      <c r="F14" s="182" t="s">
        <v>278</v>
      </c>
      <c r="G14" s="182" t="s">
        <v>28</v>
      </c>
      <c r="H14" s="66">
        <v>202103001</v>
      </c>
      <c r="I14" s="182" t="s">
        <v>157</v>
      </c>
      <c r="J14" s="182" t="s">
        <v>233</v>
      </c>
      <c r="K14" s="182" t="s">
        <v>280</v>
      </c>
      <c r="L14" s="182" t="s">
        <v>170</v>
      </c>
      <c r="M14" s="182" t="s">
        <v>3061</v>
      </c>
      <c r="N14" s="182" t="s">
        <v>3296</v>
      </c>
      <c r="O14" s="182" t="s">
        <v>3297</v>
      </c>
      <c r="P14" s="67" t="str">
        <f>_xlfn.DISPIMG("ID_1A8F20F988244300AFCAF70BDC1F337C",1)</f>
        <v>=DISPIMG("ID_1A8F20F988244300AFCAF70BDC1F337C",1)</v>
      </c>
      <c r="Q14" s="66" t="s">
        <v>3298</v>
      </c>
      <c r="R14" s="66">
        <v>413</v>
      </c>
      <c r="S14" s="68" t="s">
        <v>4398</v>
      </c>
      <c r="T14" s="69" t="s">
        <v>39</v>
      </c>
      <c r="U14" s="66">
        <v>23</v>
      </c>
      <c r="V14" s="66">
        <v>82</v>
      </c>
      <c r="W14" s="66">
        <v>10</v>
      </c>
    </row>
    <row r="15" s="61" customFormat="1" hidden="1" customHeight="1" spans="1:23">
      <c r="A15" s="66">
        <v>30</v>
      </c>
      <c r="B15" s="182" t="s">
        <v>2368</v>
      </c>
      <c r="C15" s="182" t="s">
        <v>165</v>
      </c>
      <c r="D15" s="182" t="s">
        <v>2369</v>
      </c>
      <c r="E15" s="66">
        <v>13870275403</v>
      </c>
      <c r="F15" s="182" t="s">
        <v>278</v>
      </c>
      <c r="G15" s="182" t="s">
        <v>28</v>
      </c>
      <c r="H15" s="66">
        <v>202103001</v>
      </c>
      <c r="I15" s="182" t="s">
        <v>279</v>
      </c>
      <c r="J15" s="182" t="s">
        <v>367</v>
      </c>
      <c r="K15" s="182" t="s">
        <v>960</v>
      </c>
      <c r="L15" s="182" t="s">
        <v>170</v>
      </c>
      <c r="M15" s="182" t="s">
        <v>161</v>
      </c>
      <c r="N15" s="182" t="s">
        <v>2371</v>
      </c>
      <c r="O15" s="182" t="s">
        <v>2372</v>
      </c>
      <c r="P15" s="67" t="str">
        <f>_xlfn.DISPIMG("ID_8367FF7FCE354E85A6B58C07A55F59C4",1)</f>
        <v>=DISPIMG("ID_8367FF7FCE354E85A6B58C07A55F59C4",1)</v>
      </c>
      <c r="Q15" s="66" t="s">
        <v>2373</v>
      </c>
      <c r="R15" s="66">
        <v>281</v>
      </c>
      <c r="S15" s="68" t="s">
        <v>4374</v>
      </c>
      <c r="T15" s="69" t="s">
        <v>38</v>
      </c>
      <c r="U15" s="66">
        <v>25</v>
      </c>
      <c r="V15" s="66">
        <v>81.5</v>
      </c>
      <c r="W15" s="66">
        <v>13</v>
      </c>
    </row>
    <row r="16" s="61" customFormat="1" hidden="1" customHeight="1" spans="1:23">
      <c r="A16" s="66">
        <v>14</v>
      </c>
      <c r="B16" s="182" t="s">
        <v>712</v>
      </c>
      <c r="C16" s="182" t="s">
        <v>165</v>
      </c>
      <c r="D16" s="182" t="s">
        <v>713</v>
      </c>
      <c r="E16" s="66">
        <v>18379282600</v>
      </c>
      <c r="F16" s="182" t="s">
        <v>278</v>
      </c>
      <c r="G16" s="182" t="s">
        <v>28</v>
      </c>
      <c r="H16" s="66">
        <v>202103001</v>
      </c>
      <c r="I16" s="182" t="s">
        <v>279</v>
      </c>
      <c r="J16" s="182" t="s">
        <v>168</v>
      </c>
      <c r="K16" s="182" t="s">
        <v>280</v>
      </c>
      <c r="L16" s="182" t="s">
        <v>170</v>
      </c>
      <c r="M16" s="182" t="s">
        <v>199</v>
      </c>
      <c r="N16" s="182" t="s">
        <v>715</v>
      </c>
      <c r="O16" s="182" t="s">
        <v>716</v>
      </c>
      <c r="P16" s="67" t="str">
        <f>_xlfn.DISPIMG("ID_CF0B9D1514D24BCEBECEF1FC59445AFE",1)</f>
        <v>=DISPIMG("ID_CF0B9D1514D24BCEBECEF1FC59445AFE",1)</v>
      </c>
      <c r="Q16" s="66" t="s">
        <v>717</v>
      </c>
      <c r="R16" s="66">
        <v>67</v>
      </c>
      <c r="S16" s="68" t="s">
        <v>4328</v>
      </c>
      <c r="T16" s="69" t="s">
        <v>36</v>
      </c>
      <c r="U16" s="66">
        <v>21</v>
      </c>
      <c r="V16" s="66">
        <v>81</v>
      </c>
      <c r="W16" s="66">
        <v>14</v>
      </c>
    </row>
    <row r="17" s="61" customFormat="1" hidden="1" customHeight="1" spans="1:23">
      <c r="A17" s="66">
        <v>17</v>
      </c>
      <c r="B17" s="182" t="s">
        <v>2908</v>
      </c>
      <c r="C17" s="182" t="s">
        <v>165</v>
      </c>
      <c r="D17" s="182" t="s">
        <v>2909</v>
      </c>
      <c r="E17" s="66">
        <v>15180608812</v>
      </c>
      <c r="F17" s="182" t="s">
        <v>278</v>
      </c>
      <c r="G17" s="182" t="s">
        <v>28</v>
      </c>
      <c r="H17" s="66">
        <v>202103001</v>
      </c>
      <c r="I17" s="182" t="s">
        <v>279</v>
      </c>
      <c r="J17" s="182" t="s">
        <v>732</v>
      </c>
      <c r="K17" s="182" t="s">
        <v>280</v>
      </c>
      <c r="L17" s="182" t="s">
        <v>170</v>
      </c>
      <c r="M17" s="182" t="s">
        <v>216</v>
      </c>
      <c r="N17" s="182" t="s">
        <v>340</v>
      </c>
      <c r="O17" s="182" t="s">
        <v>2911</v>
      </c>
      <c r="P17" s="67" t="str">
        <f>_xlfn.DISPIMG("ID_2372D216C4084B2F90A1624776C89F44",1)</f>
        <v>=DISPIMG("ID_2372D216C4084B2F90A1624776C89F44",1)</v>
      </c>
      <c r="Q17" s="66" t="s">
        <v>2912</v>
      </c>
      <c r="R17" s="66">
        <v>354</v>
      </c>
      <c r="S17" s="68" t="s">
        <v>4391</v>
      </c>
      <c r="T17" s="69" t="s">
        <v>39</v>
      </c>
      <c r="U17" s="66">
        <v>10</v>
      </c>
      <c r="V17" s="66">
        <v>81</v>
      </c>
      <c r="W17" s="66">
        <v>14</v>
      </c>
    </row>
    <row r="18" s="34" customFormat="1" hidden="1" customHeight="1" spans="1:23">
      <c r="A18" s="25">
        <v>9</v>
      </c>
      <c r="B18" s="175" t="s">
        <v>1446</v>
      </c>
      <c r="C18" s="175" t="s">
        <v>165</v>
      </c>
      <c r="D18" s="175" t="s">
        <v>1447</v>
      </c>
      <c r="E18" s="25">
        <v>13970292674</v>
      </c>
      <c r="F18" s="175" t="s">
        <v>278</v>
      </c>
      <c r="G18" s="175" t="s">
        <v>28</v>
      </c>
      <c r="H18" s="25">
        <v>202103001</v>
      </c>
      <c r="I18" s="175" t="s">
        <v>585</v>
      </c>
      <c r="J18" s="175" t="s">
        <v>367</v>
      </c>
      <c r="K18" s="175" t="s">
        <v>280</v>
      </c>
      <c r="L18" s="175" t="s">
        <v>170</v>
      </c>
      <c r="M18" s="175" t="s">
        <v>306</v>
      </c>
      <c r="N18" s="175" t="s">
        <v>1449</v>
      </c>
      <c r="O18" s="175" t="s">
        <v>1450</v>
      </c>
      <c r="P18" s="26" t="str">
        <f>_xlfn.DISPIMG("ID_C58710654847468A83F51047999B3A07",1)</f>
        <v>=DISPIMG("ID_C58710654847468A83F51047999B3A07",1)</v>
      </c>
      <c r="Q18" s="25" t="s">
        <v>1451</v>
      </c>
      <c r="R18" s="25">
        <v>160</v>
      </c>
      <c r="S18" s="40" t="s">
        <v>4353</v>
      </c>
      <c r="T18" s="18" t="s">
        <v>38</v>
      </c>
      <c r="U18" s="25">
        <v>20</v>
      </c>
      <c r="V18" s="25">
        <v>80.5</v>
      </c>
      <c r="W18" s="25">
        <v>16</v>
      </c>
    </row>
    <row r="19" s="34" customFormat="1" hidden="1" customHeight="1" spans="1:23">
      <c r="A19" s="25">
        <v>1</v>
      </c>
      <c r="B19" s="175" t="s">
        <v>2384</v>
      </c>
      <c r="C19" s="175" t="s">
        <v>165</v>
      </c>
      <c r="D19" s="175" t="s">
        <v>2385</v>
      </c>
      <c r="E19" s="25">
        <v>18779249182</v>
      </c>
      <c r="F19" s="175" t="s">
        <v>278</v>
      </c>
      <c r="G19" s="175" t="s">
        <v>28</v>
      </c>
      <c r="H19" s="25">
        <v>202103001</v>
      </c>
      <c r="I19" s="175" t="s">
        <v>279</v>
      </c>
      <c r="J19" s="175" t="s">
        <v>178</v>
      </c>
      <c r="K19" s="175" t="s">
        <v>280</v>
      </c>
      <c r="L19" s="175" t="s">
        <v>170</v>
      </c>
      <c r="M19" s="175" t="s">
        <v>548</v>
      </c>
      <c r="N19" s="175" t="s">
        <v>517</v>
      </c>
      <c r="O19" s="175" t="s">
        <v>2387</v>
      </c>
      <c r="P19" s="26" t="str">
        <f>_xlfn.DISPIMG("ID_8CF817D3A8834773857DA1D47188BF1C",1)</f>
        <v>=DISPIMG("ID_8CF817D3A8834773857DA1D47188BF1C",1)</v>
      </c>
      <c r="Q19" s="25" t="s">
        <v>2388</v>
      </c>
      <c r="R19" s="25">
        <v>283</v>
      </c>
      <c r="S19" s="40" t="s">
        <v>4375</v>
      </c>
      <c r="T19" s="18" t="s">
        <v>39</v>
      </c>
      <c r="U19" s="25">
        <v>6</v>
      </c>
      <c r="V19" s="25">
        <v>80</v>
      </c>
      <c r="W19" s="25">
        <v>17</v>
      </c>
    </row>
    <row r="20" s="34" customFormat="1" hidden="1" customHeight="1" spans="1:23">
      <c r="A20" s="25">
        <v>7</v>
      </c>
      <c r="B20" s="175" t="s">
        <v>1344</v>
      </c>
      <c r="C20" s="175" t="s">
        <v>165</v>
      </c>
      <c r="D20" s="175" t="s">
        <v>1345</v>
      </c>
      <c r="E20" s="25">
        <v>15179298712</v>
      </c>
      <c r="F20" s="175" t="s">
        <v>278</v>
      </c>
      <c r="G20" s="175" t="s">
        <v>28</v>
      </c>
      <c r="H20" s="25">
        <v>202103001</v>
      </c>
      <c r="I20" s="175" t="s">
        <v>279</v>
      </c>
      <c r="J20" s="175" t="s">
        <v>158</v>
      </c>
      <c r="K20" s="175" t="s">
        <v>179</v>
      </c>
      <c r="L20" s="175" t="s">
        <v>170</v>
      </c>
      <c r="M20" s="175" t="s">
        <v>1346</v>
      </c>
      <c r="N20" s="175" t="s">
        <v>1013</v>
      </c>
      <c r="O20" s="25">
        <v>0</v>
      </c>
      <c r="P20" s="26" t="str">
        <f>_xlfn.DISPIMG("ID_249FF3C1A0EA4CE88757DD6F52651ECC",1)</f>
        <v>=DISPIMG("ID_249FF3C1A0EA4CE88757DD6F52651ECC",1)</v>
      </c>
      <c r="Q20" s="25" t="s">
        <v>1347</v>
      </c>
      <c r="R20" s="25">
        <v>146</v>
      </c>
      <c r="S20" s="40" t="s">
        <v>4351</v>
      </c>
      <c r="T20" s="18" t="s">
        <v>38</v>
      </c>
      <c r="U20" s="25">
        <v>8</v>
      </c>
      <c r="V20" s="25">
        <v>78</v>
      </c>
      <c r="W20" s="25">
        <v>18</v>
      </c>
    </row>
    <row r="21" s="34" customFormat="1" hidden="1" customHeight="1" spans="1:23">
      <c r="A21" s="25">
        <v>21</v>
      </c>
      <c r="B21" s="175" t="s">
        <v>848</v>
      </c>
      <c r="C21" s="175" t="s">
        <v>165</v>
      </c>
      <c r="D21" s="175" t="s">
        <v>849</v>
      </c>
      <c r="E21" s="25">
        <v>18379626219</v>
      </c>
      <c r="F21" s="175" t="s">
        <v>278</v>
      </c>
      <c r="G21" s="175" t="s">
        <v>28</v>
      </c>
      <c r="H21" s="25">
        <v>202103001</v>
      </c>
      <c r="I21" s="175" t="s">
        <v>279</v>
      </c>
      <c r="J21" s="175" t="s">
        <v>851</v>
      </c>
      <c r="K21" s="175" t="s">
        <v>280</v>
      </c>
      <c r="L21" s="175" t="s">
        <v>170</v>
      </c>
      <c r="M21" s="175" t="s">
        <v>235</v>
      </c>
      <c r="N21" s="175" t="s">
        <v>340</v>
      </c>
      <c r="O21" s="175" t="s">
        <v>852</v>
      </c>
      <c r="P21" s="26" t="str">
        <f>_xlfn.DISPIMG("ID_42372BFB4B414C38BA1598FF5C930944",1)</f>
        <v>=DISPIMG("ID_42372BFB4B414C38BA1598FF5C930944",1)</v>
      </c>
      <c r="Q21" s="25" t="s">
        <v>853</v>
      </c>
      <c r="R21" s="25">
        <v>84</v>
      </c>
      <c r="S21" s="40" t="s">
        <v>4335</v>
      </c>
      <c r="T21" s="18" t="s">
        <v>36</v>
      </c>
      <c r="U21" s="25">
        <v>2</v>
      </c>
      <c r="V21" s="25">
        <v>77.5</v>
      </c>
      <c r="W21" s="25">
        <v>19</v>
      </c>
    </row>
    <row r="22" s="34" customFormat="1" hidden="1" customHeight="1" spans="1:23">
      <c r="A22" s="25">
        <v>28</v>
      </c>
      <c r="B22" s="175" t="s">
        <v>1027</v>
      </c>
      <c r="C22" s="175" t="s">
        <v>165</v>
      </c>
      <c r="D22" s="175" t="s">
        <v>1028</v>
      </c>
      <c r="E22" s="25">
        <v>15579180298</v>
      </c>
      <c r="F22" s="175" t="s">
        <v>278</v>
      </c>
      <c r="G22" s="175" t="s">
        <v>28</v>
      </c>
      <c r="H22" s="25">
        <v>202103001</v>
      </c>
      <c r="I22" s="175" t="s">
        <v>279</v>
      </c>
      <c r="J22" s="175" t="s">
        <v>662</v>
      </c>
      <c r="K22" s="175" t="s">
        <v>280</v>
      </c>
      <c r="L22" s="175" t="s">
        <v>170</v>
      </c>
      <c r="M22" s="175" t="s">
        <v>161</v>
      </c>
      <c r="N22" s="175" t="s">
        <v>376</v>
      </c>
      <c r="O22" s="175" t="s">
        <v>1030</v>
      </c>
      <c r="P22" s="26" t="str">
        <f>_xlfn.DISPIMG("ID_1619E0FF3AE04637958459633AD8C1B8",1)</f>
        <v>=DISPIMG("ID_1619E0FF3AE04637958459633AD8C1B8",1)</v>
      </c>
      <c r="Q22" s="25" t="s">
        <v>1031</v>
      </c>
      <c r="R22" s="25">
        <v>105</v>
      </c>
      <c r="S22" s="40" t="s">
        <v>4342</v>
      </c>
      <c r="T22" s="18" t="s">
        <v>36</v>
      </c>
      <c r="U22" s="25">
        <v>13</v>
      </c>
      <c r="V22" s="25">
        <v>77.5</v>
      </c>
      <c r="W22" s="25">
        <v>19</v>
      </c>
    </row>
    <row r="23" s="34" customFormat="1" hidden="1" customHeight="1" spans="1:23">
      <c r="A23" s="25">
        <v>19</v>
      </c>
      <c r="B23" s="175" t="s">
        <v>1855</v>
      </c>
      <c r="C23" s="175" t="s">
        <v>165</v>
      </c>
      <c r="D23" s="175" t="s">
        <v>1856</v>
      </c>
      <c r="E23" s="25">
        <v>18070128291</v>
      </c>
      <c r="F23" s="175" t="s">
        <v>278</v>
      </c>
      <c r="G23" s="175" t="s">
        <v>28</v>
      </c>
      <c r="H23" s="25">
        <v>202103001</v>
      </c>
      <c r="I23" s="175" t="s">
        <v>279</v>
      </c>
      <c r="J23" s="175" t="s">
        <v>732</v>
      </c>
      <c r="K23" s="175" t="s">
        <v>1489</v>
      </c>
      <c r="L23" s="175" t="s">
        <v>170</v>
      </c>
      <c r="M23" s="175" t="s">
        <v>733</v>
      </c>
      <c r="N23" s="175" t="s">
        <v>517</v>
      </c>
      <c r="O23" s="175" t="s">
        <v>1858</v>
      </c>
      <c r="P23" s="26" t="str">
        <f>_xlfn.DISPIMG("ID_2E8A5FF2C7EA4CF3BCF137C2FDB07272",1)</f>
        <v>=DISPIMG("ID_2E8A5FF2C7EA4CF3BCF137C2FDB07272",1)</v>
      </c>
      <c r="Q23" s="25" t="s">
        <v>1859</v>
      </c>
      <c r="R23" s="25">
        <v>212</v>
      </c>
      <c r="S23" s="40" t="s">
        <v>4363</v>
      </c>
      <c r="T23" s="18" t="s">
        <v>38</v>
      </c>
      <c r="U23" s="25">
        <v>22</v>
      </c>
      <c r="V23" s="25">
        <v>77</v>
      </c>
      <c r="W23" s="25">
        <v>21</v>
      </c>
    </row>
    <row r="24" s="34" customFormat="1" hidden="1" customHeight="1" spans="1:23">
      <c r="A24" s="25">
        <v>13</v>
      </c>
      <c r="B24" s="175" t="s">
        <v>694</v>
      </c>
      <c r="C24" s="175" t="s">
        <v>165</v>
      </c>
      <c r="D24" s="175" t="s">
        <v>695</v>
      </c>
      <c r="E24" s="25">
        <v>15779270127</v>
      </c>
      <c r="F24" s="175" t="s">
        <v>278</v>
      </c>
      <c r="G24" s="175" t="s">
        <v>28</v>
      </c>
      <c r="H24" s="25">
        <v>202103001</v>
      </c>
      <c r="I24" s="175" t="s">
        <v>279</v>
      </c>
      <c r="J24" s="175" t="s">
        <v>697</v>
      </c>
      <c r="K24" s="175" t="s">
        <v>280</v>
      </c>
      <c r="L24" s="175" t="s">
        <v>160</v>
      </c>
      <c r="M24" s="175" t="s">
        <v>180</v>
      </c>
      <c r="N24" s="175" t="s">
        <v>28</v>
      </c>
      <c r="O24" s="175" t="s">
        <v>698</v>
      </c>
      <c r="P24" s="26" t="str">
        <f>_xlfn.DISPIMG("ID_E6AFBB076E18415F8E4E8CB1E3BFC1A0",1)</f>
        <v>=DISPIMG("ID_E6AFBB076E18415F8E4E8CB1E3BFC1A0",1)</v>
      </c>
      <c r="Q24" s="25" t="s">
        <v>699</v>
      </c>
      <c r="R24" s="25">
        <v>65</v>
      </c>
      <c r="S24" s="40" t="s">
        <v>4327</v>
      </c>
      <c r="T24" s="18" t="s">
        <v>36</v>
      </c>
      <c r="U24" s="25">
        <v>16</v>
      </c>
      <c r="V24" s="25">
        <v>76.5</v>
      </c>
      <c r="W24" s="25">
        <v>22</v>
      </c>
    </row>
    <row r="25" s="34" customFormat="1" hidden="1" customHeight="1" spans="1:23">
      <c r="A25" s="25">
        <v>28</v>
      </c>
      <c r="B25" s="175" t="s">
        <v>2323</v>
      </c>
      <c r="C25" s="175" t="s">
        <v>165</v>
      </c>
      <c r="D25" s="175" t="s">
        <v>2324</v>
      </c>
      <c r="E25" s="25">
        <v>15979178539</v>
      </c>
      <c r="F25" s="175" t="s">
        <v>278</v>
      </c>
      <c r="G25" s="175" t="s">
        <v>28</v>
      </c>
      <c r="H25" s="25">
        <v>202103001</v>
      </c>
      <c r="I25" s="175" t="s">
        <v>157</v>
      </c>
      <c r="J25" s="175" t="s">
        <v>1071</v>
      </c>
      <c r="K25" s="175" t="s">
        <v>2326</v>
      </c>
      <c r="L25" s="175" t="s">
        <v>160</v>
      </c>
      <c r="M25" s="175" t="s">
        <v>1942</v>
      </c>
      <c r="N25" s="175" t="s">
        <v>340</v>
      </c>
      <c r="O25" s="175" t="s">
        <v>2327</v>
      </c>
      <c r="P25" s="26" t="str">
        <f>_xlfn.DISPIMG("ID_A33976891DCF46C9B1DFAD5ADCC8729D",1)</f>
        <v>=DISPIMG("ID_A33976891DCF46C9B1DFAD5ADCC8729D",1)</v>
      </c>
      <c r="Q25" s="25" t="s">
        <v>2328</v>
      </c>
      <c r="R25" s="25">
        <v>275</v>
      </c>
      <c r="S25" s="40" t="s">
        <v>4372</v>
      </c>
      <c r="T25" s="18" t="s">
        <v>38</v>
      </c>
      <c r="U25" s="25">
        <v>13</v>
      </c>
      <c r="V25" s="25">
        <v>76</v>
      </c>
      <c r="W25" s="25">
        <v>23</v>
      </c>
    </row>
    <row r="26" s="34" customFormat="1" hidden="1" customHeight="1" spans="1:23">
      <c r="A26" s="25">
        <v>29</v>
      </c>
      <c r="B26" s="175" t="s">
        <v>1043</v>
      </c>
      <c r="C26" s="175" t="s">
        <v>165</v>
      </c>
      <c r="D26" s="175" t="s">
        <v>1044</v>
      </c>
      <c r="E26" s="25">
        <v>13257081497</v>
      </c>
      <c r="F26" s="175" t="s">
        <v>278</v>
      </c>
      <c r="G26" s="175" t="s">
        <v>28</v>
      </c>
      <c r="H26" s="25">
        <v>202103001</v>
      </c>
      <c r="I26" s="175" t="s">
        <v>279</v>
      </c>
      <c r="J26" s="175" t="s">
        <v>515</v>
      </c>
      <c r="K26" s="175" t="s">
        <v>280</v>
      </c>
      <c r="L26" s="175" t="s">
        <v>170</v>
      </c>
      <c r="M26" s="175" t="s">
        <v>216</v>
      </c>
      <c r="N26" s="175" t="s">
        <v>28</v>
      </c>
      <c r="O26" s="175" t="s">
        <v>1046</v>
      </c>
      <c r="P26" s="26" t="str">
        <f>_xlfn.DISPIMG("ID_95C77A057E51453F847E60BE7A6D3C93",1)</f>
        <v>=DISPIMG("ID_95C77A057E51453F847E60BE7A6D3C93",1)</v>
      </c>
      <c r="Q26" s="25" t="s">
        <v>1047</v>
      </c>
      <c r="R26" s="25">
        <v>107</v>
      </c>
      <c r="S26" s="40" t="s">
        <v>4343</v>
      </c>
      <c r="T26" s="18" t="s">
        <v>36</v>
      </c>
      <c r="U26" s="25">
        <v>24</v>
      </c>
      <c r="V26" s="25">
        <v>75.5</v>
      </c>
      <c r="W26" s="25">
        <v>24</v>
      </c>
    </row>
    <row r="27" s="34" customFormat="1" hidden="1" customHeight="1" spans="1:23">
      <c r="A27" s="25">
        <v>16</v>
      </c>
      <c r="B27" s="175" t="s">
        <v>754</v>
      </c>
      <c r="C27" s="175" t="s">
        <v>165</v>
      </c>
      <c r="D27" s="175" t="s">
        <v>755</v>
      </c>
      <c r="E27" s="25">
        <v>18679201139</v>
      </c>
      <c r="F27" s="175" t="s">
        <v>278</v>
      </c>
      <c r="G27" s="175" t="s">
        <v>28</v>
      </c>
      <c r="H27" s="25">
        <v>202103001</v>
      </c>
      <c r="I27" s="175" t="s">
        <v>585</v>
      </c>
      <c r="J27" s="175" t="s">
        <v>576</v>
      </c>
      <c r="K27" s="175" t="s">
        <v>757</v>
      </c>
      <c r="L27" s="175" t="s">
        <v>170</v>
      </c>
      <c r="M27" s="175" t="s">
        <v>224</v>
      </c>
      <c r="N27" s="175" t="s">
        <v>376</v>
      </c>
      <c r="O27" s="175" t="s">
        <v>758</v>
      </c>
      <c r="P27" s="26" t="str">
        <f>_xlfn.DISPIMG("ID_7BB67F893C7640E3B6FEA6424D027990",1)</f>
        <v>=DISPIMG("ID_7BB67F893C7640E3B6FEA6424D027990",1)</v>
      </c>
      <c r="Q27" s="25" t="s">
        <v>759</v>
      </c>
      <c r="R27" s="25">
        <v>72</v>
      </c>
      <c r="S27" s="40" t="s">
        <v>4330</v>
      </c>
      <c r="T27" s="18" t="s">
        <v>36</v>
      </c>
      <c r="U27" s="25">
        <v>3</v>
      </c>
      <c r="V27" s="25">
        <v>75</v>
      </c>
      <c r="W27" s="25">
        <v>25</v>
      </c>
    </row>
    <row r="28" s="34" customFormat="1" hidden="1" customHeight="1" spans="1:23">
      <c r="A28" s="25">
        <v>26</v>
      </c>
      <c r="B28" s="175" t="s">
        <v>3320</v>
      </c>
      <c r="C28" s="175" t="s">
        <v>165</v>
      </c>
      <c r="D28" s="175" t="s">
        <v>3321</v>
      </c>
      <c r="E28" s="25">
        <v>13979205561</v>
      </c>
      <c r="F28" s="175" t="s">
        <v>278</v>
      </c>
      <c r="G28" s="175" t="s">
        <v>28</v>
      </c>
      <c r="H28" s="25">
        <v>202103001</v>
      </c>
      <c r="I28" s="175" t="s">
        <v>585</v>
      </c>
      <c r="J28" s="175" t="s">
        <v>168</v>
      </c>
      <c r="K28" s="175" t="s">
        <v>280</v>
      </c>
      <c r="L28" s="175" t="s">
        <v>170</v>
      </c>
      <c r="M28" s="175" t="s">
        <v>2047</v>
      </c>
      <c r="N28" s="175" t="s">
        <v>340</v>
      </c>
      <c r="O28" s="175" t="s">
        <v>3322</v>
      </c>
      <c r="P28" s="26" t="str">
        <f>_xlfn.DISPIMG("ID_98A98A82D5AD4E03ADF0E8FE54980276",1)</f>
        <v>=DISPIMG("ID_98A98A82D5AD4E03ADF0E8FE54980276",1)</v>
      </c>
      <c r="Q28" s="25" t="s">
        <v>3323</v>
      </c>
      <c r="R28" s="25">
        <v>417</v>
      </c>
      <c r="S28" s="40" t="s">
        <v>4400</v>
      </c>
      <c r="T28" s="18" t="s">
        <v>39</v>
      </c>
      <c r="U28" s="25">
        <v>1</v>
      </c>
      <c r="V28" s="25">
        <v>75</v>
      </c>
      <c r="W28" s="25">
        <v>25</v>
      </c>
    </row>
    <row r="29" s="34" customFormat="1" hidden="1" customHeight="1" spans="1:23">
      <c r="A29" s="25">
        <v>6</v>
      </c>
      <c r="B29" s="175" t="s">
        <v>512</v>
      </c>
      <c r="C29" s="175" t="s">
        <v>165</v>
      </c>
      <c r="D29" s="175" t="s">
        <v>513</v>
      </c>
      <c r="E29" s="25">
        <v>15007008219</v>
      </c>
      <c r="F29" s="175" t="s">
        <v>278</v>
      </c>
      <c r="G29" s="175" t="s">
        <v>28</v>
      </c>
      <c r="H29" s="25">
        <v>202103001</v>
      </c>
      <c r="I29" s="175" t="s">
        <v>279</v>
      </c>
      <c r="J29" s="175" t="s">
        <v>515</v>
      </c>
      <c r="K29" s="175" t="s">
        <v>280</v>
      </c>
      <c r="L29" s="175" t="s">
        <v>170</v>
      </c>
      <c r="M29" s="175" t="s">
        <v>516</v>
      </c>
      <c r="N29" s="175" t="s">
        <v>517</v>
      </c>
      <c r="O29" s="175" t="s">
        <v>518</v>
      </c>
      <c r="P29" s="26" t="str">
        <f>_xlfn.DISPIMG("ID_07A071EC50BE4110A9ABC6B339CCBE2D",1)</f>
        <v>=DISPIMG("ID_07A071EC50BE4110A9ABC6B339CCBE2D",1)</v>
      </c>
      <c r="Q29" s="25" t="s">
        <v>519</v>
      </c>
      <c r="R29" s="25">
        <v>43</v>
      </c>
      <c r="S29" s="40" t="s">
        <v>4320</v>
      </c>
      <c r="T29" s="18" t="s">
        <v>36</v>
      </c>
      <c r="U29" s="25">
        <v>5</v>
      </c>
      <c r="V29" s="25">
        <v>74.5</v>
      </c>
      <c r="W29" s="25">
        <v>27</v>
      </c>
    </row>
    <row r="30" s="34" customFormat="1" hidden="1" customHeight="1" spans="1:23">
      <c r="A30" s="25">
        <v>25</v>
      </c>
      <c r="B30" s="175" t="s">
        <v>924</v>
      </c>
      <c r="C30" s="175" t="s">
        <v>165</v>
      </c>
      <c r="D30" s="175" t="s">
        <v>925</v>
      </c>
      <c r="E30" s="25">
        <v>13979203425</v>
      </c>
      <c r="F30" s="175" t="s">
        <v>278</v>
      </c>
      <c r="G30" s="175" t="s">
        <v>28</v>
      </c>
      <c r="H30" s="25">
        <v>202103001</v>
      </c>
      <c r="I30" s="175" t="s">
        <v>585</v>
      </c>
      <c r="J30" s="175" t="s">
        <v>927</v>
      </c>
      <c r="K30" s="175" t="s">
        <v>928</v>
      </c>
      <c r="L30" s="175" t="s">
        <v>170</v>
      </c>
      <c r="M30" s="175" t="s">
        <v>349</v>
      </c>
      <c r="N30" s="175" t="s">
        <v>376</v>
      </c>
      <c r="O30" s="175" t="s">
        <v>929</v>
      </c>
      <c r="P30" s="26" t="str">
        <f>_xlfn.DISPIMG("ID_8862CF8F67E94F49BA25AF43C58A74CB",1)</f>
        <v>=DISPIMG("ID_8862CF8F67E94F49BA25AF43C58A74CB",1)</v>
      </c>
      <c r="Q30" s="25" t="s">
        <v>930</v>
      </c>
      <c r="R30" s="25">
        <v>93</v>
      </c>
      <c r="S30" s="40" t="s">
        <v>4339</v>
      </c>
      <c r="T30" s="18" t="s">
        <v>36</v>
      </c>
      <c r="U30" s="25">
        <v>26</v>
      </c>
      <c r="V30" s="25">
        <v>74</v>
      </c>
      <c r="W30" s="25">
        <v>28</v>
      </c>
    </row>
    <row r="31" s="34" customFormat="1" hidden="1" customHeight="1" spans="1:23">
      <c r="A31" s="25">
        <v>28</v>
      </c>
      <c r="B31" s="175" t="s">
        <v>2682</v>
      </c>
      <c r="C31" s="175" t="s">
        <v>165</v>
      </c>
      <c r="D31" s="175" t="s">
        <v>2683</v>
      </c>
      <c r="E31" s="25">
        <v>18079206353</v>
      </c>
      <c r="F31" s="175" t="s">
        <v>278</v>
      </c>
      <c r="G31" s="175" t="s">
        <v>28</v>
      </c>
      <c r="H31" s="25">
        <v>202103001</v>
      </c>
      <c r="I31" s="175" t="s">
        <v>585</v>
      </c>
      <c r="J31" s="175" t="s">
        <v>367</v>
      </c>
      <c r="K31" s="175" t="s">
        <v>586</v>
      </c>
      <c r="L31" s="175" t="s">
        <v>170</v>
      </c>
      <c r="M31" s="175" t="s">
        <v>2685</v>
      </c>
      <c r="N31" s="175" t="s">
        <v>2686</v>
      </c>
      <c r="O31" s="175" t="s">
        <v>2687</v>
      </c>
      <c r="P31" s="26" t="str">
        <f>_xlfn.DISPIMG("ID_5B48971EF1B54F2AA5263A5C67E87781",1)</f>
        <v>=DISPIMG("ID_5B48971EF1B54F2AA5263A5C67E87781",1)</v>
      </c>
      <c r="Q31" s="25" t="s">
        <v>2688</v>
      </c>
      <c r="R31" s="25">
        <v>419</v>
      </c>
      <c r="S31" s="40" t="s">
        <v>4402</v>
      </c>
      <c r="T31" s="18" t="s">
        <v>39</v>
      </c>
      <c r="U31" s="25">
        <v>13</v>
      </c>
      <c r="V31" s="25">
        <v>74</v>
      </c>
      <c r="W31" s="25">
        <v>28</v>
      </c>
    </row>
    <row r="32" s="34" customFormat="1" hidden="1" customHeight="1" spans="1:23">
      <c r="A32" s="25">
        <v>23</v>
      </c>
      <c r="B32" s="175" t="s">
        <v>2083</v>
      </c>
      <c r="C32" s="175" t="s">
        <v>165</v>
      </c>
      <c r="D32" s="175" t="s">
        <v>2084</v>
      </c>
      <c r="E32" s="25">
        <v>18816407325</v>
      </c>
      <c r="F32" s="175" t="s">
        <v>278</v>
      </c>
      <c r="G32" s="175" t="s">
        <v>28</v>
      </c>
      <c r="H32" s="25">
        <v>202103001</v>
      </c>
      <c r="I32" s="175" t="s">
        <v>157</v>
      </c>
      <c r="J32" s="175" t="s">
        <v>1258</v>
      </c>
      <c r="K32" s="175" t="s">
        <v>280</v>
      </c>
      <c r="L32" s="175" t="s">
        <v>170</v>
      </c>
      <c r="M32" s="175" t="s">
        <v>180</v>
      </c>
      <c r="N32" s="175" t="s">
        <v>340</v>
      </c>
      <c r="O32" s="175" t="s">
        <v>2086</v>
      </c>
      <c r="P32" s="26" t="str">
        <f>_xlfn.DISPIMG("ID_B2FD46FB94FD4BE298F143BADCF00B8C",1)</f>
        <v>=DISPIMG("ID_B2FD46FB94FD4BE298F143BADCF00B8C",1)</v>
      </c>
      <c r="Q32" s="25" t="s">
        <v>2087</v>
      </c>
      <c r="R32" s="25">
        <v>243</v>
      </c>
      <c r="S32" s="40" t="s">
        <v>4367</v>
      </c>
      <c r="T32" s="18" t="s">
        <v>38</v>
      </c>
      <c r="U32" s="25">
        <v>14</v>
      </c>
      <c r="V32" s="25">
        <v>72.5</v>
      </c>
      <c r="W32" s="25">
        <v>30</v>
      </c>
    </row>
    <row r="33" s="34" customFormat="1" hidden="1" customHeight="1" spans="1:23">
      <c r="A33" s="25">
        <v>24</v>
      </c>
      <c r="B33" s="175" t="s">
        <v>2098</v>
      </c>
      <c r="C33" s="175" t="s">
        <v>165</v>
      </c>
      <c r="D33" s="175" t="s">
        <v>2099</v>
      </c>
      <c r="E33" s="25">
        <v>18070222825</v>
      </c>
      <c r="F33" s="175" t="s">
        <v>278</v>
      </c>
      <c r="G33" s="175" t="s">
        <v>28</v>
      </c>
      <c r="H33" s="25">
        <v>202103001</v>
      </c>
      <c r="I33" s="175" t="s">
        <v>279</v>
      </c>
      <c r="J33" s="175" t="s">
        <v>732</v>
      </c>
      <c r="K33" s="175" t="s">
        <v>169</v>
      </c>
      <c r="L33" s="175" t="s">
        <v>170</v>
      </c>
      <c r="M33" s="175" t="s">
        <v>733</v>
      </c>
      <c r="N33" s="175" t="s">
        <v>517</v>
      </c>
      <c r="O33" s="175" t="s">
        <v>2101</v>
      </c>
      <c r="P33" s="26" t="str">
        <f>_xlfn.DISPIMG("ID_005BE0017F024C98A2D8AF15B9E0DE6A",1)</f>
        <v>=DISPIMG("ID_005BE0017F024C98A2D8AF15B9E0DE6A",1)</v>
      </c>
      <c r="Q33" s="25" t="s">
        <v>2102</v>
      </c>
      <c r="R33" s="25">
        <v>245</v>
      </c>
      <c r="S33" s="40" t="s">
        <v>4368</v>
      </c>
      <c r="T33" s="18" t="s">
        <v>38</v>
      </c>
      <c r="U33" s="25">
        <v>23</v>
      </c>
      <c r="V33" s="25">
        <v>72.5</v>
      </c>
      <c r="W33" s="25">
        <v>30</v>
      </c>
    </row>
    <row r="34" s="34" customFormat="1" hidden="1" customHeight="1" spans="1:23">
      <c r="A34" s="25">
        <v>27</v>
      </c>
      <c r="B34" s="175" t="s">
        <v>1010</v>
      </c>
      <c r="C34" s="175" t="s">
        <v>165</v>
      </c>
      <c r="D34" s="175" t="s">
        <v>1011</v>
      </c>
      <c r="E34" s="25">
        <v>13065115241</v>
      </c>
      <c r="F34" s="175" t="s">
        <v>278</v>
      </c>
      <c r="G34" s="175" t="s">
        <v>28</v>
      </c>
      <c r="H34" s="25">
        <v>202103001</v>
      </c>
      <c r="I34" s="175" t="s">
        <v>279</v>
      </c>
      <c r="J34" s="175" t="s">
        <v>662</v>
      </c>
      <c r="K34" s="175" t="s">
        <v>280</v>
      </c>
      <c r="L34" s="175" t="s">
        <v>170</v>
      </c>
      <c r="M34" s="175" t="s">
        <v>161</v>
      </c>
      <c r="N34" s="175" t="s">
        <v>1013</v>
      </c>
      <c r="O34" s="175" t="s">
        <v>1014</v>
      </c>
      <c r="P34" s="26" t="str">
        <f>_xlfn.DISPIMG("ID_723B44C496604BFA92AC4D10BD64E9FC",1)</f>
        <v>=DISPIMG("ID_723B44C496604BFA92AC4D10BD64E9FC",1)</v>
      </c>
      <c r="Q34" s="25" t="s">
        <v>1015</v>
      </c>
      <c r="R34" s="25">
        <v>103</v>
      </c>
      <c r="S34" s="40" t="s">
        <v>4341</v>
      </c>
      <c r="T34" s="18" t="s">
        <v>36</v>
      </c>
      <c r="U34" s="25">
        <v>12</v>
      </c>
      <c r="V34" s="25">
        <v>72</v>
      </c>
      <c r="W34" s="25">
        <v>32</v>
      </c>
    </row>
    <row r="35" s="34" customFormat="1" hidden="1" customHeight="1" spans="1:23">
      <c r="A35" s="25">
        <v>8</v>
      </c>
      <c r="B35" s="175" t="s">
        <v>582</v>
      </c>
      <c r="C35" s="175" t="s">
        <v>165</v>
      </c>
      <c r="D35" s="175" t="s">
        <v>583</v>
      </c>
      <c r="E35" s="25">
        <v>18879297924</v>
      </c>
      <c r="F35" s="175" t="s">
        <v>278</v>
      </c>
      <c r="G35" s="175" t="s">
        <v>28</v>
      </c>
      <c r="H35" s="25">
        <v>202103001</v>
      </c>
      <c r="I35" s="175" t="s">
        <v>585</v>
      </c>
      <c r="J35" s="175" t="s">
        <v>367</v>
      </c>
      <c r="K35" s="175" t="s">
        <v>586</v>
      </c>
      <c r="L35" s="175" t="s">
        <v>170</v>
      </c>
      <c r="M35" s="175" t="s">
        <v>587</v>
      </c>
      <c r="N35" s="175" t="s">
        <v>588</v>
      </c>
      <c r="O35" s="175" t="s">
        <v>589</v>
      </c>
      <c r="P35" s="26" t="str">
        <f>_xlfn.DISPIMG("ID_6DA92F60F38D4176A8885E139DCAD5AE",1)</f>
        <v>=DISPIMG("ID_6DA92F60F38D4176A8885E139DCAD5AE",1)</v>
      </c>
      <c r="Q35" s="25" t="s">
        <v>590</v>
      </c>
      <c r="R35" s="25">
        <v>51</v>
      </c>
      <c r="S35" s="40" t="s">
        <v>4322</v>
      </c>
      <c r="T35" s="18" t="s">
        <v>36</v>
      </c>
      <c r="U35" s="25">
        <v>17</v>
      </c>
      <c r="V35" s="25">
        <v>72</v>
      </c>
      <c r="W35" s="25">
        <v>32</v>
      </c>
    </row>
    <row r="36" s="34" customFormat="1" hidden="1" customHeight="1" spans="1:23">
      <c r="A36" s="25">
        <v>14</v>
      </c>
      <c r="B36" s="175" t="s">
        <v>2854</v>
      </c>
      <c r="C36" s="175" t="s">
        <v>165</v>
      </c>
      <c r="D36" s="175" t="s">
        <v>2855</v>
      </c>
      <c r="E36" s="25">
        <v>18720256092</v>
      </c>
      <c r="F36" s="175" t="s">
        <v>278</v>
      </c>
      <c r="G36" s="175" t="s">
        <v>28</v>
      </c>
      <c r="H36" s="25">
        <v>202103001</v>
      </c>
      <c r="I36" s="175" t="s">
        <v>279</v>
      </c>
      <c r="J36" s="175" t="s">
        <v>2857</v>
      </c>
      <c r="K36" s="175" t="s">
        <v>586</v>
      </c>
      <c r="L36" s="175" t="s">
        <v>170</v>
      </c>
      <c r="M36" s="175" t="s">
        <v>235</v>
      </c>
      <c r="N36" s="175" t="s">
        <v>586</v>
      </c>
      <c r="O36" s="175" t="s">
        <v>2858</v>
      </c>
      <c r="P36" s="26" t="str">
        <f>_xlfn.DISPIMG("ID_11ED1DBBC626428D97C7101FAED1566F",1)</f>
        <v>=DISPIMG("ID_11ED1DBBC626428D97C7101FAED1566F",1)</v>
      </c>
      <c r="Q36" s="25" t="s">
        <v>2859</v>
      </c>
      <c r="R36" s="25">
        <v>347</v>
      </c>
      <c r="S36" s="40" t="s">
        <v>4388</v>
      </c>
      <c r="T36" s="18" t="s">
        <v>39</v>
      </c>
      <c r="U36" s="25">
        <v>21</v>
      </c>
      <c r="V36" s="25">
        <v>72</v>
      </c>
      <c r="W36" s="25">
        <v>32</v>
      </c>
    </row>
    <row r="37" s="34" customFormat="1" hidden="1" customHeight="1" spans="1:23">
      <c r="A37" s="25">
        <v>29</v>
      </c>
      <c r="B37" s="175" t="s">
        <v>2354</v>
      </c>
      <c r="C37" s="175" t="s">
        <v>165</v>
      </c>
      <c r="D37" s="175" t="s">
        <v>2355</v>
      </c>
      <c r="E37" s="25">
        <v>18870202615</v>
      </c>
      <c r="F37" s="175" t="s">
        <v>278</v>
      </c>
      <c r="G37" s="175" t="s">
        <v>28</v>
      </c>
      <c r="H37" s="25">
        <v>202103001</v>
      </c>
      <c r="I37" s="175" t="s">
        <v>279</v>
      </c>
      <c r="J37" s="175" t="s">
        <v>765</v>
      </c>
      <c r="K37" s="175" t="s">
        <v>280</v>
      </c>
      <c r="L37" s="175" t="s">
        <v>170</v>
      </c>
      <c r="M37" s="175" t="s">
        <v>252</v>
      </c>
      <c r="N37" s="175" t="s">
        <v>340</v>
      </c>
      <c r="O37" s="175" t="s">
        <v>2357</v>
      </c>
      <c r="P37" s="26" t="str">
        <f>_xlfn.DISPIMG("ID_1E1BF7CF64ED4C9392E00D748E2CFF78",1)</f>
        <v>=DISPIMG("ID_1E1BF7CF64ED4C9392E00D748E2CFF78",1)</v>
      </c>
      <c r="Q37" s="25" t="s">
        <v>2358</v>
      </c>
      <c r="R37" s="25">
        <v>279</v>
      </c>
      <c r="S37" s="40" t="s">
        <v>4373</v>
      </c>
      <c r="T37" s="18" t="s">
        <v>38</v>
      </c>
      <c r="U37" s="25">
        <v>24</v>
      </c>
      <c r="V37" s="25">
        <v>71.5</v>
      </c>
      <c r="W37" s="25">
        <v>35</v>
      </c>
    </row>
    <row r="38" s="34" customFormat="1" hidden="1" customHeight="1" spans="1:23">
      <c r="A38" s="25">
        <v>23</v>
      </c>
      <c r="B38" s="175" t="s">
        <v>3234</v>
      </c>
      <c r="C38" s="175" t="s">
        <v>165</v>
      </c>
      <c r="D38" s="175" t="s">
        <v>3235</v>
      </c>
      <c r="E38" s="25">
        <v>15083801983</v>
      </c>
      <c r="F38" s="175" t="s">
        <v>278</v>
      </c>
      <c r="G38" s="175" t="s">
        <v>28</v>
      </c>
      <c r="H38" s="25">
        <v>202103001</v>
      </c>
      <c r="I38" s="175" t="s">
        <v>279</v>
      </c>
      <c r="J38" s="175" t="s">
        <v>339</v>
      </c>
      <c r="K38" s="175" t="s">
        <v>960</v>
      </c>
      <c r="L38" s="175" t="s">
        <v>170</v>
      </c>
      <c r="M38" s="175" t="s">
        <v>2935</v>
      </c>
      <c r="N38" s="175" t="s">
        <v>376</v>
      </c>
      <c r="O38" s="175" t="s">
        <v>3237</v>
      </c>
      <c r="P38" s="26" t="str">
        <f>_xlfn.DISPIMG("ID_6E77F2441F654B1DACC44E4FDEC025B1",1)</f>
        <v>=DISPIMG("ID_6E77F2441F654B1DACC44E4FDEC025B1",1)</v>
      </c>
      <c r="Q38" s="25" t="s">
        <v>3238</v>
      </c>
      <c r="R38" s="25">
        <v>403</v>
      </c>
      <c r="S38" s="40" t="s">
        <v>4397</v>
      </c>
      <c r="T38" s="18" t="s">
        <v>39</v>
      </c>
      <c r="U38" s="25">
        <v>14</v>
      </c>
      <c r="V38" s="25">
        <v>71</v>
      </c>
      <c r="W38" s="25">
        <v>36</v>
      </c>
    </row>
    <row r="39" s="34" customFormat="1" hidden="1" customHeight="1" spans="1:23">
      <c r="A39" s="25">
        <v>13</v>
      </c>
      <c r="B39" s="175" t="s">
        <v>2825</v>
      </c>
      <c r="C39" s="175" t="s">
        <v>165</v>
      </c>
      <c r="D39" s="175" t="s">
        <v>2826</v>
      </c>
      <c r="E39" s="25">
        <v>13177721280</v>
      </c>
      <c r="F39" s="175" t="s">
        <v>278</v>
      </c>
      <c r="G39" s="175" t="s">
        <v>28</v>
      </c>
      <c r="H39" s="25">
        <v>202103001</v>
      </c>
      <c r="I39" s="175" t="s">
        <v>279</v>
      </c>
      <c r="J39" s="175" t="s">
        <v>1237</v>
      </c>
      <c r="K39" s="175" t="s">
        <v>280</v>
      </c>
      <c r="L39" s="175" t="s">
        <v>170</v>
      </c>
      <c r="M39" s="175" t="s">
        <v>261</v>
      </c>
      <c r="N39" s="175" t="s">
        <v>340</v>
      </c>
      <c r="O39" s="25">
        <v>0</v>
      </c>
      <c r="P39" s="26" t="str">
        <f>_xlfn.DISPIMG("ID_F08BB5C3B75D4962A37212B4DDDA960C",1)</f>
        <v>=DISPIMG("ID_F08BB5C3B75D4962A37212B4DDDA960C",1)</v>
      </c>
      <c r="Q39" s="25" t="s">
        <v>2828</v>
      </c>
      <c r="R39" s="25">
        <v>343</v>
      </c>
      <c r="S39" s="40" t="s">
        <v>4387</v>
      </c>
      <c r="T39" s="18" t="s">
        <v>39</v>
      </c>
      <c r="U39" s="25">
        <v>16</v>
      </c>
      <c r="V39" s="25">
        <v>71</v>
      </c>
      <c r="W39" s="25">
        <v>36</v>
      </c>
    </row>
    <row r="40" s="34" customFormat="1" hidden="1" customHeight="1" spans="1:23">
      <c r="A40" s="25">
        <v>12</v>
      </c>
      <c r="B40" s="175" t="s">
        <v>659</v>
      </c>
      <c r="C40" s="175" t="s">
        <v>165</v>
      </c>
      <c r="D40" s="175" t="s">
        <v>660</v>
      </c>
      <c r="E40" s="25">
        <v>18370120304</v>
      </c>
      <c r="F40" s="175" t="s">
        <v>278</v>
      </c>
      <c r="G40" s="175" t="s">
        <v>28</v>
      </c>
      <c r="H40" s="25">
        <v>202103001</v>
      </c>
      <c r="I40" s="175" t="s">
        <v>279</v>
      </c>
      <c r="J40" s="175" t="s">
        <v>662</v>
      </c>
      <c r="K40" s="175" t="s">
        <v>280</v>
      </c>
      <c r="L40" s="175" t="s">
        <v>170</v>
      </c>
      <c r="M40" s="175" t="s">
        <v>368</v>
      </c>
      <c r="N40" s="175" t="s">
        <v>663</v>
      </c>
      <c r="O40" s="175" t="s">
        <v>664</v>
      </c>
      <c r="P40" s="26" t="str">
        <f>_xlfn.DISPIMG("ID_4AE3C77D21184B118F491A1655043931",1)</f>
        <v>=DISPIMG("ID_4AE3C77D21184B118F491A1655043931",1)</v>
      </c>
      <c r="Q40" s="25" t="s">
        <v>665</v>
      </c>
      <c r="R40" s="25">
        <v>61</v>
      </c>
      <c r="S40" s="40" t="s">
        <v>4326</v>
      </c>
      <c r="T40" s="18" t="s">
        <v>36</v>
      </c>
      <c r="U40" s="25">
        <v>9</v>
      </c>
      <c r="V40" s="25">
        <v>70.5</v>
      </c>
      <c r="W40" s="25">
        <v>38</v>
      </c>
    </row>
    <row r="41" s="34" customFormat="1" hidden="1" customHeight="1" spans="1:23">
      <c r="A41" s="25">
        <v>11</v>
      </c>
      <c r="B41" s="175" t="s">
        <v>1520</v>
      </c>
      <c r="C41" s="175" t="s">
        <v>165</v>
      </c>
      <c r="D41" s="175" t="s">
        <v>1521</v>
      </c>
      <c r="E41" s="25">
        <v>18370105501</v>
      </c>
      <c r="F41" s="175" t="s">
        <v>278</v>
      </c>
      <c r="G41" s="175" t="s">
        <v>28</v>
      </c>
      <c r="H41" s="25">
        <v>202103001</v>
      </c>
      <c r="I41" s="175" t="s">
        <v>279</v>
      </c>
      <c r="J41" s="175" t="s">
        <v>1523</v>
      </c>
      <c r="K41" s="175" t="s">
        <v>280</v>
      </c>
      <c r="L41" s="175" t="s">
        <v>170</v>
      </c>
      <c r="M41" s="175" t="s">
        <v>235</v>
      </c>
      <c r="N41" s="175" t="s">
        <v>28</v>
      </c>
      <c r="O41" s="175" t="s">
        <v>1524</v>
      </c>
      <c r="P41" s="26" t="str">
        <f>_xlfn.DISPIMG("ID_289CC567200648A4AB5780D725CC9684",1)</f>
        <v>=DISPIMG("ID_289CC567200648A4AB5780D725CC9684",1)</v>
      </c>
      <c r="Q41" s="25" t="s">
        <v>1525</v>
      </c>
      <c r="R41" s="25">
        <v>169</v>
      </c>
      <c r="S41" s="40" t="s">
        <v>4355</v>
      </c>
      <c r="T41" s="18" t="s">
        <v>38</v>
      </c>
      <c r="U41" s="25">
        <v>4</v>
      </c>
      <c r="V41" s="25">
        <v>70</v>
      </c>
      <c r="W41" s="25">
        <v>39</v>
      </c>
    </row>
    <row r="42" s="34" customFormat="1" hidden="1" customHeight="1" spans="1:23">
      <c r="A42" s="25">
        <v>9</v>
      </c>
      <c r="B42" s="175" t="s">
        <v>2691</v>
      </c>
      <c r="C42" s="175" t="s">
        <v>165</v>
      </c>
      <c r="D42" s="175" t="s">
        <v>2692</v>
      </c>
      <c r="E42" s="25">
        <v>13361724916</v>
      </c>
      <c r="F42" s="175" t="s">
        <v>278</v>
      </c>
      <c r="G42" s="175" t="s">
        <v>28</v>
      </c>
      <c r="H42" s="25">
        <v>202103001</v>
      </c>
      <c r="I42" s="175" t="s">
        <v>585</v>
      </c>
      <c r="J42" s="175" t="s">
        <v>367</v>
      </c>
      <c r="K42" s="175" t="s">
        <v>586</v>
      </c>
      <c r="L42" s="175" t="s">
        <v>170</v>
      </c>
      <c r="M42" s="175" t="s">
        <v>2685</v>
      </c>
      <c r="N42" s="175" t="s">
        <v>2686</v>
      </c>
      <c r="O42" s="175" t="s">
        <v>2694</v>
      </c>
      <c r="P42" s="26" t="str">
        <f>_xlfn.DISPIMG("ID_80BD79931C0D4F069B4BB278F0D6EACF",1)</f>
        <v>=DISPIMG("ID_80BD79931C0D4F069B4BB278F0D6EACF",1)</v>
      </c>
      <c r="Q42" s="25" t="s">
        <v>2695</v>
      </c>
      <c r="R42" s="25">
        <v>324</v>
      </c>
      <c r="S42" s="40" t="s">
        <v>4383</v>
      </c>
      <c r="T42" s="18" t="s">
        <v>39</v>
      </c>
      <c r="U42" s="25">
        <v>20</v>
      </c>
      <c r="V42" s="25">
        <v>70</v>
      </c>
      <c r="W42" s="25">
        <v>39</v>
      </c>
    </row>
    <row r="43" s="34" customFormat="1" hidden="1" customHeight="1" spans="1:23">
      <c r="A43" s="25">
        <v>25</v>
      </c>
      <c r="B43" s="175" t="s">
        <v>2226</v>
      </c>
      <c r="C43" s="175" t="s">
        <v>165</v>
      </c>
      <c r="D43" s="175" t="s">
        <v>2227</v>
      </c>
      <c r="E43" s="25">
        <v>15720952167</v>
      </c>
      <c r="F43" s="175" t="s">
        <v>278</v>
      </c>
      <c r="G43" s="175" t="s">
        <v>28</v>
      </c>
      <c r="H43" s="25">
        <v>202103001</v>
      </c>
      <c r="I43" s="175" t="s">
        <v>279</v>
      </c>
      <c r="J43" s="175" t="s">
        <v>2229</v>
      </c>
      <c r="K43" s="175" t="s">
        <v>280</v>
      </c>
      <c r="L43" s="175" t="s">
        <v>170</v>
      </c>
      <c r="M43" s="175" t="s">
        <v>161</v>
      </c>
      <c r="N43" s="175" t="s">
        <v>517</v>
      </c>
      <c r="O43" s="25">
        <v>0</v>
      </c>
      <c r="P43" s="26" t="str">
        <f>_xlfn.DISPIMG("ID_D66F2E0905214E97988618639B1556CA",1)</f>
        <v>=DISPIMG("ID_D66F2E0905214E97988618639B1556CA",1)</v>
      </c>
      <c r="Q43" s="25" t="s">
        <v>2230</v>
      </c>
      <c r="R43" s="25">
        <v>262</v>
      </c>
      <c r="S43" s="40" t="s">
        <v>4369</v>
      </c>
      <c r="T43" s="18" t="s">
        <v>38</v>
      </c>
      <c r="U43" s="25">
        <v>26</v>
      </c>
      <c r="V43" s="25">
        <v>69.5</v>
      </c>
      <c r="W43" s="25">
        <v>41</v>
      </c>
    </row>
    <row r="44" s="34" customFormat="1" hidden="1" customHeight="1" spans="1:23">
      <c r="A44" s="25">
        <v>4</v>
      </c>
      <c r="B44" s="175" t="s">
        <v>2501</v>
      </c>
      <c r="C44" s="175" t="s">
        <v>165</v>
      </c>
      <c r="D44" s="175" t="s">
        <v>2502</v>
      </c>
      <c r="E44" s="25">
        <v>18779413916</v>
      </c>
      <c r="F44" s="175" t="s">
        <v>278</v>
      </c>
      <c r="G44" s="175" t="s">
        <v>28</v>
      </c>
      <c r="H44" s="25">
        <v>202103001</v>
      </c>
      <c r="I44" s="175" t="s">
        <v>279</v>
      </c>
      <c r="J44" s="175" t="s">
        <v>876</v>
      </c>
      <c r="K44" s="175" t="s">
        <v>1684</v>
      </c>
      <c r="L44" s="175" t="s">
        <v>170</v>
      </c>
      <c r="M44" s="175" t="s">
        <v>171</v>
      </c>
      <c r="N44" s="175" t="s">
        <v>2504</v>
      </c>
      <c r="O44" s="175" t="s">
        <v>2505</v>
      </c>
      <c r="P44" s="26" t="str">
        <f>_xlfn.DISPIMG("ID_515277FD8D2D40318D429A7BA8ADC69C",1)</f>
        <v>=DISPIMG("ID_515277FD8D2D40318D429A7BA8ADC69C",1)</v>
      </c>
      <c r="Q44" s="25" t="s">
        <v>2506</v>
      </c>
      <c r="R44" s="25">
        <v>299</v>
      </c>
      <c r="S44" s="40" t="s">
        <v>4378</v>
      </c>
      <c r="T44" s="18" t="s">
        <v>39</v>
      </c>
      <c r="U44" s="25">
        <v>19</v>
      </c>
      <c r="V44" s="25">
        <v>69.5</v>
      </c>
      <c r="W44" s="25">
        <v>41</v>
      </c>
    </row>
    <row r="45" s="34" customFormat="1" hidden="1" customHeight="1" spans="1:23">
      <c r="A45" s="25">
        <v>14</v>
      </c>
      <c r="B45" s="175" t="s">
        <v>1665</v>
      </c>
      <c r="C45" s="175" t="s">
        <v>165</v>
      </c>
      <c r="D45" s="175" t="s">
        <v>1666</v>
      </c>
      <c r="E45" s="25">
        <v>19126781619</v>
      </c>
      <c r="F45" s="175" t="s">
        <v>278</v>
      </c>
      <c r="G45" s="175" t="s">
        <v>28</v>
      </c>
      <c r="H45" s="25">
        <v>202103001</v>
      </c>
      <c r="I45" s="175" t="s">
        <v>585</v>
      </c>
      <c r="J45" s="175" t="s">
        <v>168</v>
      </c>
      <c r="K45" s="175" t="s">
        <v>280</v>
      </c>
      <c r="L45" s="175" t="s">
        <v>170</v>
      </c>
      <c r="M45" s="175" t="s">
        <v>548</v>
      </c>
      <c r="N45" s="175" t="s">
        <v>376</v>
      </c>
      <c r="O45" s="175" t="s">
        <v>1668</v>
      </c>
      <c r="P45" s="26" t="str">
        <f>_xlfn.DISPIMG("ID_B5AB63FC8A81490B8ED2FED7AE302A44",1)</f>
        <v>=DISPIMG("ID_B5AB63FC8A81490B8ED2FED7AE302A44",1)</v>
      </c>
      <c r="Q45" s="25" t="s">
        <v>1669</v>
      </c>
      <c r="R45" s="25">
        <v>188</v>
      </c>
      <c r="S45" s="40" t="s">
        <v>4358</v>
      </c>
      <c r="T45" s="18" t="s">
        <v>38</v>
      </c>
      <c r="U45" s="25">
        <v>21</v>
      </c>
      <c r="V45" s="25">
        <v>69</v>
      </c>
      <c r="W45" s="25">
        <v>43</v>
      </c>
    </row>
    <row r="46" s="34" customFormat="1" hidden="1" customHeight="1" spans="1:23">
      <c r="A46" s="25">
        <v>26</v>
      </c>
      <c r="B46" s="175" t="s">
        <v>957</v>
      </c>
      <c r="C46" s="175" t="s">
        <v>165</v>
      </c>
      <c r="D46" s="175" t="s">
        <v>958</v>
      </c>
      <c r="E46" s="25">
        <v>15579232085</v>
      </c>
      <c r="F46" s="175" t="s">
        <v>278</v>
      </c>
      <c r="G46" s="175" t="s">
        <v>28</v>
      </c>
      <c r="H46" s="25">
        <v>202103001</v>
      </c>
      <c r="I46" s="175" t="s">
        <v>279</v>
      </c>
      <c r="J46" s="175" t="s">
        <v>367</v>
      </c>
      <c r="K46" s="175" t="s">
        <v>960</v>
      </c>
      <c r="L46" s="175" t="s">
        <v>160</v>
      </c>
      <c r="M46" s="175" t="s">
        <v>261</v>
      </c>
      <c r="N46" s="175" t="s">
        <v>961</v>
      </c>
      <c r="O46" s="25">
        <v>0</v>
      </c>
      <c r="P46" s="26" t="str">
        <f>_xlfn.DISPIMG("ID_4CCFD0700027401988C293FD5FDA33FE",1)</f>
        <v>=DISPIMG("ID_4CCFD0700027401988C293FD5FDA33FE",1)</v>
      </c>
      <c r="Q46" s="25" t="s">
        <v>962</v>
      </c>
      <c r="R46" s="25">
        <v>97</v>
      </c>
      <c r="S46" s="40" t="s">
        <v>4340</v>
      </c>
      <c r="T46" s="18" t="s">
        <v>36</v>
      </c>
      <c r="U46" s="25">
        <v>1</v>
      </c>
      <c r="V46" s="25">
        <v>68.5</v>
      </c>
      <c r="W46" s="25">
        <v>44</v>
      </c>
    </row>
    <row r="47" s="34" customFormat="1" hidden="1" customHeight="1" spans="1:23">
      <c r="A47" s="25">
        <v>27</v>
      </c>
      <c r="B47" s="175" t="s">
        <v>2273</v>
      </c>
      <c r="C47" s="175" t="s">
        <v>165</v>
      </c>
      <c r="D47" s="175" t="s">
        <v>2274</v>
      </c>
      <c r="E47" s="25">
        <v>18897920642</v>
      </c>
      <c r="F47" s="175" t="s">
        <v>278</v>
      </c>
      <c r="G47" s="175" t="s">
        <v>28</v>
      </c>
      <c r="H47" s="25">
        <v>202103001</v>
      </c>
      <c r="I47" s="175" t="s">
        <v>279</v>
      </c>
      <c r="J47" s="175" t="s">
        <v>367</v>
      </c>
      <c r="K47" s="175" t="s">
        <v>960</v>
      </c>
      <c r="L47" s="175" t="s">
        <v>170</v>
      </c>
      <c r="M47" s="175" t="s">
        <v>171</v>
      </c>
      <c r="N47" s="175" t="s">
        <v>340</v>
      </c>
      <c r="O47" s="175" t="s">
        <v>2276</v>
      </c>
      <c r="P47" s="26" t="str">
        <f>_xlfn.DISPIMG("ID_61B07218C9EC426CBE977F3567B765DD",1)</f>
        <v>=DISPIMG("ID_61B07218C9EC426CBE977F3567B765DD",1)</v>
      </c>
      <c r="Q47" s="25" t="s">
        <v>2277</v>
      </c>
      <c r="R47" s="25">
        <v>268</v>
      </c>
      <c r="S47" s="40" t="s">
        <v>4371</v>
      </c>
      <c r="T47" s="18" t="s">
        <v>38</v>
      </c>
      <c r="U47" s="25">
        <v>12</v>
      </c>
      <c r="V47" s="25">
        <v>68.5</v>
      </c>
      <c r="W47" s="25">
        <v>44</v>
      </c>
    </row>
    <row r="48" s="34" customFormat="1" hidden="1" customHeight="1" spans="1:23">
      <c r="A48" s="25">
        <v>11</v>
      </c>
      <c r="B48" s="175" t="s">
        <v>2746</v>
      </c>
      <c r="C48" s="175" t="s">
        <v>165</v>
      </c>
      <c r="D48" s="175" t="s">
        <v>2747</v>
      </c>
      <c r="E48" s="25">
        <v>13479871563</v>
      </c>
      <c r="F48" s="175" t="s">
        <v>278</v>
      </c>
      <c r="G48" s="175" t="s">
        <v>28</v>
      </c>
      <c r="H48" s="25">
        <v>202103001</v>
      </c>
      <c r="I48" s="175" t="s">
        <v>279</v>
      </c>
      <c r="J48" s="175" t="s">
        <v>1432</v>
      </c>
      <c r="K48" s="175" t="s">
        <v>280</v>
      </c>
      <c r="L48" s="175" t="s">
        <v>170</v>
      </c>
      <c r="M48" s="175" t="s">
        <v>2221</v>
      </c>
      <c r="N48" s="175" t="s">
        <v>340</v>
      </c>
      <c r="O48" s="175" t="s">
        <v>2749</v>
      </c>
      <c r="P48" s="26" t="str">
        <f>_xlfn.DISPIMG("ID_88F87A068C9F46F1A08F32919B53F4F3",1)</f>
        <v>=DISPIMG("ID_88F87A068C9F46F1A08F32919B53F4F3",1)</v>
      </c>
      <c r="Q48" s="25" t="s">
        <v>2750</v>
      </c>
      <c r="R48" s="25">
        <v>332</v>
      </c>
      <c r="S48" s="40" t="s">
        <v>4385</v>
      </c>
      <c r="T48" s="18" t="s">
        <v>39</v>
      </c>
      <c r="U48" s="25">
        <v>4</v>
      </c>
      <c r="V48" s="25">
        <v>68</v>
      </c>
      <c r="W48" s="25">
        <v>46</v>
      </c>
    </row>
    <row r="49" s="34" customFormat="1" hidden="1" customHeight="1" spans="1:23">
      <c r="A49" s="25">
        <v>20</v>
      </c>
      <c r="B49" s="175" t="s">
        <v>1919</v>
      </c>
      <c r="C49" s="175" t="s">
        <v>153</v>
      </c>
      <c r="D49" s="175" t="s">
        <v>1920</v>
      </c>
      <c r="E49" s="25">
        <v>18046826639</v>
      </c>
      <c r="F49" s="175" t="s">
        <v>278</v>
      </c>
      <c r="G49" s="175" t="s">
        <v>28</v>
      </c>
      <c r="H49" s="25">
        <v>202103001</v>
      </c>
      <c r="I49" s="175" t="s">
        <v>279</v>
      </c>
      <c r="J49" s="175" t="s">
        <v>765</v>
      </c>
      <c r="K49" s="175" t="s">
        <v>280</v>
      </c>
      <c r="L49" s="175" t="s">
        <v>170</v>
      </c>
      <c r="M49" s="175" t="s">
        <v>455</v>
      </c>
      <c r="N49" s="175" t="s">
        <v>376</v>
      </c>
      <c r="O49" s="25">
        <v>0</v>
      </c>
      <c r="P49" s="26" t="str">
        <f>_xlfn.DISPIMG("ID_A79FF9B64919489DB578A9ECC96B1C96",1)</f>
        <v>=DISPIMG("ID_A79FF9B64919489DB578A9ECC96B1C96",1)</v>
      </c>
      <c r="Q49" s="25" t="s">
        <v>1922</v>
      </c>
      <c r="R49" s="25">
        <v>221</v>
      </c>
      <c r="S49" s="40" t="s">
        <v>4364</v>
      </c>
      <c r="T49" s="18" t="s">
        <v>38</v>
      </c>
      <c r="U49" s="25">
        <v>27</v>
      </c>
      <c r="V49" s="25">
        <v>67</v>
      </c>
      <c r="W49" s="25">
        <v>47</v>
      </c>
    </row>
    <row r="50" s="34" customFormat="1" hidden="1" customHeight="1" spans="1:23">
      <c r="A50" s="25">
        <v>7</v>
      </c>
      <c r="B50" s="175" t="s">
        <v>2651</v>
      </c>
      <c r="C50" s="175" t="s">
        <v>165</v>
      </c>
      <c r="D50" s="175" t="s">
        <v>2652</v>
      </c>
      <c r="E50" s="25">
        <v>18779275146</v>
      </c>
      <c r="F50" s="175" t="s">
        <v>278</v>
      </c>
      <c r="G50" s="175" t="s">
        <v>28</v>
      </c>
      <c r="H50" s="25">
        <v>202103001</v>
      </c>
      <c r="I50" s="175" t="s">
        <v>279</v>
      </c>
      <c r="J50" s="175" t="s">
        <v>367</v>
      </c>
      <c r="K50" s="175" t="s">
        <v>960</v>
      </c>
      <c r="L50" s="175" t="s">
        <v>170</v>
      </c>
      <c r="M50" s="175" t="s">
        <v>261</v>
      </c>
      <c r="N50" s="175" t="s">
        <v>2654</v>
      </c>
      <c r="O50" s="175" t="s">
        <v>2655</v>
      </c>
      <c r="P50" s="26" t="str">
        <f>_xlfn.DISPIMG("ID_1078F268CB1D42879EB5D176263AD754",1)</f>
        <v>=DISPIMG("ID_1078F268CB1D42879EB5D176263AD754",1)</v>
      </c>
      <c r="Q50" s="25" t="s">
        <v>2656</v>
      </c>
      <c r="R50" s="25">
        <v>319</v>
      </c>
      <c r="S50" s="40" t="s">
        <v>4381</v>
      </c>
      <c r="T50" s="18" t="s">
        <v>39</v>
      </c>
      <c r="U50" s="25">
        <v>8</v>
      </c>
      <c r="V50" s="25">
        <v>66.5</v>
      </c>
      <c r="W50" s="25">
        <v>48</v>
      </c>
    </row>
    <row r="51" s="34" customFormat="1" hidden="1" customHeight="1" spans="1:23">
      <c r="A51" s="25">
        <v>6</v>
      </c>
      <c r="B51" s="175" t="s">
        <v>2615</v>
      </c>
      <c r="C51" s="175" t="s">
        <v>165</v>
      </c>
      <c r="D51" s="175" t="s">
        <v>2616</v>
      </c>
      <c r="E51" s="25">
        <v>18779299651</v>
      </c>
      <c r="F51" s="175" t="s">
        <v>278</v>
      </c>
      <c r="G51" s="175" t="s">
        <v>28</v>
      </c>
      <c r="H51" s="25">
        <v>202103001</v>
      </c>
      <c r="I51" s="175" t="s">
        <v>585</v>
      </c>
      <c r="J51" s="175" t="s">
        <v>367</v>
      </c>
      <c r="K51" s="175" t="s">
        <v>280</v>
      </c>
      <c r="L51" s="175" t="s">
        <v>170</v>
      </c>
      <c r="M51" s="175" t="s">
        <v>306</v>
      </c>
      <c r="N51" s="175" t="s">
        <v>585</v>
      </c>
      <c r="O51" s="175" t="s">
        <v>2617</v>
      </c>
      <c r="P51" s="26" t="str">
        <f>_xlfn.DISPIMG("ID_D88361D0AC4F40C29B491840D8C35568",1)</f>
        <v>=DISPIMG("ID_D88361D0AC4F40C29B491840D8C35568",1)</v>
      </c>
      <c r="Q51" s="25" t="s">
        <v>2618</v>
      </c>
      <c r="R51" s="25">
        <v>314</v>
      </c>
      <c r="S51" s="40" t="s">
        <v>4380</v>
      </c>
      <c r="T51" s="18" t="s">
        <v>39</v>
      </c>
      <c r="U51" s="25">
        <v>5</v>
      </c>
      <c r="V51" s="25">
        <v>66</v>
      </c>
      <c r="W51" s="25">
        <v>49</v>
      </c>
    </row>
    <row r="52" s="34" customFormat="1" hidden="1" customHeight="1" spans="1:23">
      <c r="A52" s="25">
        <v>21</v>
      </c>
      <c r="B52" s="175" t="s">
        <v>1429</v>
      </c>
      <c r="C52" s="175" t="s">
        <v>165</v>
      </c>
      <c r="D52" s="175" t="s">
        <v>1430</v>
      </c>
      <c r="E52" s="25">
        <v>15779219115</v>
      </c>
      <c r="F52" s="175" t="s">
        <v>278</v>
      </c>
      <c r="G52" s="175" t="s">
        <v>28</v>
      </c>
      <c r="H52" s="25">
        <v>202103001</v>
      </c>
      <c r="I52" s="175" t="s">
        <v>279</v>
      </c>
      <c r="J52" s="175" t="s">
        <v>1432</v>
      </c>
      <c r="K52" s="175" t="s">
        <v>1433</v>
      </c>
      <c r="L52" s="175" t="s">
        <v>170</v>
      </c>
      <c r="M52" s="175" t="s">
        <v>261</v>
      </c>
      <c r="N52" s="175" t="s">
        <v>1013</v>
      </c>
      <c r="O52" s="175" t="s">
        <v>1435</v>
      </c>
      <c r="P52" s="26" t="str">
        <f>_xlfn.DISPIMG("ID_2AA0C0867EDA4E25AC1B455524935955",1)</f>
        <v>=DISPIMG("ID_2AA0C0867EDA4E25AC1B455524935955",1)</v>
      </c>
      <c r="Q52" s="25" t="s">
        <v>1436</v>
      </c>
      <c r="R52" s="25">
        <v>391</v>
      </c>
      <c r="S52" s="40" t="s">
        <v>4395</v>
      </c>
      <c r="T52" s="18" t="s">
        <v>39</v>
      </c>
      <c r="U52" s="25">
        <v>2</v>
      </c>
      <c r="V52" s="25">
        <v>65</v>
      </c>
      <c r="W52" s="25">
        <v>50</v>
      </c>
    </row>
    <row r="53" s="34" customFormat="1" hidden="1" customHeight="1" spans="1:23">
      <c r="A53" s="25">
        <v>18</v>
      </c>
      <c r="B53" s="175" t="s">
        <v>3015</v>
      </c>
      <c r="C53" s="175" t="s">
        <v>165</v>
      </c>
      <c r="D53" s="175" t="s">
        <v>3016</v>
      </c>
      <c r="E53" s="25">
        <v>15779237225</v>
      </c>
      <c r="F53" s="175" t="s">
        <v>278</v>
      </c>
      <c r="G53" s="175" t="s">
        <v>28</v>
      </c>
      <c r="H53" s="25">
        <v>202103001</v>
      </c>
      <c r="I53" s="175" t="s">
        <v>585</v>
      </c>
      <c r="J53" s="175" t="s">
        <v>3018</v>
      </c>
      <c r="K53" s="175" t="s">
        <v>586</v>
      </c>
      <c r="L53" s="175" t="s">
        <v>170</v>
      </c>
      <c r="M53" s="175" t="s">
        <v>1346</v>
      </c>
      <c r="N53" s="175" t="s">
        <v>340</v>
      </c>
      <c r="O53" s="175" t="s">
        <v>3019</v>
      </c>
      <c r="P53" s="26" t="str">
        <f>_xlfn.DISPIMG("ID_5D71807FA9B14D55B579AC354805CDFB",1)</f>
        <v>=DISPIMG("ID_5D71807FA9B14D55B579AC354805CDFB",1)</v>
      </c>
      <c r="Q53" s="25" t="s">
        <v>3020</v>
      </c>
      <c r="R53" s="25">
        <v>372</v>
      </c>
      <c r="S53" s="40" t="s">
        <v>4392</v>
      </c>
      <c r="T53" s="18" t="s">
        <v>39</v>
      </c>
      <c r="U53" s="25">
        <v>15</v>
      </c>
      <c r="V53" s="25">
        <v>64.5</v>
      </c>
      <c r="W53" s="25">
        <v>51</v>
      </c>
    </row>
    <row r="54" s="34" customFormat="1" hidden="1" customHeight="1" spans="1:23">
      <c r="A54" s="25">
        <v>20</v>
      </c>
      <c r="B54" s="175" t="s">
        <v>840</v>
      </c>
      <c r="C54" s="175" t="s">
        <v>165</v>
      </c>
      <c r="D54" s="175" t="s">
        <v>841</v>
      </c>
      <c r="E54" s="25">
        <v>15059878679</v>
      </c>
      <c r="F54" s="175" t="s">
        <v>278</v>
      </c>
      <c r="G54" s="175" t="s">
        <v>28</v>
      </c>
      <c r="H54" s="25">
        <v>202103001</v>
      </c>
      <c r="I54" s="175" t="s">
        <v>279</v>
      </c>
      <c r="J54" s="175" t="s">
        <v>339</v>
      </c>
      <c r="K54" s="175" t="s">
        <v>280</v>
      </c>
      <c r="L54" s="175" t="s">
        <v>170</v>
      </c>
      <c r="M54" s="175" t="s">
        <v>843</v>
      </c>
      <c r="N54" s="175" t="s">
        <v>376</v>
      </c>
      <c r="O54" s="175" t="s">
        <v>844</v>
      </c>
      <c r="P54" s="26" t="str">
        <f>_xlfn.DISPIMG("ID_424B9BE152D1418A818313627A199A3A",1)</f>
        <v>=DISPIMG("ID_424B9BE152D1418A818313627A199A3A",1)</v>
      </c>
      <c r="Q54" s="25" t="s">
        <v>845</v>
      </c>
      <c r="R54" s="25">
        <v>83</v>
      </c>
      <c r="S54" s="40" t="s">
        <v>4334</v>
      </c>
      <c r="T54" s="18" t="s">
        <v>36</v>
      </c>
      <c r="U54" s="25">
        <v>27</v>
      </c>
      <c r="V54" s="25">
        <v>64</v>
      </c>
      <c r="W54" s="25">
        <v>52</v>
      </c>
    </row>
    <row r="55" s="34" customFormat="1" hidden="1" customHeight="1" spans="1:23">
      <c r="A55" s="25">
        <v>27</v>
      </c>
      <c r="B55" s="175" t="s">
        <v>3326</v>
      </c>
      <c r="C55" s="175" t="s">
        <v>165</v>
      </c>
      <c r="D55" s="175" t="s">
        <v>3327</v>
      </c>
      <c r="E55" s="25">
        <v>15979970756</v>
      </c>
      <c r="F55" s="175" t="s">
        <v>278</v>
      </c>
      <c r="G55" s="175" t="s">
        <v>28</v>
      </c>
      <c r="H55" s="25">
        <v>202103001</v>
      </c>
      <c r="I55" s="175" t="s">
        <v>279</v>
      </c>
      <c r="J55" s="175" t="s">
        <v>3329</v>
      </c>
      <c r="K55" s="175" t="s">
        <v>280</v>
      </c>
      <c r="L55" s="175" t="s">
        <v>170</v>
      </c>
      <c r="M55" s="175" t="s">
        <v>368</v>
      </c>
      <c r="N55" s="175" t="s">
        <v>376</v>
      </c>
      <c r="O55" s="175" t="s">
        <v>3330</v>
      </c>
      <c r="P55" s="26" t="str">
        <f>_xlfn.DISPIMG("ID_35E61F5727C7442282FC0637F60D57FC",1)</f>
        <v>=DISPIMG("ID_35E61F5727C7442282FC0637F60D57FC",1)</v>
      </c>
      <c r="Q55" s="25" t="s">
        <v>3331</v>
      </c>
      <c r="R55" s="25">
        <v>418</v>
      </c>
      <c r="S55" s="40" t="s">
        <v>4401</v>
      </c>
      <c r="T55" s="18" t="s">
        <v>39</v>
      </c>
      <c r="U55" s="25">
        <v>12</v>
      </c>
      <c r="V55" s="25">
        <v>64</v>
      </c>
      <c r="W55" s="25">
        <v>52</v>
      </c>
    </row>
    <row r="56" s="34" customFormat="1" hidden="1" customHeight="1" spans="1:23">
      <c r="A56" s="25">
        <v>11</v>
      </c>
      <c r="B56" s="175" t="s">
        <v>620</v>
      </c>
      <c r="C56" s="175" t="s">
        <v>165</v>
      </c>
      <c r="D56" s="175" t="s">
        <v>621</v>
      </c>
      <c r="E56" s="25">
        <v>18370123772</v>
      </c>
      <c r="F56" s="175" t="s">
        <v>278</v>
      </c>
      <c r="G56" s="175" t="s">
        <v>28</v>
      </c>
      <c r="H56" s="25">
        <v>202103001</v>
      </c>
      <c r="I56" s="175" t="s">
        <v>585</v>
      </c>
      <c r="J56" s="175" t="s">
        <v>595</v>
      </c>
      <c r="K56" s="175" t="s">
        <v>280</v>
      </c>
      <c r="L56" s="175" t="s">
        <v>170</v>
      </c>
      <c r="M56" s="175" t="s">
        <v>368</v>
      </c>
      <c r="N56" s="175" t="s">
        <v>28</v>
      </c>
      <c r="O56" s="175" t="s">
        <v>623</v>
      </c>
      <c r="P56" s="26" t="str">
        <f>_xlfn.DISPIMG("ID_109F9871D9934FD3B362EB8D2EAFD060",1)</f>
        <v>=DISPIMG("ID_109F9871D9934FD3B362EB8D2EAFD060",1)</v>
      </c>
      <c r="Q56" s="25" t="s">
        <v>624</v>
      </c>
      <c r="R56" s="25">
        <v>56</v>
      </c>
      <c r="S56" s="40" t="s">
        <v>4325</v>
      </c>
      <c r="T56" s="18" t="s">
        <v>36</v>
      </c>
      <c r="U56" s="25">
        <v>4</v>
      </c>
      <c r="V56" s="25">
        <v>63</v>
      </c>
      <c r="W56" s="25">
        <v>54</v>
      </c>
    </row>
    <row r="57" s="34" customFormat="1" hidden="1" customHeight="1" spans="1:23">
      <c r="A57" s="25">
        <v>1</v>
      </c>
      <c r="B57" s="175" t="s">
        <v>275</v>
      </c>
      <c r="C57" s="175" t="s">
        <v>165</v>
      </c>
      <c r="D57" s="175" t="s">
        <v>276</v>
      </c>
      <c r="E57" s="25">
        <v>15180601470</v>
      </c>
      <c r="F57" s="175" t="s">
        <v>278</v>
      </c>
      <c r="G57" s="175" t="s">
        <v>28</v>
      </c>
      <c r="H57" s="25">
        <v>202103001</v>
      </c>
      <c r="I57" s="175" t="s">
        <v>279</v>
      </c>
      <c r="J57" s="175" t="s">
        <v>233</v>
      </c>
      <c r="K57" s="175" t="s">
        <v>280</v>
      </c>
      <c r="L57" s="175" t="s">
        <v>170</v>
      </c>
      <c r="M57" s="175" t="s">
        <v>281</v>
      </c>
      <c r="N57" s="175" t="s">
        <v>280</v>
      </c>
      <c r="O57" s="175" t="s">
        <v>282</v>
      </c>
      <c r="P57" s="26" t="str">
        <f>_xlfn.DISPIMG("ID_B65C52FC26C14A83A9F7B47ADDC75EF7",1)</f>
        <v>=DISPIMG("ID_B65C52FC26C14A83A9F7B47ADDC75EF7",1)</v>
      </c>
      <c r="Q57" s="25" t="s">
        <v>283</v>
      </c>
      <c r="R57" s="25">
        <v>15</v>
      </c>
      <c r="S57" s="40" t="s">
        <v>4315</v>
      </c>
      <c r="T57" s="18" t="s">
        <v>36</v>
      </c>
      <c r="U57" s="25">
        <v>6</v>
      </c>
      <c r="V57" s="25">
        <v>62</v>
      </c>
      <c r="W57" s="25">
        <v>55</v>
      </c>
    </row>
    <row r="58" s="34" customFormat="1" hidden="1" customHeight="1" spans="1:23">
      <c r="A58" s="25">
        <v>24</v>
      </c>
      <c r="B58" s="175" t="s">
        <v>890</v>
      </c>
      <c r="C58" s="175" t="s">
        <v>165</v>
      </c>
      <c r="D58" s="175" t="s">
        <v>891</v>
      </c>
      <c r="E58" s="25">
        <v>15270271332</v>
      </c>
      <c r="F58" s="175" t="s">
        <v>278</v>
      </c>
      <c r="G58" s="175" t="s">
        <v>28</v>
      </c>
      <c r="H58" s="25">
        <v>202103001</v>
      </c>
      <c r="I58" s="175" t="s">
        <v>279</v>
      </c>
      <c r="J58" s="175" t="s">
        <v>765</v>
      </c>
      <c r="K58" s="175" t="s">
        <v>893</v>
      </c>
      <c r="L58" s="175" t="s">
        <v>170</v>
      </c>
      <c r="M58" s="175" t="s">
        <v>161</v>
      </c>
      <c r="N58" s="175" t="s">
        <v>340</v>
      </c>
      <c r="O58" s="175" t="s">
        <v>894</v>
      </c>
      <c r="P58" s="26" t="str">
        <f>_xlfn.DISPIMG("ID_85B3DA5A290A4196889B653600FB42ED",1)</f>
        <v>=DISPIMG("ID_85B3DA5A290A4196889B653600FB42ED",1)</v>
      </c>
      <c r="Q58" s="25" t="s">
        <v>895</v>
      </c>
      <c r="R58" s="25">
        <v>89</v>
      </c>
      <c r="S58" s="40" t="s">
        <v>4338</v>
      </c>
      <c r="T58" s="18" t="s">
        <v>36</v>
      </c>
      <c r="U58" s="25">
        <v>23</v>
      </c>
      <c r="V58" s="25">
        <v>62</v>
      </c>
      <c r="W58" s="25">
        <v>55</v>
      </c>
    </row>
    <row r="59" s="34" customFormat="1" hidden="1" customHeight="1" spans="1:23">
      <c r="A59" s="25">
        <v>26</v>
      </c>
      <c r="B59" s="175" t="s">
        <v>2249</v>
      </c>
      <c r="C59" s="175" t="s">
        <v>165</v>
      </c>
      <c r="D59" s="175" t="s">
        <v>2250</v>
      </c>
      <c r="E59" s="25">
        <v>15270289287</v>
      </c>
      <c r="F59" s="175" t="s">
        <v>278</v>
      </c>
      <c r="G59" s="175" t="s">
        <v>28</v>
      </c>
      <c r="H59" s="25">
        <v>202103001</v>
      </c>
      <c r="I59" s="175" t="s">
        <v>279</v>
      </c>
      <c r="J59" s="175" t="s">
        <v>1258</v>
      </c>
      <c r="K59" s="175" t="s">
        <v>280</v>
      </c>
      <c r="L59" s="175" t="s">
        <v>170</v>
      </c>
      <c r="M59" s="175" t="s">
        <v>180</v>
      </c>
      <c r="N59" s="175" t="s">
        <v>340</v>
      </c>
      <c r="O59" s="175" t="s">
        <v>2252</v>
      </c>
      <c r="P59" s="26" t="str">
        <f>_xlfn.DISPIMG("ID_7985CE250554486189D8524B45608623",1)</f>
        <v>=DISPIMG("ID_7985CE250554486189D8524B45608623",1)</v>
      </c>
      <c r="Q59" s="25" t="s">
        <v>2253</v>
      </c>
      <c r="R59" s="25">
        <v>265</v>
      </c>
      <c r="S59" s="40" t="s">
        <v>4370</v>
      </c>
      <c r="T59" s="18" t="s">
        <v>38</v>
      </c>
      <c r="U59" s="25">
        <v>1</v>
      </c>
      <c r="V59" s="25">
        <v>61.5</v>
      </c>
      <c r="W59" s="25">
        <v>57</v>
      </c>
    </row>
    <row r="60" s="34" customFormat="1" hidden="1" customHeight="1" spans="1:23">
      <c r="A60" s="25">
        <v>23</v>
      </c>
      <c r="B60" s="175" t="s">
        <v>881</v>
      </c>
      <c r="C60" s="175" t="s">
        <v>165</v>
      </c>
      <c r="D60" s="175" t="s">
        <v>882</v>
      </c>
      <c r="E60" s="25">
        <v>15279260286</v>
      </c>
      <c r="F60" s="175" t="s">
        <v>278</v>
      </c>
      <c r="G60" s="175" t="s">
        <v>28</v>
      </c>
      <c r="H60" s="25">
        <v>202103001</v>
      </c>
      <c r="I60" s="175" t="s">
        <v>279</v>
      </c>
      <c r="J60" s="175" t="s">
        <v>884</v>
      </c>
      <c r="K60" s="175" t="s">
        <v>223</v>
      </c>
      <c r="L60" s="175" t="s">
        <v>170</v>
      </c>
      <c r="M60" s="175" t="s">
        <v>733</v>
      </c>
      <c r="N60" s="175" t="s">
        <v>885</v>
      </c>
      <c r="O60" s="175" t="s">
        <v>886</v>
      </c>
      <c r="P60" s="26" t="str">
        <f>_xlfn.DISPIMG("ID_79374B2C837849A79ABAFBB6FF76D11C",1)</f>
        <v>=DISPIMG("ID_79374B2C837849A79ABAFBB6FF76D11C",1)</v>
      </c>
      <c r="Q60" s="25" t="s">
        <v>887</v>
      </c>
      <c r="R60" s="25">
        <v>88</v>
      </c>
      <c r="S60" s="40" t="s">
        <v>4337</v>
      </c>
      <c r="T60" s="18" t="s">
        <v>36</v>
      </c>
      <c r="U60" s="25">
        <v>14</v>
      </c>
      <c r="V60" s="25">
        <v>61</v>
      </c>
      <c r="W60" s="25">
        <v>58</v>
      </c>
    </row>
    <row r="61" s="34" customFormat="1" hidden="1" customHeight="1" spans="1:23">
      <c r="A61" s="25">
        <v>18</v>
      </c>
      <c r="B61" s="175" t="s">
        <v>794</v>
      </c>
      <c r="C61" s="175" t="s">
        <v>165</v>
      </c>
      <c r="D61" s="175" t="s">
        <v>795</v>
      </c>
      <c r="E61" s="25">
        <v>18707021672</v>
      </c>
      <c r="F61" s="175" t="s">
        <v>278</v>
      </c>
      <c r="G61" s="175" t="s">
        <v>28</v>
      </c>
      <c r="H61" s="25">
        <v>202103001</v>
      </c>
      <c r="I61" s="175" t="s">
        <v>279</v>
      </c>
      <c r="J61" s="175" t="s">
        <v>367</v>
      </c>
      <c r="K61" s="175" t="s">
        <v>280</v>
      </c>
      <c r="L61" s="175" t="s">
        <v>170</v>
      </c>
      <c r="M61" s="175" t="s">
        <v>306</v>
      </c>
      <c r="N61" s="175" t="s">
        <v>376</v>
      </c>
      <c r="O61" s="175" t="s">
        <v>797</v>
      </c>
      <c r="P61" s="26" t="str">
        <f>_xlfn.DISPIMG("ID_639B898E1B304FC0A6FA0E13C551BEC4",1)</f>
        <v>=DISPIMG("ID_639B898E1B304FC0A6FA0E13C551BEC4",1)</v>
      </c>
      <c r="Q61" s="25" t="s">
        <v>798</v>
      </c>
      <c r="R61" s="25">
        <v>77</v>
      </c>
      <c r="S61" s="40" t="s">
        <v>4332</v>
      </c>
      <c r="T61" s="18" t="s">
        <v>36</v>
      </c>
      <c r="U61" s="25">
        <v>15</v>
      </c>
      <c r="V61" s="25">
        <v>61</v>
      </c>
      <c r="W61" s="25">
        <v>58</v>
      </c>
    </row>
    <row r="62" s="34" customFormat="1" hidden="1" customHeight="1" spans="1:23">
      <c r="A62" s="25">
        <v>4</v>
      </c>
      <c r="B62" s="175" t="s">
        <v>3608</v>
      </c>
      <c r="C62" s="175" t="s">
        <v>165</v>
      </c>
      <c r="D62" s="175" t="s">
        <v>3609</v>
      </c>
      <c r="E62" s="25">
        <v>18279283769</v>
      </c>
      <c r="F62" s="175" t="s">
        <v>278</v>
      </c>
      <c r="G62" s="175" t="s">
        <v>28</v>
      </c>
      <c r="H62" s="25">
        <v>202103001</v>
      </c>
      <c r="I62" s="175" t="s">
        <v>585</v>
      </c>
      <c r="J62" s="175" t="s">
        <v>3174</v>
      </c>
      <c r="K62" s="175" t="s">
        <v>280</v>
      </c>
      <c r="L62" s="175" t="s">
        <v>170</v>
      </c>
      <c r="M62" s="175" t="s">
        <v>3039</v>
      </c>
      <c r="N62" s="175" t="s">
        <v>2686</v>
      </c>
      <c r="O62" s="175" t="s">
        <v>3611</v>
      </c>
      <c r="P62" s="26" t="str">
        <f>_xlfn.DISPIMG("ID_39BF594A37E3442B8E4FFF60E8863D45",1)</f>
        <v>=DISPIMG("ID_39BF594A37E3442B8E4FFF60E8863D45",1)</v>
      </c>
      <c r="Q62" s="25" t="s">
        <v>3612</v>
      </c>
      <c r="R62" s="25">
        <v>459</v>
      </c>
      <c r="S62" s="40" t="s">
        <v>4412</v>
      </c>
      <c r="T62" s="18" t="s">
        <v>40</v>
      </c>
      <c r="U62" s="25">
        <v>8</v>
      </c>
      <c r="V62" s="25">
        <v>60.5</v>
      </c>
      <c r="W62" s="25">
        <v>60</v>
      </c>
    </row>
    <row r="63" s="34" customFormat="1" hidden="1" customHeight="1" spans="1:23">
      <c r="A63" s="25">
        <v>7</v>
      </c>
      <c r="B63" s="175" t="s">
        <v>573</v>
      </c>
      <c r="C63" s="175" t="s">
        <v>165</v>
      </c>
      <c r="D63" s="175" t="s">
        <v>574</v>
      </c>
      <c r="E63" s="25">
        <v>13387029092</v>
      </c>
      <c r="F63" s="175" t="s">
        <v>278</v>
      </c>
      <c r="G63" s="175" t="s">
        <v>28</v>
      </c>
      <c r="H63" s="25">
        <v>202103001</v>
      </c>
      <c r="I63" s="175" t="s">
        <v>279</v>
      </c>
      <c r="J63" s="175" t="s">
        <v>576</v>
      </c>
      <c r="K63" s="175" t="s">
        <v>280</v>
      </c>
      <c r="L63" s="175" t="s">
        <v>170</v>
      </c>
      <c r="M63" s="175" t="s">
        <v>577</v>
      </c>
      <c r="N63" s="175" t="s">
        <v>280</v>
      </c>
      <c r="O63" s="175" t="s">
        <v>578</v>
      </c>
      <c r="P63" s="26" t="str">
        <f>_xlfn.DISPIMG("ID_82D3A4866E584D37A328F1F75C226980",1)</f>
        <v>=DISPIMG("ID_82D3A4866E584D37A328F1F75C226980",1)</v>
      </c>
      <c r="Q63" s="25" t="s">
        <v>579</v>
      </c>
      <c r="R63" s="25">
        <v>50</v>
      </c>
      <c r="S63" s="40" t="s">
        <v>4321</v>
      </c>
      <c r="T63" s="18" t="s">
        <v>36</v>
      </c>
      <c r="U63" s="25">
        <v>8</v>
      </c>
      <c r="V63" s="25">
        <v>60</v>
      </c>
      <c r="W63" s="25">
        <v>61</v>
      </c>
    </row>
    <row r="64" s="34" customFormat="1" hidden="1" customHeight="1" spans="1:23">
      <c r="A64" s="25">
        <v>16</v>
      </c>
      <c r="B64" s="175" t="s">
        <v>1751</v>
      </c>
      <c r="C64" s="175" t="s">
        <v>165</v>
      </c>
      <c r="D64" s="175" t="s">
        <v>1752</v>
      </c>
      <c r="E64" s="25">
        <v>18770825920</v>
      </c>
      <c r="F64" s="175" t="s">
        <v>278</v>
      </c>
      <c r="G64" s="175" t="s">
        <v>28</v>
      </c>
      <c r="H64" s="25">
        <v>202103001</v>
      </c>
      <c r="I64" s="175" t="s">
        <v>585</v>
      </c>
      <c r="J64" s="175" t="s">
        <v>367</v>
      </c>
      <c r="K64" s="175" t="s">
        <v>280</v>
      </c>
      <c r="L64" s="175" t="s">
        <v>160</v>
      </c>
      <c r="M64" s="175" t="s">
        <v>396</v>
      </c>
      <c r="N64" s="175" t="s">
        <v>1754</v>
      </c>
      <c r="O64" s="175" t="s">
        <v>1755</v>
      </c>
      <c r="P64" s="26" t="str">
        <f>_xlfn.DISPIMG("ID_11BD6E6070704D3C9E8B19CABEC53565",1)</f>
        <v>=DISPIMG("ID_11BD6E6070704D3C9E8B19CABEC53565",1)</v>
      </c>
      <c r="Q64" s="25" t="s">
        <v>1756</v>
      </c>
      <c r="R64" s="25">
        <v>199</v>
      </c>
      <c r="S64" s="40" t="s">
        <v>4360</v>
      </c>
      <c r="T64" s="18" t="s">
        <v>38</v>
      </c>
      <c r="U64" s="25">
        <v>3</v>
      </c>
      <c r="V64" s="25">
        <v>60</v>
      </c>
      <c r="W64" s="25">
        <v>61</v>
      </c>
    </row>
    <row r="65" s="34" customFormat="1" hidden="1" customHeight="1" spans="1:23">
      <c r="A65" s="25">
        <v>25</v>
      </c>
      <c r="B65" s="175" t="s">
        <v>3307</v>
      </c>
      <c r="C65" s="175" t="s">
        <v>165</v>
      </c>
      <c r="D65" s="175" t="s">
        <v>3308</v>
      </c>
      <c r="E65" s="25">
        <v>15570243314</v>
      </c>
      <c r="F65" s="175" t="s">
        <v>278</v>
      </c>
      <c r="G65" s="175" t="s">
        <v>28</v>
      </c>
      <c r="H65" s="25">
        <v>202103001</v>
      </c>
      <c r="I65" s="175" t="s">
        <v>279</v>
      </c>
      <c r="J65" s="175" t="s">
        <v>3309</v>
      </c>
      <c r="K65" s="175" t="s">
        <v>2326</v>
      </c>
      <c r="L65" s="175" t="s">
        <v>170</v>
      </c>
      <c r="M65" s="175" t="s">
        <v>396</v>
      </c>
      <c r="N65" s="175" t="s">
        <v>517</v>
      </c>
      <c r="O65" s="175" t="s">
        <v>3310</v>
      </c>
      <c r="P65" s="26" t="str">
        <f>_xlfn.DISPIMG("ID_354EF343CD5243F482E0D228CE19598F",1)</f>
        <v>=DISPIMG("ID_354EF343CD5243F482E0D228CE19598F",1)</v>
      </c>
      <c r="Q65" s="25" t="s">
        <v>3311</v>
      </c>
      <c r="R65" s="25">
        <v>415</v>
      </c>
      <c r="S65" s="40" t="s">
        <v>4399</v>
      </c>
      <c r="T65" s="18" t="s">
        <v>39</v>
      </c>
      <c r="U65" s="25">
        <v>26</v>
      </c>
      <c r="V65" s="25">
        <v>60</v>
      </c>
      <c r="W65" s="25">
        <v>61</v>
      </c>
    </row>
    <row r="66" s="34" customFormat="1" hidden="1" customHeight="1" spans="1:23">
      <c r="A66" s="25">
        <v>1</v>
      </c>
      <c r="B66" s="175" t="s">
        <v>3429</v>
      </c>
      <c r="C66" s="175" t="s">
        <v>165</v>
      </c>
      <c r="D66" s="175" t="s">
        <v>3430</v>
      </c>
      <c r="E66" s="25">
        <v>18279285118</v>
      </c>
      <c r="F66" s="175" t="s">
        <v>278</v>
      </c>
      <c r="G66" s="175" t="s">
        <v>28</v>
      </c>
      <c r="H66" s="25">
        <v>202103001</v>
      </c>
      <c r="I66" s="175" t="s">
        <v>585</v>
      </c>
      <c r="J66" s="175" t="s">
        <v>3018</v>
      </c>
      <c r="K66" s="175" t="s">
        <v>586</v>
      </c>
      <c r="L66" s="175" t="s">
        <v>170</v>
      </c>
      <c r="M66" s="175" t="s">
        <v>3431</v>
      </c>
      <c r="N66" s="175" t="s">
        <v>586</v>
      </c>
      <c r="O66" s="175" t="s">
        <v>3432</v>
      </c>
      <c r="P66" s="26" t="str">
        <f>_xlfn.DISPIMG("ID_E1216B8DC47A44DFAB6AC1BAFDBCD62B",1)</f>
        <v>=DISPIMG("ID_E1216B8DC47A44DFAB6AC1BAFDBCD62B",1)</v>
      </c>
      <c r="Q66" s="25" t="s">
        <v>3433</v>
      </c>
      <c r="R66" s="25">
        <v>433</v>
      </c>
      <c r="S66" s="40" t="s">
        <v>4405</v>
      </c>
      <c r="T66" s="18" t="s">
        <v>40</v>
      </c>
      <c r="U66" s="25">
        <v>6</v>
      </c>
      <c r="V66" s="25">
        <v>55.5</v>
      </c>
      <c r="W66" s="25">
        <v>64</v>
      </c>
    </row>
    <row r="67" s="34" customFormat="1" hidden="1" customHeight="1" spans="1:23">
      <c r="A67" s="25">
        <v>15</v>
      </c>
      <c r="B67" s="175" t="s">
        <v>729</v>
      </c>
      <c r="C67" s="175" t="s">
        <v>165</v>
      </c>
      <c r="D67" s="175" t="s">
        <v>730</v>
      </c>
      <c r="E67" s="25">
        <v>18270279001</v>
      </c>
      <c r="F67" s="175" t="s">
        <v>278</v>
      </c>
      <c r="G67" s="175" t="s">
        <v>28</v>
      </c>
      <c r="H67" s="25">
        <v>202103001</v>
      </c>
      <c r="I67" s="175" t="s">
        <v>279</v>
      </c>
      <c r="J67" s="175" t="s">
        <v>732</v>
      </c>
      <c r="K67" s="175" t="s">
        <v>280</v>
      </c>
      <c r="L67" s="175" t="s">
        <v>170</v>
      </c>
      <c r="M67" s="175" t="s">
        <v>733</v>
      </c>
      <c r="N67" s="175" t="s">
        <v>517</v>
      </c>
      <c r="O67" s="175" t="s">
        <v>734</v>
      </c>
      <c r="P67" s="26" t="str">
        <f>_xlfn.DISPIMG("ID_9786F64DF5E04D0EBFF7257960884627",1)</f>
        <v>=DISPIMG("ID_9786F64DF5E04D0EBFF7257960884627",1)</v>
      </c>
      <c r="Q67" s="25" t="s">
        <v>735</v>
      </c>
      <c r="R67" s="25">
        <v>69</v>
      </c>
      <c r="S67" s="40" t="s">
        <v>4329</v>
      </c>
      <c r="T67" s="18" t="s">
        <v>36</v>
      </c>
      <c r="U67" s="25">
        <v>28</v>
      </c>
      <c r="V67" s="25">
        <v>55</v>
      </c>
      <c r="W67" s="25">
        <v>65</v>
      </c>
    </row>
    <row r="68" s="34" customFormat="1" hidden="1" customHeight="1" spans="1:23">
      <c r="A68" s="25">
        <v>5</v>
      </c>
      <c r="B68" s="175" t="s">
        <v>3676</v>
      </c>
      <c r="C68" s="175" t="s">
        <v>165</v>
      </c>
      <c r="D68" s="175" t="s">
        <v>3677</v>
      </c>
      <c r="E68" s="25">
        <v>18296221374</v>
      </c>
      <c r="F68" s="175" t="s">
        <v>278</v>
      </c>
      <c r="G68" s="175" t="s">
        <v>28</v>
      </c>
      <c r="H68" s="25">
        <v>202103001</v>
      </c>
      <c r="I68" s="175" t="s">
        <v>585</v>
      </c>
      <c r="J68" s="175" t="s">
        <v>3679</v>
      </c>
      <c r="K68" s="175" t="s">
        <v>586</v>
      </c>
      <c r="L68" s="175" t="s">
        <v>170</v>
      </c>
      <c r="M68" s="175" t="s">
        <v>1089</v>
      </c>
      <c r="N68" s="175" t="s">
        <v>3680</v>
      </c>
      <c r="O68" s="175" t="s">
        <v>3681</v>
      </c>
      <c r="P68" s="26" t="str">
        <f>_xlfn.DISPIMG("ID_B6A72806890947DEB45EA914FD393A84",1)</f>
        <v>=DISPIMG("ID_B6A72806890947DEB45EA914FD393A84",1)</v>
      </c>
      <c r="Q68" s="25" t="s">
        <v>3682</v>
      </c>
      <c r="R68" s="25">
        <v>468</v>
      </c>
      <c r="S68" s="40" t="s">
        <v>4415</v>
      </c>
      <c r="T68" s="18" t="s">
        <v>40</v>
      </c>
      <c r="U68" s="25">
        <v>4</v>
      </c>
      <c r="V68" s="25">
        <v>54.5</v>
      </c>
      <c r="W68" s="25">
        <v>66</v>
      </c>
    </row>
    <row r="69" s="34" customFormat="1" hidden="1" customHeight="1" spans="1:23">
      <c r="A69" s="25">
        <v>9</v>
      </c>
      <c r="B69" s="175" t="s">
        <v>592</v>
      </c>
      <c r="C69" s="175" t="s">
        <v>165</v>
      </c>
      <c r="D69" s="175" t="s">
        <v>593</v>
      </c>
      <c r="E69" s="25">
        <v>13177706682</v>
      </c>
      <c r="F69" s="175" t="s">
        <v>278</v>
      </c>
      <c r="G69" s="175" t="s">
        <v>28</v>
      </c>
      <c r="H69" s="25">
        <v>202103001</v>
      </c>
      <c r="I69" s="175" t="s">
        <v>279</v>
      </c>
      <c r="J69" s="175" t="s">
        <v>595</v>
      </c>
      <c r="K69" s="175" t="s">
        <v>280</v>
      </c>
      <c r="L69" s="175" t="s">
        <v>170</v>
      </c>
      <c r="M69" s="175" t="s">
        <v>281</v>
      </c>
      <c r="N69" s="175" t="s">
        <v>28</v>
      </c>
      <c r="O69" s="175" t="s">
        <v>596</v>
      </c>
      <c r="P69" s="26" t="str">
        <f>_xlfn.DISPIMG("ID_4A2B45245E6541EDAAF502188C295214",1)</f>
        <v>=DISPIMG("ID_4A2B45245E6541EDAAF502188C295214",1)</v>
      </c>
      <c r="Q69" s="25" t="s">
        <v>597</v>
      </c>
      <c r="R69" s="25">
        <v>52</v>
      </c>
      <c r="S69" s="40" t="s">
        <v>4323</v>
      </c>
      <c r="T69" s="18" t="s">
        <v>36</v>
      </c>
      <c r="U69" s="25">
        <v>20</v>
      </c>
      <c r="V69" s="25">
        <v>54</v>
      </c>
      <c r="W69" s="25">
        <v>67</v>
      </c>
    </row>
    <row r="70" s="34" customFormat="1" hidden="1" customHeight="1" spans="1:23">
      <c r="A70" s="25">
        <v>4</v>
      </c>
      <c r="B70" s="175" t="s">
        <v>418</v>
      </c>
      <c r="C70" s="175" t="s">
        <v>165</v>
      </c>
      <c r="D70" s="175" t="s">
        <v>419</v>
      </c>
      <c r="E70" s="25">
        <v>13870260927</v>
      </c>
      <c r="F70" s="175" t="s">
        <v>278</v>
      </c>
      <c r="G70" s="175" t="s">
        <v>28</v>
      </c>
      <c r="H70" s="25">
        <v>202103001</v>
      </c>
      <c r="I70" s="175" t="s">
        <v>279</v>
      </c>
      <c r="J70" s="175" t="s">
        <v>367</v>
      </c>
      <c r="K70" s="175" t="s">
        <v>280</v>
      </c>
      <c r="L70" s="175" t="s">
        <v>170</v>
      </c>
      <c r="M70" s="175" t="s">
        <v>224</v>
      </c>
      <c r="N70" s="175" t="s">
        <v>28</v>
      </c>
      <c r="O70" s="175" t="s">
        <v>421</v>
      </c>
      <c r="P70" s="26" t="str">
        <f>_xlfn.DISPIMG("ID_37FC201A56874EEA918314432BBE8D22",1)</f>
        <v>=DISPIMG("ID_37FC201A56874EEA918314432BBE8D22",1)</v>
      </c>
      <c r="Q70" s="25" t="s">
        <v>422</v>
      </c>
      <c r="R70" s="25">
        <v>31</v>
      </c>
      <c r="S70" s="40" t="s">
        <v>4318</v>
      </c>
      <c r="T70" s="18" t="s">
        <v>36</v>
      </c>
      <c r="U70" s="25">
        <v>19</v>
      </c>
      <c r="V70" s="25">
        <v>48</v>
      </c>
      <c r="W70" s="25">
        <v>68</v>
      </c>
    </row>
    <row r="71" s="34" customFormat="1" hidden="1" customHeight="1" spans="1:23">
      <c r="A71" s="25">
        <v>12</v>
      </c>
      <c r="B71" s="175" t="s">
        <v>2796</v>
      </c>
      <c r="C71" s="175" t="s">
        <v>165</v>
      </c>
      <c r="D71" s="175" t="s">
        <v>2797</v>
      </c>
      <c r="E71" s="25">
        <v>15079245341</v>
      </c>
      <c r="F71" s="175" t="s">
        <v>278</v>
      </c>
      <c r="G71" s="175" t="s">
        <v>28</v>
      </c>
      <c r="H71" s="25">
        <v>202103001</v>
      </c>
      <c r="I71" s="175" t="s">
        <v>279</v>
      </c>
      <c r="J71" s="175" t="s">
        <v>2799</v>
      </c>
      <c r="K71" s="175" t="s">
        <v>1489</v>
      </c>
      <c r="L71" s="175" t="s">
        <v>170</v>
      </c>
      <c r="M71" s="175" t="s">
        <v>2800</v>
      </c>
      <c r="N71" s="175" t="s">
        <v>28</v>
      </c>
      <c r="O71" s="175" t="s">
        <v>2801</v>
      </c>
      <c r="P71" s="26" t="str">
        <f>_xlfn.DISPIMG("ID_CE28F2C62DED40E5A2B6EB31752867C6",1)</f>
        <v>=DISPIMG("ID_CE28F2C62DED40E5A2B6EB31752867C6",1)</v>
      </c>
      <c r="Q71" s="25" t="s">
        <v>2802</v>
      </c>
      <c r="R71" s="25">
        <v>339</v>
      </c>
      <c r="S71" s="40" t="s">
        <v>4386</v>
      </c>
      <c r="T71" s="18" t="s">
        <v>39</v>
      </c>
      <c r="U71" s="25">
        <v>9</v>
      </c>
      <c r="V71" s="25">
        <v>47</v>
      </c>
      <c r="W71" s="25">
        <v>69</v>
      </c>
    </row>
    <row r="72" s="34" customFormat="1" hidden="1" customHeight="1" spans="1:23">
      <c r="A72" s="25">
        <v>20</v>
      </c>
      <c r="B72" s="175" t="s">
        <v>3143</v>
      </c>
      <c r="C72" s="175" t="s">
        <v>165</v>
      </c>
      <c r="D72" s="175" t="s">
        <v>3144</v>
      </c>
      <c r="E72" s="25">
        <v>18046721566</v>
      </c>
      <c r="F72" s="175" t="s">
        <v>278</v>
      </c>
      <c r="G72" s="175" t="s">
        <v>28</v>
      </c>
      <c r="H72" s="25">
        <v>202103001</v>
      </c>
      <c r="I72" s="175" t="s">
        <v>279</v>
      </c>
      <c r="J72" s="175" t="s">
        <v>367</v>
      </c>
      <c r="K72" s="175" t="s">
        <v>169</v>
      </c>
      <c r="L72" s="175" t="s">
        <v>170</v>
      </c>
      <c r="M72" s="175" t="s">
        <v>2685</v>
      </c>
      <c r="N72" s="175" t="s">
        <v>3146</v>
      </c>
      <c r="O72" s="175" t="s">
        <v>3147</v>
      </c>
      <c r="P72" s="26" t="str">
        <f>_xlfn.DISPIMG("ID_A94A4E6038894CA88A82184D1877D675",1)</f>
        <v>=DISPIMG("ID_A94A4E6038894CA88A82184D1877D675",1)</v>
      </c>
      <c r="Q72" s="25" t="s">
        <v>3148</v>
      </c>
      <c r="R72" s="25">
        <v>389</v>
      </c>
      <c r="S72" s="40" t="s">
        <v>4394</v>
      </c>
      <c r="T72" s="18" t="s">
        <v>39</v>
      </c>
      <c r="U72" s="25">
        <v>27</v>
      </c>
      <c r="V72" s="25">
        <v>38</v>
      </c>
      <c r="W72" s="25">
        <v>70</v>
      </c>
    </row>
    <row r="73" s="34" customFormat="1" hidden="1" customHeight="1" spans="1:23">
      <c r="A73" s="25">
        <v>2</v>
      </c>
      <c r="B73" s="175" t="s">
        <v>336</v>
      </c>
      <c r="C73" s="175" t="s">
        <v>165</v>
      </c>
      <c r="D73" s="175" t="s">
        <v>337</v>
      </c>
      <c r="E73" s="25">
        <v>18397927213</v>
      </c>
      <c r="F73" s="175" t="s">
        <v>278</v>
      </c>
      <c r="G73" s="175" t="s">
        <v>28</v>
      </c>
      <c r="H73" s="25">
        <v>202103001</v>
      </c>
      <c r="I73" s="175" t="s">
        <v>279</v>
      </c>
      <c r="J73" s="175" t="s">
        <v>339</v>
      </c>
      <c r="K73" s="175" t="s">
        <v>280</v>
      </c>
      <c r="L73" s="175" t="s">
        <v>170</v>
      </c>
      <c r="M73" s="175" t="s">
        <v>180</v>
      </c>
      <c r="N73" s="175" t="s">
        <v>340</v>
      </c>
      <c r="O73" s="175" t="s">
        <v>341</v>
      </c>
      <c r="P73" s="26" t="str">
        <f>_xlfn.DISPIMG("ID_FA546082303144F6A5FD61F335F92D18",1)</f>
        <v>=DISPIMG("ID_FA546082303144F6A5FD61F335F92D18",1)</v>
      </c>
      <c r="Q73" s="25" t="s">
        <v>342</v>
      </c>
      <c r="R73" s="25">
        <v>22</v>
      </c>
      <c r="S73" s="40" t="s">
        <v>4316</v>
      </c>
      <c r="T73" s="18" t="s">
        <v>36</v>
      </c>
      <c r="U73" s="25">
        <v>7</v>
      </c>
      <c r="V73" s="25">
        <v>0</v>
      </c>
      <c r="W73" s="25"/>
    </row>
    <row r="74" s="34" customFormat="1" hidden="1" customHeight="1" spans="1:23">
      <c r="A74" s="25">
        <v>17</v>
      </c>
      <c r="B74" s="175" t="s">
        <v>762</v>
      </c>
      <c r="C74" s="175" t="s">
        <v>165</v>
      </c>
      <c r="D74" s="175" t="s">
        <v>763</v>
      </c>
      <c r="E74" s="25">
        <v>13697921659</v>
      </c>
      <c r="F74" s="175" t="s">
        <v>278</v>
      </c>
      <c r="G74" s="175" t="s">
        <v>28</v>
      </c>
      <c r="H74" s="25">
        <v>202103001</v>
      </c>
      <c r="I74" s="175" t="s">
        <v>279</v>
      </c>
      <c r="J74" s="175" t="s">
        <v>765</v>
      </c>
      <c r="K74" s="175" t="s">
        <v>280</v>
      </c>
      <c r="L74" s="175" t="s">
        <v>170</v>
      </c>
      <c r="M74" s="175" t="s">
        <v>235</v>
      </c>
      <c r="N74" s="175" t="s">
        <v>340</v>
      </c>
      <c r="O74" s="175" t="s">
        <v>766</v>
      </c>
      <c r="P74" s="26" t="str">
        <f>_xlfn.DISPIMG("ID_4E1CCA66E504445CA5B7AB8D0FB70FB1",1)</f>
        <v>=DISPIMG("ID_4E1CCA66E504445CA5B7AB8D0FB70FB1",1)</v>
      </c>
      <c r="Q74" s="25" t="s">
        <v>767</v>
      </c>
      <c r="R74" s="25">
        <v>73</v>
      </c>
      <c r="S74" s="40" t="s">
        <v>4331</v>
      </c>
      <c r="T74" s="18" t="s">
        <v>36</v>
      </c>
      <c r="U74" s="25">
        <v>10</v>
      </c>
      <c r="V74" s="25">
        <v>0</v>
      </c>
      <c r="W74" s="25"/>
    </row>
    <row r="75" s="34" customFormat="1" hidden="1" customHeight="1" spans="1:23">
      <c r="A75" s="25">
        <v>22</v>
      </c>
      <c r="B75" s="175" t="s">
        <v>873</v>
      </c>
      <c r="C75" s="175" t="s">
        <v>165</v>
      </c>
      <c r="D75" s="175" t="s">
        <v>874</v>
      </c>
      <c r="E75" s="25">
        <v>15070424036</v>
      </c>
      <c r="F75" s="175" t="s">
        <v>278</v>
      </c>
      <c r="G75" s="175" t="s">
        <v>28</v>
      </c>
      <c r="H75" s="25">
        <v>202103001</v>
      </c>
      <c r="I75" s="175" t="s">
        <v>279</v>
      </c>
      <c r="J75" s="175" t="s">
        <v>876</v>
      </c>
      <c r="K75" s="175" t="s">
        <v>280</v>
      </c>
      <c r="L75" s="175" t="s">
        <v>170</v>
      </c>
      <c r="M75" s="175" t="s">
        <v>180</v>
      </c>
      <c r="N75" s="175" t="s">
        <v>517</v>
      </c>
      <c r="O75" s="175" t="s">
        <v>877</v>
      </c>
      <c r="P75" s="26" t="str">
        <f>_xlfn.DISPIMG("ID_FA24C7A6F2FA44B892B9DF563FC4E960",1)</f>
        <v>=DISPIMG("ID_FA24C7A6F2FA44B892B9DF563FC4E960",1)</v>
      </c>
      <c r="Q75" s="25" t="s">
        <v>878</v>
      </c>
      <c r="R75" s="25">
        <v>87</v>
      </c>
      <c r="S75" s="40" t="s">
        <v>4336</v>
      </c>
      <c r="T75" s="18" t="s">
        <v>36</v>
      </c>
      <c r="U75" s="25">
        <v>11</v>
      </c>
      <c r="V75" s="25">
        <v>0</v>
      </c>
      <c r="W75" s="25"/>
    </row>
    <row r="76" s="34" customFormat="1" hidden="1" customHeight="1" spans="1:23">
      <c r="A76" s="25">
        <v>30</v>
      </c>
      <c r="B76" s="175" t="s">
        <v>1094</v>
      </c>
      <c r="C76" s="175" t="s">
        <v>165</v>
      </c>
      <c r="D76" s="175" t="s">
        <v>1095</v>
      </c>
      <c r="E76" s="25">
        <v>18279284539</v>
      </c>
      <c r="F76" s="175" t="s">
        <v>278</v>
      </c>
      <c r="G76" s="175" t="s">
        <v>28</v>
      </c>
      <c r="H76" s="25">
        <v>202103001</v>
      </c>
      <c r="I76" s="175" t="s">
        <v>279</v>
      </c>
      <c r="J76" s="175" t="s">
        <v>1097</v>
      </c>
      <c r="K76" s="175" t="s">
        <v>280</v>
      </c>
      <c r="L76" s="175" t="s">
        <v>170</v>
      </c>
      <c r="M76" s="175" t="s">
        <v>455</v>
      </c>
      <c r="N76" s="175" t="s">
        <v>1098</v>
      </c>
      <c r="O76" s="25">
        <v>0</v>
      </c>
      <c r="P76" s="26" t="str">
        <f>_xlfn.DISPIMG("ID_FAFFBB147A2A46E5B294F9119A127E5F",1)</f>
        <v>=DISPIMG("ID_FAFFBB147A2A46E5B294F9119A127E5F",1)</v>
      </c>
      <c r="Q76" s="25" t="s">
        <v>1099</v>
      </c>
      <c r="R76" s="25">
        <v>114</v>
      </c>
      <c r="S76" s="40" t="s">
        <v>4344</v>
      </c>
      <c r="T76" s="18" t="s">
        <v>36</v>
      </c>
      <c r="U76" s="25">
        <v>25</v>
      </c>
      <c r="V76" s="25">
        <v>0</v>
      </c>
      <c r="W76" s="25"/>
    </row>
    <row r="77" s="34" customFormat="1" hidden="1" customHeight="1" spans="1:23">
      <c r="A77" s="25">
        <v>10</v>
      </c>
      <c r="B77" s="175" t="s">
        <v>614</v>
      </c>
      <c r="C77" s="175" t="s">
        <v>165</v>
      </c>
      <c r="D77" s="175" t="s">
        <v>615</v>
      </c>
      <c r="E77" s="25">
        <v>13755265925</v>
      </c>
      <c r="F77" s="175" t="s">
        <v>278</v>
      </c>
      <c r="G77" s="175" t="s">
        <v>28</v>
      </c>
      <c r="H77" s="25">
        <v>202103001</v>
      </c>
      <c r="I77" s="175" t="s">
        <v>585</v>
      </c>
      <c r="J77" s="175" t="s">
        <v>595</v>
      </c>
      <c r="K77" s="175" t="s">
        <v>280</v>
      </c>
      <c r="L77" s="175" t="s">
        <v>170</v>
      </c>
      <c r="M77" s="175" t="s">
        <v>281</v>
      </c>
      <c r="N77" s="175" t="s">
        <v>28</v>
      </c>
      <c r="O77" s="175" t="s">
        <v>617</v>
      </c>
      <c r="P77" s="26" t="str">
        <f>_xlfn.DISPIMG("ID_85355BEE288D4456A9F8FBBF22F43B44",1)</f>
        <v>=DISPIMG("ID_85355BEE288D4456A9F8FBBF22F43B44",1)</v>
      </c>
      <c r="Q77" s="25" t="s">
        <v>618</v>
      </c>
      <c r="R77" s="25">
        <v>55</v>
      </c>
      <c r="S77" s="40" t="s">
        <v>4324</v>
      </c>
      <c r="T77" s="18" t="s">
        <v>36</v>
      </c>
      <c r="U77" s="25">
        <v>29</v>
      </c>
      <c r="V77" s="25">
        <v>0</v>
      </c>
      <c r="W77" s="25"/>
    </row>
    <row r="78" s="34" customFormat="1" hidden="1" customHeight="1" spans="1:23">
      <c r="A78" s="25">
        <v>21</v>
      </c>
      <c r="B78" s="175" t="s">
        <v>1969</v>
      </c>
      <c r="C78" s="175" t="s">
        <v>165</v>
      </c>
      <c r="D78" s="175" t="s">
        <v>1970</v>
      </c>
      <c r="E78" s="25">
        <v>13767214799</v>
      </c>
      <c r="F78" s="175" t="s">
        <v>278</v>
      </c>
      <c r="G78" s="175" t="s">
        <v>28</v>
      </c>
      <c r="H78" s="25">
        <v>202103001</v>
      </c>
      <c r="I78" s="175" t="s">
        <v>279</v>
      </c>
      <c r="J78" s="175" t="s">
        <v>1972</v>
      </c>
      <c r="K78" s="175" t="s">
        <v>280</v>
      </c>
      <c r="L78" s="175" t="s">
        <v>170</v>
      </c>
      <c r="M78" s="175" t="s">
        <v>368</v>
      </c>
      <c r="N78" s="175" t="s">
        <v>121</v>
      </c>
      <c r="O78" s="175" t="s">
        <v>1973</v>
      </c>
      <c r="P78" s="26" t="str">
        <f>_xlfn.DISPIMG("ID_AAF95BF9A1304A0693E0346D90E4CF2C",1)</f>
        <v>=DISPIMG("ID_AAF95BF9A1304A0693E0346D90E4CF2C",1)</v>
      </c>
      <c r="Q78" s="25" t="s">
        <v>1974</v>
      </c>
      <c r="R78" s="25">
        <v>228</v>
      </c>
      <c r="S78" s="40" t="s">
        <v>4365</v>
      </c>
      <c r="T78" s="18" t="s">
        <v>38</v>
      </c>
      <c r="U78" s="25">
        <v>2</v>
      </c>
      <c r="V78" s="25">
        <v>0</v>
      </c>
      <c r="W78" s="25"/>
    </row>
    <row r="79" s="34" customFormat="1" hidden="1" customHeight="1" spans="1:23">
      <c r="A79" s="25">
        <v>6</v>
      </c>
      <c r="B79" s="175" t="s">
        <v>1286</v>
      </c>
      <c r="C79" s="175" t="s">
        <v>165</v>
      </c>
      <c r="D79" s="175" t="s">
        <v>1287</v>
      </c>
      <c r="E79" s="25">
        <v>18296159811</v>
      </c>
      <c r="F79" s="175" t="s">
        <v>278</v>
      </c>
      <c r="G79" s="175" t="s">
        <v>28</v>
      </c>
      <c r="H79" s="25">
        <v>202103001</v>
      </c>
      <c r="I79" s="175" t="s">
        <v>279</v>
      </c>
      <c r="J79" s="175" t="s">
        <v>1289</v>
      </c>
      <c r="K79" s="175" t="s">
        <v>280</v>
      </c>
      <c r="L79" s="175" t="s">
        <v>170</v>
      </c>
      <c r="M79" s="175" t="s">
        <v>216</v>
      </c>
      <c r="N79" s="175" t="s">
        <v>960</v>
      </c>
      <c r="O79" s="175" t="s">
        <v>1290</v>
      </c>
      <c r="P79" s="26" t="str">
        <f>_xlfn.DISPIMG("ID_FACC95E727304010BE372974F21E9256",1)</f>
        <v>=DISPIMG("ID_FACC95E727304010BE372974F21E9256",1)</v>
      </c>
      <c r="Q79" s="25" t="s">
        <v>1291</v>
      </c>
      <c r="R79" s="25">
        <v>139</v>
      </c>
      <c r="S79" s="40" t="s">
        <v>4350</v>
      </c>
      <c r="T79" s="18" t="s">
        <v>38</v>
      </c>
      <c r="U79" s="25">
        <v>5</v>
      </c>
      <c r="V79" s="25">
        <v>0</v>
      </c>
      <c r="W79" s="25"/>
    </row>
    <row r="80" s="34" customFormat="1" hidden="1" customHeight="1" spans="1:23">
      <c r="A80" s="25">
        <v>1</v>
      </c>
      <c r="B80" s="175" t="s">
        <v>1218</v>
      </c>
      <c r="C80" s="175" t="s">
        <v>165</v>
      </c>
      <c r="D80" s="175" t="s">
        <v>1219</v>
      </c>
      <c r="E80" s="25">
        <v>17679241558</v>
      </c>
      <c r="F80" s="175" t="s">
        <v>278</v>
      </c>
      <c r="G80" s="175" t="s">
        <v>28</v>
      </c>
      <c r="H80" s="25">
        <v>202103001</v>
      </c>
      <c r="I80" s="175" t="s">
        <v>279</v>
      </c>
      <c r="J80" s="175" t="s">
        <v>1221</v>
      </c>
      <c r="K80" s="175" t="s">
        <v>280</v>
      </c>
      <c r="L80" s="175" t="s">
        <v>170</v>
      </c>
      <c r="M80" s="175" t="s">
        <v>161</v>
      </c>
      <c r="N80" s="175" t="s">
        <v>1222</v>
      </c>
      <c r="O80" s="175" t="s">
        <v>1223</v>
      </c>
      <c r="P80" s="26" t="str">
        <f>_xlfn.DISPIMG("ID_9D5D5082709049DE9F85EE45C9D21765",1)</f>
        <v>=DISPIMG("ID_9D5D5082709049DE9F85EE45C9D21765",1)</v>
      </c>
      <c r="Q80" s="25" t="s">
        <v>1224</v>
      </c>
      <c r="R80" s="25">
        <v>129</v>
      </c>
      <c r="S80" s="40" t="s">
        <v>4345</v>
      </c>
      <c r="T80" s="18" t="s">
        <v>38</v>
      </c>
      <c r="U80" s="25">
        <v>6</v>
      </c>
      <c r="V80" s="25">
        <v>0</v>
      </c>
      <c r="W80" s="25"/>
    </row>
    <row r="81" s="34" customFormat="1" hidden="1" customHeight="1" spans="1:23">
      <c r="A81" s="25">
        <v>2</v>
      </c>
      <c r="B81" s="175" t="s">
        <v>1234</v>
      </c>
      <c r="C81" s="175" t="s">
        <v>165</v>
      </c>
      <c r="D81" s="175" t="s">
        <v>1235</v>
      </c>
      <c r="E81" s="25">
        <v>18870682713</v>
      </c>
      <c r="F81" s="175" t="s">
        <v>278</v>
      </c>
      <c r="G81" s="175" t="s">
        <v>28</v>
      </c>
      <c r="H81" s="25">
        <v>202103001</v>
      </c>
      <c r="I81" s="175" t="s">
        <v>279</v>
      </c>
      <c r="J81" s="175" t="s">
        <v>1237</v>
      </c>
      <c r="K81" s="175" t="s">
        <v>280</v>
      </c>
      <c r="L81" s="175" t="s">
        <v>170</v>
      </c>
      <c r="M81" s="175" t="s">
        <v>161</v>
      </c>
      <c r="N81" s="175" t="s">
        <v>340</v>
      </c>
      <c r="O81" s="175" t="s">
        <v>1238</v>
      </c>
      <c r="P81" s="26" t="str">
        <f>_xlfn.DISPIMG("ID_BE82B2F060544F05BBDE4FAB7F0C0521",1)</f>
        <v>=DISPIMG("ID_BE82B2F060544F05BBDE4FAB7F0C0521",1)</v>
      </c>
      <c r="Q81" s="25" t="s">
        <v>1239</v>
      </c>
      <c r="R81" s="25">
        <v>131</v>
      </c>
      <c r="S81" s="40" t="s">
        <v>4346</v>
      </c>
      <c r="T81" s="18" t="s">
        <v>38</v>
      </c>
      <c r="U81" s="25">
        <v>7</v>
      </c>
      <c r="V81" s="25">
        <v>0</v>
      </c>
      <c r="W81" s="25"/>
    </row>
    <row r="82" s="34" customFormat="1" hidden="1" customHeight="1" spans="1:23">
      <c r="A82" s="25">
        <v>12</v>
      </c>
      <c r="B82" s="175" t="s">
        <v>1535</v>
      </c>
      <c r="C82" s="175" t="s">
        <v>165</v>
      </c>
      <c r="D82" s="175" t="s">
        <v>1536</v>
      </c>
      <c r="E82" s="25">
        <v>17779207332</v>
      </c>
      <c r="F82" s="175" t="s">
        <v>278</v>
      </c>
      <c r="G82" s="175" t="s">
        <v>28</v>
      </c>
      <c r="H82" s="25">
        <v>202103001</v>
      </c>
      <c r="I82" s="175" t="s">
        <v>279</v>
      </c>
      <c r="J82" s="175" t="s">
        <v>765</v>
      </c>
      <c r="K82" s="175" t="s">
        <v>280</v>
      </c>
      <c r="L82" s="175" t="s">
        <v>170</v>
      </c>
      <c r="M82" s="175" t="s">
        <v>235</v>
      </c>
      <c r="N82" s="175" t="s">
        <v>517</v>
      </c>
      <c r="O82" s="175" t="s">
        <v>1538</v>
      </c>
      <c r="P82" s="26" t="str">
        <f>_xlfn.DISPIMG("ID_E53DAA599F9A40239F1135427FCA9C4F",1)</f>
        <v>=DISPIMG("ID_E53DAA599F9A40239F1135427FCA9C4F",1)</v>
      </c>
      <c r="Q82" s="25" t="s">
        <v>1539</v>
      </c>
      <c r="R82" s="25">
        <v>171</v>
      </c>
      <c r="S82" s="40" t="s">
        <v>4356</v>
      </c>
      <c r="T82" s="18" t="s">
        <v>38</v>
      </c>
      <c r="U82" s="25">
        <v>9</v>
      </c>
      <c r="V82" s="25">
        <v>0</v>
      </c>
      <c r="W82" s="25"/>
    </row>
    <row r="83" s="34" customFormat="1" hidden="1" customHeight="1" spans="1:23">
      <c r="A83" s="25">
        <v>17</v>
      </c>
      <c r="B83" s="175" t="s">
        <v>1773</v>
      </c>
      <c r="C83" s="175" t="s">
        <v>165</v>
      </c>
      <c r="D83" s="175" t="s">
        <v>1774</v>
      </c>
      <c r="E83" s="25">
        <v>15070865413</v>
      </c>
      <c r="F83" s="175" t="s">
        <v>278</v>
      </c>
      <c r="G83" s="175" t="s">
        <v>28</v>
      </c>
      <c r="H83" s="25">
        <v>202103001</v>
      </c>
      <c r="I83" s="175" t="s">
        <v>279</v>
      </c>
      <c r="J83" s="175" t="s">
        <v>662</v>
      </c>
      <c r="K83" s="175" t="s">
        <v>280</v>
      </c>
      <c r="L83" s="175" t="s">
        <v>170</v>
      </c>
      <c r="M83" s="175" t="s">
        <v>161</v>
      </c>
      <c r="N83" s="175" t="s">
        <v>1776</v>
      </c>
      <c r="O83" s="175" t="s">
        <v>1777</v>
      </c>
      <c r="P83" s="26" t="str">
        <f>_xlfn.DISPIMG("ID_870E78DB9450493E87561F4FC105D429",1)</f>
        <v>=DISPIMG("ID_870E78DB9450493E87561F4FC105D429",1)</v>
      </c>
      <c r="Q83" s="25" t="s">
        <v>1778</v>
      </c>
      <c r="R83" s="25">
        <v>202</v>
      </c>
      <c r="S83" s="40" t="s">
        <v>4361</v>
      </c>
      <c r="T83" s="18" t="s">
        <v>38</v>
      </c>
      <c r="U83" s="25">
        <v>10</v>
      </c>
      <c r="V83" s="25">
        <v>0</v>
      </c>
      <c r="W83" s="25"/>
    </row>
    <row r="84" s="34" customFormat="1" hidden="1" customHeight="1" spans="1:23">
      <c r="A84" s="25">
        <v>13</v>
      </c>
      <c r="B84" s="175" t="s">
        <v>1559</v>
      </c>
      <c r="C84" s="175" t="s">
        <v>165</v>
      </c>
      <c r="D84" s="175" t="s">
        <v>1560</v>
      </c>
      <c r="E84" s="25">
        <v>18720242536</v>
      </c>
      <c r="F84" s="175" t="s">
        <v>278</v>
      </c>
      <c r="G84" s="175" t="s">
        <v>28</v>
      </c>
      <c r="H84" s="25">
        <v>202103001</v>
      </c>
      <c r="I84" s="175" t="s">
        <v>279</v>
      </c>
      <c r="J84" s="175" t="s">
        <v>876</v>
      </c>
      <c r="K84" s="175" t="s">
        <v>960</v>
      </c>
      <c r="L84" s="175" t="s">
        <v>170</v>
      </c>
      <c r="M84" s="175" t="s">
        <v>171</v>
      </c>
      <c r="N84" s="175" t="s">
        <v>340</v>
      </c>
      <c r="O84" s="175" t="s">
        <v>1562</v>
      </c>
      <c r="P84" s="26" t="str">
        <f>_xlfn.DISPIMG("ID_9804FB5AA98E4D44BBA382539FDAF7F0",1)</f>
        <v>=DISPIMG("ID_9804FB5AA98E4D44BBA382539FDAF7F0",1)</v>
      </c>
      <c r="Q84" s="25" t="s">
        <v>1563</v>
      </c>
      <c r="R84" s="25">
        <v>174</v>
      </c>
      <c r="S84" s="40" t="s">
        <v>4357</v>
      </c>
      <c r="T84" s="18" t="s">
        <v>38</v>
      </c>
      <c r="U84" s="25">
        <v>16</v>
      </c>
      <c r="V84" s="25">
        <v>0</v>
      </c>
      <c r="W84" s="25"/>
    </row>
    <row r="85" s="34" customFormat="1" hidden="1" customHeight="1" spans="1:23">
      <c r="A85" s="25">
        <v>8</v>
      </c>
      <c r="B85" s="175" t="s">
        <v>1327</v>
      </c>
      <c r="C85" s="175" t="s">
        <v>165</v>
      </c>
      <c r="D85" s="175" t="s">
        <v>1328</v>
      </c>
      <c r="E85" s="25">
        <v>15870865214</v>
      </c>
      <c r="F85" s="175" t="s">
        <v>278</v>
      </c>
      <c r="G85" s="175" t="s">
        <v>28</v>
      </c>
      <c r="H85" s="25">
        <v>202103001</v>
      </c>
      <c r="I85" s="175" t="s">
        <v>279</v>
      </c>
      <c r="J85" s="175" t="s">
        <v>1330</v>
      </c>
      <c r="K85" s="175" t="s">
        <v>1331</v>
      </c>
      <c r="L85" s="175" t="s">
        <v>160</v>
      </c>
      <c r="M85" s="175" t="s">
        <v>368</v>
      </c>
      <c r="N85" s="175" t="s">
        <v>1418</v>
      </c>
      <c r="O85" s="25">
        <v>0</v>
      </c>
      <c r="P85" s="26" t="str">
        <f>_xlfn.DISPIMG("ID_042121583D6C4BE29ACF5C4CE545F254",1)</f>
        <v>=DISPIMG("ID_042121583D6C4BE29ACF5C4CE545F254",1)</v>
      </c>
      <c r="Q85" s="25" t="s">
        <v>1333</v>
      </c>
      <c r="R85" s="25">
        <v>156</v>
      </c>
      <c r="S85" s="40" t="s">
        <v>4352</v>
      </c>
      <c r="T85" s="18" t="s">
        <v>38</v>
      </c>
      <c r="U85" s="25">
        <v>17</v>
      </c>
      <c r="V85" s="25">
        <v>0</v>
      </c>
      <c r="W85" s="25"/>
    </row>
    <row r="86" s="34" customFormat="1" hidden="1" customHeight="1" spans="1:23">
      <c r="A86" s="25">
        <v>3</v>
      </c>
      <c r="B86" s="175" t="s">
        <v>1242</v>
      </c>
      <c r="C86" s="175" t="s">
        <v>165</v>
      </c>
      <c r="D86" s="175" t="s">
        <v>1243</v>
      </c>
      <c r="E86" s="25">
        <v>18870899233</v>
      </c>
      <c r="F86" s="175" t="s">
        <v>278</v>
      </c>
      <c r="G86" s="175" t="s">
        <v>28</v>
      </c>
      <c r="H86" s="25">
        <v>202103001</v>
      </c>
      <c r="I86" s="175" t="s">
        <v>279</v>
      </c>
      <c r="J86" s="175" t="s">
        <v>1237</v>
      </c>
      <c r="K86" s="175" t="s">
        <v>280</v>
      </c>
      <c r="L86" s="175" t="s">
        <v>170</v>
      </c>
      <c r="M86" s="175" t="s">
        <v>161</v>
      </c>
      <c r="N86" s="175" t="s">
        <v>340</v>
      </c>
      <c r="O86" s="175" t="s">
        <v>1245</v>
      </c>
      <c r="P86" s="26" t="str">
        <f>_xlfn.DISPIMG("ID_1047B30E34C949B594403C816BBC2C68",1)</f>
        <v>=DISPIMG("ID_1047B30E34C949B594403C816BBC2C68",1)</v>
      </c>
      <c r="Q86" s="25" t="s">
        <v>1246</v>
      </c>
      <c r="R86" s="25">
        <v>132</v>
      </c>
      <c r="S86" s="40" t="s">
        <v>4347</v>
      </c>
      <c r="T86" s="18" t="s">
        <v>38</v>
      </c>
      <c r="U86" s="25">
        <v>18</v>
      </c>
      <c r="V86" s="25">
        <v>0</v>
      </c>
      <c r="W86" s="25"/>
    </row>
    <row r="87" s="34" customFormat="1" hidden="1" customHeight="1" spans="1:23">
      <c r="A87" s="25">
        <v>4</v>
      </c>
      <c r="B87" s="175" t="s">
        <v>1249</v>
      </c>
      <c r="C87" s="175" t="s">
        <v>153</v>
      </c>
      <c r="D87" s="175" t="s">
        <v>1250</v>
      </c>
      <c r="E87" s="25">
        <v>13687914090</v>
      </c>
      <c r="F87" s="175" t="s">
        <v>278</v>
      </c>
      <c r="G87" s="175" t="s">
        <v>28</v>
      </c>
      <c r="H87" s="25">
        <v>202103001</v>
      </c>
      <c r="I87" s="175" t="s">
        <v>279</v>
      </c>
      <c r="J87" s="175" t="s">
        <v>515</v>
      </c>
      <c r="K87" s="175" t="s">
        <v>280</v>
      </c>
      <c r="L87" s="175" t="s">
        <v>170</v>
      </c>
      <c r="M87" s="175" t="s">
        <v>541</v>
      </c>
      <c r="N87" s="175" t="s">
        <v>376</v>
      </c>
      <c r="O87" s="25">
        <v>0</v>
      </c>
      <c r="P87" s="26" t="str">
        <f>_xlfn.DISPIMG("ID_42B7E9B54AA84CB08052198053CBAE81",1)</f>
        <v>=DISPIMG("ID_42B7E9B54AA84CB08052198053CBAE81",1)</v>
      </c>
      <c r="Q87" s="25" t="s">
        <v>1252</v>
      </c>
      <c r="R87" s="25">
        <v>133</v>
      </c>
      <c r="S87" s="40" t="s">
        <v>4348</v>
      </c>
      <c r="T87" s="18" t="s">
        <v>38</v>
      </c>
      <c r="U87" s="25">
        <v>19</v>
      </c>
      <c r="V87" s="25">
        <v>0</v>
      </c>
      <c r="W87" s="25"/>
    </row>
    <row r="88" s="34" customFormat="1" hidden="1" customHeight="1" spans="1:23">
      <c r="A88" s="25">
        <v>10</v>
      </c>
      <c r="B88" s="175" t="s">
        <v>1454</v>
      </c>
      <c r="C88" s="175" t="s">
        <v>165</v>
      </c>
      <c r="D88" s="175" t="s">
        <v>1455</v>
      </c>
      <c r="E88" s="25">
        <v>15679261175</v>
      </c>
      <c r="F88" s="175" t="s">
        <v>278</v>
      </c>
      <c r="G88" s="175" t="s">
        <v>28</v>
      </c>
      <c r="H88" s="25">
        <v>202103001</v>
      </c>
      <c r="I88" s="175" t="s">
        <v>157</v>
      </c>
      <c r="J88" s="175" t="s">
        <v>1457</v>
      </c>
      <c r="K88" s="175" t="s">
        <v>280</v>
      </c>
      <c r="L88" s="175" t="s">
        <v>160</v>
      </c>
      <c r="M88" s="175" t="s">
        <v>368</v>
      </c>
      <c r="N88" s="175" t="s">
        <v>1458</v>
      </c>
      <c r="O88" s="175" t="s">
        <v>1459</v>
      </c>
      <c r="P88" s="26" t="str">
        <f>_xlfn.DISPIMG("ID_B3F35F8B340047F693855C9AE3461262",1)</f>
        <v>=DISPIMG("ID_B3F35F8B340047F693855C9AE3461262",1)</v>
      </c>
      <c r="Q88" s="25" t="s">
        <v>1460</v>
      </c>
      <c r="R88" s="25">
        <v>161</v>
      </c>
      <c r="S88" s="40" t="s">
        <v>4354</v>
      </c>
      <c r="T88" s="18" t="s">
        <v>38</v>
      </c>
      <c r="U88" s="25">
        <v>29</v>
      </c>
      <c r="V88" s="25">
        <v>0</v>
      </c>
      <c r="W88" s="25"/>
    </row>
    <row r="89" s="34" customFormat="1" hidden="1" customHeight="1" spans="1:23">
      <c r="A89" s="25">
        <v>16</v>
      </c>
      <c r="B89" s="175" t="s">
        <v>2887</v>
      </c>
      <c r="C89" s="175" t="s">
        <v>165</v>
      </c>
      <c r="D89" s="175" t="s">
        <v>2888</v>
      </c>
      <c r="E89" s="25">
        <v>15879243291</v>
      </c>
      <c r="F89" s="175" t="s">
        <v>278</v>
      </c>
      <c r="G89" s="175" t="s">
        <v>28</v>
      </c>
      <c r="H89" s="25">
        <v>202103001</v>
      </c>
      <c r="I89" s="175" t="s">
        <v>279</v>
      </c>
      <c r="J89" s="175" t="s">
        <v>2890</v>
      </c>
      <c r="K89" s="175" t="s">
        <v>280</v>
      </c>
      <c r="L89" s="175" t="s">
        <v>170</v>
      </c>
      <c r="M89" s="175" t="s">
        <v>261</v>
      </c>
      <c r="N89" s="175" t="s">
        <v>2462</v>
      </c>
      <c r="O89" s="175" t="s">
        <v>2891</v>
      </c>
      <c r="P89" s="26" t="str">
        <f>_xlfn.DISPIMG("ID_0C2059A8D9A84C38B1CE4EFB24FA358E",1)</f>
        <v>=DISPIMG("ID_0C2059A8D9A84C38B1CE4EFB24FA358E",1)</v>
      </c>
      <c r="Q89" s="25" t="s">
        <v>2892</v>
      </c>
      <c r="R89" s="25">
        <v>351</v>
      </c>
      <c r="S89" s="40" t="s">
        <v>4390</v>
      </c>
      <c r="T89" s="18" t="s">
        <v>39</v>
      </c>
      <c r="U89" s="25">
        <v>3</v>
      </c>
      <c r="V89" s="25">
        <v>0</v>
      </c>
      <c r="W89" s="25"/>
    </row>
    <row r="90" s="34" customFormat="1" hidden="1" customHeight="1" spans="1:23">
      <c r="A90" s="25">
        <v>2</v>
      </c>
      <c r="B90" s="175" t="s">
        <v>2445</v>
      </c>
      <c r="C90" s="175" t="s">
        <v>165</v>
      </c>
      <c r="D90" s="175" t="s">
        <v>2446</v>
      </c>
      <c r="E90" s="25">
        <v>15270593089</v>
      </c>
      <c r="F90" s="175" t="s">
        <v>278</v>
      </c>
      <c r="G90" s="175" t="s">
        <v>28</v>
      </c>
      <c r="H90" s="25">
        <v>202103001</v>
      </c>
      <c r="I90" s="175" t="s">
        <v>279</v>
      </c>
      <c r="J90" s="175" t="s">
        <v>367</v>
      </c>
      <c r="K90" s="175" t="s">
        <v>280</v>
      </c>
      <c r="L90" s="175" t="s">
        <v>170</v>
      </c>
      <c r="M90" s="175" t="s">
        <v>161</v>
      </c>
      <c r="N90" s="175" t="s">
        <v>517</v>
      </c>
      <c r="O90" s="175" t="s">
        <v>2448</v>
      </c>
      <c r="P90" s="26" t="str">
        <f>_xlfn.DISPIMG("ID_5A60F5CEF6FD4D2AB2A12133308D2C7D",1)</f>
        <v>=DISPIMG("ID_5A60F5CEF6FD4D2AB2A12133308D2C7D",1)</v>
      </c>
      <c r="Q90" s="25" t="s">
        <v>2449</v>
      </c>
      <c r="R90" s="25">
        <v>291</v>
      </c>
      <c r="S90" s="40" t="s">
        <v>4376</v>
      </c>
      <c r="T90" s="18" t="s">
        <v>39</v>
      </c>
      <c r="U90" s="25">
        <v>7</v>
      </c>
      <c r="V90" s="25">
        <v>0</v>
      </c>
      <c r="W90" s="25"/>
    </row>
    <row r="91" s="34" customFormat="1" hidden="1" customHeight="1" spans="1:23">
      <c r="A91" s="25">
        <v>22</v>
      </c>
      <c r="B91" s="175" t="s">
        <v>3172</v>
      </c>
      <c r="C91" s="175" t="s">
        <v>165</v>
      </c>
      <c r="D91" s="175" t="s">
        <v>3173</v>
      </c>
      <c r="E91" s="25">
        <v>18970280941</v>
      </c>
      <c r="F91" s="175" t="s">
        <v>278</v>
      </c>
      <c r="G91" s="175" t="s">
        <v>28</v>
      </c>
      <c r="H91" s="25">
        <v>202103001</v>
      </c>
      <c r="I91" s="175" t="s">
        <v>585</v>
      </c>
      <c r="J91" s="175" t="s">
        <v>3174</v>
      </c>
      <c r="K91" s="175" t="s">
        <v>586</v>
      </c>
      <c r="L91" s="175" t="s">
        <v>170</v>
      </c>
      <c r="M91" s="175" t="s">
        <v>3039</v>
      </c>
      <c r="N91" s="175" t="s">
        <v>340</v>
      </c>
      <c r="O91" s="175" t="s">
        <v>3175</v>
      </c>
      <c r="P91" s="26" t="str">
        <f>_xlfn.DISPIMG("ID_0094E289D6FF483F911D447623CD2A7B",1)</f>
        <v>=DISPIMG("ID_0094E289D6FF483F911D447623CD2A7B",1)</v>
      </c>
      <c r="Q91" s="25" t="s">
        <v>3176</v>
      </c>
      <c r="R91" s="25">
        <v>394</v>
      </c>
      <c r="S91" s="40" t="s">
        <v>4396</v>
      </c>
      <c r="T91" s="18" t="s">
        <v>39</v>
      </c>
      <c r="U91" s="25">
        <v>11</v>
      </c>
      <c r="V91" s="25">
        <v>0</v>
      </c>
      <c r="W91" s="25"/>
    </row>
    <row r="92" s="34" customFormat="1" hidden="1" customHeight="1" spans="1:23">
      <c r="A92" s="25">
        <v>8</v>
      </c>
      <c r="B92" s="175" t="s">
        <v>2666</v>
      </c>
      <c r="C92" s="175" t="s">
        <v>165</v>
      </c>
      <c r="D92" s="175" t="s">
        <v>2667</v>
      </c>
      <c r="E92" s="25">
        <v>13367011157</v>
      </c>
      <c r="F92" s="175" t="s">
        <v>278</v>
      </c>
      <c r="G92" s="175" t="s">
        <v>28</v>
      </c>
      <c r="H92" s="25">
        <v>202103001</v>
      </c>
      <c r="I92" s="175" t="s">
        <v>279</v>
      </c>
      <c r="J92" s="175" t="s">
        <v>2669</v>
      </c>
      <c r="K92" s="175" t="s">
        <v>280</v>
      </c>
      <c r="L92" s="175" t="s">
        <v>170</v>
      </c>
      <c r="M92" s="175" t="s">
        <v>368</v>
      </c>
      <c r="N92" s="175" t="s">
        <v>340</v>
      </c>
      <c r="O92" s="175" t="s">
        <v>2670</v>
      </c>
      <c r="P92" s="26" t="str">
        <f>_xlfn.DISPIMG("ID_F3E1E6ADC00F4323859304E86EC6B8D9",1)</f>
        <v>=DISPIMG("ID_F3E1E6ADC00F4323859304E86EC6B8D9",1)</v>
      </c>
      <c r="Q92" s="25" t="s">
        <v>2671</v>
      </c>
      <c r="R92" s="25">
        <v>321</v>
      </c>
      <c r="S92" s="40" t="s">
        <v>4382</v>
      </c>
      <c r="T92" s="18" t="s">
        <v>39</v>
      </c>
      <c r="U92" s="25">
        <v>17</v>
      </c>
      <c r="V92" s="25">
        <v>0</v>
      </c>
      <c r="W92" s="25"/>
    </row>
    <row r="93" s="34" customFormat="1" hidden="1" customHeight="1" spans="1:23">
      <c r="A93" s="25">
        <v>19</v>
      </c>
      <c r="B93" s="175" t="s">
        <v>3136</v>
      </c>
      <c r="C93" s="175" t="s">
        <v>165</v>
      </c>
      <c r="D93" s="175" t="s">
        <v>3137</v>
      </c>
      <c r="E93" s="25">
        <v>13207912916</v>
      </c>
      <c r="F93" s="175" t="s">
        <v>278</v>
      </c>
      <c r="G93" s="175" t="s">
        <v>28</v>
      </c>
      <c r="H93" s="25">
        <v>202103001</v>
      </c>
      <c r="I93" s="175" t="s">
        <v>157</v>
      </c>
      <c r="J93" s="175" t="s">
        <v>233</v>
      </c>
      <c r="K93" s="175" t="s">
        <v>280</v>
      </c>
      <c r="L93" s="175" t="s">
        <v>170</v>
      </c>
      <c r="M93" s="175" t="s">
        <v>199</v>
      </c>
      <c r="N93" s="175" t="s">
        <v>517</v>
      </c>
      <c r="O93" s="175" t="s">
        <v>3139</v>
      </c>
      <c r="P93" s="26" t="str">
        <f>_xlfn.DISPIMG("ID_5DD0D632EE9F43A696BEAC7A2AD60F9E",1)</f>
        <v>=DISPIMG("ID_5DD0D632EE9F43A696BEAC7A2AD60F9E",1)</v>
      </c>
      <c r="Q93" s="25" t="s">
        <v>3140</v>
      </c>
      <c r="R93" s="25">
        <v>388</v>
      </c>
      <c r="S93" s="40" t="s">
        <v>4393</v>
      </c>
      <c r="T93" s="18" t="s">
        <v>39</v>
      </c>
      <c r="U93" s="25">
        <v>22</v>
      </c>
      <c r="V93" s="25">
        <v>0</v>
      </c>
      <c r="W93" s="25"/>
    </row>
    <row r="94" s="34" customFormat="1" hidden="1" customHeight="1" spans="1:23">
      <c r="A94" s="25">
        <v>29</v>
      </c>
      <c r="B94" s="175" t="s">
        <v>3342</v>
      </c>
      <c r="C94" s="175" t="s">
        <v>165</v>
      </c>
      <c r="D94" s="175" t="s">
        <v>3343</v>
      </c>
      <c r="E94" s="25">
        <v>18320666217</v>
      </c>
      <c r="F94" s="175" t="s">
        <v>278</v>
      </c>
      <c r="G94" s="175" t="s">
        <v>28</v>
      </c>
      <c r="H94" s="25">
        <v>202103001</v>
      </c>
      <c r="I94" s="175" t="s">
        <v>157</v>
      </c>
      <c r="J94" s="175" t="s">
        <v>3345</v>
      </c>
      <c r="K94" s="175" t="s">
        <v>280</v>
      </c>
      <c r="L94" s="175" t="s">
        <v>170</v>
      </c>
      <c r="M94" s="175" t="s">
        <v>235</v>
      </c>
      <c r="N94" s="175" t="s">
        <v>3346</v>
      </c>
      <c r="O94" s="175" t="s">
        <v>3347</v>
      </c>
      <c r="P94" s="26" t="str">
        <f>_xlfn.DISPIMG("ID_E18EEBC59F6A4BD3BA9929CD3773910D",1)</f>
        <v>=DISPIMG("ID_E18EEBC59F6A4BD3BA9929CD3773910D",1)</v>
      </c>
      <c r="Q94" s="25" t="s">
        <v>3348</v>
      </c>
      <c r="R94" s="25">
        <v>421</v>
      </c>
      <c r="S94" s="40" t="s">
        <v>4403</v>
      </c>
      <c r="T94" s="18" t="s">
        <v>39</v>
      </c>
      <c r="U94" s="25">
        <v>24</v>
      </c>
      <c r="V94" s="25">
        <v>0</v>
      </c>
      <c r="W94" s="25"/>
    </row>
    <row r="95" s="34" customFormat="1" hidden="1" customHeight="1" spans="1:23">
      <c r="A95" s="25">
        <v>30</v>
      </c>
      <c r="B95" s="175" t="s">
        <v>3403</v>
      </c>
      <c r="C95" s="175" t="s">
        <v>165</v>
      </c>
      <c r="D95" s="175" t="s">
        <v>3404</v>
      </c>
      <c r="E95" s="25">
        <v>18000721221</v>
      </c>
      <c r="F95" s="175" t="s">
        <v>278</v>
      </c>
      <c r="G95" s="175" t="s">
        <v>28</v>
      </c>
      <c r="H95" s="25">
        <v>202103001</v>
      </c>
      <c r="I95" s="175" t="s">
        <v>279</v>
      </c>
      <c r="J95" s="175" t="s">
        <v>168</v>
      </c>
      <c r="K95" s="175" t="s">
        <v>280</v>
      </c>
      <c r="L95" s="175" t="s">
        <v>170</v>
      </c>
      <c r="M95" s="175" t="s">
        <v>516</v>
      </c>
      <c r="N95" s="175" t="s">
        <v>280</v>
      </c>
      <c r="O95" s="175" t="s">
        <v>3405</v>
      </c>
      <c r="P95" s="26" t="str">
        <f>_xlfn.DISPIMG("ID_7EFAC0679406489199323C08AE652767",1)</f>
        <v>=DISPIMG("ID_7EFAC0679406489199323C08AE652767",1)</v>
      </c>
      <c r="Q95" s="25" t="s">
        <v>3406</v>
      </c>
      <c r="R95" s="25">
        <v>429</v>
      </c>
      <c r="S95" s="40" t="s">
        <v>4404</v>
      </c>
      <c r="T95" s="18" t="s">
        <v>39</v>
      </c>
      <c r="U95" s="25">
        <v>25</v>
      </c>
      <c r="V95" s="25">
        <v>0</v>
      </c>
      <c r="W95" s="25"/>
    </row>
    <row r="96" s="34" customFormat="1" hidden="1" customHeight="1" spans="1:23">
      <c r="A96" s="25">
        <v>15</v>
      </c>
      <c r="B96" s="175" t="s">
        <v>2862</v>
      </c>
      <c r="C96" s="175" t="s">
        <v>165</v>
      </c>
      <c r="D96" s="175" t="s">
        <v>2863</v>
      </c>
      <c r="E96" s="25">
        <v>16623154389</v>
      </c>
      <c r="F96" s="175" t="s">
        <v>278</v>
      </c>
      <c r="G96" s="175" t="s">
        <v>28</v>
      </c>
      <c r="H96" s="25">
        <v>202103001</v>
      </c>
      <c r="I96" s="175" t="s">
        <v>585</v>
      </c>
      <c r="J96" s="175" t="s">
        <v>2865</v>
      </c>
      <c r="K96" s="175" t="s">
        <v>280</v>
      </c>
      <c r="L96" s="175" t="s">
        <v>170</v>
      </c>
      <c r="M96" s="175" t="s">
        <v>577</v>
      </c>
      <c r="N96" s="175" t="s">
        <v>2866</v>
      </c>
      <c r="O96" s="175" t="s">
        <v>2867</v>
      </c>
      <c r="P96" s="26" t="str">
        <f>_xlfn.DISPIMG("ID_2A4EA762BC734560A58995F31757BD03",1)</f>
        <v>=DISPIMG("ID_2A4EA762BC734560A58995F31757BD03",1)</v>
      </c>
      <c r="Q96" s="25" t="s">
        <v>2868</v>
      </c>
      <c r="R96" s="25">
        <v>348</v>
      </c>
      <c r="S96" s="40" t="s">
        <v>4389</v>
      </c>
      <c r="T96" s="18" t="s">
        <v>39</v>
      </c>
      <c r="U96" s="25">
        <v>28</v>
      </c>
      <c r="V96" s="25">
        <v>0</v>
      </c>
      <c r="W96" s="25"/>
    </row>
    <row r="97" s="34" customFormat="1" hidden="1" customHeight="1" spans="1:23">
      <c r="A97" s="25">
        <v>10</v>
      </c>
      <c r="B97" s="175" t="s">
        <v>2739</v>
      </c>
      <c r="C97" s="175" t="s">
        <v>165</v>
      </c>
      <c r="D97" s="175" t="s">
        <v>2740</v>
      </c>
      <c r="E97" s="25">
        <v>15180645133</v>
      </c>
      <c r="F97" s="175" t="s">
        <v>278</v>
      </c>
      <c r="G97" s="175" t="s">
        <v>28</v>
      </c>
      <c r="H97" s="25">
        <v>202103001</v>
      </c>
      <c r="I97" s="175" t="s">
        <v>279</v>
      </c>
      <c r="J97" s="175" t="s">
        <v>2741</v>
      </c>
      <c r="K97" s="175" t="s">
        <v>2742</v>
      </c>
      <c r="L97" s="175" t="s">
        <v>160</v>
      </c>
      <c r="M97" s="175" t="s">
        <v>577</v>
      </c>
      <c r="N97" s="175" t="s">
        <v>28</v>
      </c>
      <c r="O97" s="25">
        <v>0</v>
      </c>
      <c r="P97" s="26" t="str">
        <f>_xlfn.DISPIMG("ID_DBC66D2ED4394B2EABDB1526C646D9F0",1)</f>
        <v>=DISPIMG("ID_DBC66D2ED4394B2EABDB1526C646D9F0",1)</v>
      </c>
      <c r="Q97" s="25" t="s">
        <v>2743</v>
      </c>
      <c r="R97" s="25">
        <v>331</v>
      </c>
      <c r="S97" s="40" t="s">
        <v>4384</v>
      </c>
      <c r="T97" s="18" t="s">
        <v>39</v>
      </c>
      <c r="U97" s="25">
        <v>29</v>
      </c>
      <c r="V97" s="25">
        <v>0</v>
      </c>
      <c r="W97" s="25"/>
    </row>
    <row r="98" s="34" customFormat="1" hidden="1" customHeight="1" spans="1:23">
      <c r="A98" s="25">
        <v>9</v>
      </c>
      <c r="B98" s="175" t="s">
        <v>4259</v>
      </c>
      <c r="C98" s="175" t="s">
        <v>165</v>
      </c>
      <c r="D98" s="175" t="s">
        <v>4260</v>
      </c>
      <c r="E98" s="25">
        <v>15270817874</v>
      </c>
      <c r="F98" s="175" t="s">
        <v>278</v>
      </c>
      <c r="G98" s="175" t="s">
        <v>28</v>
      </c>
      <c r="H98" s="25">
        <v>202103001</v>
      </c>
      <c r="I98" s="175" t="s">
        <v>279</v>
      </c>
      <c r="J98" s="175" t="s">
        <v>339</v>
      </c>
      <c r="K98" s="175" t="s">
        <v>280</v>
      </c>
      <c r="L98" s="175" t="s">
        <v>170</v>
      </c>
      <c r="M98" s="175" t="s">
        <v>368</v>
      </c>
      <c r="N98" s="175" t="s">
        <v>4262</v>
      </c>
      <c r="O98" s="175" t="s">
        <v>4263</v>
      </c>
      <c r="P98" s="26" t="str">
        <f>_xlfn.DISPIMG("ID_7ED866D6DEDB4511B970FE38712BEDF5",1)</f>
        <v>=DISPIMG("ID_7ED866D6DEDB4511B970FE38712BEDF5",1)</v>
      </c>
      <c r="Q98" s="25" t="s">
        <v>4264</v>
      </c>
      <c r="R98" s="25">
        <v>545</v>
      </c>
      <c r="S98" s="40" t="s">
        <v>4421</v>
      </c>
      <c r="T98" s="18" t="s">
        <v>40</v>
      </c>
      <c r="U98" s="25">
        <v>1</v>
      </c>
      <c r="V98" s="25">
        <v>0</v>
      </c>
      <c r="W98" s="25"/>
    </row>
    <row r="99" s="34" customFormat="1" hidden="1" customHeight="1" spans="1:23">
      <c r="A99" s="25">
        <v>8</v>
      </c>
      <c r="B99" s="175" t="s">
        <v>4237</v>
      </c>
      <c r="C99" s="175" t="s">
        <v>165</v>
      </c>
      <c r="D99" s="175" t="s">
        <v>4238</v>
      </c>
      <c r="E99" s="25">
        <v>15170274665</v>
      </c>
      <c r="F99" s="175" t="s">
        <v>278</v>
      </c>
      <c r="G99" s="175" t="s">
        <v>28</v>
      </c>
      <c r="H99" s="25">
        <v>202103001</v>
      </c>
      <c r="I99" s="175" t="s">
        <v>585</v>
      </c>
      <c r="J99" s="175" t="s">
        <v>367</v>
      </c>
      <c r="K99" s="175" t="s">
        <v>280</v>
      </c>
      <c r="L99" s="175" t="s">
        <v>170</v>
      </c>
      <c r="M99" s="175" t="s">
        <v>368</v>
      </c>
      <c r="N99" s="175" t="s">
        <v>376</v>
      </c>
      <c r="O99" s="175" t="s">
        <v>4240</v>
      </c>
      <c r="P99" s="26" t="str">
        <f>_xlfn.DISPIMG("ID_7116E6EB313E4CDBB6AEC2C13A4D6810",1)</f>
        <v>=DISPIMG("ID_7116E6EB313E4CDBB6AEC2C13A4D6810",1)</v>
      </c>
      <c r="Q99" s="25" t="s">
        <v>4241</v>
      </c>
      <c r="R99" s="25">
        <v>542</v>
      </c>
      <c r="S99" s="40" t="s">
        <v>4419</v>
      </c>
      <c r="T99" s="18" t="s">
        <v>40</v>
      </c>
      <c r="U99" s="25">
        <v>2</v>
      </c>
      <c r="V99" s="25">
        <v>0</v>
      </c>
      <c r="W99" s="25"/>
    </row>
    <row r="100" s="34" customFormat="1" hidden="1" customHeight="1" spans="1:23">
      <c r="A100" s="25">
        <v>7</v>
      </c>
      <c r="B100" s="175" t="s">
        <v>3720</v>
      </c>
      <c r="C100" s="175" t="s">
        <v>165</v>
      </c>
      <c r="D100" s="175" t="s">
        <v>3721</v>
      </c>
      <c r="E100" s="25">
        <v>15970603423</v>
      </c>
      <c r="F100" s="175" t="s">
        <v>278</v>
      </c>
      <c r="G100" s="175" t="s">
        <v>28</v>
      </c>
      <c r="H100" s="25">
        <v>202103001</v>
      </c>
      <c r="I100" s="175" t="s">
        <v>157</v>
      </c>
      <c r="J100" s="175" t="s">
        <v>178</v>
      </c>
      <c r="K100" s="175" t="s">
        <v>960</v>
      </c>
      <c r="L100" s="175" t="s">
        <v>170</v>
      </c>
      <c r="M100" s="175" t="s">
        <v>180</v>
      </c>
      <c r="N100" s="175" t="s">
        <v>340</v>
      </c>
      <c r="O100" s="175" t="s">
        <v>3723</v>
      </c>
      <c r="P100" s="26" t="str">
        <f>_xlfn.DISPIMG("ID_38A4C94876C044A5A6F3E884E1CD36B4",1)</f>
        <v>=DISPIMG("ID_38A4C94876C044A5A6F3E884E1CD36B4",1)</v>
      </c>
      <c r="Q100" s="25" t="s">
        <v>3724</v>
      </c>
      <c r="R100" s="25">
        <v>474</v>
      </c>
      <c r="S100" s="40" t="s">
        <v>4418</v>
      </c>
      <c r="T100" s="18" t="s">
        <v>40</v>
      </c>
      <c r="U100" s="25">
        <v>3</v>
      </c>
      <c r="V100" s="25">
        <v>0</v>
      </c>
      <c r="W100" s="25"/>
    </row>
    <row r="101" s="34" customFormat="1" hidden="1" customHeight="1" spans="1:23">
      <c r="A101" s="25">
        <v>6</v>
      </c>
      <c r="B101" s="175" t="s">
        <v>3712</v>
      </c>
      <c r="C101" s="175" t="s">
        <v>165</v>
      </c>
      <c r="D101" s="175" t="s">
        <v>3713</v>
      </c>
      <c r="E101" s="25">
        <v>18720196269</v>
      </c>
      <c r="F101" s="175" t="s">
        <v>278</v>
      </c>
      <c r="G101" s="175" t="s">
        <v>28</v>
      </c>
      <c r="H101" s="25">
        <v>202103001</v>
      </c>
      <c r="I101" s="175" t="s">
        <v>585</v>
      </c>
      <c r="J101" s="175" t="s">
        <v>367</v>
      </c>
      <c r="K101" s="175" t="s">
        <v>2686</v>
      </c>
      <c r="L101" s="175" t="s">
        <v>160</v>
      </c>
      <c r="M101" s="175" t="s">
        <v>3039</v>
      </c>
      <c r="N101" s="175" t="s">
        <v>3715</v>
      </c>
      <c r="O101" s="175" t="s">
        <v>3716</v>
      </c>
      <c r="P101" s="26" t="str">
        <f>_xlfn.DISPIMG("ID_059DAEED1F3E457C93C0A1610046F2A5",1)</f>
        <v>=DISPIMG("ID_059DAEED1F3E457C93C0A1610046F2A5",1)</v>
      </c>
      <c r="Q101" s="25" t="s">
        <v>3717</v>
      </c>
      <c r="R101" s="25">
        <v>473</v>
      </c>
      <c r="S101" s="40" t="s">
        <v>4416</v>
      </c>
      <c r="T101" s="18" t="s">
        <v>40</v>
      </c>
      <c r="U101" s="25">
        <v>9</v>
      </c>
      <c r="V101" s="25">
        <v>0</v>
      </c>
      <c r="W101" s="25"/>
    </row>
    <row r="102" s="61" customFormat="1" hidden="1" customHeight="1" spans="1:23">
      <c r="A102" s="66">
        <v>3</v>
      </c>
      <c r="B102" s="182" t="s">
        <v>2726</v>
      </c>
      <c r="C102" s="182" t="s">
        <v>165</v>
      </c>
      <c r="D102" s="182" t="s">
        <v>2727</v>
      </c>
      <c r="E102" s="66">
        <v>18770822590</v>
      </c>
      <c r="F102" s="182" t="s">
        <v>156</v>
      </c>
      <c r="G102" s="182" t="s">
        <v>14</v>
      </c>
      <c r="H102" s="66">
        <v>202102001</v>
      </c>
      <c r="I102" s="182" t="s">
        <v>157</v>
      </c>
      <c r="J102" s="182" t="s">
        <v>233</v>
      </c>
      <c r="K102" s="182" t="s">
        <v>1570</v>
      </c>
      <c r="L102" s="182" t="s">
        <v>160</v>
      </c>
      <c r="M102" s="182" t="s">
        <v>252</v>
      </c>
      <c r="N102" s="182" t="s">
        <v>26</v>
      </c>
      <c r="O102" s="182" t="s">
        <v>2728</v>
      </c>
      <c r="P102" s="67" t="str">
        <f>_xlfn.DISPIMG("ID_BA1DF7BF960547A0983F8DB11C878B07",1)</f>
        <v>=DISPIMG("ID_BA1DF7BF960547A0983F8DB11C878B07",1)</v>
      </c>
      <c r="Q102" s="66" t="s">
        <v>2729</v>
      </c>
      <c r="R102" s="66">
        <v>329</v>
      </c>
      <c r="S102" s="68" t="s">
        <v>4453</v>
      </c>
      <c r="T102" s="69" t="s">
        <v>45</v>
      </c>
      <c r="U102" s="66">
        <v>18</v>
      </c>
      <c r="V102" s="66">
        <v>93</v>
      </c>
      <c r="W102" s="66">
        <v>1</v>
      </c>
    </row>
    <row r="103" s="61" customFormat="1" hidden="1" customHeight="1" spans="1:23">
      <c r="A103" s="66">
        <v>13</v>
      </c>
      <c r="B103" s="182" t="s">
        <v>451</v>
      </c>
      <c r="C103" s="182" t="s">
        <v>165</v>
      </c>
      <c r="D103" s="182" t="s">
        <v>452</v>
      </c>
      <c r="E103" s="66">
        <v>15870856801</v>
      </c>
      <c r="F103" s="182" t="s">
        <v>156</v>
      </c>
      <c r="G103" s="182" t="s">
        <v>14</v>
      </c>
      <c r="H103" s="66">
        <v>202102001</v>
      </c>
      <c r="I103" s="182" t="s">
        <v>157</v>
      </c>
      <c r="J103" s="182" t="s">
        <v>158</v>
      </c>
      <c r="K103" s="182" t="s">
        <v>454</v>
      </c>
      <c r="L103" s="182" t="s">
        <v>170</v>
      </c>
      <c r="M103" s="182" t="s">
        <v>455</v>
      </c>
      <c r="N103" s="182" t="s">
        <v>14</v>
      </c>
      <c r="O103" s="66">
        <v>0</v>
      </c>
      <c r="P103" s="67" t="str">
        <f>_xlfn.DISPIMG("ID_B55181394FEF4B858E10F092AB43BFBB",1)</f>
        <v>=DISPIMG("ID_B55181394FEF4B858E10F092AB43BFBB",1)</v>
      </c>
      <c r="Q103" s="66" t="s">
        <v>456</v>
      </c>
      <c r="R103" s="66">
        <v>35</v>
      </c>
      <c r="S103" s="68" t="s">
        <v>4407</v>
      </c>
      <c r="T103" s="69" t="s">
        <v>40</v>
      </c>
      <c r="U103" s="66">
        <v>12</v>
      </c>
      <c r="V103" s="66">
        <v>88</v>
      </c>
      <c r="W103" s="66">
        <v>2</v>
      </c>
    </row>
    <row r="104" s="61" customFormat="1" hidden="1" customHeight="1" spans="1:23">
      <c r="A104" s="66">
        <v>11</v>
      </c>
      <c r="B104" s="182" t="s">
        <v>1496</v>
      </c>
      <c r="C104" s="182" t="s">
        <v>165</v>
      </c>
      <c r="D104" s="182" t="s">
        <v>1497</v>
      </c>
      <c r="E104" s="66">
        <v>18770916920</v>
      </c>
      <c r="F104" s="182" t="s">
        <v>156</v>
      </c>
      <c r="G104" s="182" t="s">
        <v>14</v>
      </c>
      <c r="H104" s="66">
        <v>202102001</v>
      </c>
      <c r="I104" s="182" t="s">
        <v>157</v>
      </c>
      <c r="J104" s="182" t="s">
        <v>876</v>
      </c>
      <c r="K104" s="182" t="s">
        <v>1499</v>
      </c>
      <c r="L104" s="182" t="s">
        <v>160</v>
      </c>
      <c r="M104" s="182" t="s">
        <v>396</v>
      </c>
      <c r="N104" s="182" t="s">
        <v>14</v>
      </c>
      <c r="O104" s="66">
        <v>0</v>
      </c>
      <c r="P104" s="67" t="str">
        <f>_xlfn.DISPIMG("ID_F699C2D8D57643CC8A99CF3C2C6B152A",1)</f>
        <v>=DISPIMG("ID_F699C2D8D57643CC8A99CF3C2C6B152A",1)</v>
      </c>
      <c r="Q104" s="66" t="s">
        <v>1500</v>
      </c>
      <c r="R104" s="66">
        <v>166</v>
      </c>
      <c r="S104" s="68" t="s">
        <v>4431</v>
      </c>
      <c r="T104" s="69" t="s">
        <v>43</v>
      </c>
      <c r="U104" s="66">
        <v>4</v>
      </c>
      <c r="V104" s="66">
        <v>88</v>
      </c>
      <c r="W104" s="66">
        <v>2</v>
      </c>
    </row>
    <row r="105" s="61" customFormat="1" hidden="1" customHeight="1" spans="1:23">
      <c r="A105" s="66">
        <v>2</v>
      </c>
      <c r="B105" s="182" t="s">
        <v>2659</v>
      </c>
      <c r="C105" s="182" t="s">
        <v>165</v>
      </c>
      <c r="D105" s="182" t="s">
        <v>2660</v>
      </c>
      <c r="E105" s="66">
        <v>13627065761</v>
      </c>
      <c r="F105" s="182" t="s">
        <v>156</v>
      </c>
      <c r="G105" s="182" t="s">
        <v>14</v>
      </c>
      <c r="H105" s="66">
        <v>202102001</v>
      </c>
      <c r="I105" s="182" t="s">
        <v>157</v>
      </c>
      <c r="J105" s="182" t="s">
        <v>269</v>
      </c>
      <c r="K105" s="182" t="s">
        <v>454</v>
      </c>
      <c r="L105" s="182" t="s">
        <v>170</v>
      </c>
      <c r="M105" s="182" t="s">
        <v>161</v>
      </c>
      <c r="N105" s="182" t="s">
        <v>26</v>
      </c>
      <c r="O105" s="182" t="s">
        <v>2662</v>
      </c>
      <c r="P105" s="67" t="str">
        <f>_xlfn.DISPIMG("ID_4750BE615CAB4B2790251BC514AE2277",1)</f>
        <v>=DISPIMG("ID_4750BE615CAB4B2790251BC514AE2277",1)</v>
      </c>
      <c r="Q105" s="66" t="s">
        <v>2663</v>
      </c>
      <c r="R105" s="66">
        <v>320</v>
      </c>
      <c r="S105" s="68" t="s">
        <v>4452</v>
      </c>
      <c r="T105" s="69" t="s">
        <v>45</v>
      </c>
      <c r="U105" s="66">
        <v>7</v>
      </c>
      <c r="V105" s="66">
        <v>88</v>
      </c>
      <c r="W105" s="66">
        <v>2</v>
      </c>
    </row>
    <row r="106" s="61" customFormat="1" hidden="1" customHeight="1" spans="1:23">
      <c r="A106" s="66">
        <v>6</v>
      </c>
      <c r="B106" s="182" t="s">
        <v>916</v>
      </c>
      <c r="C106" s="182" t="s">
        <v>165</v>
      </c>
      <c r="D106" s="182" t="s">
        <v>917</v>
      </c>
      <c r="E106" s="66">
        <v>15070951954</v>
      </c>
      <c r="F106" s="182" t="s">
        <v>156</v>
      </c>
      <c r="G106" s="182" t="s">
        <v>14</v>
      </c>
      <c r="H106" s="66">
        <v>202102001</v>
      </c>
      <c r="I106" s="182" t="s">
        <v>157</v>
      </c>
      <c r="J106" s="182" t="s">
        <v>233</v>
      </c>
      <c r="K106" s="182" t="s">
        <v>454</v>
      </c>
      <c r="L106" s="182" t="s">
        <v>160</v>
      </c>
      <c r="M106" s="182" t="s">
        <v>919</v>
      </c>
      <c r="N106" s="182" t="s">
        <v>14</v>
      </c>
      <c r="O106" s="182" t="s">
        <v>920</v>
      </c>
      <c r="P106" s="67" t="str">
        <f>_xlfn.DISPIMG("ID_ADE94A403A29454787C6186CC5AA20B8",1)</f>
        <v>=DISPIMG("ID_ADE94A403A29454787C6186CC5AA20B8",1)</v>
      </c>
      <c r="Q106" s="66" t="s">
        <v>921</v>
      </c>
      <c r="R106" s="66">
        <v>92</v>
      </c>
      <c r="S106" s="68" t="s">
        <v>4426</v>
      </c>
      <c r="T106" s="69" t="s">
        <v>43</v>
      </c>
      <c r="U106" s="66">
        <v>5</v>
      </c>
      <c r="V106" s="66">
        <v>87</v>
      </c>
      <c r="W106" s="66">
        <v>5</v>
      </c>
    </row>
    <row r="107" s="61" customFormat="1" hidden="1" customHeight="1" spans="1:23">
      <c r="A107" s="66">
        <v>14</v>
      </c>
      <c r="B107" s="182" t="s">
        <v>1723</v>
      </c>
      <c r="C107" s="182" t="s">
        <v>165</v>
      </c>
      <c r="D107" s="182" t="s">
        <v>1724</v>
      </c>
      <c r="E107" s="66">
        <v>13697028942</v>
      </c>
      <c r="F107" s="182" t="s">
        <v>156</v>
      </c>
      <c r="G107" s="182" t="s">
        <v>14</v>
      </c>
      <c r="H107" s="66">
        <v>202102001</v>
      </c>
      <c r="I107" s="182" t="s">
        <v>157</v>
      </c>
      <c r="J107" s="182" t="s">
        <v>827</v>
      </c>
      <c r="K107" s="182" t="s">
        <v>454</v>
      </c>
      <c r="L107" s="182" t="s">
        <v>170</v>
      </c>
      <c r="M107" s="182" t="s">
        <v>261</v>
      </c>
      <c r="N107" s="182" t="s">
        <v>26</v>
      </c>
      <c r="O107" s="66">
        <v>0</v>
      </c>
      <c r="P107" s="67" t="str">
        <f>_xlfn.DISPIMG("ID_9F3C5B09040D438283C530134A5BD84D",1)</f>
        <v>=DISPIMG("ID_9F3C5B09040D438283C530134A5BD84D",1)</v>
      </c>
      <c r="Q107" s="66" t="s">
        <v>1726</v>
      </c>
      <c r="R107" s="66">
        <v>195</v>
      </c>
      <c r="S107" s="68" t="s">
        <v>4434</v>
      </c>
      <c r="T107" s="69" t="s">
        <v>43</v>
      </c>
      <c r="U107" s="66">
        <v>21</v>
      </c>
      <c r="V107" s="66">
        <v>87</v>
      </c>
      <c r="W107" s="66">
        <v>5</v>
      </c>
    </row>
    <row r="108" s="61" customFormat="1" hidden="1" customHeight="1" spans="1:23">
      <c r="A108" s="66">
        <v>19</v>
      </c>
      <c r="B108" s="182" t="s">
        <v>1962</v>
      </c>
      <c r="C108" s="182" t="s">
        <v>165</v>
      </c>
      <c r="D108" s="182" t="s">
        <v>1963</v>
      </c>
      <c r="E108" s="66">
        <v>18279199773</v>
      </c>
      <c r="F108" s="182" t="s">
        <v>156</v>
      </c>
      <c r="G108" s="182" t="s">
        <v>14</v>
      </c>
      <c r="H108" s="66">
        <v>202102001</v>
      </c>
      <c r="I108" s="182" t="s">
        <v>157</v>
      </c>
      <c r="J108" s="182" t="s">
        <v>1121</v>
      </c>
      <c r="K108" s="182" t="s">
        <v>813</v>
      </c>
      <c r="L108" s="182" t="s">
        <v>160</v>
      </c>
      <c r="M108" s="182" t="s">
        <v>199</v>
      </c>
      <c r="N108" s="182" t="s">
        <v>14</v>
      </c>
      <c r="O108" s="182" t="s">
        <v>1965</v>
      </c>
      <c r="P108" s="67" t="str">
        <f>_xlfn.DISPIMG("ID_978F05F9424741AE81F8E8335A7E991E",1)</f>
        <v>=DISPIMG("ID_978F05F9424741AE81F8E8335A7E991E",1)</v>
      </c>
      <c r="Q108" s="66" t="s">
        <v>1966</v>
      </c>
      <c r="R108" s="66">
        <v>227</v>
      </c>
      <c r="S108" s="68" t="s">
        <v>4439</v>
      </c>
      <c r="T108" s="69" t="s">
        <v>43</v>
      </c>
      <c r="U108" s="66">
        <v>22</v>
      </c>
      <c r="V108" s="66">
        <v>87</v>
      </c>
      <c r="W108" s="66">
        <v>5</v>
      </c>
    </row>
    <row r="109" s="61" customFormat="1" hidden="1" customHeight="1" spans="1:23">
      <c r="A109" s="66">
        <v>24</v>
      </c>
      <c r="B109" s="182" t="s">
        <v>2165</v>
      </c>
      <c r="C109" s="182" t="s">
        <v>165</v>
      </c>
      <c r="D109" s="182" t="s">
        <v>2166</v>
      </c>
      <c r="E109" s="66">
        <v>15270256109</v>
      </c>
      <c r="F109" s="182" t="s">
        <v>156</v>
      </c>
      <c r="G109" s="182" t="s">
        <v>14</v>
      </c>
      <c r="H109" s="66">
        <v>202102001</v>
      </c>
      <c r="I109" s="182" t="s">
        <v>279</v>
      </c>
      <c r="J109" s="182" t="s">
        <v>158</v>
      </c>
      <c r="K109" s="182" t="s">
        <v>348</v>
      </c>
      <c r="L109" s="182" t="s">
        <v>170</v>
      </c>
      <c r="M109" s="182" t="s">
        <v>306</v>
      </c>
      <c r="N109" s="182" t="s">
        <v>638</v>
      </c>
      <c r="O109" s="182" t="s">
        <v>2168</v>
      </c>
      <c r="P109" s="67" t="str">
        <f>_xlfn.DISPIMG("ID_3CABC7DA53ED4401B09BC2C27086B239",1)</f>
        <v>=DISPIMG("ID_3CABC7DA53ED4401B09BC2C27086B239",1)</v>
      </c>
      <c r="Q109" s="66" t="s">
        <v>2169</v>
      </c>
      <c r="R109" s="66">
        <v>254</v>
      </c>
      <c r="S109" s="68" t="s">
        <v>4444</v>
      </c>
      <c r="T109" s="69" t="s">
        <v>43</v>
      </c>
      <c r="U109" s="66">
        <v>23</v>
      </c>
      <c r="V109" s="66">
        <v>86</v>
      </c>
      <c r="W109" s="66">
        <v>8</v>
      </c>
    </row>
    <row r="110" s="61" customFormat="1" hidden="1" customHeight="1" spans="1:23">
      <c r="A110" s="66">
        <v>21</v>
      </c>
      <c r="B110" s="182" t="s">
        <v>1989</v>
      </c>
      <c r="C110" s="182" t="s">
        <v>165</v>
      </c>
      <c r="D110" s="182" t="s">
        <v>1990</v>
      </c>
      <c r="E110" s="66">
        <v>18720291086</v>
      </c>
      <c r="F110" s="182" t="s">
        <v>156</v>
      </c>
      <c r="G110" s="182" t="s">
        <v>14</v>
      </c>
      <c r="H110" s="66">
        <v>202102001</v>
      </c>
      <c r="I110" s="182" t="s">
        <v>279</v>
      </c>
      <c r="J110" s="182" t="s">
        <v>367</v>
      </c>
      <c r="K110" s="182" t="s">
        <v>348</v>
      </c>
      <c r="L110" s="182" t="s">
        <v>170</v>
      </c>
      <c r="M110" s="182" t="s">
        <v>180</v>
      </c>
      <c r="N110" s="182" t="s">
        <v>1992</v>
      </c>
      <c r="O110" s="182" t="s">
        <v>1993</v>
      </c>
      <c r="P110" s="67" t="str">
        <f>_xlfn.DISPIMG("ID_08685AD380B84575A97C010891A129EA",1)</f>
        <v>=DISPIMG("ID_08685AD380B84575A97C010891A129EA",1)</v>
      </c>
      <c r="Q110" s="66" t="s">
        <v>1994</v>
      </c>
      <c r="R110" s="66">
        <v>231</v>
      </c>
      <c r="S110" s="68" t="s">
        <v>4441</v>
      </c>
      <c r="T110" s="69" t="s">
        <v>43</v>
      </c>
      <c r="U110" s="66">
        <v>2</v>
      </c>
      <c r="V110" s="66">
        <v>85</v>
      </c>
      <c r="W110" s="66">
        <v>9</v>
      </c>
    </row>
    <row r="111" s="61" customFormat="1" hidden="1" customHeight="1" spans="1:23">
      <c r="A111" s="66">
        <v>9</v>
      </c>
      <c r="B111" s="182" t="s">
        <v>1350</v>
      </c>
      <c r="C111" s="182" t="s">
        <v>165</v>
      </c>
      <c r="D111" s="182" t="s">
        <v>1351</v>
      </c>
      <c r="E111" s="66">
        <v>13767415091</v>
      </c>
      <c r="F111" s="182" t="s">
        <v>156</v>
      </c>
      <c r="G111" s="182" t="s">
        <v>14</v>
      </c>
      <c r="H111" s="66">
        <v>202102001</v>
      </c>
      <c r="I111" s="182" t="s">
        <v>157</v>
      </c>
      <c r="J111" s="182" t="s">
        <v>827</v>
      </c>
      <c r="K111" s="182" t="s">
        <v>223</v>
      </c>
      <c r="L111" s="182" t="s">
        <v>170</v>
      </c>
      <c r="M111" s="182" t="s">
        <v>306</v>
      </c>
      <c r="N111" s="182" t="s">
        <v>1353</v>
      </c>
      <c r="O111" s="66">
        <v>0</v>
      </c>
      <c r="P111" s="67" t="str">
        <f>_xlfn.DISPIMG("ID_7AB2E23FEFF940D9992E8955A95BEDD5",1)</f>
        <v>=DISPIMG("ID_7AB2E23FEFF940D9992E8955A95BEDD5",1)</v>
      </c>
      <c r="Q111" s="66" t="s">
        <v>1354</v>
      </c>
      <c r="R111" s="66">
        <v>147</v>
      </c>
      <c r="S111" s="68" t="s">
        <v>4429</v>
      </c>
      <c r="T111" s="69" t="s">
        <v>43</v>
      </c>
      <c r="U111" s="66">
        <v>20</v>
      </c>
      <c r="V111" s="66">
        <v>85</v>
      </c>
      <c r="W111" s="66">
        <v>9</v>
      </c>
    </row>
    <row r="112" s="61" customFormat="1" hidden="1" customHeight="1" spans="1:23">
      <c r="A112" s="66">
        <v>5</v>
      </c>
      <c r="B112" s="182" t="s">
        <v>2991</v>
      </c>
      <c r="C112" s="182" t="s">
        <v>165</v>
      </c>
      <c r="D112" s="182" t="s">
        <v>2992</v>
      </c>
      <c r="E112" s="66">
        <v>18720220590</v>
      </c>
      <c r="F112" s="182" t="s">
        <v>156</v>
      </c>
      <c r="G112" s="182" t="s">
        <v>14</v>
      </c>
      <c r="H112" s="66">
        <v>202102001</v>
      </c>
      <c r="I112" s="182" t="s">
        <v>157</v>
      </c>
      <c r="J112" s="182" t="s">
        <v>611</v>
      </c>
      <c r="K112" s="182" t="s">
        <v>179</v>
      </c>
      <c r="L112" s="182" t="s">
        <v>160</v>
      </c>
      <c r="M112" s="182" t="s">
        <v>216</v>
      </c>
      <c r="N112" s="182" t="s">
        <v>14</v>
      </c>
      <c r="O112" s="66">
        <v>0</v>
      </c>
      <c r="P112" s="67" t="str">
        <f>_xlfn.DISPIMG("ID_AFAEC7F47E5847F688912010DE531FF7",1)</f>
        <v>=DISPIMG("ID_AFAEC7F47E5847F688912010DE531FF7",1)</v>
      </c>
      <c r="Q112" s="66" t="s">
        <v>2994</v>
      </c>
      <c r="R112" s="66">
        <v>368</v>
      </c>
      <c r="S112" s="68" t="s">
        <v>4455</v>
      </c>
      <c r="T112" s="69" t="s">
        <v>45</v>
      </c>
      <c r="U112" s="66">
        <v>30</v>
      </c>
      <c r="V112" s="66">
        <v>85</v>
      </c>
      <c r="W112" s="66">
        <v>9</v>
      </c>
    </row>
    <row r="113" s="61" customFormat="1" hidden="1" customHeight="1" spans="1:23">
      <c r="A113" s="66">
        <v>17</v>
      </c>
      <c r="B113" s="182" t="s">
        <v>1947</v>
      </c>
      <c r="C113" s="182" t="s">
        <v>165</v>
      </c>
      <c r="D113" s="182" t="s">
        <v>1948</v>
      </c>
      <c r="E113" s="66">
        <v>15070578947</v>
      </c>
      <c r="F113" s="182" t="s">
        <v>156</v>
      </c>
      <c r="G113" s="182" t="s">
        <v>14</v>
      </c>
      <c r="H113" s="66">
        <v>202102001</v>
      </c>
      <c r="I113" s="182" t="s">
        <v>279</v>
      </c>
      <c r="J113" s="182" t="s">
        <v>1523</v>
      </c>
      <c r="K113" s="182" t="s">
        <v>1950</v>
      </c>
      <c r="L113" s="182" t="s">
        <v>170</v>
      </c>
      <c r="M113" s="182" t="s">
        <v>396</v>
      </c>
      <c r="N113" s="182" t="s">
        <v>14</v>
      </c>
      <c r="O113" s="182" t="s">
        <v>1951</v>
      </c>
      <c r="P113" s="67" t="str">
        <f>_xlfn.DISPIMG("ID_86A99051306F46439DFFA2E8604105B2",1)</f>
        <v>=DISPIMG("ID_86A99051306F46439DFFA2E8604105B2",1)</v>
      </c>
      <c r="Q113" s="66" t="s">
        <v>1952</v>
      </c>
      <c r="R113" s="66">
        <v>225</v>
      </c>
      <c r="S113" s="68" t="s">
        <v>4437</v>
      </c>
      <c r="T113" s="69" t="s">
        <v>43</v>
      </c>
      <c r="U113" s="66">
        <v>10</v>
      </c>
      <c r="V113" s="66">
        <v>84</v>
      </c>
      <c r="W113" s="66">
        <v>12</v>
      </c>
    </row>
    <row r="114" s="61" customFormat="1" hidden="1" customHeight="1" spans="1:23">
      <c r="A114" s="66">
        <v>28</v>
      </c>
      <c r="B114" s="182" t="s">
        <v>4177</v>
      </c>
      <c r="C114" s="182" t="s">
        <v>165</v>
      </c>
      <c r="D114" s="182" t="s">
        <v>4178</v>
      </c>
      <c r="E114" s="66">
        <v>18759251284</v>
      </c>
      <c r="F114" s="182" t="s">
        <v>156</v>
      </c>
      <c r="G114" s="182" t="s">
        <v>14</v>
      </c>
      <c r="H114" s="66">
        <v>202102001</v>
      </c>
      <c r="I114" s="182" t="s">
        <v>157</v>
      </c>
      <c r="J114" s="182" t="s">
        <v>2363</v>
      </c>
      <c r="K114" s="182" t="s">
        <v>454</v>
      </c>
      <c r="L114" s="182" t="s">
        <v>170</v>
      </c>
      <c r="M114" s="182" t="s">
        <v>455</v>
      </c>
      <c r="N114" s="182" t="s">
        <v>26</v>
      </c>
      <c r="O114" s="182" t="s">
        <v>4180</v>
      </c>
      <c r="P114" s="67" t="str">
        <f>_xlfn.DISPIMG("ID_E9338F1098B64D83A2AE0E9576D18B92",1)</f>
        <v>=DISPIMG("ID_E9338F1098B64D83A2AE0E9576D18B92",1)</v>
      </c>
      <c r="Q114" s="66" t="s">
        <v>4181</v>
      </c>
      <c r="R114" s="66">
        <v>534</v>
      </c>
      <c r="S114" s="68" t="s">
        <v>4478</v>
      </c>
      <c r="T114" s="69" t="s">
        <v>45</v>
      </c>
      <c r="U114" s="66">
        <v>13</v>
      </c>
      <c r="V114" s="66">
        <v>84</v>
      </c>
      <c r="W114" s="66">
        <v>12</v>
      </c>
    </row>
    <row r="115" s="61" customFormat="1" hidden="1" customHeight="1" spans="1:23">
      <c r="A115" s="66">
        <v>25</v>
      </c>
      <c r="B115" s="182" t="s">
        <v>4036</v>
      </c>
      <c r="C115" s="182" t="s">
        <v>165</v>
      </c>
      <c r="D115" s="182" t="s">
        <v>4037</v>
      </c>
      <c r="E115" s="66">
        <v>13755593629</v>
      </c>
      <c r="F115" s="182" t="s">
        <v>156</v>
      </c>
      <c r="G115" s="182" t="s">
        <v>14</v>
      </c>
      <c r="H115" s="66">
        <v>202102001</v>
      </c>
      <c r="I115" s="182" t="s">
        <v>279</v>
      </c>
      <c r="J115" s="182" t="s">
        <v>1545</v>
      </c>
      <c r="K115" s="182" t="s">
        <v>348</v>
      </c>
      <c r="L115" s="182" t="s">
        <v>170</v>
      </c>
      <c r="M115" s="182" t="s">
        <v>216</v>
      </c>
      <c r="N115" s="182" t="s">
        <v>14</v>
      </c>
      <c r="O115" s="182" t="s">
        <v>4039</v>
      </c>
      <c r="P115" s="67" t="str">
        <f>_xlfn.DISPIMG("ID_25A2772C2A4349D4AAD4F2B8F942612C",1)</f>
        <v>=DISPIMG("ID_25A2772C2A4349D4AAD4F2B8F942612C",1)</v>
      </c>
      <c r="Q115" s="66" t="s">
        <v>4040</v>
      </c>
      <c r="R115" s="66">
        <v>516</v>
      </c>
      <c r="S115" s="68" t="s">
        <v>4475</v>
      </c>
      <c r="T115" s="69" t="s">
        <v>45</v>
      </c>
      <c r="U115" s="66">
        <v>26</v>
      </c>
      <c r="V115" s="66">
        <v>84</v>
      </c>
      <c r="W115" s="66">
        <v>12</v>
      </c>
    </row>
    <row r="116" s="61" customFormat="1" hidden="1" customHeight="1" spans="1:23">
      <c r="A116" s="66">
        <v>15</v>
      </c>
      <c r="B116" s="182" t="s">
        <v>3494</v>
      </c>
      <c r="C116" s="182" t="s">
        <v>165</v>
      </c>
      <c r="D116" s="182" t="s">
        <v>3495</v>
      </c>
      <c r="E116" s="66">
        <v>18000225971</v>
      </c>
      <c r="F116" s="182" t="s">
        <v>156</v>
      </c>
      <c r="G116" s="182" t="s">
        <v>14</v>
      </c>
      <c r="H116" s="66">
        <v>202102001</v>
      </c>
      <c r="I116" s="182" t="s">
        <v>157</v>
      </c>
      <c r="J116" s="182" t="s">
        <v>158</v>
      </c>
      <c r="K116" s="182" t="s">
        <v>348</v>
      </c>
      <c r="L116" s="182" t="s">
        <v>170</v>
      </c>
      <c r="M116" s="182" t="s">
        <v>349</v>
      </c>
      <c r="N116" s="182" t="s">
        <v>689</v>
      </c>
      <c r="O116" s="182" t="s">
        <v>3496</v>
      </c>
      <c r="P116" s="67" t="str">
        <f>_xlfn.DISPIMG("ID_92399A40D7B44F3B89AA85711A99D812",1)</f>
        <v>=DISPIMG("ID_92399A40D7B44F3B89AA85711A99D812",1)</v>
      </c>
      <c r="Q116" s="66" t="s">
        <v>3497</v>
      </c>
      <c r="R116" s="66">
        <v>442</v>
      </c>
      <c r="S116" s="68" t="s">
        <v>4465</v>
      </c>
      <c r="T116" s="69" t="s">
        <v>45</v>
      </c>
      <c r="U116" s="66">
        <v>28</v>
      </c>
      <c r="V116" s="66">
        <v>83</v>
      </c>
      <c r="W116" s="66">
        <v>15</v>
      </c>
    </row>
    <row r="117" s="61" customFormat="1" hidden="1" customHeight="1" spans="1:23">
      <c r="A117" s="66">
        <v>10</v>
      </c>
      <c r="B117" s="182" t="s">
        <v>175</v>
      </c>
      <c r="C117" s="182" t="s">
        <v>165</v>
      </c>
      <c r="D117" s="182" t="s">
        <v>176</v>
      </c>
      <c r="E117" s="66">
        <v>18046603817</v>
      </c>
      <c r="F117" s="182" t="s">
        <v>156</v>
      </c>
      <c r="G117" s="182" t="s">
        <v>14</v>
      </c>
      <c r="H117" s="66">
        <v>202102001</v>
      </c>
      <c r="I117" s="182" t="s">
        <v>157</v>
      </c>
      <c r="J117" s="182" t="s">
        <v>178</v>
      </c>
      <c r="K117" s="182" t="s">
        <v>179</v>
      </c>
      <c r="L117" s="182" t="s">
        <v>170</v>
      </c>
      <c r="M117" s="182" t="s">
        <v>180</v>
      </c>
      <c r="N117" s="182" t="s">
        <v>14</v>
      </c>
      <c r="O117" s="66">
        <v>0</v>
      </c>
      <c r="P117" s="67" t="str">
        <f>_xlfn.DISPIMG("ID_BD43028E6BB24443B06241FE37DC179A",1)</f>
        <v>=DISPIMG("ID_BD43028E6BB24443B06241FE37DC179A",1)</v>
      </c>
      <c r="Q117" s="66" t="s">
        <v>181</v>
      </c>
      <c r="R117" s="66">
        <v>4</v>
      </c>
      <c r="S117" s="68" t="s">
        <v>4422</v>
      </c>
      <c r="T117" s="69" t="s">
        <v>40</v>
      </c>
      <c r="U117" s="66">
        <v>10</v>
      </c>
      <c r="V117" s="66">
        <v>82</v>
      </c>
      <c r="W117" s="66">
        <v>16</v>
      </c>
    </row>
    <row r="118" s="61" customFormat="1" hidden="1" customHeight="1" spans="1:23">
      <c r="A118" s="66">
        <v>7</v>
      </c>
      <c r="B118" s="182" t="s">
        <v>1102</v>
      </c>
      <c r="C118" s="182" t="s">
        <v>165</v>
      </c>
      <c r="D118" s="182" t="s">
        <v>1103</v>
      </c>
      <c r="E118" s="66">
        <v>18890061239</v>
      </c>
      <c r="F118" s="182" t="s">
        <v>156</v>
      </c>
      <c r="G118" s="182" t="s">
        <v>14</v>
      </c>
      <c r="H118" s="66">
        <v>202102001</v>
      </c>
      <c r="I118" s="182" t="s">
        <v>157</v>
      </c>
      <c r="J118" s="182" t="s">
        <v>1105</v>
      </c>
      <c r="K118" s="182" t="s">
        <v>454</v>
      </c>
      <c r="L118" s="182" t="s">
        <v>160</v>
      </c>
      <c r="M118" s="182" t="s">
        <v>161</v>
      </c>
      <c r="N118" s="182" t="s">
        <v>14</v>
      </c>
      <c r="O118" s="66">
        <v>0</v>
      </c>
      <c r="P118" s="67" t="str">
        <f>_xlfn.DISPIMG("ID_85B66E0F069149898E44BCE57E5EBF40",1)</f>
        <v>=DISPIMG("ID_85B66E0F069149898E44BCE57E5EBF40",1)</v>
      </c>
      <c r="Q118" s="66" t="s">
        <v>1106</v>
      </c>
      <c r="R118" s="66">
        <v>115</v>
      </c>
      <c r="S118" s="68" t="s">
        <v>4427</v>
      </c>
      <c r="T118" s="69" t="s">
        <v>43</v>
      </c>
      <c r="U118" s="66">
        <v>8</v>
      </c>
      <c r="V118" s="66">
        <v>82</v>
      </c>
      <c r="W118" s="66">
        <v>16</v>
      </c>
    </row>
    <row r="119" s="61" customFormat="1" hidden="1" customHeight="1" spans="1:23">
      <c r="A119" s="66">
        <v>1</v>
      </c>
      <c r="B119" s="182" t="s">
        <v>2635</v>
      </c>
      <c r="C119" s="182" t="s">
        <v>165</v>
      </c>
      <c r="D119" s="182" t="s">
        <v>2636</v>
      </c>
      <c r="E119" s="66">
        <v>15170208662</v>
      </c>
      <c r="F119" s="182" t="s">
        <v>156</v>
      </c>
      <c r="G119" s="182" t="s">
        <v>14</v>
      </c>
      <c r="H119" s="66">
        <v>202102001</v>
      </c>
      <c r="I119" s="182" t="s">
        <v>157</v>
      </c>
      <c r="J119" s="182" t="s">
        <v>233</v>
      </c>
      <c r="K119" s="182" t="s">
        <v>454</v>
      </c>
      <c r="L119" s="182" t="s">
        <v>170</v>
      </c>
      <c r="M119" s="182" t="s">
        <v>349</v>
      </c>
      <c r="N119" s="182" t="s">
        <v>2638</v>
      </c>
      <c r="O119" s="182" t="s">
        <v>2639</v>
      </c>
      <c r="P119" s="67" t="str">
        <f>_xlfn.DISPIMG("ID_E1D95DAB49404461BEFC75E6320DFECC",1)</f>
        <v>=DISPIMG("ID_E1D95DAB49404461BEFC75E6320DFECC",1)</v>
      </c>
      <c r="Q119" s="66" t="s">
        <v>2640</v>
      </c>
      <c r="R119" s="66">
        <v>317</v>
      </c>
      <c r="S119" s="68" t="s">
        <v>4451</v>
      </c>
      <c r="T119" s="69" t="s">
        <v>45</v>
      </c>
      <c r="U119" s="66">
        <v>6</v>
      </c>
      <c r="V119" s="66">
        <v>82</v>
      </c>
      <c r="W119" s="66">
        <v>16</v>
      </c>
    </row>
    <row r="120" s="61" customFormat="1" hidden="1" customHeight="1" spans="1:23">
      <c r="A120" s="66">
        <v>10</v>
      </c>
      <c r="B120" s="182" t="s">
        <v>3268</v>
      </c>
      <c r="C120" s="182" t="s">
        <v>165</v>
      </c>
      <c r="D120" s="182" t="s">
        <v>3269</v>
      </c>
      <c r="E120" s="66">
        <v>18770914454</v>
      </c>
      <c r="F120" s="182" t="s">
        <v>156</v>
      </c>
      <c r="G120" s="182" t="s">
        <v>14</v>
      </c>
      <c r="H120" s="66">
        <v>202102001</v>
      </c>
      <c r="I120" s="182" t="s">
        <v>279</v>
      </c>
      <c r="J120" s="182" t="s">
        <v>178</v>
      </c>
      <c r="K120" s="182" t="s">
        <v>348</v>
      </c>
      <c r="L120" s="182" t="s">
        <v>170</v>
      </c>
      <c r="M120" s="182" t="s">
        <v>216</v>
      </c>
      <c r="N120" s="182" t="s">
        <v>638</v>
      </c>
      <c r="O120" s="182" t="s">
        <v>3271</v>
      </c>
      <c r="P120" s="67" t="str">
        <f>_xlfn.DISPIMG("ID_A7E75D79E714426086202D465053808C",1)</f>
        <v>=DISPIMG("ID_A7E75D79E714426086202D465053808C",1)</v>
      </c>
      <c r="Q120" s="66" t="s">
        <v>3272</v>
      </c>
      <c r="R120" s="66">
        <v>408</v>
      </c>
      <c r="S120" s="68" t="s">
        <v>4460</v>
      </c>
      <c r="T120" s="69" t="s">
        <v>45</v>
      </c>
      <c r="U120" s="66">
        <v>29</v>
      </c>
      <c r="V120" s="66">
        <v>82</v>
      </c>
      <c r="W120" s="66">
        <v>16</v>
      </c>
    </row>
    <row r="121" s="34" customFormat="1" hidden="1" customHeight="1" spans="1:23">
      <c r="A121" s="25">
        <v>12</v>
      </c>
      <c r="B121" s="175" t="s">
        <v>364</v>
      </c>
      <c r="C121" s="175" t="s">
        <v>153</v>
      </c>
      <c r="D121" s="175" t="s">
        <v>365</v>
      </c>
      <c r="E121" s="25">
        <v>15879225309</v>
      </c>
      <c r="F121" s="175" t="s">
        <v>156</v>
      </c>
      <c r="G121" s="175" t="s">
        <v>14</v>
      </c>
      <c r="H121" s="25">
        <v>202102001</v>
      </c>
      <c r="I121" s="175" t="s">
        <v>157</v>
      </c>
      <c r="J121" s="175" t="s">
        <v>367</v>
      </c>
      <c r="K121" s="175" t="s">
        <v>348</v>
      </c>
      <c r="L121" s="175" t="s">
        <v>170</v>
      </c>
      <c r="M121" s="175" t="s">
        <v>368</v>
      </c>
      <c r="N121" s="175" t="s">
        <v>14</v>
      </c>
      <c r="O121" s="175" t="s">
        <v>369</v>
      </c>
      <c r="P121" s="26" t="str">
        <f>_xlfn.DISPIMG("ID_08B1C5991BF641D590EC606BAB378CA1",1)</f>
        <v>=DISPIMG("ID_08B1C5991BF641D590EC606BAB378CA1",1)</v>
      </c>
      <c r="Q121" s="25" t="s">
        <v>370</v>
      </c>
      <c r="R121" s="25">
        <v>25</v>
      </c>
      <c r="S121" s="40" t="s">
        <v>4425</v>
      </c>
      <c r="T121" s="18" t="s">
        <v>40</v>
      </c>
      <c r="U121" s="25">
        <v>14</v>
      </c>
      <c r="V121" s="25">
        <v>81</v>
      </c>
      <c r="W121" s="25">
        <v>20</v>
      </c>
    </row>
    <row r="122" s="34" customFormat="1" hidden="1" customHeight="1" spans="1:23">
      <c r="A122" s="25">
        <v>3</v>
      </c>
      <c r="B122" s="175" t="s">
        <v>651</v>
      </c>
      <c r="C122" s="175" t="s">
        <v>165</v>
      </c>
      <c r="D122" s="175" t="s">
        <v>652</v>
      </c>
      <c r="E122" s="25">
        <v>13677913381</v>
      </c>
      <c r="F122" s="175" t="s">
        <v>156</v>
      </c>
      <c r="G122" s="175" t="s">
        <v>14</v>
      </c>
      <c r="H122" s="25">
        <v>202102001</v>
      </c>
      <c r="I122" s="175" t="s">
        <v>279</v>
      </c>
      <c r="J122" s="175" t="s">
        <v>339</v>
      </c>
      <c r="K122" s="175" t="s">
        <v>348</v>
      </c>
      <c r="L122" s="175" t="s">
        <v>170</v>
      </c>
      <c r="M122" s="175" t="s">
        <v>171</v>
      </c>
      <c r="N122" s="175" t="s">
        <v>654</v>
      </c>
      <c r="O122" s="175" t="s">
        <v>655</v>
      </c>
      <c r="P122" s="26" t="str">
        <f>_xlfn.DISPIMG("ID_F245B8B6D20E4BBA8409FA8C63902E06",1)</f>
        <v>=DISPIMG("ID_F245B8B6D20E4BBA8409FA8C63902E06",1)</v>
      </c>
      <c r="Q122" s="25" t="s">
        <v>656</v>
      </c>
      <c r="R122" s="25">
        <v>60</v>
      </c>
      <c r="S122" s="40" t="s">
        <v>4417</v>
      </c>
      <c r="T122" s="18" t="s">
        <v>43</v>
      </c>
      <c r="U122" s="25">
        <v>18</v>
      </c>
      <c r="V122" s="25">
        <v>81</v>
      </c>
      <c r="W122" s="25">
        <v>20</v>
      </c>
    </row>
    <row r="123" s="34" customFormat="1" hidden="1" customHeight="1" spans="1:23">
      <c r="A123" s="25">
        <v>25</v>
      </c>
      <c r="B123" s="175" t="s">
        <v>2218</v>
      </c>
      <c r="C123" s="175" t="s">
        <v>165</v>
      </c>
      <c r="D123" s="175" t="s">
        <v>2219</v>
      </c>
      <c r="E123" s="25">
        <v>15179156312</v>
      </c>
      <c r="F123" s="175" t="s">
        <v>156</v>
      </c>
      <c r="G123" s="175" t="s">
        <v>14</v>
      </c>
      <c r="H123" s="25">
        <v>202102001</v>
      </c>
      <c r="I123" s="175" t="s">
        <v>157</v>
      </c>
      <c r="J123" s="175" t="s">
        <v>233</v>
      </c>
      <c r="K123" s="175" t="s">
        <v>1195</v>
      </c>
      <c r="L123" s="175" t="s">
        <v>160</v>
      </c>
      <c r="M123" s="175" t="s">
        <v>2221</v>
      </c>
      <c r="N123" s="175" t="s">
        <v>638</v>
      </c>
      <c r="O123" s="175" t="s">
        <v>2222</v>
      </c>
      <c r="P123" s="26" t="str">
        <f>_xlfn.DISPIMG("ID_D4DBACC4389B49D6B9C508C515595D5D",1)</f>
        <v>=DISPIMG("ID_D4DBACC4389B49D6B9C508C515595D5D",1)</v>
      </c>
      <c r="Q123" s="25" t="s">
        <v>2223</v>
      </c>
      <c r="R123" s="25">
        <v>261</v>
      </c>
      <c r="S123" s="40" t="s">
        <v>4445</v>
      </c>
      <c r="T123" s="18" t="s">
        <v>43</v>
      </c>
      <c r="U123" s="25">
        <v>26</v>
      </c>
      <c r="V123" s="25">
        <v>81</v>
      </c>
      <c r="W123" s="25">
        <v>20</v>
      </c>
    </row>
    <row r="124" s="34" customFormat="1" hidden="1" customHeight="1" spans="1:23">
      <c r="A124" s="25">
        <v>20</v>
      </c>
      <c r="B124" s="175" t="s">
        <v>3858</v>
      </c>
      <c r="C124" s="175" t="s">
        <v>165</v>
      </c>
      <c r="D124" s="175" t="s">
        <v>3859</v>
      </c>
      <c r="E124" s="25">
        <v>15374225748</v>
      </c>
      <c r="F124" s="175" t="s">
        <v>156</v>
      </c>
      <c r="G124" s="175" t="s">
        <v>14</v>
      </c>
      <c r="H124" s="25">
        <v>202102001</v>
      </c>
      <c r="I124" s="175" t="s">
        <v>279</v>
      </c>
      <c r="J124" s="175" t="s">
        <v>3861</v>
      </c>
      <c r="K124" s="175" t="s">
        <v>298</v>
      </c>
      <c r="L124" s="175" t="s">
        <v>160</v>
      </c>
      <c r="M124" s="175" t="s">
        <v>805</v>
      </c>
      <c r="N124" s="175" t="s">
        <v>121</v>
      </c>
      <c r="O124" s="25">
        <v>0</v>
      </c>
      <c r="P124" s="26" t="str">
        <f>_xlfn.DISPIMG("ID_8CF8C6C0A559454996AB6FB606BDA1DD",1)</f>
        <v>=DISPIMG("ID_8CF8C6C0A559454996AB6FB606BDA1DD",1)</v>
      </c>
      <c r="Q124" s="25" t="s">
        <v>3862</v>
      </c>
      <c r="R124" s="25">
        <v>492</v>
      </c>
      <c r="S124" s="40" t="s">
        <v>4470</v>
      </c>
      <c r="T124" s="18" t="s">
        <v>45</v>
      </c>
      <c r="U124" s="25">
        <v>27</v>
      </c>
      <c r="V124" s="25">
        <v>81</v>
      </c>
      <c r="W124" s="25">
        <v>20</v>
      </c>
    </row>
    <row r="125" s="34" customFormat="1" hidden="1" customHeight="1" spans="1:23">
      <c r="A125" s="25">
        <v>9</v>
      </c>
      <c r="B125" s="175" t="s">
        <v>3166</v>
      </c>
      <c r="C125" s="175" t="s">
        <v>165</v>
      </c>
      <c r="D125" s="175" t="s">
        <v>3167</v>
      </c>
      <c r="E125" s="25">
        <v>18797976473</v>
      </c>
      <c r="F125" s="175" t="s">
        <v>156</v>
      </c>
      <c r="G125" s="175" t="s">
        <v>14</v>
      </c>
      <c r="H125" s="25">
        <v>202102001</v>
      </c>
      <c r="I125" s="175" t="s">
        <v>157</v>
      </c>
      <c r="J125" s="175" t="s">
        <v>158</v>
      </c>
      <c r="K125" s="175" t="s">
        <v>395</v>
      </c>
      <c r="L125" s="175" t="s">
        <v>160</v>
      </c>
      <c r="M125" s="175" t="s">
        <v>587</v>
      </c>
      <c r="N125" s="175" t="s">
        <v>14</v>
      </c>
      <c r="O125" s="25">
        <v>0</v>
      </c>
      <c r="P125" s="26" t="str">
        <f>_xlfn.DISPIMG("ID_F2E559AD12664A6E81B51441D537B134",1)</f>
        <v>=DISPIMG("ID_F2E559AD12664A6E81B51441D537B134",1)</v>
      </c>
      <c r="Q125" s="25" t="s">
        <v>3169</v>
      </c>
      <c r="R125" s="25">
        <v>393</v>
      </c>
      <c r="S125" s="40" t="s">
        <v>4459</v>
      </c>
      <c r="T125" s="18" t="s">
        <v>45</v>
      </c>
      <c r="U125" s="25">
        <v>20</v>
      </c>
      <c r="V125" s="25">
        <v>80</v>
      </c>
      <c r="W125" s="25">
        <v>24</v>
      </c>
    </row>
    <row r="126" s="34" customFormat="1" hidden="1" customHeight="1" spans="1:23">
      <c r="A126" s="25">
        <v>30</v>
      </c>
      <c r="B126" s="175" t="s">
        <v>4308</v>
      </c>
      <c r="C126" s="175" t="s">
        <v>165</v>
      </c>
      <c r="D126" s="175" t="s">
        <v>4309</v>
      </c>
      <c r="E126" s="25">
        <v>17770159034</v>
      </c>
      <c r="F126" s="175" t="s">
        <v>156</v>
      </c>
      <c r="G126" s="175" t="s">
        <v>14</v>
      </c>
      <c r="H126" s="25">
        <v>202102001</v>
      </c>
      <c r="I126" s="175" t="s">
        <v>279</v>
      </c>
      <c r="J126" s="175" t="s">
        <v>1237</v>
      </c>
      <c r="K126" s="175" t="s">
        <v>348</v>
      </c>
      <c r="L126" s="175" t="s">
        <v>170</v>
      </c>
      <c r="M126" s="175" t="s">
        <v>180</v>
      </c>
      <c r="N126" s="175" t="s">
        <v>2395</v>
      </c>
      <c r="O126" s="175" t="s">
        <v>4310</v>
      </c>
      <c r="P126" s="26" t="str">
        <f>_xlfn.DISPIMG("ID_E6307ECF32B442B8A8FC80EADAF6E26D",1)</f>
        <v>=DISPIMG("ID_E6307ECF32B442B8A8FC80EADAF6E26D",1)</v>
      </c>
      <c r="Q126" s="25" t="s">
        <v>4311</v>
      </c>
      <c r="R126" s="25">
        <v>552</v>
      </c>
      <c r="S126" s="40" t="s">
        <v>4480</v>
      </c>
      <c r="T126" s="18" t="s">
        <v>45</v>
      </c>
      <c r="U126" s="25">
        <v>25</v>
      </c>
      <c r="V126" s="25">
        <v>79</v>
      </c>
      <c r="W126" s="25">
        <v>25</v>
      </c>
    </row>
    <row r="127" s="34" customFormat="1" hidden="1" customHeight="1" spans="1:23">
      <c r="A127" s="25">
        <v>11</v>
      </c>
      <c r="B127" s="175" t="s">
        <v>345</v>
      </c>
      <c r="C127" s="175" t="s">
        <v>165</v>
      </c>
      <c r="D127" s="175" t="s">
        <v>346</v>
      </c>
      <c r="E127" s="25">
        <v>15179246525</v>
      </c>
      <c r="F127" s="175" t="s">
        <v>156</v>
      </c>
      <c r="G127" s="175" t="s">
        <v>14</v>
      </c>
      <c r="H127" s="25">
        <v>202102001</v>
      </c>
      <c r="I127" s="175" t="s">
        <v>279</v>
      </c>
      <c r="J127" s="175" t="s">
        <v>158</v>
      </c>
      <c r="K127" s="175" t="s">
        <v>348</v>
      </c>
      <c r="L127" s="175" t="s">
        <v>170</v>
      </c>
      <c r="M127" s="175" t="s">
        <v>349</v>
      </c>
      <c r="N127" s="175" t="s">
        <v>350</v>
      </c>
      <c r="O127" s="175" t="s">
        <v>351</v>
      </c>
      <c r="P127" s="26" t="str">
        <f>_xlfn.DISPIMG("ID_0FE66397D3464536A23D26C93FD62495",1)</f>
        <v>=DISPIMG("ID_0FE66397D3464536A23D26C93FD62495",1)</v>
      </c>
      <c r="Q127" s="25" t="s">
        <v>352</v>
      </c>
      <c r="R127" s="25">
        <v>23</v>
      </c>
      <c r="S127" s="40" t="s">
        <v>4424</v>
      </c>
      <c r="T127" s="18" t="s">
        <v>40</v>
      </c>
      <c r="U127" s="25">
        <v>11</v>
      </c>
      <c r="V127" s="25">
        <v>78</v>
      </c>
      <c r="W127" s="25">
        <v>26</v>
      </c>
    </row>
    <row r="128" s="34" customFormat="1" hidden="1" customHeight="1" spans="1:23">
      <c r="A128" s="25">
        <v>11</v>
      </c>
      <c r="B128" s="175" t="s">
        <v>3283</v>
      </c>
      <c r="C128" s="175" t="s">
        <v>165</v>
      </c>
      <c r="D128" s="175" t="s">
        <v>3284</v>
      </c>
      <c r="E128" s="25">
        <v>18970283911</v>
      </c>
      <c r="F128" s="175" t="s">
        <v>156</v>
      </c>
      <c r="G128" s="175" t="s">
        <v>14</v>
      </c>
      <c r="H128" s="25">
        <v>202102001</v>
      </c>
      <c r="I128" s="175" t="s">
        <v>157</v>
      </c>
      <c r="J128" s="175" t="s">
        <v>178</v>
      </c>
      <c r="K128" s="175" t="s">
        <v>3286</v>
      </c>
      <c r="L128" s="175" t="s">
        <v>170</v>
      </c>
      <c r="M128" s="175" t="s">
        <v>199</v>
      </c>
      <c r="N128" s="175" t="s">
        <v>14</v>
      </c>
      <c r="O128" s="175" t="s">
        <v>3287</v>
      </c>
      <c r="P128" s="26" t="str">
        <f>_xlfn.DISPIMG("ID_CEC6054CEEDC4B7EB64CEFDE8D077DB1",1)</f>
        <v>=DISPIMG("ID_CEC6054CEEDC4B7EB64CEFDE8D077DB1",1)</v>
      </c>
      <c r="Q128" s="25" t="s">
        <v>3288</v>
      </c>
      <c r="R128" s="25">
        <v>410</v>
      </c>
      <c r="S128" s="40" t="s">
        <v>4461</v>
      </c>
      <c r="T128" s="18" t="s">
        <v>45</v>
      </c>
      <c r="U128" s="25">
        <v>4</v>
      </c>
      <c r="V128" s="25">
        <v>78</v>
      </c>
      <c r="W128" s="25">
        <v>26</v>
      </c>
    </row>
    <row r="129" s="34" customFormat="1" hidden="1" customHeight="1" spans="1:23">
      <c r="A129" s="25">
        <v>16</v>
      </c>
      <c r="B129" s="175" t="s">
        <v>1939</v>
      </c>
      <c r="C129" s="175" t="s">
        <v>165</v>
      </c>
      <c r="D129" s="175" t="s">
        <v>1940</v>
      </c>
      <c r="E129" s="25">
        <v>15727538228</v>
      </c>
      <c r="F129" s="175" t="s">
        <v>156</v>
      </c>
      <c r="G129" s="175" t="s">
        <v>14</v>
      </c>
      <c r="H129" s="25">
        <v>202102001</v>
      </c>
      <c r="I129" s="175" t="s">
        <v>157</v>
      </c>
      <c r="J129" s="175" t="s">
        <v>233</v>
      </c>
      <c r="K129" s="175" t="s">
        <v>454</v>
      </c>
      <c r="L129" s="175" t="s">
        <v>170</v>
      </c>
      <c r="M129" s="175" t="s">
        <v>1942</v>
      </c>
      <c r="N129" s="175" t="s">
        <v>498</v>
      </c>
      <c r="O129" s="175" t="s">
        <v>1943</v>
      </c>
      <c r="P129" s="26" t="str">
        <f>_xlfn.DISPIMG("ID_1C58977D34D3459483FD1AF3B2109430",1)</f>
        <v>=DISPIMG("ID_1C58977D34D3459483FD1AF3B2109430",1)</v>
      </c>
      <c r="Q129" s="25" t="s">
        <v>1944</v>
      </c>
      <c r="R129" s="25">
        <v>224</v>
      </c>
      <c r="S129" s="40" t="s">
        <v>4436</v>
      </c>
      <c r="T129" s="18" t="s">
        <v>43</v>
      </c>
      <c r="U129" s="25">
        <v>3</v>
      </c>
      <c r="V129" s="25">
        <v>77</v>
      </c>
      <c r="W129" s="25">
        <v>28</v>
      </c>
    </row>
    <row r="130" s="34" customFormat="1" hidden="1" customHeight="1" spans="1:23">
      <c r="A130" s="25">
        <v>14</v>
      </c>
      <c r="B130" s="175" t="s">
        <v>3436</v>
      </c>
      <c r="C130" s="175" t="s">
        <v>165</v>
      </c>
      <c r="D130" s="175" t="s">
        <v>3437</v>
      </c>
      <c r="E130" s="25">
        <v>15396816962</v>
      </c>
      <c r="F130" s="175" t="s">
        <v>156</v>
      </c>
      <c r="G130" s="175" t="s">
        <v>14</v>
      </c>
      <c r="H130" s="25">
        <v>202102001</v>
      </c>
      <c r="I130" s="175" t="s">
        <v>279</v>
      </c>
      <c r="J130" s="175" t="s">
        <v>367</v>
      </c>
      <c r="K130" s="175" t="s">
        <v>348</v>
      </c>
      <c r="L130" s="175" t="s">
        <v>170</v>
      </c>
      <c r="M130" s="175" t="s">
        <v>180</v>
      </c>
      <c r="N130" s="175" t="s">
        <v>638</v>
      </c>
      <c r="O130" s="175" t="s">
        <v>3439</v>
      </c>
      <c r="P130" s="26" t="str">
        <f>_xlfn.DISPIMG("ID_82244367FBEE45C5B0219468F4CFBAF4",1)</f>
        <v>=DISPIMG("ID_82244367FBEE45C5B0219468F4CFBAF4",1)</v>
      </c>
      <c r="Q130" s="25" t="s">
        <v>3440</v>
      </c>
      <c r="R130" s="25">
        <v>434</v>
      </c>
      <c r="S130" s="40" t="s">
        <v>4464</v>
      </c>
      <c r="T130" s="18" t="s">
        <v>45</v>
      </c>
      <c r="U130" s="25">
        <v>21</v>
      </c>
      <c r="V130" s="25">
        <v>75</v>
      </c>
      <c r="W130" s="25">
        <v>29</v>
      </c>
    </row>
    <row r="131" s="34" customFormat="1" hidden="1" customHeight="1" spans="1:23">
      <c r="A131" s="25">
        <v>4</v>
      </c>
      <c r="B131" s="175" t="s">
        <v>687</v>
      </c>
      <c r="C131" s="175" t="s">
        <v>153</v>
      </c>
      <c r="D131" s="175" t="s">
        <v>688</v>
      </c>
      <c r="E131" s="25">
        <v>18370106328</v>
      </c>
      <c r="F131" s="175" t="s">
        <v>156</v>
      </c>
      <c r="G131" s="175" t="s">
        <v>14</v>
      </c>
      <c r="H131" s="25">
        <v>202102001</v>
      </c>
      <c r="I131" s="175" t="s">
        <v>279</v>
      </c>
      <c r="J131" s="175" t="s">
        <v>158</v>
      </c>
      <c r="K131" s="175" t="s">
        <v>348</v>
      </c>
      <c r="L131" s="175" t="s">
        <v>170</v>
      </c>
      <c r="M131" s="175" t="s">
        <v>281</v>
      </c>
      <c r="N131" s="175" t="s">
        <v>689</v>
      </c>
      <c r="O131" s="175" t="s">
        <v>690</v>
      </c>
      <c r="P131" s="26" t="str">
        <f>_xlfn.DISPIMG("ID_54204C01855F423A99B7E1E3FD940E61",1)</f>
        <v>=DISPIMG("ID_54204C01855F423A99B7E1E3FD940E61",1)</v>
      </c>
      <c r="Q131" s="25" t="s">
        <v>691</v>
      </c>
      <c r="R131" s="25">
        <v>64</v>
      </c>
      <c r="S131" s="40" t="s">
        <v>4420</v>
      </c>
      <c r="T131" s="18" t="s">
        <v>43</v>
      </c>
      <c r="U131" s="25">
        <v>19</v>
      </c>
      <c r="V131" s="25">
        <v>74</v>
      </c>
      <c r="W131" s="25">
        <v>30</v>
      </c>
    </row>
    <row r="132" s="34" customFormat="1" hidden="1" customHeight="1" spans="1:23">
      <c r="A132" s="25">
        <v>12</v>
      </c>
      <c r="B132" s="175" t="s">
        <v>3374</v>
      </c>
      <c r="C132" s="175" t="s">
        <v>165</v>
      </c>
      <c r="D132" s="175" t="s">
        <v>3375</v>
      </c>
      <c r="E132" s="25">
        <v>18879135233</v>
      </c>
      <c r="F132" s="175" t="s">
        <v>156</v>
      </c>
      <c r="G132" s="175" t="s">
        <v>14</v>
      </c>
      <c r="H132" s="25">
        <v>202102001</v>
      </c>
      <c r="I132" s="175" t="s">
        <v>279</v>
      </c>
      <c r="J132" s="175" t="s">
        <v>339</v>
      </c>
      <c r="K132" s="175" t="s">
        <v>1950</v>
      </c>
      <c r="L132" s="175" t="s">
        <v>170</v>
      </c>
      <c r="M132" s="175" t="s">
        <v>216</v>
      </c>
      <c r="N132" s="175" t="s">
        <v>350</v>
      </c>
      <c r="O132" s="175" t="s">
        <v>3377</v>
      </c>
      <c r="P132" s="26" t="str">
        <f>_xlfn.DISPIMG("ID_A4F86B02E8AC4C77B083B94B4997B486",1)</f>
        <v>=DISPIMG("ID_A4F86B02E8AC4C77B083B94B4997B486",1)</v>
      </c>
      <c r="Q132" s="25" t="s">
        <v>3378</v>
      </c>
      <c r="R132" s="25">
        <v>425</v>
      </c>
      <c r="S132" s="40" t="s">
        <v>4462</v>
      </c>
      <c r="T132" s="18" t="s">
        <v>45</v>
      </c>
      <c r="U132" s="25">
        <v>9</v>
      </c>
      <c r="V132" s="25">
        <v>71</v>
      </c>
      <c r="W132" s="25">
        <v>31</v>
      </c>
    </row>
    <row r="133" s="34" customFormat="1" hidden="1" customHeight="1" spans="1:23">
      <c r="A133" s="25">
        <v>17</v>
      </c>
      <c r="B133" s="175" t="s">
        <v>3602</v>
      </c>
      <c r="C133" s="175" t="s">
        <v>165</v>
      </c>
      <c r="D133" s="175" t="s">
        <v>3603</v>
      </c>
      <c r="E133" s="25">
        <v>18507927596</v>
      </c>
      <c r="F133" s="175" t="s">
        <v>156</v>
      </c>
      <c r="G133" s="175" t="s">
        <v>14</v>
      </c>
      <c r="H133" s="25">
        <v>202102001</v>
      </c>
      <c r="I133" s="175" t="s">
        <v>279</v>
      </c>
      <c r="J133" s="175" t="s">
        <v>158</v>
      </c>
      <c r="K133" s="175" t="s">
        <v>348</v>
      </c>
      <c r="L133" s="175" t="s">
        <v>170</v>
      </c>
      <c r="M133" s="175" t="s">
        <v>281</v>
      </c>
      <c r="N133" s="175" t="s">
        <v>14</v>
      </c>
      <c r="O133" s="175" t="s">
        <v>3604</v>
      </c>
      <c r="P133" s="26" t="str">
        <f>_xlfn.DISPIMG("ID_ADF263347E1B436A9E9869CDB170C299",1)</f>
        <v>=DISPIMG("ID_ADF263347E1B436A9E9869CDB170C299",1)</v>
      </c>
      <c r="Q133" s="25" t="s">
        <v>3605</v>
      </c>
      <c r="R133" s="25">
        <v>458</v>
      </c>
      <c r="S133" s="40" t="s">
        <v>4467</v>
      </c>
      <c r="T133" s="18" t="s">
        <v>45</v>
      </c>
      <c r="U133" s="25">
        <v>10</v>
      </c>
      <c r="V133" s="25">
        <v>69</v>
      </c>
      <c r="W133" s="25">
        <v>32</v>
      </c>
    </row>
    <row r="134" s="34" customFormat="1" hidden="1" customHeight="1" spans="1:23">
      <c r="A134" s="25">
        <v>7</v>
      </c>
      <c r="B134" s="175" t="s">
        <v>3058</v>
      </c>
      <c r="C134" s="175" t="s">
        <v>165</v>
      </c>
      <c r="D134" s="175" t="s">
        <v>3059</v>
      </c>
      <c r="E134" s="25">
        <v>18616047542</v>
      </c>
      <c r="F134" s="175" t="s">
        <v>156</v>
      </c>
      <c r="G134" s="175" t="s">
        <v>14</v>
      </c>
      <c r="H134" s="25">
        <v>202102001</v>
      </c>
      <c r="I134" s="175" t="s">
        <v>157</v>
      </c>
      <c r="J134" s="175" t="s">
        <v>233</v>
      </c>
      <c r="K134" s="175" t="s">
        <v>1489</v>
      </c>
      <c r="L134" s="175" t="s">
        <v>170</v>
      </c>
      <c r="M134" s="175" t="s">
        <v>3061</v>
      </c>
      <c r="N134" s="175" t="s">
        <v>3062</v>
      </c>
      <c r="O134" s="175" t="s">
        <v>3063</v>
      </c>
      <c r="P134" s="26" t="str">
        <f>_xlfn.DISPIMG("ID_0F24A07024DD4EC28C638A81C28E0099",1)</f>
        <v>=DISPIMG("ID_0F24A07024DD4EC28C638A81C28E0099",1)</v>
      </c>
      <c r="Q134" s="25" t="s">
        <v>3064</v>
      </c>
      <c r="R134" s="25">
        <v>378</v>
      </c>
      <c r="S134" s="40" t="s">
        <v>4457</v>
      </c>
      <c r="T134" s="18" t="s">
        <v>45</v>
      </c>
      <c r="U134" s="25">
        <v>8</v>
      </c>
      <c r="V134" s="25">
        <v>67</v>
      </c>
      <c r="W134" s="25">
        <v>33</v>
      </c>
    </row>
    <row r="135" s="34" customFormat="1" hidden="1" customHeight="1" spans="1:23">
      <c r="A135" s="25">
        <v>26</v>
      </c>
      <c r="B135" s="175" t="s">
        <v>2400</v>
      </c>
      <c r="C135" s="175" t="s">
        <v>165</v>
      </c>
      <c r="D135" s="175" t="s">
        <v>2401</v>
      </c>
      <c r="E135" s="25">
        <v>18879267195</v>
      </c>
      <c r="F135" s="175" t="s">
        <v>156</v>
      </c>
      <c r="G135" s="175" t="s">
        <v>14</v>
      </c>
      <c r="H135" s="25">
        <v>202102001</v>
      </c>
      <c r="I135" s="175" t="s">
        <v>279</v>
      </c>
      <c r="J135" s="175" t="s">
        <v>339</v>
      </c>
      <c r="K135" s="175" t="s">
        <v>348</v>
      </c>
      <c r="L135" s="175" t="s">
        <v>170</v>
      </c>
      <c r="M135" s="175" t="s">
        <v>180</v>
      </c>
      <c r="N135" s="175" t="s">
        <v>14</v>
      </c>
      <c r="O135" s="175" t="s">
        <v>2403</v>
      </c>
      <c r="P135" s="26" t="str">
        <f>_xlfn.DISPIMG("ID_FE029F69B78E439BA992D666A5ADF87E",1)</f>
        <v>=DISPIMG("ID_FE029F69B78E439BA992D666A5ADF87E",1)</v>
      </c>
      <c r="Q135" s="25" t="s">
        <v>2404</v>
      </c>
      <c r="R135" s="25">
        <v>285</v>
      </c>
      <c r="S135" s="40" t="s">
        <v>4446</v>
      </c>
      <c r="T135" s="18" t="s">
        <v>43</v>
      </c>
      <c r="U135" s="25">
        <v>1</v>
      </c>
      <c r="V135" s="25">
        <v>63</v>
      </c>
      <c r="W135" s="25">
        <v>34</v>
      </c>
    </row>
    <row r="136" s="34" customFormat="1" hidden="1" customHeight="1" spans="1:23">
      <c r="A136" s="25">
        <v>5</v>
      </c>
      <c r="B136" s="175" t="s">
        <v>738</v>
      </c>
      <c r="C136" s="175" t="s">
        <v>165</v>
      </c>
      <c r="D136" s="175" t="s">
        <v>739</v>
      </c>
      <c r="E136" s="25">
        <v>15279225160</v>
      </c>
      <c r="F136" s="175" t="s">
        <v>156</v>
      </c>
      <c r="G136" s="175" t="s">
        <v>14</v>
      </c>
      <c r="H136" s="25">
        <v>202102001</v>
      </c>
      <c r="I136" s="175" t="s">
        <v>279</v>
      </c>
      <c r="J136" s="175" t="s">
        <v>576</v>
      </c>
      <c r="K136" s="175" t="s">
        <v>348</v>
      </c>
      <c r="L136" s="175" t="s">
        <v>170</v>
      </c>
      <c r="M136" s="175" t="s">
        <v>224</v>
      </c>
      <c r="N136" s="175" t="s">
        <v>741</v>
      </c>
      <c r="O136" s="175" t="s">
        <v>742</v>
      </c>
      <c r="P136" s="26" t="str">
        <f>_xlfn.DISPIMG("ID_05F523224C924653A8F56CD5737A4E8C",1)</f>
        <v>=DISPIMG("ID_05F523224C924653A8F56CD5737A4E8C",1)</v>
      </c>
      <c r="Q136" s="25" t="s">
        <v>743</v>
      </c>
      <c r="R136" s="25">
        <v>70</v>
      </c>
      <c r="S136" s="40" t="s">
        <v>4423</v>
      </c>
      <c r="T136" s="18" t="s">
        <v>43</v>
      </c>
      <c r="U136" s="25">
        <v>30</v>
      </c>
      <c r="V136" s="25">
        <v>54</v>
      </c>
      <c r="W136" s="25">
        <v>35</v>
      </c>
    </row>
    <row r="137" s="34" customFormat="1" hidden="1" customHeight="1" spans="1:23">
      <c r="A137" s="25">
        <v>14</v>
      </c>
      <c r="B137" s="175" t="s">
        <v>529</v>
      </c>
      <c r="C137" s="175" t="s">
        <v>165</v>
      </c>
      <c r="D137" s="175" t="s">
        <v>530</v>
      </c>
      <c r="E137" s="25">
        <v>13870852168</v>
      </c>
      <c r="F137" s="175" t="s">
        <v>156</v>
      </c>
      <c r="G137" s="175" t="s">
        <v>14</v>
      </c>
      <c r="H137" s="25">
        <v>202102001</v>
      </c>
      <c r="I137" s="175" t="s">
        <v>157</v>
      </c>
      <c r="J137" s="175" t="s">
        <v>532</v>
      </c>
      <c r="K137" s="175" t="s">
        <v>533</v>
      </c>
      <c r="L137" s="175" t="s">
        <v>160</v>
      </c>
      <c r="M137" s="175" t="s">
        <v>516</v>
      </c>
      <c r="N137" s="175" t="s">
        <v>14</v>
      </c>
      <c r="O137" s="25">
        <v>0</v>
      </c>
      <c r="P137" s="26" t="str">
        <f>_xlfn.DISPIMG("ID_DE54808A64424090BF3B2071C574D915",1)</f>
        <v>=DISPIMG("ID_DE54808A64424090BF3B2071C574D915",1)</v>
      </c>
      <c r="Q137" s="25" t="s">
        <v>534</v>
      </c>
      <c r="R137" s="25">
        <v>45</v>
      </c>
      <c r="S137" s="40" t="s">
        <v>4408</v>
      </c>
      <c r="T137" s="18" t="s">
        <v>40</v>
      </c>
      <c r="U137" s="25">
        <v>13</v>
      </c>
      <c r="V137" s="25">
        <v>0</v>
      </c>
      <c r="W137" s="25"/>
    </row>
    <row r="138" s="34" customFormat="1" hidden="1" customHeight="1" spans="1:23">
      <c r="A138" s="25">
        <v>1</v>
      </c>
      <c r="B138" s="175" t="s">
        <v>635</v>
      </c>
      <c r="C138" s="175" t="s">
        <v>165</v>
      </c>
      <c r="D138" s="175" t="s">
        <v>636</v>
      </c>
      <c r="E138" s="25">
        <v>15070232391</v>
      </c>
      <c r="F138" s="175" t="s">
        <v>156</v>
      </c>
      <c r="G138" s="175" t="s">
        <v>14</v>
      </c>
      <c r="H138" s="25">
        <v>202102001</v>
      </c>
      <c r="I138" s="175" t="s">
        <v>279</v>
      </c>
      <c r="J138" s="175" t="s">
        <v>158</v>
      </c>
      <c r="K138" s="175" t="s">
        <v>348</v>
      </c>
      <c r="L138" s="175" t="s">
        <v>170</v>
      </c>
      <c r="M138" s="175" t="s">
        <v>548</v>
      </c>
      <c r="N138" s="175" t="s">
        <v>638</v>
      </c>
      <c r="O138" s="175" t="s">
        <v>639</v>
      </c>
      <c r="P138" s="26" t="str">
        <f>_xlfn.DISPIMG("ID_89E406E2AE894B018BFF7E7198130BCA",1)</f>
        <v>=DISPIMG("ID_89E406E2AE894B018BFF7E7198130BCA",1)</v>
      </c>
      <c r="Q138" s="25" t="s">
        <v>640</v>
      </c>
      <c r="R138" s="25">
        <v>58</v>
      </c>
      <c r="S138" s="40" t="s">
        <v>4413</v>
      </c>
      <c r="T138" s="18" t="s">
        <v>43</v>
      </c>
      <c r="U138" s="25">
        <v>6</v>
      </c>
      <c r="V138" s="25">
        <v>0</v>
      </c>
      <c r="W138" s="25"/>
    </row>
    <row r="139" s="34" customFormat="1" hidden="1" customHeight="1" spans="1:23">
      <c r="A139" s="25">
        <v>2</v>
      </c>
      <c r="B139" s="175" t="s">
        <v>643</v>
      </c>
      <c r="C139" s="175" t="s">
        <v>165</v>
      </c>
      <c r="D139" s="175" t="s">
        <v>644</v>
      </c>
      <c r="E139" s="25">
        <v>17808826021</v>
      </c>
      <c r="F139" s="175" t="s">
        <v>156</v>
      </c>
      <c r="G139" s="175" t="s">
        <v>14</v>
      </c>
      <c r="H139" s="25">
        <v>202102001</v>
      </c>
      <c r="I139" s="175" t="s">
        <v>157</v>
      </c>
      <c r="J139" s="175" t="s">
        <v>646</v>
      </c>
      <c r="K139" s="175" t="s">
        <v>454</v>
      </c>
      <c r="L139" s="175" t="s">
        <v>160</v>
      </c>
      <c r="M139" s="175" t="s">
        <v>224</v>
      </c>
      <c r="N139" s="175" t="s">
        <v>14</v>
      </c>
      <c r="O139" s="175" t="s">
        <v>647</v>
      </c>
      <c r="P139" s="26" t="str">
        <f>_xlfn.DISPIMG("ID_905C387E694F4B30B6CB8B8291B01F38",1)</f>
        <v>=DISPIMG("ID_905C387E694F4B30B6CB8B8291B01F38",1)</v>
      </c>
      <c r="Q139" s="25" t="s">
        <v>648</v>
      </c>
      <c r="R139" s="25">
        <v>59</v>
      </c>
      <c r="S139" s="40" t="s">
        <v>4414</v>
      </c>
      <c r="T139" s="18" t="s">
        <v>43</v>
      </c>
      <c r="U139" s="25">
        <v>7</v>
      </c>
      <c r="V139" s="25">
        <v>0</v>
      </c>
      <c r="W139" s="25"/>
    </row>
    <row r="140" s="34" customFormat="1" hidden="1" customHeight="1" spans="1:23">
      <c r="A140" s="25">
        <v>12</v>
      </c>
      <c r="B140" s="175" t="s">
        <v>1542</v>
      </c>
      <c r="C140" s="175" t="s">
        <v>153</v>
      </c>
      <c r="D140" s="175" t="s">
        <v>1543</v>
      </c>
      <c r="E140" s="25">
        <v>15270866526</v>
      </c>
      <c r="F140" s="175" t="s">
        <v>156</v>
      </c>
      <c r="G140" s="175" t="s">
        <v>14</v>
      </c>
      <c r="H140" s="25">
        <v>202102001</v>
      </c>
      <c r="I140" s="175" t="s">
        <v>157</v>
      </c>
      <c r="J140" s="175" t="s">
        <v>1545</v>
      </c>
      <c r="K140" s="175" t="s">
        <v>1546</v>
      </c>
      <c r="L140" s="175" t="s">
        <v>170</v>
      </c>
      <c r="M140" s="175" t="s">
        <v>235</v>
      </c>
      <c r="N140" s="175" t="s">
        <v>1547</v>
      </c>
      <c r="O140" s="175" t="s">
        <v>1548</v>
      </c>
      <c r="P140" s="26" t="str">
        <f>_xlfn.DISPIMG("ID_08EA3F14C88D463E8A5342E5A111BC99",1)</f>
        <v>=DISPIMG("ID_08EA3F14C88D463E8A5342E5A111BC99",1)</v>
      </c>
      <c r="Q140" s="25" t="s">
        <v>1549</v>
      </c>
      <c r="R140" s="25">
        <v>172</v>
      </c>
      <c r="S140" s="40" t="s">
        <v>4432</v>
      </c>
      <c r="T140" s="18" t="s">
        <v>43</v>
      </c>
      <c r="U140" s="25">
        <v>9</v>
      </c>
      <c r="V140" s="25">
        <v>0</v>
      </c>
      <c r="W140" s="25"/>
    </row>
    <row r="141" s="34" customFormat="1" hidden="1" customHeight="1" spans="1:23">
      <c r="A141" s="25">
        <v>22</v>
      </c>
      <c r="B141" s="175" t="s">
        <v>2028</v>
      </c>
      <c r="C141" s="175" t="s">
        <v>165</v>
      </c>
      <c r="D141" s="175" t="s">
        <v>2029</v>
      </c>
      <c r="E141" s="25">
        <v>18379220348</v>
      </c>
      <c r="F141" s="175" t="s">
        <v>156</v>
      </c>
      <c r="G141" s="175" t="s">
        <v>14</v>
      </c>
      <c r="H141" s="25">
        <v>202102001</v>
      </c>
      <c r="I141" s="175" t="s">
        <v>157</v>
      </c>
      <c r="J141" s="175" t="s">
        <v>158</v>
      </c>
      <c r="K141" s="175" t="s">
        <v>1546</v>
      </c>
      <c r="L141" s="175" t="s">
        <v>170</v>
      </c>
      <c r="M141" s="175" t="s">
        <v>161</v>
      </c>
      <c r="N141" s="175" t="s">
        <v>2031</v>
      </c>
      <c r="O141" s="175" t="s">
        <v>2032</v>
      </c>
      <c r="P141" s="26" t="str">
        <f>_xlfn.DISPIMG("ID_23D2336FF3CB4EA6B1558E965302CC98",1)</f>
        <v>=DISPIMG("ID_23D2336FF3CB4EA6B1558E965302CC98",1)</v>
      </c>
      <c r="Q141" s="25" t="s">
        <v>2033</v>
      </c>
      <c r="R141" s="25">
        <v>236</v>
      </c>
      <c r="S141" s="40" t="s">
        <v>4442</v>
      </c>
      <c r="T141" s="18" t="s">
        <v>43</v>
      </c>
      <c r="U141" s="25">
        <v>11</v>
      </c>
      <c r="V141" s="25">
        <v>0</v>
      </c>
      <c r="W141" s="25"/>
    </row>
    <row r="142" s="34" customFormat="1" hidden="1" customHeight="1" spans="1:23">
      <c r="A142" s="25">
        <v>27</v>
      </c>
      <c r="B142" s="175" t="s">
        <v>2430</v>
      </c>
      <c r="C142" s="175" t="s">
        <v>165</v>
      </c>
      <c r="D142" s="175" t="s">
        <v>2431</v>
      </c>
      <c r="E142" s="25">
        <v>18379086106</v>
      </c>
      <c r="F142" s="175" t="s">
        <v>156</v>
      </c>
      <c r="G142" s="175" t="s">
        <v>14</v>
      </c>
      <c r="H142" s="25">
        <v>202102001</v>
      </c>
      <c r="I142" s="175" t="s">
        <v>279</v>
      </c>
      <c r="J142" s="175" t="s">
        <v>178</v>
      </c>
      <c r="K142" s="175" t="s">
        <v>348</v>
      </c>
      <c r="L142" s="175" t="s">
        <v>170</v>
      </c>
      <c r="M142" s="175" t="s">
        <v>396</v>
      </c>
      <c r="N142" s="175" t="s">
        <v>14</v>
      </c>
      <c r="O142" s="175" t="s">
        <v>2433</v>
      </c>
      <c r="P142" s="26" t="str">
        <f>_xlfn.DISPIMG("ID_490114996A5646149508AE2796C7FCA8",1)</f>
        <v>=DISPIMG("ID_490114996A5646149508AE2796C7FCA8",1)</v>
      </c>
      <c r="Q142" s="25" t="s">
        <v>2434</v>
      </c>
      <c r="R142" s="25">
        <v>289</v>
      </c>
      <c r="S142" s="40" t="s">
        <v>4447</v>
      </c>
      <c r="T142" s="18" t="s">
        <v>43</v>
      </c>
      <c r="U142" s="25">
        <v>12</v>
      </c>
      <c r="V142" s="25">
        <v>0</v>
      </c>
      <c r="W142" s="25"/>
    </row>
    <row r="143" s="34" customFormat="1" hidden="1" customHeight="1" spans="1:23">
      <c r="A143" s="25">
        <v>28</v>
      </c>
      <c r="B143" s="175" t="s">
        <v>2452</v>
      </c>
      <c r="C143" s="175" t="s">
        <v>165</v>
      </c>
      <c r="D143" s="175" t="s">
        <v>2453</v>
      </c>
      <c r="E143" s="25">
        <v>18720955003</v>
      </c>
      <c r="F143" s="175" t="s">
        <v>156</v>
      </c>
      <c r="G143" s="175" t="s">
        <v>14</v>
      </c>
      <c r="H143" s="25">
        <v>202102001</v>
      </c>
      <c r="I143" s="175" t="s">
        <v>157</v>
      </c>
      <c r="J143" s="175" t="s">
        <v>197</v>
      </c>
      <c r="K143" s="175" t="s">
        <v>454</v>
      </c>
      <c r="L143" s="175" t="s">
        <v>160</v>
      </c>
      <c r="M143" s="175" t="s">
        <v>216</v>
      </c>
      <c r="N143" s="175" t="s">
        <v>14</v>
      </c>
      <c r="O143" s="175" t="s">
        <v>2455</v>
      </c>
      <c r="P143" s="26" t="str">
        <f>_xlfn.DISPIMG("ID_FC7219DD86F84BE1856628C95CBE9A35",1)</f>
        <v>=DISPIMG("ID_FC7219DD86F84BE1856628C95CBE9A35",1)</v>
      </c>
      <c r="Q143" s="25" t="s">
        <v>2456</v>
      </c>
      <c r="R143" s="25">
        <v>292</v>
      </c>
      <c r="S143" s="40" t="s">
        <v>4448</v>
      </c>
      <c r="T143" s="18" t="s">
        <v>43</v>
      </c>
      <c r="U143" s="25">
        <v>13</v>
      </c>
      <c r="V143" s="25">
        <v>0</v>
      </c>
      <c r="W143" s="25"/>
    </row>
    <row r="144" s="34" customFormat="1" hidden="1" customHeight="1" spans="1:23">
      <c r="A144" s="25">
        <v>23</v>
      </c>
      <c r="B144" s="175" t="s">
        <v>2053</v>
      </c>
      <c r="C144" s="175" t="s">
        <v>165</v>
      </c>
      <c r="D144" s="175" t="s">
        <v>2054</v>
      </c>
      <c r="E144" s="25">
        <v>15079910015</v>
      </c>
      <c r="F144" s="175" t="s">
        <v>156</v>
      </c>
      <c r="G144" s="175" t="s">
        <v>14</v>
      </c>
      <c r="H144" s="25">
        <v>202102001</v>
      </c>
      <c r="I144" s="175" t="s">
        <v>279</v>
      </c>
      <c r="J144" s="175" t="s">
        <v>1424</v>
      </c>
      <c r="K144" s="175" t="s">
        <v>348</v>
      </c>
      <c r="L144" s="175" t="s">
        <v>170</v>
      </c>
      <c r="M144" s="175" t="s">
        <v>199</v>
      </c>
      <c r="N144" s="175" t="s">
        <v>14</v>
      </c>
      <c r="O144" s="175" t="s">
        <v>2056</v>
      </c>
      <c r="P144" s="26" t="str">
        <f>_xlfn.DISPIMG("ID_4A26FAD7BD014883BE19E7EBABEADF70",1)</f>
        <v>=DISPIMG("ID_4A26FAD7BD014883BE19E7EBABEADF70",1)</v>
      </c>
      <c r="Q144" s="25" t="s">
        <v>2057</v>
      </c>
      <c r="R144" s="25">
        <v>239</v>
      </c>
      <c r="S144" s="40" t="s">
        <v>4443</v>
      </c>
      <c r="T144" s="18" t="s">
        <v>43</v>
      </c>
      <c r="U144" s="25">
        <v>14</v>
      </c>
      <c r="V144" s="25">
        <v>0</v>
      </c>
      <c r="W144" s="25"/>
    </row>
    <row r="145" s="34" customFormat="1" hidden="1" customHeight="1" spans="1:23">
      <c r="A145" s="25">
        <v>18</v>
      </c>
      <c r="B145" s="175" t="s">
        <v>1955</v>
      </c>
      <c r="C145" s="175" t="s">
        <v>165</v>
      </c>
      <c r="D145" s="175" t="s">
        <v>1956</v>
      </c>
      <c r="E145" s="25">
        <v>13687028289</v>
      </c>
      <c r="F145" s="175" t="s">
        <v>156</v>
      </c>
      <c r="G145" s="175" t="s">
        <v>14</v>
      </c>
      <c r="H145" s="25">
        <v>202102001</v>
      </c>
      <c r="I145" s="175" t="s">
        <v>279</v>
      </c>
      <c r="J145" s="175" t="s">
        <v>339</v>
      </c>
      <c r="K145" s="175" t="s">
        <v>348</v>
      </c>
      <c r="L145" s="175" t="s">
        <v>170</v>
      </c>
      <c r="M145" s="175" t="s">
        <v>180</v>
      </c>
      <c r="N145" s="175" t="s">
        <v>638</v>
      </c>
      <c r="O145" s="175" t="s">
        <v>1958</v>
      </c>
      <c r="P145" s="26" t="str">
        <f>_xlfn.DISPIMG("ID_2D011236909B4AB48CEACAF4EB3A9013",1)</f>
        <v>=DISPIMG("ID_2D011236909B4AB48CEACAF4EB3A9013",1)</v>
      </c>
      <c r="Q145" s="25" t="s">
        <v>1959</v>
      </c>
      <c r="R145" s="25">
        <v>226</v>
      </c>
      <c r="S145" s="40" t="s">
        <v>4438</v>
      </c>
      <c r="T145" s="18" t="s">
        <v>43</v>
      </c>
      <c r="U145" s="25">
        <v>15</v>
      </c>
      <c r="V145" s="25">
        <v>0</v>
      </c>
      <c r="W145" s="25"/>
    </row>
    <row r="146" s="34" customFormat="1" hidden="1" customHeight="1" spans="1:23">
      <c r="A146" s="25">
        <v>13</v>
      </c>
      <c r="B146" s="175" t="s">
        <v>1697</v>
      </c>
      <c r="C146" s="175" t="s">
        <v>165</v>
      </c>
      <c r="D146" s="175" t="s">
        <v>1698</v>
      </c>
      <c r="E146" s="25">
        <v>13732925421</v>
      </c>
      <c r="F146" s="175" t="s">
        <v>156</v>
      </c>
      <c r="G146" s="175" t="s">
        <v>14</v>
      </c>
      <c r="H146" s="25">
        <v>202102001</v>
      </c>
      <c r="I146" s="175" t="s">
        <v>157</v>
      </c>
      <c r="J146" s="175" t="s">
        <v>1654</v>
      </c>
      <c r="K146" s="175" t="s">
        <v>1700</v>
      </c>
      <c r="L146" s="175" t="s">
        <v>160</v>
      </c>
      <c r="M146" s="175" t="s">
        <v>235</v>
      </c>
      <c r="N146" s="175" t="s">
        <v>1701</v>
      </c>
      <c r="O146" s="175" t="s">
        <v>1702</v>
      </c>
      <c r="P146" s="26" t="str">
        <f>_xlfn.DISPIMG("ID_9C3AAF7BA09C4626832FC4C49E6F802D",1)</f>
        <v>=DISPIMG("ID_9C3AAF7BA09C4626832FC4C49E6F802D",1)</v>
      </c>
      <c r="Q146" s="25" t="s">
        <v>1703</v>
      </c>
      <c r="R146" s="25">
        <v>192</v>
      </c>
      <c r="S146" s="40" t="s">
        <v>4433</v>
      </c>
      <c r="T146" s="18" t="s">
        <v>43</v>
      </c>
      <c r="U146" s="25">
        <v>16</v>
      </c>
      <c r="V146" s="25">
        <v>0</v>
      </c>
      <c r="W146" s="25"/>
    </row>
    <row r="147" s="34" customFormat="1" hidden="1" customHeight="1" spans="1:23">
      <c r="A147" s="25">
        <v>29</v>
      </c>
      <c r="B147" s="175" t="s">
        <v>2466</v>
      </c>
      <c r="C147" s="175" t="s">
        <v>165</v>
      </c>
      <c r="D147" s="175" t="s">
        <v>2467</v>
      </c>
      <c r="E147" s="25">
        <v>18296295635</v>
      </c>
      <c r="F147" s="175" t="s">
        <v>156</v>
      </c>
      <c r="G147" s="175" t="s">
        <v>14</v>
      </c>
      <c r="H147" s="25">
        <v>202102001</v>
      </c>
      <c r="I147" s="175" t="s">
        <v>279</v>
      </c>
      <c r="J147" s="175" t="s">
        <v>233</v>
      </c>
      <c r="K147" s="175" t="s">
        <v>348</v>
      </c>
      <c r="L147" s="175" t="s">
        <v>170</v>
      </c>
      <c r="M147" s="175" t="s">
        <v>368</v>
      </c>
      <c r="N147" s="175" t="s">
        <v>14</v>
      </c>
      <c r="O147" s="175" t="s">
        <v>2469</v>
      </c>
      <c r="P147" s="26" t="str">
        <f>_xlfn.DISPIMG("ID_F16EE101B40044CF89D1DFEEC618BA53",1)</f>
        <v>=DISPIMG("ID_F16EE101B40044CF89D1DFEEC618BA53",1)</v>
      </c>
      <c r="Q147" s="25" t="s">
        <v>2470</v>
      </c>
      <c r="R147" s="25">
        <v>294</v>
      </c>
      <c r="S147" s="40" t="s">
        <v>4449</v>
      </c>
      <c r="T147" s="18" t="s">
        <v>43</v>
      </c>
      <c r="U147" s="25">
        <v>24</v>
      </c>
      <c r="V147" s="25">
        <v>0</v>
      </c>
      <c r="W147" s="25"/>
    </row>
    <row r="148" s="34" customFormat="1" hidden="1" customHeight="1" spans="1:23">
      <c r="A148" s="25">
        <v>30</v>
      </c>
      <c r="B148" s="175" t="s">
        <v>2562</v>
      </c>
      <c r="C148" s="175" t="s">
        <v>165</v>
      </c>
      <c r="D148" s="175" t="s">
        <v>2563</v>
      </c>
      <c r="E148" s="25">
        <v>18279531380</v>
      </c>
      <c r="F148" s="175" t="s">
        <v>156</v>
      </c>
      <c r="G148" s="175" t="s">
        <v>14</v>
      </c>
      <c r="H148" s="25">
        <v>202102001</v>
      </c>
      <c r="I148" s="175" t="s">
        <v>705</v>
      </c>
      <c r="J148" s="175" t="s">
        <v>2565</v>
      </c>
      <c r="K148" s="175" t="s">
        <v>790</v>
      </c>
      <c r="L148" s="175" t="s">
        <v>160</v>
      </c>
      <c r="M148" s="175" t="s">
        <v>455</v>
      </c>
      <c r="N148" s="175" t="s">
        <v>14</v>
      </c>
      <c r="O148" s="175" t="s">
        <v>2566</v>
      </c>
      <c r="P148" s="26" t="str">
        <f>_xlfn.DISPIMG("ID_DA928F2BE2B24AF3ABF5D40BAC268946",1)</f>
        <v>=DISPIMG("ID_DA928F2BE2B24AF3ABF5D40BAC268946",1)</v>
      </c>
      <c r="Q148" s="25" t="s">
        <v>2567</v>
      </c>
      <c r="R148" s="25">
        <v>307</v>
      </c>
      <c r="S148" s="40" t="s">
        <v>4450</v>
      </c>
      <c r="T148" s="18" t="s">
        <v>43</v>
      </c>
      <c r="U148" s="25">
        <v>25</v>
      </c>
      <c r="V148" s="25">
        <v>0</v>
      </c>
      <c r="W148" s="25"/>
    </row>
    <row r="149" s="34" customFormat="1" hidden="1" customHeight="1" spans="1:23">
      <c r="A149" s="25">
        <v>20</v>
      </c>
      <c r="B149" s="175" t="s">
        <v>1983</v>
      </c>
      <c r="C149" s="175" t="s">
        <v>165</v>
      </c>
      <c r="D149" s="175" t="s">
        <v>1984</v>
      </c>
      <c r="E149" s="25">
        <v>15070924105</v>
      </c>
      <c r="F149" s="175" t="s">
        <v>156</v>
      </c>
      <c r="G149" s="175" t="s">
        <v>14</v>
      </c>
      <c r="H149" s="25">
        <v>202102001</v>
      </c>
      <c r="I149" s="175" t="s">
        <v>279</v>
      </c>
      <c r="J149" s="175" t="s">
        <v>515</v>
      </c>
      <c r="K149" s="175" t="s">
        <v>223</v>
      </c>
      <c r="L149" s="175" t="s">
        <v>170</v>
      </c>
      <c r="M149" s="175" t="s">
        <v>224</v>
      </c>
      <c r="N149" s="175" t="s">
        <v>14</v>
      </c>
      <c r="O149" s="25">
        <v>0</v>
      </c>
      <c r="P149" s="26" t="str">
        <f>_xlfn.DISPIMG("ID_88D6D1C166864D0C988B38CB94A18A2D",1)</f>
        <v>=DISPIMG("ID_88D6D1C166864D0C988B38CB94A18A2D",1)</v>
      </c>
      <c r="Q149" s="25" t="s">
        <v>1986</v>
      </c>
      <c r="R149" s="25">
        <v>230</v>
      </c>
      <c r="S149" s="40" t="s">
        <v>4440</v>
      </c>
      <c r="T149" s="18" t="s">
        <v>43</v>
      </c>
      <c r="U149" s="25">
        <v>27</v>
      </c>
      <c r="V149" s="25">
        <v>0</v>
      </c>
      <c r="W149" s="25"/>
    </row>
    <row r="150" s="34" customFormat="1" hidden="1" customHeight="1" spans="1:23">
      <c r="A150" s="25">
        <v>15</v>
      </c>
      <c r="B150" s="175" t="s">
        <v>1828</v>
      </c>
      <c r="C150" s="175" t="s">
        <v>165</v>
      </c>
      <c r="D150" s="175" t="s">
        <v>1829</v>
      </c>
      <c r="E150" s="25">
        <v>18797851564</v>
      </c>
      <c r="F150" s="175" t="s">
        <v>156</v>
      </c>
      <c r="G150" s="175" t="s">
        <v>14</v>
      </c>
      <c r="H150" s="25">
        <v>202102001</v>
      </c>
      <c r="I150" s="175" t="s">
        <v>157</v>
      </c>
      <c r="J150" s="175" t="s">
        <v>1831</v>
      </c>
      <c r="K150" s="175" t="s">
        <v>1832</v>
      </c>
      <c r="L150" s="175" t="s">
        <v>160</v>
      </c>
      <c r="M150" s="175" t="s">
        <v>171</v>
      </c>
      <c r="N150" s="175" t="s">
        <v>14</v>
      </c>
      <c r="O150" s="175" t="s">
        <v>1833</v>
      </c>
      <c r="P150" s="26" t="str">
        <f>_xlfn.DISPIMG("ID_9C01FBB9DB4A4DB19EA599EA9C699E26",1)</f>
        <v>=DISPIMG("ID_9C01FBB9DB4A4DB19EA599EA9C699E26",1)</v>
      </c>
      <c r="Q150" s="25" t="s">
        <v>1834</v>
      </c>
      <c r="R150" s="25">
        <v>209</v>
      </c>
      <c r="S150" s="40" t="s">
        <v>4435</v>
      </c>
      <c r="T150" s="18" t="s">
        <v>43</v>
      </c>
      <c r="U150" s="25">
        <v>28</v>
      </c>
      <c r="V150" s="25">
        <v>0</v>
      </c>
      <c r="W150" s="25"/>
    </row>
    <row r="151" s="34" customFormat="1" hidden="1" customHeight="1" spans="1:23">
      <c r="A151" s="25">
        <v>10</v>
      </c>
      <c r="B151" s="175" t="s">
        <v>1380</v>
      </c>
      <c r="C151" s="175" t="s">
        <v>165</v>
      </c>
      <c r="D151" s="175" t="s">
        <v>1381</v>
      </c>
      <c r="E151" s="25">
        <v>15279288135</v>
      </c>
      <c r="F151" s="175" t="s">
        <v>156</v>
      </c>
      <c r="G151" s="175" t="s">
        <v>14</v>
      </c>
      <c r="H151" s="25">
        <v>202102001</v>
      </c>
      <c r="I151" s="175" t="s">
        <v>279</v>
      </c>
      <c r="J151" s="175" t="s">
        <v>339</v>
      </c>
      <c r="K151" s="175" t="s">
        <v>348</v>
      </c>
      <c r="L151" s="175" t="s">
        <v>170</v>
      </c>
      <c r="M151" s="175" t="s">
        <v>368</v>
      </c>
      <c r="N151" s="175" t="s">
        <v>350</v>
      </c>
      <c r="O151" s="175" t="s">
        <v>1383</v>
      </c>
      <c r="P151" s="26" t="str">
        <f>_xlfn.DISPIMG("ID_05A4371881E64A5ABCF18AC5C0DCA23F",1)</f>
        <v>=DISPIMG("ID_05A4371881E64A5ABCF18AC5C0DCA23F",1)</v>
      </c>
      <c r="Q151" s="25" t="s">
        <v>1384</v>
      </c>
      <c r="R151" s="25">
        <v>151</v>
      </c>
      <c r="S151" s="40" t="s">
        <v>4430</v>
      </c>
      <c r="T151" s="18" t="s">
        <v>43</v>
      </c>
      <c r="U151" s="25">
        <v>29</v>
      </c>
      <c r="V151" s="25">
        <v>0</v>
      </c>
      <c r="W151" s="25"/>
    </row>
    <row r="152" s="34" customFormat="1" hidden="1" customHeight="1" spans="1:23">
      <c r="A152" s="25">
        <v>21</v>
      </c>
      <c r="B152" s="175" t="s">
        <v>3881</v>
      </c>
      <c r="C152" s="175" t="s">
        <v>165</v>
      </c>
      <c r="D152" s="175" t="s">
        <v>3882</v>
      </c>
      <c r="E152" s="25">
        <v>18770914505</v>
      </c>
      <c r="F152" s="175" t="s">
        <v>156</v>
      </c>
      <c r="G152" s="175" t="s">
        <v>14</v>
      </c>
      <c r="H152" s="25">
        <v>202102001</v>
      </c>
      <c r="I152" s="175" t="s">
        <v>279</v>
      </c>
      <c r="J152" s="175" t="s">
        <v>178</v>
      </c>
      <c r="K152" s="175" t="s">
        <v>348</v>
      </c>
      <c r="L152" s="175" t="s">
        <v>170</v>
      </c>
      <c r="M152" s="175" t="s">
        <v>281</v>
      </c>
      <c r="N152" s="175" t="s">
        <v>498</v>
      </c>
      <c r="O152" s="175" t="s">
        <v>3884</v>
      </c>
      <c r="P152" s="26" t="str">
        <f>_xlfn.DISPIMG("ID_3C6B462D1CF047DC951D0874F80418DC",1)</f>
        <v>=DISPIMG("ID_3C6B462D1CF047DC951D0874F80418DC",1)</v>
      </c>
      <c r="Q152" s="25" t="s">
        <v>3885</v>
      </c>
      <c r="R152" s="25">
        <v>495</v>
      </c>
      <c r="S152" s="40" t="s">
        <v>4471</v>
      </c>
      <c r="T152" s="18" t="s">
        <v>45</v>
      </c>
      <c r="U152" s="25">
        <v>2</v>
      </c>
      <c r="V152" s="25">
        <v>0</v>
      </c>
      <c r="W152" s="25"/>
    </row>
    <row r="153" s="34" customFormat="1" hidden="1" customHeight="1" spans="1:23">
      <c r="A153" s="25">
        <v>16</v>
      </c>
      <c r="B153" s="175" t="s">
        <v>3500</v>
      </c>
      <c r="C153" s="175" t="s">
        <v>165</v>
      </c>
      <c r="D153" s="175" t="s">
        <v>3501</v>
      </c>
      <c r="E153" s="25">
        <v>15070192175</v>
      </c>
      <c r="F153" s="175" t="s">
        <v>156</v>
      </c>
      <c r="G153" s="175" t="s">
        <v>14</v>
      </c>
      <c r="H153" s="25">
        <v>202102001</v>
      </c>
      <c r="I153" s="175" t="s">
        <v>279</v>
      </c>
      <c r="J153" s="175" t="s">
        <v>1545</v>
      </c>
      <c r="K153" s="175" t="s">
        <v>348</v>
      </c>
      <c r="L153" s="175" t="s">
        <v>170</v>
      </c>
      <c r="M153" s="175" t="s">
        <v>577</v>
      </c>
      <c r="N153" s="175" t="s">
        <v>638</v>
      </c>
      <c r="O153" s="175" t="s">
        <v>3503</v>
      </c>
      <c r="P153" s="26" t="str">
        <f>_xlfn.DISPIMG("ID_582DA32893494A1CB2F261C9DF30C5FF",1)</f>
        <v>=DISPIMG("ID_582DA32893494A1CB2F261C9DF30C5FF",1)</v>
      </c>
      <c r="Q153" s="25" t="s">
        <v>3504</v>
      </c>
      <c r="R153" s="25">
        <v>443</v>
      </c>
      <c r="S153" s="40" t="s">
        <v>4466</v>
      </c>
      <c r="T153" s="18" t="s">
        <v>45</v>
      </c>
      <c r="U153" s="25">
        <v>3</v>
      </c>
      <c r="V153" s="25">
        <v>0</v>
      </c>
      <c r="W153" s="25"/>
    </row>
    <row r="154" s="34" customFormat="1" hidden="1" customHeight="1" spans="1:23">
      <c r="A154" s="25">
        <v>6</v>
      </c>
      <c r="B154" s="175" t="s">
        <v>3036</v>
      </c>
      <c r="C154" s="175" t="s">
        <v>165</v>
      </c>
      <c r="D154" s="175" t="s">
        <v>3037</v>
      </c>
      <c r="E154" s="25">
        <v>13755268380</v>
      </c>
      <c r="F154" s="175" t="s">
        <v>156</v>
      </c>
      <c r="G154" s="175" t="s">
        <v>14</v>
      </c>
      <c r="H154" s="25">
        <v>202102001</v>
      </c>
      <c r="I154" s="175" t="s">
        <v>279</v>
      </c>
      <c r="J154" s="175" t="s">
        <v>1674</v>
      </c>
      <c r="K154" s="175" t="s">
        <v>348</v>
      </c>
      <c r="L154" s="175" t="s">
        <v>170</v>
      </c>
      <c r="M154" s="175" t="s">
        <v>3039</v>
      </c>
      <c r="N154" s="175" t="s">
        <v>2395</v>
      </c>
      <c r="O154" s="175" t="s">
        <v>3040</v>
      </c>
      <c r="P154" s="26" t="str">
        <f>_xlfn.DISPIMG("ID_BCD8D492551D473299BE1D3404EC1A74",1)</f>
        <v>=DISPIMG("ID_BCD8D492551D473299BE1D3404EC1A74",1)</v>
      </c>
      <c r="Q154" s="25" t="s">
        <v>3041</v>
      </c>
      <c r="R154" s="25">
        <v>375</v>
      </c>
      <c r="S154" s="40" t="s">
        <v>4456</v>
      </c>
      <c r="T154" s="18" t="s">
        <v>45</v>
      </c>
      <c r="U154" s="25">
        <v>5</v>
      </c>
      <c r="V154" s="25">
        <v>0</v>
      </c>
      <c r="W154" s="25"/>
    </row>
    <row r="155" s="34" customFormat="1" hidden="1" customHeight="1" spans="1:23">
      <c r="A155" s="25">
        <v>22</v>
      </c>
      <c r="B155" s="175" t="s">
        <v>3888</v>
      </c>
      <c r="C155" s="175" t="s">
        <v>165</v>
      </c>
      <c r="D155" s="175" t="s">
        <v>3889</v>
      </c>
      <c r="E155" s="25">
        <v>15949598955</v>
      </c>
      <c r="F155" s="175" t="s">
        <v>156</v>
      </c>
      <c r="G155" s="175" t="s">
        <v>14</v>
      </c>
      <c r="H155" s="25">
        <v>202102001</v>
      </c>
      <c r="I155" s="175" t="s">
        <v>279</v>
      </c>
      <c r="J155" s="175" t="s">
        <v>367</v>
      </c>
      <c r="K155" s="175" t="s">
        <v>348</v>
      </c>
      <c r="L155" s="175" t="s">
        <v>170</v>
      </c>
      <c r="M155" s="175" t="s">
        <v>587</v>
      </c>
      <c r="N155" s="175" t="s">
        <v>14</v>
      </c>
      <c r="O155" s="175" t="s">
        <v>3891</v>
      </c>
      <c r="P155" s="26" t="str">
        <f>_xlfn.DISPIMG("ID_2410E866E9B946F380BB65E1492A0355",1)</f>
        <v>=DISPIMG("ID_2410E866E9B946F380BB65E1492A0355",1)</v>
      </c>
      <c r="Q155" s="25" t="s">
        <v>3892</v>
      </c>
      <c r="R155" s="25">
        <v>496</v>
      </c>
      <c r="S155" s="40" t="s">
        <v>4472</v>
      </c>
      <c r="T155" s="18" t="s">
        <v>45</v>
      </c>
      <c r="U155" s="25">
        <v>11</v>
      </c>
      <c r="V155" s="25">
        <v>0</v>
      </c>
      <c r="W155" s="25"/>
    </row>
    <row r="156" s="4" customFormat="1" hidden="1" customHeight="1" spans="1:23">
      <c r="A156" s="25">
        <v>27</v>
      </c>
      <c r="B156" s="176" t="s">
        <v>4103</v>
      </c>
      <c r="C156" s="176" t="s">
        <v>165</v>
      </c>
      <c r="D156" s="175" t="s">
        <v>4104</v>
      </c>
      <c r="E156" s="25">
        <v>15270173371</v>
      </c>
      <c r="F156" s="176" t="s">
        <v>384</v>
      </c>
      <c r="G156" s="176" t="s">
        <v>14</v>
      </c>
      <c r="H156" s="70">
        <v>202102001</v>
      </c>
      <c r="I156" s="175" t="s">
        <v>157</v>
      </c>
      <c r="J156" s="175" t="s">
        <v>233</v>
      </c>
      <c r="K156" s="175" t="s">
        <v>454</v>
      </c>
      <c r="L156" s="175" t="s">
        <v>170</v>
      </c>
      <c r="M156" s="175" t="s">
        <v>4106</v>
      </c>
      <c r="N156" s="175" t="s">
        <v>14</v>
      </c>
      <c r="O156" s="175" t="s">
        <v>4107</v>
      </c>
      <c r="P156" s="26" t="str">
        <f>_xlfn.DISPIMG("ID_EDE9A315C64A4BE2AC2F986557EA53FC",1)</f>
        <v>=DISPIMG("ID_EDE9A315C64A4BE2AC2F986557EA53FC",1)</v>
      </c>
      <c r="Q156" s="25" t="s">
        <v>4108</v>
      </c>
      <c r="R156" s="25">
        <v>525</v>
      </c>
      <c r="S156" s="71" t="s">
        <v>4477</v>
      </c>
      <c r="T156" s="72" t="s">
        <v>45</v>
      </c>
      <c r="U156" s="70">
        <v>12</v>
      </c>
      <c r="V156" s="70">
        <v>0</v>
      </c>
      <c r="W156" s="70"/>
    </row>
    <row r="157" s="34" customFormat="1" hidden="1" customHeight="1" spans="1:23">
      <c r="A157" s="25">
        <v>23</v>
      </c>
      <c r="B157" s="175" t="s">
        <v>3910</v>
      </c>
      <c r="C157" s="175" t="s">
        <v>165</v>
      </c>
      <c r="D157" s="175" t="s">
        <v>3911</v>
      </c>
      <c r="E157" s="25">
        <v>13627096197</v>
      </c>
      <c r="F157" s="175" t="s">
        <v>156</v>
      </c>
      <c r="G157" s="175" t="s">
        <v>14</v>
      </c>
      <c r="H157" s="25">
        <v>202102001</v>
      </c>
      <c r="I157" s="175" t="s">
        <v>157</v>
      </c>
      <c r="J157" s="175" t="s">
        <v>233</v>
      </c>
      <c r="K157" s="175" t="s">
        <v>454</v>
      </c>
      <c r="L157" s="175" t="s">
        <v>170</v>
      </c>
      <c r="M157" s="175" t="s">
        <v>516</v>
      </c>
      <c r="N157" s="175" t="s">
        <v>3913</v>
      </c>
      <c r="O157" s="175" t="s">
        <v>3914</v>
      </c>
      <c r="P157" s="26" t="str">
        <f>_xlfn.DISPIMG("ID_2CCA277749F14624BD11838DCC078340",1)</f>
        <v>=DISPIMG("ID_2CCA277749F14624BD11838DCC078340",1)</v>
      </c>
      <c r="Q157" s="25" t="s">
        <v>3915</v>
      </c>
      <c r="R157" s="25">
        <v>499</v>
      </c>
      <c r="S157" s="40" t="s">
        <v>4473</v>
      </c>
      <c r="T157" s="18" t="s">
        <v>45</v>
      </c>
      <c r="U157" s="25">
        <v>14</v>
      </c>
      <c r="V157" s="25">
        <v>0</v>
      </c>
      <c r="W157" s="25"/>
    </row>
    <row r="158" s="34" customFormat="1" hidden="1" customHeight="1" spans="1:23">
      <c r="A158" s="25">
        <v>13</v>
      </c>
      <c r="B158" s="175" t="s">
        <v>3381</v>
      </c>
      <c r="C158" s="175" t="s">
        <v>165</v>
      </c>
      <c r="D158" s="175" t="s">
        <v>3382</v>
      </c>
      <c r="E158" s="25">
        <v>15070017489</v>
      </c>
      <c r="F158" s="175" t="s">
        <v>156</v>
      </c>
      <c r="G158" s="175" t="s">
        <v>14</v>
      </c>
      <c r="H158" s="25">
        <v>202102001</v>
      </c>
      <c r="I158" s="175" t="s">
        <v>157</v>
      </c>
      <c r="J158" s="175" t="s">
        <v>1121</v>
      </c>
      <c r="K158" s="175" t="s">
        <v>1832</v>
      </c>
      <c r="L158" s="175" t="s">
        <v>160</v>
      </c>
      <c r="M158" s="175" t="s">
        <v>199</v>
      </c>
      <c r="N158" s="175" t="s">
        <v>14</v>
      </c>
      <c r="O158" s="25">
        <v>0</v>
      </c>
      <c r="P158" s="26" t="str">
        <f>_xlfn.DISPIMG("ID_755EB9C887424753BE38DCDA04F5D53F",1)</f>
        <v>=DISPIMG("ID_755EB9C887424753BE38DCDA04F5D53F",1)</v>
      </c>
      <c r="Q158" s="25" t="s">
        <v>3384</v>
      </c>
      <c r="R158" s="25">
        <v>426</v>
      </c>
      <c r="S158" s="40" t="s">
        <v>4463</v>
      </c>
      <c r="T158" s="18" t="s">
        <v>45</v>
      </c>
      <c r="U158" s="25">
        <v>16</v>
      </c>
      <c r="V158" s="25">
        <v>0</v>
      </c>
      <c r="W158" s="25"/>
    </row>
    <row r="159" s="34" customFormat="1" hidden="1" customHeight="1" spans="1:23">
      <c r="A159" s="25">
        <v>8</v>
      </c>
      <c r="B159" s="175" t="s">
        <v>3067</v>
      </c>
      <c r="C159" s="175" t="s">
        <v>165</v>
      </c>
      <c r="D159" s="175" t="s">
        <v>3068</v>
      </c>
      <c r="E159" s="25">
        <v>18070525525</v>
      </c>
      <c r="F159" s="175" t="s">
        <v>156</v>
      </c>
      <c r="G159" s="175" t="s">
        <v>14</v>
      </c>
      <c r="H159" s="25">
        <v>202102001</v>
      </c>
      <c r="I159" s="175" t="s">
        <v>157</v>
      </c>
      <c r="J159" s="175" t="s">
        <v>3070</v>
      </c>
      <c r="K159" s="175" t="s">
        <v>454</v>
      </c>
      <c r="L159" s="175" t="s">
        <v>170</v>
      </c>
      <c r="M159" s="175" t="s">
        <v>577</v>
      </c>
      <c r="N159" s="175" t="s">
        <v>1579</v>
      </c>
      <c r="O159" s="175" t="s">
        <v>3071</v>
      </c>
      <c r="P159" s="26" t="str">
        <f>_xlfn.DISPIMG("ID_2CCF9645E24E4A3B81BAE72B8AED314D",1)</f>
        <v>=DISPIMG("ID_2CCF9645E24E4A3B81BAE72B8AED314D",1)</v>
      </c>
      <c r="Q159" s="25" t="s">
        <v>3072</v>
      </c>
      <c r="R159" s="25">
        <v>379</v>
      </c>
      <c r="S159" s="40" t="s">
        <v>4458</v>
      </c>
      <c r="T159" s="18" t="s">
        <v>45</v>
      </c>
      <c r="U159" s="25">
        <v>17</v>
      </c>
      <c r="V159" s="25">
        <v>0</v>
      </c>
      <c r="W159" s="25"/>
    </row>
    <row r="160" s="34" customFormat="1" hidden="1" customHeight="1" spans="1:23">
      <c r="A160" s="25">
        <v>19</v>
      </c>
      <c r="B160" s="175" t="s">
        <v>3773</v>
      </c>
      <c r="C160" s="175" t="s">
        <v>165</v>
      </c>
      <c r="D160" s="175" t="s">
        <v>3774</v>
      </c>
      <c r="E160" s="25">
        <v>15083553694</v>
      </c>
      <c r="F160" s="175" t="s">
        <v>156</v>
      </c>
      <c r="G160" s="175" t="s">
        <v>14</v>
      </c>
      <c r="H160" s="25">
        <v>202102001</v>
      </c>
      <c r="I160" s="175" t="s">
        <v>279</v>
      </c>
      <c r="J160" s="175" t="s">
        <v>178</v>
      </c>
      <c r="K160" s="175" t="s">
        <v>348</v>
      </c>
      <c r="L160" s="175" t="s">
        <v>170</v>
      </c>
      <c r="M160" s="175" t="s">
        <v>180</v>
      </c>
      <c r="N160" s="175" t="s">
        <v>14</v>
      </c>
      <c r="O160" s="175" t="s">
        <v>3776</v>
      </c>
      <c r="P160" s="26" t="str">
        <f>_xlfn.DISPIMG("ID_CF1C1431032D4C21956EAEFBC2630095",1)</f>
        <v>=DISPIMG("ID_CF1C1431032D4C21956EAEFBC2630095",1)</v>
      </c>
      <c r="Q160" s="25" t="s">
        <v>3777</v>
      </c>
      <c r="R160" s="25">
        <v>481</v>
      </c>
      <c r="S160" s="40" t="s">
        <v>4469</v>
      </c>
      <c r="T160" s="18" t="s">
        <v>45</v>
      </c>
      <c r="U160" s="25">
        <v>22</v>
      </c>
      <c r="V160" s="25">
        <v>0</v>
      </c>
      <c r="W160" s="25"/>
    </row>
    <row r="161" s="34" customFormat="1" hidden="1" customHeight="1" spans="1:23">
      <c r="A161" s="25">
        <v>24</v>
      </c>
      <c r="B161" s="175" t="s">
        <v>3931</v>
      </c>
      <c r="C161" s="175" t="s">
        <v>165</v>
      </c>
      <c r="D161" s="175" t="s">
        <v>3932</v>
      </c>
      <c r="E161" s="25">
        <v>13064153607</v>
      </c>
      <c r="F161" s="175" t="s">
        <v>156</v>
      </c>
      <c r="G161" s="175" t="s">
        <v>14</v>
      </c>
      <c r="H161" s="25">
        <v>202102001</v>
      </c>
      <c r="I161" s="175" t="s">
        <v>279</v>
      </c>
      <c r="J161" s="175" t="s">
        <v>3934</v>
      </c>
      <c r="K161" s="175" t="s">
        <v>348</v>
      </c>
      <c r="L161" s="175" t="s">
        <v>170</v>
      </c>
      <c r="M161" s="175" t="s">
        <v>349</v>
      </c>
      <c r="N161" s="175" t="s">
        <v>3935</v>
      </c>
      <c r="O161" s="175" t="s">
        <v>3936</v>
      </c>
      <c r="P161" s="26" t="str">
        <f>_xlfn.DISPIMG("ID_FD6A12B7DDFB4497A1625AEB18B6C93E",1)</f>
        <v>=DISPIMG("ID_FD6A12B7DDFB4497A1625AEB18B6C93E",1)</v>
      </c>
      <c r="Q161" s="25" t="s">
        <v>3937</v>
      </c>
      <c r="R161" s="25">
        <v>502</v>
      </c>
      <c r="S161" s="40" t="s">
        <v>4474</v>
      </c>
      <c r="T161" s="18" t="s">
        <v>45</v>
      </c>
      <c r="U161" s="25">
        <v>23</v>
      </c>
      <c r="V161" s="25">
        <v>0</v>
      </c>
      <c r="W161" s="25"/>
    </row>
    <row r="162" s="34" customFormat="1" hidden="1" customHeight="1" spans="1:23">
      <c r="A162" s="25">
        <v>29</v>
      </c>
      <c r="B162" s="175" t="s">
        <v>4214</v>
      </c>
      <c r="C162" s="175" t="s">
        <v>165</v>
      </c>
      <c r="D162" s="175" t="s">
        <v>4215</v>
      </c>
      <c r="E162" s="25">
        <v>19979263918</v>
      </c>
      <c r="F162" s="175" t="s">
        <v>156</v>
      </c>
      <c r="G162" s="175" t="s">
        <v>14</v>
      </c>
      <c r="H162" s="25">
        <v>202102001</v>
      </c>
      <c r="I162" s="175" t="s">
        <v>157</v>
      </c>
      <c r="J162" s="175" t="s">
        <v>412</v>
      </c>
      <c r="K162" s="175" t="s">
        <v>4217</v>
      </c>
      <c r="L162" s="175" t="s">
        <v>160</v>
      </c>
      <c r="M162" s="175" t="s">
        <v>180</v>
      </c>
      <c r="N162" s="175" t="s">
        <v>26</v>
      </c>
      <c r="O162" s="175" t="s">
        <v>4218</v>
      </c>
      <c r="P162" s="26" t="str">
        <f>_xlfn.DISPIMG("ID_458825B7ED724C7B8EAA7308C4517BC8",1)</f>
        <v>=DISPIMG("ID_458825B7ED724C7B8EAA7308C4517BC8",1)</v>
      </c>
      <c r="Q162" s="25" t="s">
        <v>4219</v>
      </c>
      <c r="R162" s="25">
        <v>539</v>
      </c>
      <c r="S162" s="40" t="s">
        <v>4479</v>
      </c>
      <c r="T162" s="18" t="s">
        <v>45</v>
      </c>
      <c r="U162" s="25">
        <v>24</v>
      </c>
      <c r="V162" s="25">
        <v>0</v>
      </c>
      <c r="W162" s="25"/>
    </row>
    <row r="163" s="4" customFormat="1" hidden="1" customHeight="1" spans="1:23">
      <c r="A163" s="25">
        <v>18</v>
      </c>
      <c r="B163" s="176" t="s">
        <v>3705</v>
      </c>
      <c r="C163" s="176" t="s">
        <v>165</v>
      </c>
      <c r="D163" s="175" t="s">
        <v>3706</v>
      </c>
      <c r="E163" s="25">
        <v>15079123471</v>
      </c>
      <c r="F163" s="176" t="s">
        <v>156</v>
      </c>
      <c r="G163" s="176" t="s">
        <v>14</v>
      </c>
      <c r="H163" s="70">
        <v>202102011</v>
      </c>
      <c r="I163" s="175" t="s">
        <v>157</v>
      </c>
      <c r="J163" s="175" t="s">
        <v>233</v>
      </c>
      <c r="K163" s="175" t="s">
        <v>3708</v>
      </c>
      <c r="L163" s="175" t="s">
        <v>170</v>
      </c>
      <c r="M163" s="175" t="s">
        <v>216</v>
      </c>
      <c r="N163" s="175" t="s">
        <v>14</v>
      </c>
      <c r="O163" s="175" t="s">
        <v>3709</v>
      </c>
      <c r="P163" s="26" t="str">
        <f>_xlfn.DISPIMG("ID_BF7D6285C9C043E7887E7AA2FA4C62A7",1)</f>
        <v>=DISPIMG("ID_BF7D6285C9C043E7887E7AA2FA4C62A7",1)</v>
      </c>
      <c r="Q163" s="25" t="s">
        <v>3710</v>
      </c>
      <c r="R163" s="25">
        <v>472</v>
      </c>
      <c r="S163" s="71" t="s">
        <v>4468</v>
      </c>
      <c r="T163" s="72" t="s">
        <v>45</v>
      </c>
      <c r="U163" s="70">
        <v>15</v>
      </c>
      <c r="V163" s="70">
        <v>0</v>
      </c>
      <c r="W163" s="70"/>
    </row>
    <row r="164" s="61" customFormat="1" hidden="1" customHeight="1" spans="1:23">
      <c r="A164" s="66">
        <v>4</v>
      </c>
      <c r="B164" s="182" t="s">
        <v>2767</v>
      </c>
      <c r="C164" s="182" t="s">
        <v>165</v>
      </c>
      <c r="D164" s="182" t="s">
        <v>2768</v>
      </c>
      <c r="E164" s="66">
        <v>18270257502</v>
      </c>
      <c r="F164" s="182" t="s">
        <v>506</v>
      </c>
      <c r="G164" s="182" t="s">
        <v>14</v>
      </c>
      <c r="H164" s="66">
        <v>202102014</v>
      </c>
      <c r="I164" s="182" t="s">
        <v>279</v>
      </c>
      <c r="J164" s="182" t="s">
        <v>367</v>
      </c>
      <c r="K164" s="182" t="s">
        <v>1878</v>
      </c>
      <c r="L164" s="182" t="s">
        <v>170</v>
      </c>
      <c r="M164" s="182" t="s">
        <v>161</v>
      </c>
      <c r="N164" s="182" t="s">
        <v>14</v>
      </c>
      <c r="O164" s="182" t="s">
        <v>2770</v>
      </c>
      <c r="P164" s="67" t="str">
        <f>_xlfn.DISPIMG("ID_599781AB8A9B405FA1C45AEDC9F43F4B",1)</f>
        <v>=DISPIMG("ID_599781AB8A9B405FA1C45AEDC9F43F4B",1)</v>
      </c>
      <c r="Q164" s="66" t="s">
        <v>2771</v>
      </c>
      <c r="R164" s="66">
        <v>335</v>
      </c>
      <c r="S164" s="68" t="s">
        <v>4454</v>
      </c>
      <c r="T164" s="69" t="s">
        <v>45</v>
      </c>
      <c r="U164" s="66">
        <v>19</v>
      </c>
      <c r="V164" s="66">
        <v>71</v>
      </c>
      <c r="W164" s="66">
        <v>1</v>
      </c>
    </row>
    <row r="165" s="34" customFormat="1" hidden="1" customHeight="1" spans="1:23">
      <c r="A165" s="25">
        <v>8</v>
      </c>
      <c r="B165" s="175" t="s">
        <v>1255</v>
      </c>
      <c r="C165" s="175" t="s">
        <v>165</v>
      </c>
      <c r="D165" s="175" t="s">
        <v>1256</v>
      </c>
      <c r="E165" s="25">
        <v>18370224457</v>
      </c>
      <c r="F165" s="175" t="s">
        <v>506</v>
      </c>
      <c r="G165" s="175" t="s">
        <v>14</v>
      </c>
      <c r="H165" s="25">
        <v>202102014</v>
      </c>
      <c r="I165" s="175" t="s">
        <v>279</v>
      </c>
      <c r="J165" s="175" t="s">
        <v>1258</v>
      </c>
      <c r="K165" s="175" t="s">
        <v>348</v>
      </c>
      <c r="L165" s="175" t="s">
        <v>170</v>
      </c>
      <c r="M165" s="175" t="s">
        <v>161</v>
      </c>
      <c r="N165" s="175" t="s">
        <v>121</v>
      </c>
      <c r="O165" s="175" t="s">
        <v>1259</v>
      </c>
      <c r="P165" s="26" t="str">
        <f>_xlfn.DISPIMG("ID_AF9D4A23BC36463DA48841C24B1BEB6F",1)</f>
        <v>=DISPIMG("ID_AF9D4A23BC36463DA48841C24B1BEB6F",1)</v>
      </c>
      <c r="Q165" s="25" t="s">
        <v>1260</v>
      </c>
      <c r="R165" s="25">
        <v>134</v>
      </c>
      <c r="S165" s="40" t="s">
        <v>4428</v>
      </c>
      <c r="T165" s="18" t="s">
        <v>43</v>
      </c>
      <c r="U165" s="25">
        <v>17</v>
      </c>
      <c r="V165" s="25">
        <v>0</v>
      </c>
      <c r="W165" s="25"/>
    </row>
    <row r="166" s="34" customFormat="1" hidden="1" customHeight="1" spans="1:23">
      <c r="A166" s="25">
        <v>26</v>
      </c>
      <c r="B166" s="175" t="s">
        <v>4082</v>
      </c>
      <c r="C166" s="175" t="s">
        <v>165</v>
      </c>
      <c r="D166" s="175" t="s">
        <v>4083</v>
      </c>
      <c r="E166" s="25">
        <v>17352963741</v>
      </c>
      <c r="F166" s="175" t="s">
        <v>506</v>
      </c>
      <c r="G166" s="175" t="s">
        <v>14</v>
      </c>
      <c r="H166" s="25">
        <v>202102014</v>
      </c>
      <c r="I166" s="175" t="s">
        <v>157</v>
      </c>
      <c r="J166" s="175" t="s">
        <v>178</v>
      </c>
      <c r="K166" s="175" t="s">
        <v>348</v>
      </c>
      <c r="L166" s="175" t="s">
        <v>170</v>
      </c>
      <c r="M166" s="175" t="s">
        <v>548</v>
      </c>
      <c r="N166" s="175" t="s">
        <v>4084</v>
      </c>
      <c r="O166" s="175" t="s">
        <v>4085</v>
      </c>
      <c r="P166" s="26" t="str">
        <f>_xlfn.DISPIMG("ID_C5311387C2FF404D8FA717D4979E175B",1)</f>
        <v>=DISPIMG("ID_C5311387C2FF404D8FA717D4979E175B",1)</v>
      </c>
      <c r="Q166" s="25" t="s">
        <v>4086</v>
      </c>
      <c r="R166" s="25">
        <v>522</v>
      </c>
      <c r="S166" s="40" t="s">
        <v>4476</v>
      </c>
      <c r="T166" s="18" t="s">
        <v>45</v>
      </c>
      <c r="U166" s="25">
        <v>1</v>
      </c>
      <c r="V166" s="25">
        <v>0</v>
      </c>
      <c r="W166" s="25"/>
    </row>
    <row r="167" s="61" customFormat="1" hidden="1" customHeight="1" spans="1:23">
      <c r="A167" s="66">
        <v>4</v>
      </c>
      <c r="B167" s="182" t="s">
        <v>2847</v>
      </c>
      <c r="C167" s="182" t="s">
        <v>165</v>
      </c>
      <c r="D167" s="182" t="s">
        <v>2848</v>
      </c>
      <c r="E167" s="66">
        <v>18720087898</v>
      </c>
      <c r="F167" s="182" t="s">
        <v>156</v>
      </c>
      <c r="G167" s="182" t="s">
        <v>8</v>
      </c>
      <c r="H167" s="66">
        <v>202102002</v>
      </c>
      <c r="I167" s="182" t="s">
        <v>157</v>
      </c>
      <c r="J167" s="182" t="s">
        <v>1654</v>
      </c>
      <c r="K167" s="182" t="s">
        <v>813</v>
      </c>
      <c r="L167" s="182" t="s">
        <v>160</v>
      </c>
      <c r="M167" s="182" t="s">
        <v>516</v>
      </c>
      <c r="N167" s="182" t="s">
        <v>8</v>
      </c>
      <c r="O167" s="182" t="s">
        <v>2850</v>
      </c>
      <c r="P167" s="67" t="str">
        <f>_xlfn.DISPIMG("ID_B4574457B7EA4998BCE46939492C25E1",1)</f>
        <v>=DISPIMG("ID_B4574457B7EA4998BCE46939492C25E1",1)</v>
      </c>
      <c r="Q167" s="66" t="s">
        <v>2851</v>
      </c>
      <c r="R167" s="66">
        <v>346</v>
      </c>
      <c r="S167" s="68" t="s">
        <v>4514</v>
      </c>
      <c r="T167" s="69" t="s">
        <v>48</v>
      </c>
      <c r="U167" s="66">
        <v>19</v>
      </c>
      <c r="V167" s="66">
        <v>98</v>
      </c>
      <c r="W167" s="66">
        <v>1</v>
      </c>
    </row>
    <row r="168" s="61" customFormat="1" hidden="1" customHeight="1" spans="1:23">
      <c r="A168" s="66">
        <v>7</v>
      </c>
      <c r="B168" s="182" t="s">
        <v>2983</v>
      </c>
      <c r="C168" s="182" t="s">
        <v>165</v>
      </c>
      <c r="D168" s="182" t="s">
        <v>2984</v>
      </c>
      <c r="E168" s="66">
        <v>13699860392</v>
      </c>
      <c r="F168" s="182" t="s">
        <v>156</v>
      </c>
      <c r="G168" s="182" t="s">
        <v>8</v>
      </c>
      <c r="H168" s="66">
        <v>202102002</v>
      </c>
      <c r="I168" s="182" t="s">
        <v>157</v>
      </c>
      <c r="J168" s="182" t="s">
        <v>187</v>
      </c>
      <c r="K168" s="182" t="s">
        <v>2986</v>
      </c>
      <c r="L168" s="182" t="s">
        <v>160</v>
      </c>
      <c r="M168" s="182" t="s">
        <v>516</v>
      </c>
      <c r="N168" s="182" t="s">
        <v>20</v>
      </c>
      <c r="O168" s="182" t="s">
        <v>2987</v>
      </c>
      <c r="P168" s="67" t="str">
        <f>_xlfn.DISPIMG("ID_60E91D8703D740D9A8AE531BE158A22D",1)</f>
        <v>=DISPIMG("ID_60E91D8703D740D9A8AE531BE158A22D",1)</v>
      </c>
      <c r="Q168" s="66" t="s">
        <v>2988</v>
      </c>
      <c r="R168" s="66">
        <v>367</v>
      </c>
      <c r="S168" s="68" t="s">
        <v>4517</v>
      </c>
      <c r="T168" s="69" t="s">
        <v>48</v>
      </c>
      <c r="U168" s="66">
        <v>17</v>
      </c>
      <c r="V168" s="66">
        <v>97</v>
      </c>
      <c r="W168" s="66">
        <v>2</v>
      </c>
    </row>
    <row r="169" s="61" customFormat="1" hidden="1" customHeight="1" spans="1:23">
      <c r="A169" s="66">
        <v>24</v>
      </c>
      <c r="B169" s="182" t="s">
        <v>4089</v>
      </c>
      <c r="C169" s="182" t="s">
        <v>165</v>
      </c>
      <c r="D169" s="182" t="s">
        <v>4090</v>
      </c>
      <c r="E169" s="66">
        <v>15979951702</v>
      </c>
      <c r="F169" s="182" t="s">
        <v>156</v>
      </c>
      <c r="G169" s="182" t="s">
        <v>8</v>
      </c>
      <c r="H169" s="66">
        <v>202102002</v>
      </c>
      <c r="I169" s="182" t="s">
        <v>157</v>
      </c>
      <c r="J169" s="182" t="s">
        <v>385</v>
      </c>
      <c r="K169" s="182" t="s">
        <v>270</v>
      </c>
      <c r="L169" s="182" t="s">
        <v>170</v>
      </c>
      <c r="M169" s="182" t="s">
        <v>161</v>
      </c>
      <c r="N169" s="182" t="s">
        <v>20</v>
      </c>
      <c r="O169" s="182" t="s">
        <v>4092</v>
      </c>
      <c r="P169" s="67" t="str">
        <f>_xlfn.DISPIMG("ID_9B43E41106094708AAB8E2C3D51BAF21",1)</f>
        <v>=DISPIMG("ID_9B43E41106094708AAB8E2C3D51BAF21",1)</v>
      </c>
      <c r="Q169" s="66" t="s">
        <v>4093</v>
      </c>
      <c r="R169" s="66">
        <v>523</v>
      </c>
      <c r="S169" s="68" t="s">
        <v>4537</v>
      </c>
      <c r="T169" s="69" t="s">
        <v>48</v>
      </c>
      <c r="U169" s="66">
        <v>13</v>
      </c>
      <c r="V169" s="66">
        <v>96</v>
      </c>
      <c r="W169" s="66">
        <v>3</v>
      </c>
    </row>
    <row r="170" s="61" customFormat="1" hidden="1" customHeight="1" spans="1:23">
      <c r="A170" s="66">
        <v>1</v>
      </c>
      <c r="B170" s="182" t="s">
        <v>2480</v>
      </c>
      <c r="C170" s="182" t="s">
        <v>165</v>
      </c>
      <c r="D170" s="182" t="s">
        <v>2481</v>
      </c>
      <c r="E170" s="66">
        <v>15179240952</v>
      </c>
      <c r="F170" s="182" t="s">
        <v>156</v>
      </c>
      <c r="G170" s="182" t="s">
        <v>8</v>
      </c>
      <c r="H170" s="66">
        <v>202102002</v>
      </c>
      <c r="I170" s="182" t="s">
        <v>157</v>
      </c>
      <c r="J170" s="182" t="s">
        <v>2483</v>
      </c>
      <c r="K170" s="182" t="s">
        <v>2379</v>
      </c>
      <c r="L170" s="182" t="s">
        <v>160</v>
      </c>
      <c r="M170" s="182" t="s">
        <v>199</v>
      </c>
      <c r="N170" s="182" t="s">
        <v>8</v>
      </c>
      <c r="O170" s="182" t="s">
        <v>2484</v>
      </c>
      <c r="P170" s="67" t="str">
        <f>_xlfn.DISPIMG("ID_6EB4CC10A54B4F2AAD1518F1F500F570",1)</f>
        <v>=DISPIMG("ID_6EB4CC10A54B4F2AAD1518F1F500F570",1)</v>
      </c>
      <c r="Q170" s="66" t="s">
        <v>2485</v>
      </c>
      <c r="R170" s="66">
        <v>296</v>
      </c>
      <c r="S170" s="68" t="s">
        <v>4511</v>
      </c>
      <c r="T170" s="69" t="s">
        <v>48</v>
      </c>
      <c r="U170" s="66">
        <v>6</v>
      </c>
      <c r="V170" s="66">
        <v>95</v>
      </c>
      <c r="W170" s="66">
        <v>4</v>
      </c>
    </row>
    <row r="171" s="61" customFormat="1" hidden="1" customHeight="1" spans="1:23">
      <c r="A171" s="66">
        <v>15</v>
      </c>
      <c r="B171" s="182" t="s">
        <v>1613</v>
      </c>
      <c r="C171" s="182" t="s">
        <v>165</v>
      </c>
      <c r="D171" s="182" t="s">
        <v>1614</v>
      </c>
      <c r="E171" s="66">
        <v>18296280573</v>
      </c>
      <c r="F171" s="182" t="s">
        <v>156</v>
      </c>
      <c r="G171" s="182" t="s">
        <v>8</v>
      </c>
      <c r="H171" s="66">
        <v>202102002</v>
      </c>
      <c r="I171" s="182" t="s">
        <v>157</v>
      </c>
      <c r="J171" s="182" t="s">
        <v>233</v>
      </c>
      <c r="K171" s="182" t="s">
        <v>1616</v>
      </c>
      <c r="L171" s="182" t="s">
        <v>170</v>
      </c>
      <c r="M171" s="182" t="s">
        <v>235</v>
      </c>
      <c r="N171" s="182" t="s">
        <v>1617</v>
      </c>
      <c r="O171" s="182" t="s">
        <v>1618</v>
      </c>
      <c r="P171" s="67" t="str">
        <f>_xlfn.DISPIMG("ID_2062AD8B56DF4C85BF68D2846493F2B2",1)</f>
        <v>=DISPIMG("ID_2062AD8B56DF4C85BF68D2846493F2B2",1)</v>
      </c>
      <c r="Q171" s="66" t="s">
        <v>1619</v>
      </c>
      <c r="R171" s="66">
        <v>181</v>
      </c>
      <c r="S171" s="68" t="s">
        <v>4495</v>
      </c>
      <c r="T171" s="69" t="s">
        <v>46</v>
      </c>
      <c r="U171" s="66">
        <v>28</v>
      </c>
      <c r="V171" s="66">
        <v>94</v>
      </c>
      <c r="W171" s="66">
        <v>5</v>
      </c>
    </row>
    <row r="172" s="61" customFormat="1" hidden="1" customHeight="1" spans="1:23">
      <c r="A172" s="66">
        <v>16</v>
      </c>
      <c r="B172" s="182" t="s">
        <v>3766</v>
      </c>
      <c r="C172" s="182" t="s">
        <v>165</v>
      </c>
      <c r="D172" s="182" t="s">
        <v>3767</v>
      </c>
      <c r="E172" s="66">
        <v>18079224740</v>
      </c>
      <c r="F172" s="182" t="s">
        <v>156</v>
      </c>
      <c r="G172" s="182" t="s">
        <v>8</v>
      </c>
      <c r="H172" s="66">
        <v>202102002</v>
      </c>
      <c r="I172" s="182" t="s">
        <v>157</v>
      </c>
      <c r="J172" s="182" t="s">
        <v>233</v>
      </c>
      <c r="K172" s="182" t="s">
        <v>3769</v>
      </c>
      <c r="L172" s="182" t="s">
        <v>160</v>
      </c>
      <c r="M172" s="182" t="s">
        <v>1089</v>
      </c>
      <c r="N172" s="182" t="s">
        <v>8</v>
      </c>
      <c r="O172" s="66">
        <v>0</v>
      </c>
      <c r="P172" s="67" t="str">
        <f>_xlfn.DISPIMG("ID_2E7FF83B7D12427491B1BA1300A2CD7A",1)</f>
        <v>=DISPIMG("ID_2E7FF83B7D12427491B1BA1300A2CD7A",1)</v>
      </c>
      <c r="Q172" s="66" t="s">
        <v>3770</v>
      </c>
      <c r="R172" s="66">
        <v>480</v>
      </c>
      <c r="S172" s="68" t="s">
        <v>4528</v>
      </c>
      <c r="T172" s="69" t="s">
        <v>48</v>
      </c>
      <c r="U172" s="66">
        <v>22</v>
      </c>
      <c r="V172" s="66">
        <v>93.5</v>
      </c>
      <c r="W172" s="66">
        <v>6</v>
      </c>
    </row>
    <row r="173" s="61" customFormat="1" hidden="1" customHeight="1" spans="1:23">
      <c r="A173" s="66">
        <v>8</v>
      </c>
      <c r="B173" s="182" t="s">
        <v>2996</v>
      </c>
      <c r="C173" s="182" t="s">
        <v>165</v>
      </c>
      <c r="D173" s="182" t="s">
        <v>2997</v>
      </c>
      <c r="E173" s="66">
        <v>17379208038</v>
      </c>
      <c r="F173" s="182" t="s">
        <v>156</v>
      </c>
      <c r="G173" s="182" t="s">
        <v>8</v>
      </c>
      <c r="H173" s="66">
        <v>202102002</v>
      </c>
      <c r="I173" s="182" t="s">
        <v>157</v>
      </c>
      <c r="J173" s="182" t="s">
        <v>437</v>
      </c>
      <c r="K173" s="182" t="s">
        <v>1481</v>
      </c>
      <c r="L173" s="182" t="s">
        <v>160</v>
      </c>
      <c r="M173" s="182" t="s">
        <v>281</v>
      </c>
      <c r="N173" s="182" t="s">
        <v>8</v>
      </c>
      <c r="O173" s="66">
        <v>0</v>
      </c>
      <c r="P173" s="67" t="str">
        <f>_xlfn.DISPIMG("ID_A119020A43A6495588BAFB55CB082F01",1)</f>
        <v>=DISPIMG("ID_A119020A43A6495588BAFB55CB082F01",1)</v>
      </c>
      <c r="Q173" s="66" t="s">
        <v>2999</v>
      </c>
      <c r="R173" s="66">
        <v>369</v>
      </c>
      <c r="S173" s="68" t="s">
        <v>4518</v>
      </c>
      <c r="T173" s="69" t="s">
        <v>48</v>
      </c>
      <c r="U173" s="66">
        <v>20</v>
      </c>
      <c r="V173" s="66">
        <v>93</v>
      </c>
      <c r="W173" s="66">
        <v>7</v>
      </c>
    </row>
    <row r="174" s="61" customFormat="1" hidden="1" customHeight="1" spans="1:23">
      <c r="A174" s="66">
        <v>13</v>
      </c>
      <c r="B174" s="182" t="s">
        <v>1318</v>
      </c>
      <c r="C174" s="182" t="s">
        <v>165</v>
      </c>
      <c r="D174" s="182" t="s">
        <v>1319</v>
      </c>
      <c r="E174" s="66">
        <v>18270633854</v>
      </c>
      <c r="F174" s="182" t="s">
        <v>156</v>
      </c>
      <c r="G174" s="182" t="s">
        <v>8</v>
      </c>
      <c r="H174" s="66">
        <v>202102002</v>
      </c>
      <c r="I174" s="182" t="s">
        <v>157</v>
      </c>
      <c r="J174" s="182" t="s">
        <v>1258</v>
      </c>
      <c r="K174" s="182" t="s">
        <v>1321</v>
      </c>
      <c r="L174" s="182" t="s">
        <v>160</v>
      </c>
      <c r="M174" s="182" t="s">
        <v>516</v>
      </c>
      <c r="N174" s="182" t="s">
        <v>1322</v>
      </c>
      <c r="O174" s="182" t="s">
        <v>1323</v>
      </c>
      <c r="P174" s="67" t="str">
        <f>_xlfn.DISPIMG("ID_D86A3E1B243D4E47B731958FB3B82FC3",1)</f>
        <v>=DISPIMG("ID_D86A3E1B243D4E47B731958FB3B82FC3",1)</v>
      </c>
      <c r="Q174" s="66" t="s">
        <v>1324</v>
      </c>
      <c r="R174" s="66">
        <v>143</v>
      </c>
      <c r="S174" s="68" t="s">
        <v>4493</v>
      </c>
      <c r="T174" s="69" t="s">
        <v>46</v>
      </c>
      <c r="U174" s="66">
        <v>16</v>
      </c>
      <c r="V174" s="66">
        <v>92</v>
      </c>
      <c r="W174" s="66">
        <v>8</v>
      </c>
    </row>
    <row r="175" s="61" customFormat="1" hidden="1" customHeight="1" spans="1:23">
      <c r="A175" s="66">
        <v>9</v>
      </c>
      <c r="B175" s="182" t="s">
        <v>3075</v>
      </c>
      <c r="C175" s="182" t="s">
        <v>165</v>
      </c>
      <c r="D175" s="182" t="s">
        <v>3076</v>
      </c>
      <c r="E175" s="66">
        <v>13122383919</v>
      </c>
      <c r="F175" s="182" t="s">
        <v>156</v>
      </c>
      <c r="G175" s="182" t="s">
        <v>8</v>
      </c>
      <c r="H175" s="66">
        <v>202102002</v>
      </c>
      <c r="I175" s="182" t="s">
        <v>157</v>
      </c>
      <c r="J175" s="182" t="s">
        <v>3078</v>
      </c>
      <c r="K175" s="182" t="s">
        <v>3079</v>
      </c>
      <c r="L175" s="182" t="s">
        <v>160</v>
      </c>
      <c r="M175" s="182" t="s">
        <v>252</v>
      </c>
      <c r="N175" s="182" t="s">
        <v>8</v>
      </c>
      <c r="O175" s="66">
        <v>0</v>
      </c>
      <c r="P175" s="67" t="str">
        <f>_xlfn.DISPIMG("ID_0C5BA3A4E8B245D6AB6AE82F368BFF6A",1)</f>
        <v>=DISPIMG("ID_0C5BA3A4E8B245D6AB6AE82F368BFF6A",1)</v>
      </c>
      <c r="Q175" s="66" t="s">
        <v>3080</v>
      </c>
      <c r="R175" s="66">
        <v>380</v>
      </c>
      <c r="S175" s="68" t="s">
        <v>4519</v>
      </c>
      <c r="T175" s="69" t="s">
        <v>48</v>
      </c>
      <c r="U175" s="66">
        <v>4</v>
      </c>
      <c r="V175" s="66">
        <v>91.5</v>
      </c>
      <c r="W175" s="66">
        <v>9</v>
      </c>
    </row>
    <row r="176" s="61" customFormat="1" hidden="1" customHeight="1" spans="1:23">
      <c r="A176" s="66">
        <v>27</v>
      </c>
      <c r="B176" s="182" t="s">
        <v>2376</v>
      </c>
      <c r="C176" s="182" t="s">
        <v>165</v>
      </c>
      <c r="D176" s="182" t="s">
        <v>2377</v>
      </c>
      <c r="E176" s="66">
        <v>15779112128</v>
      </c>
      <c r="F176" s="182" t="s">
        <v>156</v>
      </c>
      <c r="G176" s="182" t="s">
        <v>8</v>
      </c>
      <c r="H176" s="66">
        <v>202102002</v>
      </c>
      <c r="I176" s="182" t="s">
        <v>157</v>
      </c>
      <c r="J176" s="182" t="s">
        <v>603</v>
      </c>
      <c r="K176" s="182" t="s">
        <v>2379</v>
      </c>
      <c r="L176" s="182" t="s">
        <v>160</v>
      </c>
      <c r="M176" s="182" t="s">
        <v>180</v>
      </c>
      <c r="N176" s="182" t="s">
        <v>8</v>
      </c>
      <c r="O176" s="182" t="s">
        <v>2380</v>
      </c>
      <c r="P176" s="67" t="str">
        <f>_xlfn.DISPIMG("ID_9499CE74334F4664AC42AD98401CDCF8",1)</f>
        <v>=DISPIMG("ID_9499CE74334F4664AC42AD98401CDCF8",1)</v>
      </c>
      <c r="Q176" s="66" t="s">
        <v>2381</v>
      </c>
      <c r="R176" s="66">
        <v>282</v>
      </c>
      <c r="S176" s="68" t="s">
        <v>4507</v>
      </c>
      <c r="T176" s="69" t="s">
        <v>46</v>
      </c>
      <c r="U176" s="66">
        <v>12</v>
      </c>
      <c r="V176" s="66">
        <v>91</v>
      </c>
      <c r="W176" s="66">
        <v>10</v>
      </c>
    </row>
    <row r="177" s="61" customFormat="1" hidden="1" customHeight="1" spans="1:23">
      <c r="A177" s="66">
        <v>19</v>
      </c>
      <c r="B177" s="182" t="s">
        <v>1977</v>
      </c>
      <c r="C177" s="182" t="s">
        <v>165</v>
      </c>
      <c r="D177" s="182" t="s">
        <v>1978</v>
      </c>
      <c r="E177" s="66">
        <v>15070907830</v>
      </c>
      <c r="F177" s="182" t="s">
        <v>156</v>
      </c>
      <c r="G177" s="182" t="s">
        <v>8</v>
      </c>
      <c r="H177" s="66">
        <v>202102002</v>
      </c>
      <c r="I177" s="182" t="s">
        <v>157</v>
      </c>
      <c r="J177" s="182" t="s">
        <v>827</v>
      </c>
      <c r="K177" s="182" t="s">
        <v>243</v>
      </c>
      <c r="L177" s="182" t="s">
        <v>160</v>
      </c>
      <c r="M177" s="182" t="s">
        <v>161</v>
      </c>
      <c r="N177" s="182" t="s">
        <v>8</v>
      </c>
      <c r="O177" s="182" t="s">
        <v>1979</v>
      </c>
      <c r="P177" s="67" t="str">
        <f>_xlfn.DISPIMG("ID_4F2775F35FF241D1A9320534AD0F9FD6",1)</f>
        <v>=DISPIMG("ID_4F2775F35FF241D1A9320534AD0F9FD6",1)</v>
      </c>
      <c r="Q177" s="66" t="s">
        <v>1980</v>
      </c>
      <c r="R177" s="66">
        <v>229</v>
      </c>
      <c r="S177" s="68" t="s">
        <v>4499</v>
      </c>
      <c r="T177" s="69" t="s">
        <v>46</v>
      </c>
      <c r="U177" s="66">
        <v>22</v>
      </c>
      <c r="V177" s="66">
        <v>90.5</v>
      </c>
      <c r="W177" s="66">
        <v>11</v>
      </c>
    </row>
    <row r="178" s="61" customFormat="1" hidden="1" customHeight="1" spans="1:23">
      <c r="A178" s="66">
        <v>30</v>
      </c>
      <c r="B178" s="182" t="s">
        <v>2473</v>
      </c>
      <c r="C178" s="182" t="s">
        <v>153</v>
      </c>
      <c r="D178" s="182" t="s">
        <v>2474</v>
      </c>
      <c r="E178" s="66">
        <v>18079290506</v>
      </c>
      <c r="F178" s="182" t="s">
        <v>156</v>
      </c>
      <c r="G178" s="182" t="s">
        <v>8</v>
      </c>
      <c r="H178" s="66">
        <v>202102002</v>
      </c>
      <c r="I178" s="182" t="s">
        <v>157</v>
      </c>
      <c r="J178" s="182" t="s">
        <v>935</v>
      </c>
      <c r="K178" s="182" t="s">
        <v>270</v>
      </c>
      <c r="L178" s="182" t="s">
        <v>170</v>
      </c>
      <c r="M178" s="182" t="s">
        <v>281</v>
      </c>
      <c r="N178" s="182" t="s">
        <v>1322</v>
      </c>
      <c r="O178" s="182" t="s">
        <v>2476</v>
      </c>
      <c r="P178" s="67" t="str">
        <f>_xlfn.DISPIMG("ID_DDCFE953EBFD4779B7FAA3122A1B85C5",1)</f>
        <v>=DISPIMG("ID_DDCFE953EBFD4779B7FAA3122A1B85C5",1)</v>
      </c>
      <c r="Q178" s="66" t="s">
        <v>2477</v>
      </c>
      <c r="R178" s="66">
        <v>295</v>
      </c>
      <c r="S178" s="68" t="s">
        <v>4510</v>
      </c>
      <c r="T178" s="69" t="s">
        <v>46</v>
      </c>
      <c r="U178" s="66">
        <v>25</v>
      </c>
      <c r="V178" s="66">
        <v>90</v>
      </c>
      <c r="W178" s="66">
        <v>12</v>
      </c>
    </row>
    <row r="179" s="61" customFormat="1" hidden="1" customHeight="1" spans="1:23">
      <c r="A179" s="66">
        <v>21</v>
      </c>
      <c r="B179" s="182" t="s">
        <v>3924</v>
      </c>
      <c r="C179" s="182" t="s">
        <v>165</v>
      </c>
      <c r="D179" s="182" t="s">
        <v>3925</v>
      </c>
      <c r="E179" s="66">
        <v>15797691720</v>
      </c>
      <c r="F179" s="182" t="s">
        <v>156</v>
      </c>
      <c r="G179" s="182" t="s">
        <v>8</v>
      </c>
      <c r="H179" s="66">
        <v>202102002</v>
      </c>
      <c r="I179" s="182" t="s">
        <v>157</v>
      </c>
      <c r="J179" s="182" t="s">
        <v>603</v>
      </c>
      <c r="K179" s="182" t="s">
        <v>2379</v>
      </c>
      <c r="L179" s="182" t="s">
        <v>160</v>
      </c>
      <c r="M179" s="182" t="s">
        <v>306</v>
      </c>
      <c r="N179" s="182" t="s">
        <v>989</v>
      </c>
      <c r="O179" s="182" t="s">
        <v>3927</v>
      </c>
      <c r="P179" s="67" t="str">
        <f>_xlfn.DISPIMG("ID_514B3145E6BD4A2498C42CFECAEF98E2",1)</f>
        <v>=DISPIMG("ID_514B3145E6BD4A2498C42CFECAEF98E2",1)</v>
      </c>
      <c r="Q179" s="66" t="s">
        <v>3928</v>
      </c>
      <c r="R179" s="66">
        <v>501</v>
      </c>
      <c r="S179" s="68" t="s">
        <v>4534</v>
      </c>
      <c r="T179" s="69" t="s">
        <v>48</v>
      </c>
      <c r="U179" s="66">
        <v>26</v>
      </c>
      <c r="V179" s="66">
        <v>89.5</v>
      </c>
      <c r="W179" s="66">
        <v>13</v>
      </c>
    </row>
    <row r="180" s="61" customFormat="1" hidden="1" customHeight="1" spans="1:23">
      <c r="A180" s="66">
        <v>24</v>
      </c>
      <c r="B180" s="182" t="s">
        <v>2309</v>
      </c>
      <c r="C180" s="182" t="s">
        <v>165</v>
      </c>
      <c r="D180" s="182" t="s">
        <v>2310</v>
      </c>
      <c r="E180" s="66">
        <v>15279968703</v>
      </c>
      <c r="F180" s="182" t="s">
        <v>156</v>
      </c>
      <c r="G180" s="182" t="s">
        <v>8</v>
      </c>
      <c r="H180" s="66">
        <v>202102002</v>
      </c>
      <c r="I180" s="182" t="s">
        <v>279</v>
      </c>
      <c r="J180" s="182" t="s">
        <v>1424</v>
      </c>
      <c r="K180" s="182" t="s">
        <v>497</v>
      </c>
      <c r="L180" s="182" t="s">
        <v>170</v>
      </c>
      <c r="M180" s="182" t="s">
        <v>180</v>
      </c>
      <c r="N180" s="182" t="s">
        <v>8</v>
      </c>
      <c r="O180" s="182" t="s">
        <v>2312</v>
      </c>
      <c r="P180" s="67" t="str">
        <f>_xlfn.DISPIMG("ID_987FF0FA37F44BD9A4B0BCCB3CF13E1D",1)</f>
        <v>=DISPIMG("ID_987FF0FA37F44BD9A4B0BCCB3CF13E1D",1)</v>
      </c>
      <c r="Q180" s="66" t="s">
        <v>2313</v>
      </c>
      <c r="R180" s="66">
        <v>273</v>
      </c>
      <c r="S180" s="68" t="s">
        <v>4504</v>
      </c>
      <c r="T180" s="69" t="s">
        <v>46</v>
      </c>
      <c r="U180" s="66">
        <v>23</v>
      </c>
      <c r="V180" s="66">
        <v>89</v>
      </c>
      <c r="W180" s="66">
        <v>14</v>
      </c>
    </row>
    <row r="181" s="61" customFormat="1" hidden="1" customHeight="1" spans="1:23">
      <c r="A181" s="66">
        <v>8</v>
      </c>
      <c r="B181" s="182" t="s">
        <v>983</v>
      </c>
      <c r="C181" s="182" t="s">
        <v>165</v>
      </c>
      <c r="D181" s="182" t="s">
        <v>984</v>
      </c>
      <c r="E181" s="66">
        <v>18170988745</v>
      </c>
      <c r="F181" s="182" t="s">
        <v>156</v>
      </c>
      <c r="G181" s="182" t="s">
        <v>8</v>
      </c>
      <c r="H181" s="66">
        <v>202102002</v>
      </c>
      <c r="I181" s="182" t="s">
        <v>157</v>
      </c>
      <c r="J181" s="182" t="s">
        <v>986</v>
      </c>
      <c r="K181" s="182" t="s">
        <v>987</v>
      </c>
      <c r="L181" s="182" t="s">
        <v>160</v>
      </c>
      <c r="M181" s="182" t="s">
        <v>988</v>
      </c>
      <c r="N181" s="182" t="s">
        <v>989</v>
      </c>
      <c r="O181" s="182" t="s">
        <v>990</v>
      </c>
      <c r="P181" s="67" t="str">
        <f>_xlfn.DISPIMG("ID_21AE3772EA6B45FAA68CF356346534B7",1)</f>
        <v>=DISPIMG("ID_21AE3772EA6B45FAA68CF356346534B7",1)</v>
      </c>
      <c r="Q181" s="66" t="s">
        <v>991</v>
      </c>
      <c r="R181" s="66">
        <v>100</v>
      </c>
      <c r="S181" s="68" t="s">
        <v>4488</v>
      </c>
      <c r="T181" s="69" t="s">
        <v>46</v>
      </c>
      <c r="U181" s="66">
        <v>17</v>
      </c>
      <c r="V181" s="66">
        <v>88.5</v>
      </c>
      <c r="W181" s="66">
        <v>15</v>
      </c>
    </row>
    <row r="182" s="61" customFormat="1" hidden="1" customHeight="1" spans="1:23">
      <c r="A182" s="66">
        <v>2</v>
      </c>
      <c r="B182" s="182" t="s">
        <v>565</v>
      </c>
      <c r="C182" s="182" t="s">
        <v>165</v>
      </c>
      <c r="D182" s="182" t="s">
        <v>566</v>
      </c>
      <c r="E182" s="66">
        <v>13184588975</v>
      </c>
      <c r="F182" s="182" t="s">
        <v>156</v>
      </c>
      <c r="G182" s="182" t="s">
        <v>8</v>
      </c>
      <c r="H182" s="66">
        <v>202102002</v>
      </c>
      <c r="I182" s="182" t="s">
        <v>279</v>
      </c>
      <c r="J182" s="182" t="s">
        <v>178</v>
      </c>
      <c r="K182" s="182" t="s">
        <v>497</v>
      </c>
      <c r="L182" s="182" t="s">
        <v>170</v>
      </c>
      <c r="M182" s="182" t="s">
        <v>368</v>
      </c>
      <c r="N182" s="182" t="s">
        <v>568</v>
      </c>
      <c r="O182" s="182" t="s">
        <v>569</v>
      </c>
      <c r="P182" s="67" t="str">
        <f>_xlfn.DISPIMG("ID_937169E203CF4CFF91192737B547BFCD",1)</f>
        <v>=DISPIMG("ID_937169E203CF4CFF91192737B547BFCD",1)</v>
      </c>
      <c r="Q182" s="66" t="s">
        <v>570</v>
      </c>
      <c r="R182" s="66">
        <v>49</v>
      </c>
      <c r="S182" s="68" t="s">
        <v>4482</v>
      </c>
      <c r="T182" s="69" t="s">
        <v>46</v>
      </c>
      <c r="U182" s="66">
        <v>7</v>
      </c>
      <c r="V182" s="66">
        <v>88</v>
      </c>
      <c r="W182" s="66">
        <v>16</v>
      </c>
    </row>
    <row r="183" s="61" customFormat="1" hidden="1" customHeight="1" spans="1:23">
      <c r="A183" s="66">
        <v>2</v>
      </c>
      <c r="B183" s="182" t="s">
        <v>2556</v>
      </c>
      <c r="C183" s="182" t="s">
        <v>165</v>
      </c>
      <c r="D183" s="182" t="s">
        <v>2557</v>
      </c>
      <c r="E183" s="66">
        <v>15770775780</v>
      </c>
      <c r="F183" s="182" t="s">
        <v>156</v>
      </c>
      <c r="G183" s="182" t="s">
        <v>8</v>
      </c>
      <c r="H183" s="66">
        <v>202102002</v>
      </c>
      <c r="I183" s="182" t="s">
        <v>157</v>
      </c>
      <c r="J183" s="182" t="s">
        <v>1413</v>
      </c>
      <c r="K183" s="182" t="s">
        <v>169</v>
      </c>
      <c r="L183" s="182" t="s">
        <v>170</v>
      </c>
      <c r="M183" s="182" t="s">
        <v>235</v>
      </c>
      <c r="N183" s="182" t="s">
        <v>8</v>
      </c>
      <c r="O183" s="66">
        <v>0</v>
      </c>
      <c r="P183" s="67" t="str">
        <f>_xlfn.DISPIMG("ID_BF27FE8641A74810A1152D199B9359D9",1)</f>
        <v>=DISPIMG("ID_BF27FE8641A74810A1152D199B9359D9",1)</v>
      </c>
      <c r="Q183" s="66" t="s">
        <v>2559</v>
      </c>
      <c r="R183" s="66">
        <v>306</v>
      </c>
      <c r="S183" s="68" t="s">
        <v>4512</v>
      </c>
      <c r="T183" s="69" t="s">
        <v>48</v>
      </c>
      <c r="U183" s="66">
        <v>7</v>
      </c>
      <c r="V183" s="66">
        <v>87.5</v>
      </c>
      <c r="W183" s="66">
        <v>17</v>
      </c>
    </row>
    <row r="184" s="61" customFormat="1" hidden="1" customHeight="1" spans="1:23">
      <c r="A184" s="66">
        <v>17</v>
      </c>
      <c r="B184" s="182" t="s">
        <v>1837</v>
      </c>
      <c r="C184" s="182" t="s">
        <v>165</v>
      </c>
      <c r="D184" s="182" t="s">
        <v>1838</v>
      </c>
      <c r="E184" s="66">
        <v>13480509971</v>
      </c>
      <c r="F184" s="182" t="s">
        <v>156</v>
      </c>
      <c r="G184" s="182" t="s">
        <v>8</v>
      </c>
      <c r="H184" s="66">
        <v>202102002</v>
      </c>
      <c r="I184" s="182" t="s">
        <v>157</v>
      </c>
      <c r="J184" s="182" t="s">
        <v>540</v>
      </c>
      <c r="K184" s="182" t="s">
        <v>1840</v>
      </c>
      <c r="L184" s="182" t="s">
        <v>160</v>
      </c>
      <c r="M184" s="182" t="s">
        <v>587</v>
      </c>
      <c r="N184" s="182" t="s">
        <v>1841</v>
      </c>
      <c r="O184" s="182" t="s">
        <v>1842</v>
      </c>
      <c r="P184" s="67" t="str">
        <f>_xlfn.DISPIMG("ID_0F8BA8686B8D4F92BF1EF6F4CB55E695",1)</f>
        <v>=DISPIMG("ID_0F8BA8686B8D4F92BF1EF6F4CB55E695",1)</v>
      </c>
      <c r="Q184" s="66" t="s">
        <v>1843</v>
      </c>
      <c r="R184" s="66">
        <v>210</v>
      </c>
      <c r="S184" s="68" t="s">
        <v>4497</v>
      </c>
      <c r="T184" s="69" t="s">
        <v>46</v>
      </c>
      <c r="U184" s="66">
        <v>10</v>
      </c>
      <c r="V184" s="66">
        <v>87</v>
      </c>
      <c r="W184" s="66">
        <v>18</v>
      </c>
    </row>
    <row r="185" s="34" customFormat="1" hidden="1" customHeight="1" spans="1:23">
      <c r="A185" s="25">
        <v>3</v>
      </c>
      <c r="B185" s="175" t="s">
        <v>2839</v>
      </c>
      <c r="C185" s="175" t="s">
        <v>165</v>
      </c>
      <c r="D185" s="175" t="s">
        <v>2840</v>
      </c>
      <c r="E185" s="25">
        <v>15979055139</v>
      </c>
      <c r="F185" s="175" t="s">
        <v>156</v>
      </c>
      <c r="G185" s="175" t="s">
        <v>8</v>
      </c>
      <c r="H185" s="25">
        <v>202102002</v>
      </c>
      <c r="I185" s="175" t="s">
        <v>157</v>
      </c>
      <c r="J185" s="175" t="s">
        <v>827</v>
      </c>
      <c r="K185" s="175" t="s">
        <v>270</v>
      </c>
      <c r="L185" s="175" t="s">
        <v>170</v>
      </c>
      <c r="M185" s="175" t="s">
        <v>587</v>
      </c>
      <c r="N185" s="175" t="s">
        <v>2842</v>
      </c>
      <c r="O185" s="175" t="s">
        <v>2843</v>
      </c>
      <c r="P185" s="26" t="str">
        <f>_xlfn.DISPIMG("ID_D0E61411E52441859AFE69B7874CA20C",1)</f>
        <v>=DISPIMG("ID_D0E61411E52441859AFE69B7874CA20C",1)</v>
      </c>
      <c r="Q185" s="25" t="s">
        <v>2844</v>
      </c>
      <c r="R185" s="25">
        <v>345</v>
      </c>
      <c r="S185" s="40" t="s">
        <v>4513</v>
      </c>
      <c r="T185" s="18" t="s">
        <v>48</v>
      </c>
      <c r="U185" s="25">
        <v>18</v>
      </c>
      <c r="V185" s="25">
        <v>85</v>
      </c>
      <c r="W185" s="25">
        <v>19</v>
      </c>
    </row>
    <row r="186" s="34" customFormat="1" hidden="1" customHeight="1" spans="1:23">
      <c r="A186" s="25">
        <v>14</v>
      </c>
      <c r="B186" s="175" t="s">
        <v>1471</v>
      </c>
      <c r="C186" s="175" t="s">
        <v>165</v>
      </c>
      <c r="D186" s="175" t="s">
        <v>1472</v>
      </c>
      <c r="E186" s="25">
        <v>13687036753</v>
      </c>
      <c r="F186" s="175" t="s">
        <v>156</v>
      </c>
      <c r="G186" s="175" t="s">
        <v>8</v>
      </c>
      <c r="H186" s="25">
        <v>202102002</v>
      </c>
      <c r="I186" s="175" t="s">
        <v>157</v>
      </c>
      <c r="J186" s="175" t="s">
        <v>269</v>
      </c>
      <c r="K186" s="175" t="s">
        <v>1204</v>
      </c>
      <c r="L186" s="175" t="s">
        <v>160</v>
      </c>
      <c r="M186" s="175" t="s">
        <v>171</v>
      </c>
      <c r="N186" s="175" t="s">
        <v>20</v>
      </c>
      <c r="O186" s="175" t="s">
        <v>1474</v>
      </c>
      <c r="P186" s="26" t="str">
        <f>_xlfn.DISPIMG("ID_282C99EDDFB743068B1F4514F99C7126",1)</f>
        <v>=DISPIMG("ID_282C99EDDFB743068B1F4514F99C7126",1)</v>
      </c>
      <c r="Q186" s="25" t="s">
        <v>1475</v>
      </c>
      <c r="R186" s="25">
        <v>163</v>
      </c>
      <c r="S186" s="40" t="s">
        <v>4494</v>
      </c>
      <c r="T186" s="18" t="s">
        <v>46</v>
      </c>
      <c r="U186" s="25">
        <v>21</v>
      </c>
      <c r="V186" s="25">
        <v>84.5</v>
      </c>
      <c r="W186" s="25">
        <v>20</v>
      </c>
    </row>
    <row r="187" s="34" customFormat="1" hidden="1" customHeight="1" spans="1:23">
      <c r="A187" s="25">
        <v>23</v>
      </c>
      <c r="B187" s="175" t="s">
        <v>4043</v>
      </c>
      <c r="C187" s="175" t="s">
        <v>165</v>
      </c>
      <c r="D187" s="175" t="s">
        <v>4044</v>
      </c>
      <c r="E187" s="25">
        <v>18046771974</v>
      </c>
      <c r="F187" s="175" t="s">
        <v>156</v>
      </c>
      <c r="G187" s="175" t="s">
        <v>8</v>
      </c>
      <c r="H187" s="25">
        <v>202102002</v>
      </c>
      <c r="I187" s="175" t="s">
        <v>157</v>
      </c>
      <c r="J187" s="175" t="s">
        <v>1368</v>
      </c>
      <c r="K187" s="175" t="s">
        <v>4046</v>
      </c>
      <c r="L187" s="175" t="s">
        <v>170</v>
      </c>
      <c r="M187" s="175" t="s">
        <v>281</v>
      </c>
      <c r="N187" s="175" t="s">
        <v>20</v>
      </c>
      <c r="O187" s="175" t="s">
        <v>4047</v>
      </c>
      <c r="P187" s="26" t="str">
        <f>_xlfn.DISPIMG("ID_5DC4628448F54176A5FF91EC25B128F5",1)</f>
        <v>=DISPIMG("ID_5DC4628448F54176A5FF91EC25B128F5",1)</v>
      </c>
      <c r="Q187" s="25" t="s">
        <v>4048</v>
      </c>
      <c r="R187" s="25">
        <v>517</v>
      </c>
      <c r="S187" s="40" t="s">
        <v>4536</v>
      </c>
      <c r="T187" s="18" t="s">
        <v>48</v>
      </c>
      <c r="U187" s="25">
        <v>12</v>
      </c>
      <c r="V187" s="25">
        <v>84</v>
      </c>
      <c r="W187" s="25">
        <v>21</v>
      </c>
    </row>
    <row r="188" s="34" customFormat="1" hidden="1" customHeight="1" spans="1:23">
      <c r="A188" s="25">
        <v>22</v>
      </c>
      <c r="B188" s="175" t="s">
        <v>2133</v>
      </c>
      <c r="C188" s="175" t="s">
        <v>165</v>
      </c>
      <c r="D188" s="175" t="s">
        <v>2134</v>
      </c>
      <c r="E188" s="25">
        <v>15079264291</v>
      </c>
      <c r="F188" s="175" t="s">
        <v>156</v>
      </c>
      <c r="G188" s="175" t="s">
        <v>8</v>
      </c>
      <c r="H188" s="25">
        <v>202102002</v>
      </c>
      <c r="I188" s="175" t="s">
        <v>157</v>
      </c>
      <c r="J188" s="175" t="s">
        <v>876</v>
      </c>
      <c r="K188" s="175" t="s">
        <v>270</v>
      </c>
      <c r="L188" s="175" t="s">
        <v>170</v>
      </c>
      <c r="M188" s="175" t="s">
        <v>455</v>
      </c>
      <c r="N188" s="175" t="s">
        <v>20</v>
      </c>
      <c r="O188" s="175" t="s">
        <v>2136</v>
      </c>
      <c r="P188" s="26" t="str">
        <f>_xlfn.DISPIMG("ID_96FF4E1240E04D98ACBC33F8D3EE9C8F",1)</f>
        <v>=DISPIMG("ID_96FF4E1240E04D98ACBC33F8D3EE9C8F",1)</v>
      </c>
      <c r="Q188" s="25" t="s">
        <v>2137</v>
      </c>
      <c r="R188" s="25">
        <v>250</v>
      </c>
      <c r="S188" s="40" t="s">
        <v>4502</v>
      </c>
      <c r="T188" s="18" t="s">
        <v>46</v>
      </c>
      <c r="U188" s="25">
        <v>11</v>
      </c>
      <c r="V188" s="25">
        <v>82</v>
      </c>
      <c r="W188" s="25">
        <v>22</v>
      </c>
    </row>
    <row r="189" s="34" customFormat="1" hidden="1" customHeight="1" spans="1:23">
      <c r="A189" s="25">
        <v>12</v>
      </c>
      <c r="B189" s="175" t="s">
        <v>1262</v>
      </c>
      <c r="C189" s="175" t="s">
        <v>165</v>
      </c>
      <c r="D189" s="175" t="s">
        <v>1263</v>
      </c>
      <c r="E189" s="25">
        <v>18897926715</v>
      </c>
      <c r="F189" s="175" t="s">
        <v>156</v>
      </c>
      <c r="G189" s="175" t="s">
        <v>8</v>
      </c>
      <c r="H189" s="25">
        <v>202102002</v>
      </c>
      <c r="I189" s="175" t="s">
        <v>157</v>
      </c>
      <c r="J189" s="175" t="s">
        <v>1265</v>
      </c>
      <c r="K189" s="175" t="s">
        <v>813</v>
      </c>
      <c r="L189" s="175" t="s">
        <v>160</v>
      </c>
      <c r="M189" s="175" t="s">
        <v>199</v>
      </c>
      <c r="N189" s="175" t="s">
        <v>1266</v>
      </c>
      <c r="O189" s="25">
        <v>0</v>
      </c>
      <c r="P189" s="26" t="str">
        <f>_xlfn.DISPIMG("ID_5DC2209F39824089B70DAE46CB942DD1",1)</f>
        <v>=DISPIMG("ID_5DC2209F39824089B70DAE46CB942DD1",1)</v>
      </c>
      <c r="Q189" s="25" t="s">
        <v>1267</v>
      </c>
      <c r="R189" s="25">
        <v>135</v>
      </c>
      <c r="S189" s="40" t="s">
        <v>4492</v>
      </c>
      <c r="T189" s="18" t="s">
        <v>46</v>
      </c>
      <c r="U189" s="25">
        <v>9</v>
      </c>
      <c r="V189" s="25">
        <v>81</v>
      </c>
      <c r="W189" s="25">
        <v>23</v>
      </c>
    </row>
    <row r="190" s="34" customFormat="1" hidden="1" customHeight="1" spans="1:23">
      <c r="A190" s="25">
        <v>5</v>
      </c>
      <c r="B190" s="175" t="s">
        <v>810</v>
      </c>
      <c r="C190" s="175" t="s">
        <v>165</v>
      </c>
      <c r="D190" s="175" t="s">
        <v>811</v>
      </c>
      <c r="E190" s="25">
        <v>13767213363</v>
      </c>
      <c r="F190" s="175" t="s">
        <v>156</v>
      </c>
      <c r="G190" s="175" t="s">
        <v>8</v>
      </c>
      <c r="H190" s="25">
        <v>202102002</v>
      </c>
      <c r="I190" s="175" t="s">
        <v>157</v>
      </c>
      <c r="J190" s="175" t="s">
        <v>158</v>
      </c>
      <c r="K190" s="175" t="s">
        <v>813</v>
      </c>
      <c r="L190" s="175" t="s">
        <v>160</v>
      </c>
      <c r="M190" s="175" t="s">
        <v>161</v>
      </c>
      <c r="N190" s="175" t="s">
        <v>8</v>
      </c>
      <c r="O190" s="25">
        <v>0</v>
      </c>
      <c r="P190" s="26" t="str">
        <f>_xlfn.DISPIMG("ID_5528F9D8BCB3449AB737B926D9AAB949",1)</f>
        <v>=DISPIMG("ID_5528F9D8BCB3449AB737B926D9AAB949",1)</v>
      </c>
      <c r="Q190" s="25" t="s">
        <v>814</v>
      </c>
      <c r="R190" s="25">
        <v>79</v>
      </c>
      <c r="S190" s="40" t="s">
        <v>4485</v>
      </c>
      <c r="T190" s="18" t="s">
        <v>46</v>
      </c>
      <c r="U190" s="25">
        <v>30</v>
      </c>
      <c r="V190" s="25">
        <v>80</v>
      </c>
      <c r="W190" s="25">
        <v>24</v>
      </c>
    </row>
    <row r="191" s="34" customFormat="1" hidden="1" customHeight="1" spans="1:23">
      <c r="A191" s="25">
        <v>29</v>
      </c>
      <c r="B191" s="175" t="s">
        <v>2437</v>
      </c>
      <c r="C191" s="175" t="s">
        <v>165</v>
      </c>
      <c r="D191" s="175" t="s">
        <v>2438</v>
      </c>
      <c r="E191" s="25">
        <v>13657919316</v>
      </c>
      <c r="F191" s="175" t="s">
        <v>156</v>
      </c>
      <c r="G191" s="175" t="s">
        <v>8</v>
      </c>
      <c r="H191" s="25">
        <v>202102002</v>
      </c>
      <c r="I191" s="175" t="s">
        <v>705</v>
      </c>
      <c r="J191" s="175" t="s">
        <v>2440</v>
      </c>
      <c r="K191" s="175" t="s">
        <v>2441</v>
      </c>
      <c r="L191" s="175" t="s">
        <v>160</v>
      </c>
      <c r="M191" s="175" t="s">
        <v>189</v>
      </c>
      <c r="N191" s="175" t="s">
        <v>8</v>
      </c>
      <c r="O191" s="25">
        <v>0</v>
      </c>
      <c r="P191" s="26" t="str">
        <f>_xlfn.DISPIMG("ID_840140DEA4BE4280A385428CC67C44E3",1)</f>
        <v>=DISPIMG("ID_840140DEA4BE4280A385428CC67C44E3",1)</v>
      </c>
      <c r="Q191" s="25" t="s">
        <v>2442</v>
      </c>
      <c r="R191" s="25">
        <v>290</v>
      </c>
      <c r="S191" s="40" t="s">
        <v>4509</v>
      </c>
      <c r="T191" s="18" t="s">
        <v>46</v>
      </c>
      <c r="U191" s="25">
        <v>24</v>
      </c>
      <c r="V191" s="25">
        <v>79</v>
      </c>
      <c r="W191" s="25">
        <v>25</v>
      </c>
    </row>
    <row r="192" s="34" customFormat="1" hidden="1" customHeight="1" spans="1:23">
      <c r="A192" s="25">
        <v>18</v>
      </c>
      <c r="B192" s="175" t="s">
        <v>3850</v>
      </c>
      <c r="C192" s="175" t="s">
        <v>165</v>
      </c>
      <c r="D192" s="175" t="s">
        <v>3851</v>
      </c>
      <c r="E192" s="25">
        <v>15797695028</v>
      </c>
      <c r="F192" s="175" t="s">
        <v>156</v>
      </c>
      <c r="G192" s="175" t="s">
        <v>8</v>
      </c>
      <c r="H192" s="25">
        <v>202102002</v>
      </c>
      <c r="I192" s="175" t="s">
        <v>157</v>
      </c>
      <c r="J192" s="175" t="s">
        <v>233</v>
      </c>
      <c r="K192" s="175" t="s">
        <v>3853</v>
      </c>
      <c r="L192" s="175" t="s">
        <v>160</v>
      </c>
      <c r="M192" s="175" t="s">
        <v>235</v>
      </c>
      <c r="N192" s="175" t="s">
        <v>3854</v>
      </c>
      <c r="O192" s="25">
        <v>0</v>
      </c>
      <c r="P192" s="26" t="str">
        <f>_xlfn.DISPIMG("ID_84872379004C4F22BC15C75702A4DBC9",1)</f>
        <v>=DISPIMG("ID_84872379004C4F22BC15C75702A4DBC9",1)</v>
      </c>
      <c r="Q192" s="25" t="s">
        <v>3855</v>
      </c>
      <c r="R192" s="25">
        <v>491</v>
      </c>
      <c r="S192" s="40" t="s">
        <v>4530</v>
      </c>
      <c r="T192" s="18" t="s">
        <v>48</v>
      </c>
      <c r="U192" s="25">
        <v>11</v>
      </c>
      <c r="V192" s="25">
        <v>78.5</v>
      </c>
      <c r="W192" s="25">
        <v>26</v>
      </c>
    </row>
    <row r="193" s="34" customFormat="1" hidden="1" customHeight="1" spans="1:23">
      <c r="A193" s="25">
        <v>9</v>
      </c>
      <c r="B193" s="175" t="s">
        <v>1002</v>
      </c>
      <c r="C193" s="175" t="s">
        <v>165</v>
      </c>
      <c r="D193" s="175" t="s">
        <v>1003</v>
      </c>
      <c r="E193" s="25">
        <v>16607008286</v>
      </c>
      <c r="F193" s="175" t="s">
        <v>156</v>
      </c>
      <c r="G193" s="175" t="s">
        <v>8</v>
      </c>
      <c r="H193" s="25">
        <v>202102002</v>
      </c>
      <c r="I193" s="175" t="s">
        <v>157</v>
      </c>
      <c r="J193" s="175" t="s">
        <v>233</v>
      </c>
      <c r="K193" s="175" t="s">
        <v>1005</v>
      </c>
      <c r="L193" s="175" t="s">
        <v>170</v>
      </c>
      <c r="M193" s="175" t="s">
        <v>180</v>
      </c>
      <c r="N193" s="175" t="s">
        <v>8</v>
      </c>
      <c r="O193" s="175" t="s">
        <v>1006</v>
      </c>
      <c r="P193" s="26" t="str">
        <f>_xlfn.DISPIMG("ID_AB18BB501DAF4CA0AB480E453554BF60",1)</f>
        <v>=DISPIMG("ID_AB18BB501DAF4CA0AB480E453554BF60",1)</v>
      </c>
      <c r="Q193" s="25" t="s">
        <v>1007</v>
      </c>
      <c r="R193" s="25">
        <v>102</v>
      </c>
      <c r="S193" s="40" t="s">
        <v>4489</v>
      </c>
      <c r="T193" s="18" t="s">
        <v>46</v>
      </c>
      <c r="U193" s="25">
        <v>20</v>
      </c>
      <c r="V193" s="25">
        <v>78</v>
      </c>
      <c r="W193" s="25">
        <v>27</v>
      </c>
    </row>
    <row r="194" s="34" customFormat="1" hidden="1" customHeight="1" spans="1:23">
      <c r="A194" s="25">
        <v>6</v>
      </c>
      <c r="B194" s="175" t="s">
        <v>864</v>
      </c>
      <c r="C194" s="175" t="s">
        <v>165</v>
      </c>
      <c r="D194" s="175" t="s">
        <v>865</v>
      </c>
      <c r="E194" s="25">
        <v>18958190827</v>
      </c>
      <c r="F194" s="175" t="s">
        <v>156</v>
      </c>
      <c r="G194" s="175" t="s">
        <v>8</v>
      </c>
      <c r="H194" s="25">
        <v>202102002</v>
      </c>
      <c r="I194" s="175" t="s">
        <v>157</v>
      </c>
      <c r="J194" s="175" t="s">
        <v>867</v>
      </c>
      <c r="K194" s="175" t="s">
        <v>868</v>
      </c>
      <c r="L194" s="175" t="s">
        <v>160</v>
      </c>
      <c r="M194" s="175" t="s">
        <v>548</v>
      </c>
      <c r="N194" s="175" t="s">
        <v>8</v>
      </c>
      <c r="O194" s="175" t="s">
        <v>869</v>
      </c>
      <c r="P194" s="26" t="str">
        <f>_xlfn.DISPIMG("ID_019B47D80B6342B48EC2873E3CE82AE8",1)</f>
        <v>=DISPIMG("ID_019B47D80B6342B48EC2873E3CE82AE8",1)</v>
      </c>
      <c r="Q194" s="25" t="s">
        <v>870</v>
      </c>
      <c r="R194" s="25">
        <v>86</v>
      </c>
      <c r="S194" s="40" t="s">
        <v>4486</v>
      </c>
      <c r="T194" s="18" t="s">
        <v>46</v>
      </c>
      <c r="U194" s="25">
        <v>5</v>
      </c>
      <c r="V194" s="25">
        <v>75.5</v>
      </c>
      <c r="W194" s="25">
        <v>28</v>
      </c>
    </row>
    <row r="195" s="34" customFormat="1" hidden="1" customHeight="1" spans="1:23">
      <c r="A195" s="25">
        <v>6</v>
      </c>
      <c r="B195" s="175" t="s">
        <v>2947</v>
      </c>
      <c r="C195" s="175" t="s">
        <v>165</v>
      </c>
      <c r="D195" s="175" t="s">
        <v>2948</v>
      </c>
      <c r="E195" s="25">
        <v>17370852983</v>
      </c>
      <c r="F195" s="175" t="s">
        <v>156</v>
      </c>
      <c r="G195" s="175" t="s">
        <v>8</v>
      </c>
      <c r="H195" s="25">
        <v>202102002</v>
      </c>
      <c r="I195" s="175" t="s">
        <v>157</v>
      </c>
      <c r="J195" s="175" t="s">
        <v>611</v>
      </c>
      <c r="K195" s="175" t="s">
        <v>1832</v>
      </c>
      <c r="L195" s="175" t="s">
        <v>160</v>
      </c>
      <c r="M195" s="175" t="s">
        <v>306</v>
      </c>
      <c r="N195" s="175" t="s">
        <v>2950</v>
      </c>
      <c r="O195" s="175" t="s">
        <v>2951</v>
      </c>
      <c r="P195" s="26" t="str">
        <f>_xlfn.DISPIMG("ID_53C3410979BA49538F1410917AAC183C",1)</f>
        <v>=DISPIMG("ID_53C3410979BA49538F1410917AAC183C",1)</v>
      </c>
      <c r="Q195" s="25" t="s">
        <v>2952</v>
      </c>
      <c r="R195" s="25">
        <v>362</v>
      </c>
      <c r="S195" s="40" t="s">
        <v>4516</v>
      </c>
      <c r="T195" s="18" t="s">
        <v>48</v>
      </c>
      <c r="U195" s="25">
        <v>8</v>
      </c>
      <c r="V195" s="25">
        <v>75</v>
      </c>
      <c r="W195" s="25">
        <v>29</v>
      </c>
    </row>
    <row r="196" s="34" customFormat="1" hidden="1" customHeight="1" spans="1:23">
      <c r="A196" s="25">
        <v>3</v>
      </c>
      <c r="B196" s="175" t="s">
        <v>668</v>
      </c>
      <c r="C196" s="175" t="s">
        <v>165</v>
      </c>
      <c r="D196" s="175" t="s">
        <v>669</v>
      </c>
      <c r="E196" s="25">
        <v>19970219155</v>
      </c>
      <c r="F196" s="175" t="s">
        <v>156</v>
      </c>
      <c r="G196" s="175" t="s">
        <v>8</v>
      </c>
      <c r="H196" s="25">
        <v>202102002</v>
      </c>
      <c r="I196" s="175" t="s">
        <v>279</v>
      </c>
      <c r="J196" s="175" t="s">
        <v>671</v>
      </c>
      <c r="K196" s="175" t="s">
        <v>672</v>
      </c>
      <c r="L196" s="175" t="s">
        <v>160</v>
      </c>
      <c r="M196" s="175" t="s">
        <v>673</v>
      </c>
      <c r="N196" s="175" t="s">
        <v>674</v>
      </c>
      <c r="O196" s="175" t="s">
        <v>675</v>
      </c>
      <c r="P196" s="26" t="str">
        <f>_xlfn.DISPIMG("ID_350951056247403B99D5F5C96BCE4CA8",1)</f>
        <v>=DISPIMG("ID_350951056247403B99D5F5C96BCE4CA8",1)</v>
      </c>
      <c r="Q196" s="25" t="s">
        <v>676</v>
      </c>
      <c r="R196" s="25">
        <v>62</v>
      </c>
      <c r="S196" s="40" t="s">
        <v>4483</v>
      </c>
      <c r="T196" s="18" t="s">
        <v>46</v>
      </c>
      <c r="U196" s="25">
        <v>18</v>
      </c>
      <c r="V196" s="25">
        <v>66</v>
      </c>
      <c r="W196" s="25">
        <v>30</v>
      </c>
    </row>
    <row r="197" s="34" customFormat="1" hidden="1" customHeight="1" spans="1:23">
      <c r="A197" s="25">
        <v>26</v>
      </c>
      <c r="B197" s="175" t="s">
        <v>2345</v>
      </c>
      <c r="C197" s="175" t="s">
        <v>153</v>
      </c>
      <c r="D197" s="175" t="s">
        <v>2346</v>
      </c>
      <c r="E197" s="25">
        <v>15267177470</v>
      </c>
      <c r="F197" s="175" t="s">
        <v>156</v>
      </c>
      <c r="G197" s="175" t="s">
        <v>8</v>
      </c>
      <c r="H197" s="25">
        <v>202102002</v>
      </c>
      <c r="I197" s="175" t="s">
        <v>279</v>
      </c>
      <c r="J197" s="175" t="s">
        <v>2348</v>
      </c>
      <c r="K197" s="175" t="s">
        <v>1950</v>
      </c>
      <c r="L197" s="175" t="s">
        <v>170</v>
      </c>
      <c r="M197" s="175" t="s">
        <v>2047</v>
      </c>
      <c r="N197" s="175" t="s">
        <v>2349</v>
      </c>
      <c r="O197" s="175" t="s">
        <v>2350</v>
      </c>
      <c r="P197" s="26" t="str">
        <f>_xlfn.DISPIMG("ID_5E2BE4A32E0C443299D86A217DB8E55F",1)</f>
        <v>=DISPIMG("ID_5E2BE4A32E0C443299D86A217DB8E55F",1)</v>
      </c>
      <c r="Q197" s="25" t="s">
        <v>2351</v>
      </c>
      <c r="R197" s="25">
        <v>278</v>
      </c>
      <c r="S197" s="40" t="s">
        <v>4506</v>
      </c>
      <c r="T197" s="18" t="s">
        <v>46</v>
      </c>
      <c r="U197" s="25">
        <v>1</v>
      </c>
      <c r="V197" s="25">
        <v>63.5</v>
      </c>
      <c r="W197" s="25">
        <v>31</v>
      </c>
    </row>
    <row r="198" s="34" customFormat="1" hidden="1" customHeight="1" spans="1:23">
      <c r="A198" s="25">
        <v>18</v>
      </c>
      <c r="B198" s="175" t="s">
        <v>1904</v>
      </c>
      <c r="C198" s="175" t="s">
        <v>165</v>
      </c>
      <c r="D198" s="175" t="s">
        <v>1905</v>
      </c>
      <c r="E198" s="25">
        <v>15070412978</v>
      </c>
      <c r="F198" s="175" t="s">
        <v>156</v>
      </c>
      <c r="G198" s="175" t="s">
        <v>8</v>
      </c>
      <c r="H198" s="25">
        <v>202102002</v>
      </c>
      <c r="I198" s="175" t="s">
        <v>157</v>
      </c>
      <c r="J198" s="175" t="s">
        <v>233</v>
      </c>
      <c r="K198" s="175" t="s">
        <v>454</v>
      </c>
      <c r="L198" s="175" t="s">
        <v>170</v>
      </c>
      <c r="M198" s="175" t="s">
        <v>1907</v>
      </c>
      <c r="N198" s="175" t="s">
        <v>8</v>
      </c>
      <c r="O198" s="175" t="s">
        <v>1908</v>
      </c>
      <c r="P198" s="26" t="str">
        <f>_xlfn.DISPIMG("ID_02D14B5C83BE4DBBBCAAA0B55D7FE392",1)</f>
        <v>=DISPIMG("ID_02D14B5C83BE4DBBBCAAA0B55D7FE392",1)</v>
      </c>
      <c r="Q198" s="25" t="s">
        <v>1909</v>
      </c>
      <c r="R198" s="25">
        <v>219</v>
      </c>
      <c r="S198" s="40" t="s">
        <v>4498</v>
      </c>
      <c r="T198" s="18" t="s">
        <v>46</v>
      </c>
      <c r="U198" s="25">
        <v>15</v>
      </c>
      <c r="V198" s="25">
        <v>51</v>
      </c>
      <c r="W198" s="25">
        <v>32</v>
      </c>
    </row>
    <row r="199" s="34" customFormat="1" hidden="1" customHeight="1" spans="1:23">
      <c r="A199" s="25">
        <v>21</v>
      </c>
      <c r="B199" s="175" t="s">
        <v>2126</v>
      </c>
      <c r="C199" s="175" t="s">
        <v>165</v>
      </c>
      <c r="D199" s="175" t="s">
        <v>2127</v>
      </c>
      <c r="E199" s="25">
        <v>18370269701</v>
      </c>
      <c r="F199" s="175" t="s">
        <v>156</v>
      </c>
      <c r="G199" s="175" t="s">
        <v>8</v>
      </c>
      <c r="H199" s="25">
        <v>202102002</v>
      </c>
      <c r="I199" s="175" t="s">
        <v>157</v>
      </c>
      <c r="J199" s="175" t="s">
        <v>789</v>
      </c>
      <c r="K199" s="175" t="s">
        <v>2129</v>
      </c>
      <c r="L199" s="175" t="s">
        <v>160</v>
      </c>
      <c r="M199" s="175" t="s">
        <v>252</v>
      </c>
      <c r="N199" s="175" t="s">
        <v>20</v>
      </c>
      <c r="O199" s="25">
        <v>0</v>
      </c>
      <c r="P199" s="26" t="str">
        <f>_xlfn.DISPIMG("ID_03579C230E4B4D1F94606FFA97C412A2",1)</f>
        <v>=DISPIMG("ID_03579C230E4B4D1F94606FFA97C412A2",1)</v>
      </c>
      <c r="Q199" s="25" t="s">
        <v>2130</v>
      </c>
      <c r="R199" s="25">
        <v>249</v>
      </c>
      <c r="S199" s="40" t="s">
        <v>4501</v>
      </c>
      <c r="T199" s="18" t="s">
        <v>46</v>
      </c>
      <c r="U199" s="25">
        <v>2</v>
      </c>
      <c r="V199" s="25">
        <v>0</v>
      </c>
      <c r="W199" s="25"/>
    </row>
    <row r="200" s="34" customFormat="1" hidden="1" customHeight="1" spans="1:23">
      <c r="A200" s="25">
        <v>16</v>
      </c>
      <c r="B200" s="175" t="s">
        <v>1766</v>
      </c>
      <c r="C200" s="175" t="s">
        <v>165</v>
      </c>
      <c r="D200" s="175" t="s">
        <v>1767</v>
      </c>
      <c r="E200" s="25">
        <v>18370038373</v>
      </c>
      <c r="F200" s="175" t="s">
        <v>156</v>
      </c>
      <c r="G200" s="175" t="s">
        <v>8</v>
      </c>
      <c r="H200" s="25">
        <v>202102002</v>
      </c>
      <c r="I200" s="175" t="s">
        <v>157</v>
      </c>
      <c r="J200" s="175" t="s">
        <v>269</v>
      </c>
      <c r="K200" s="175" t="s">
        <v>813</v>
      </c>
      <c r="L200" s="175" t="s">
        <v>160</v>
      </c>
      <c r="M200" s="175" t="s">
        <v>180</v>
      </c>
      <c r="N200" s="175" t="s">
        <v>8</v>
      </c>
      <c r="O200" s="175" t="s">
        <v>1769</v>
      </c>
      <c r="P200" s="26" t="str">
        <f>_xlfn.DISPIMG("ID_DCEB7245249347F4A2C197E5AB7C6C11",1)</f>
        <v>=DISPIMG("ID_DCEB7245249347F4A2C197E5AB7C6C11",1)</v>
      </c>
      <c r="Q200" s="25" t="s">
        <v>1770</v>
      </c>
      <c r="R200" s="25">
        <v>201</v>
      </c>
      <c r="S200" s="40" t="s">
        <v>4496</v>
      </c>
      <c r="T200" s="18" t="s">
        <v>46</v>
      </c>
      <c r="U200" s="25">
        <v>3</v>
      </c>
      <c r="V200" s="25">
        <v>0</v>
      </c>
      <c r="W200" s="25"/>
    </row>
    <row r="201" s="34" customFormat="1" hidden="1" customHeight="1" spans="1:23">
      <c r="A201" s="25">
        <v>11</v>
      </c>
      <c r="B201" s="175" t="s">
        <v>1200</v>
      </c>
      <c r="C201" s="175" t="s">
        <v>165</v>
      </c>
      <c r="D201" s="175" t="s">
        <v>1201</v>
      </c>
      <c r="E201" s="25">
        <v>15270186776</v>
      </c>
      <c r="F201" s="175" t="s">
        <v>156</v>
      </c>
      <c r="G201" s="175" t="s">
        <v>8</v>
      </c>
      <c r="H201" s="25">
        <v>202102002</v>
      </c>
      <c r="I201" s="175" t="s">
        <v>157</v>
      </c>
      <c r="J201" s="175" t="s">
        <v>1203</v>
      </c>
      <c r="K201" s="175" t="s">
        <v>1204</v>
      </c>
      <c r="L201" s="175" t="s">
        <v>160</v>
      </c>
      <c r="M201" s="175" t="s">
        <v>1089</v>
      </c>
      <c r="N201" s="175" t="s">
        <v>1205</v>
      </c>
      <c r="O201" s="175" t="s">
        <v>1206</v>
      </c>
      <c r="P201" s="26" t="str">
        <f>_xlfn.DISPIMG("ID_0C966700704E44E6A4C50F763206BC81",1)</f>
        <v>=DISPIMG("ID_0C966700704E44E6A4C50F763206BC81",1)</v>
      </c>
      <c r="Q201" s="25" t="s">
        <v>1207</v>
      </c>
      <c r="R201" s="25">
        <v>127</v>
      </c>
      <c r="S201" s="40" t="s">
        <v>4491</v>
      </c>
      <c r="T201" s="18" t="s">
        <v>46</v>
      </c>
      <c r="U201" s="25">
        <v>4</v>
      </c>
      <c r="V201" s="25">
        <v>0</v>
      </c>
      <c r="W201" s="25"/>
    </row>
    <row r="202" s="34" customFormat="1" hidden="1" customHeight="1" spans="1:23">
      <c r="A202" s="25">
        <v>1</v>
      </c>
      <c r="B202" s="175" t="s">
        <v>494</v>
      </c>
      <c r="C202" s="175" t="s">
        <v>165</v>
      </c>
      <c r="D202" s="175" t="s">
        <v>495</v>
      </c>
      <c r="E202" s="25">
        <v>13662204471</v>
      </c>
      <c r="F202" s="175" t="s">
        <v>156</v>
      </c>
      <c r="G202" s="175" t="s">
        <v>8</v>
      </c>
      <c r="H202" s="25">
        <v>202102002</v>
      </c>
      <c r="I202" s="175" t="s">
        <v>279</v>
      </c>
      <c r="J202" s="175" t="s">
        <v>158</v>
      </c>
      <c r="K202" s="175" t="s">
        <v>497</v>
      </c>
      <c r="L202" s="175" t="s">
        <v>170</v>
      </c>
      <c r="M202" s="175" t="s">
        <v>180</v>
      </c>
      <c r="N202" s="175" t="s">
        <v>498</v>
      </c>
      <c r="O202" s="175" t="s">
        <v>499</v>
      </c>
      <c r="P202" s="26" t="str">
        <f>_xlfn.DISPIMG("ID_83DE97F5DD9E4626804875394FE0FC9C",1)</f>
        <v>=DISPIMG("ID_83DE97F5DD9E4626804875394FE0FC9C",1)</v>
      </c>
      <c r="Q202" s="25" t="s">
        <v>500</v>
      </c>
      <c r="R202" s="25">
        <v>41</v>
      </c>
      <c r="S202" s="40" t="s">
        <v>4481</v>
      </c>
      <c r="T202" s="18" t="s">
        <v>46</v>
      </c>
      <c r="U202" s="25">
        <v>6</v>
      </c>
      <c r="V202" s="25">
        <v>0</v>
      </c>
      <c r="W202" s="25"/>
    </row>
    <row r="203" s="34" customFormat="1" hidden="1" customHeight="1" spans="1:23">
      <c r="A203" s="25">
        <v>7</v>
      </c>
      <c r="B203" s="175" t="s">
        <v>941</v>
      </c>
      <c r="C203" s="175" t="s">
        <v>165</v>
      </c>
      <c r="D203" s="175" t="s">
        <v>942</v>
      </c>
      <c r="E203" s="25">
        <v>18379646602</v>
      </c>
      <c r="F203" s="175" t="s">
        <v>156</v>
      </c>
      <c r="G203" s="175" t="s">
        <v>8</v>
      </c>
      <c r="H203" s="25">
        <v>202102002</v>
      </c>
      <c r="I203" s="175" t="s">
        <v>157</v>
      </c>
      <c r="J203" s="175" t="s">
        <v>269</v>
      </c>
      <c r="K203" s="175" t="s">
        <v>944</v>
      </c>
      <c r="L203" s="175" t="s">
        <v>170</v>
      </c>
      <c r="M203" s="175" t="s">
        <v>261</v>
      </c>
      <c r="N203" s="175" t="s">
        <v>945</v>
      </c>
      <c r="O203" s="25">
        <v>0</v>
      </c>
      <c r="P203" s="26" t="str">
        <f>_xlfn.DISPIMG("ID_BCCBED5385A54C5D88278A56BF2ABF99",1)</f>
        <v>=DISPIMG("ID_BCCBED5385A54C5D88278A56BF2ABF99",1)</v>
      </c>
      <c r="Q203" s="25" t="s">
        <v>946</v>
      </c>
      <c r="R203" s="25">
        <v>95</v>
      </c>
      <c r="S203" s="40" t="s">
        <v>4487</v>
      </c>
      <c r="T203" s="18" t="s">
        <v>46</v>
      </c>
      <c r="U203" s="25">
        <v>8</v>
      </c>
      <c r="V203" s="25">
        <v>0</v>
      </c>
      <c r="W203" s="25"/>
    </row>
    <row r="204" s="34" customFormat="1" hidden="1" customHeight="1" spans="1:23">
      <c r="A204" s="25">
        <v>28</v>
      </c>
      <c r="B204" s="175" t="s">
        <v>2391</v>
      </c>
      <c r="C204" s="175" t="s">
        <v>165</v>
      </c>
      <c r="D204" s="175" t="s">
        <v>2392</v>
      </c>
      <c r="E204" s="25">
        <v>18779160835</v>
      </c>
      <c r="F204" s="175" t="s">
        <v>156</v>
      </c>
      <c r="G204" s="175" t="s">
        <v>8</v>
      </c>
      <c r="H204" s="25">
        <v>202102002</v>
      </c>
      <c r="I204" s="175" t="s">
        <v>157</v>
      </c>
      <c r="J204" s="175" t="s">
        <v>385</v>
      </c>
      <c r="K204" s="175" t="s">
        <v>2394</v>
      </c>
      <c r="L204" s="175" t="s">
        <v>160</v>
      </c>
      <c r="M204" s="175" t="s">
        <v>306</v>
      </c>
      <c r="N204" s="175" t="s">
        <v>2395</v>
      </c>
      <c r="O204" s="175" t="s">
        <v>2396</v>
      </c>
      <c r="P204" s="26" t="str">
        <f>_xlfn.DISPIMG("ID_E59FBD148CC0458789196A3F7371E3AC",1)</f>
        <v>=DISPIMG("ID_E59FBD148CC0458789196A3F7371E3AC",1)</v>
      </c>
      <c r="Q204" s="25" t="s">
        <v>2397</v>
      </c>
      <c r="R204" s="25">
        <v>284</v>
      </c>
      <c r="S204" s="40" t="s">
        <v>4508</v>
      </c>
      <c r="T204" s="18" t="s">
        <v>46</v>
      </c>
      <c r="U204" s="25">
        <v>13</v>
      </c>
      <c r="V204" s="25">
        <v>0</v>
      </c>
      <c r="W204" s="25"/>
    </row>
    <row r="205" s="34" customFormat="1" hidden="1" customHeight="1" spans="1:23">
      <c r="A205" s="25">
        <v>23</v>
      </c>
      <c r="B205" s="175" t="s">
        <v>2194</v>
      </c>
      <c r="C205" s="175" t="s">
        <v>165</v>
      </c>
      <c r="D205" s="175" t="s">
        <v>2195</v>
      </c>
      <c r="E205" s="25">
        <v>13617094078</v>
      </c>
      <c r="F205" s="175" t="s">
        <v>156</v>
      </c>
      <c r="G205" s="175" t="s">
        <v>8</v>
      </c>
      <c r="H205" s="25">
        <v>202102002</v>
      </c>
      <c r="I205" s="175" t="s">
        <v>157</v>
      </c>
      <c r="J205" s="175" t="s">
        <v>2197</v>
      </c>
      <c r="K205" s="175" t="s">
        <v>2198</v>
      </c>
      <c r="L205" s="175" t="s">
        <v>160</v>
      </c>
      <c r="M205" s="175" t="s">
        <v>281</v>
      </c>
      <c r="N205" s="175" t="s">
        <v>8</v>
      </c>
      <c r="O205" s="175" t="s">
        <v>2199</v>
      </c>
      <c r="P205" s="26" t="str">
        <f>_xlfn.DISPIMG("ID_C169A98BEF614A41ADF43CA619535221",1)</f>
        <v>=DISPIMG("ID_C169A98BEF614A41ADF43CA619535221",1)</v>
      </c>
      <c r="Q205" s="25" t="s">
        <v>2200</v>
      </c>
      <c r="R205" s="25">
        <v>258</v>
      </c>
      <c r="S205" s="40" t="s">
        <v>4503</v>
      </c>
      <c r="T205" s="18" t="s">
        <v>46</v>
      </c>
      <c r="U205" s="25">
        <v>14</v>
      </c>
      <c r="V205" s="25">
        <v>0</v>
      </c>
      <c r="W205" s="25"/>
    </row>
    <row r="206" s="34" customFormat="1" hidden="1" customHeight="1" spans="1:23">
      <c r="A206" s="25">
        <v>25</v>
      </c>
      <c r="B206" s="175" t="s">
        <v>2337</v>
      </c>
      <c r="C206" s="175" t="s">
        <v>165</v>
      </c>
      <c r="D206" s="175" t="s">
        <v>2338</v>
      </c>
      <c r="E206" s="25">
        <v>15779252368</v>
      </c>
      <c r="F206" s="175" t="s">
        <v>156</v>
      </c>
      <c r="G206" s="175" t="s">
        <v>8</v>
      </c>
      <c r="H206" s="25">
        <v>202102002</v>
      </c>
      <c r="I206" s="175" t="s">
        <v>157</v>
      </c>
      <c r="J206" s="175" t="s">
        <v>2340</v>
      </c>
      <c r="K206" s="175" t="s">
        <v>270</v>
      </c>
      <c r="L206" s="175" t="s">
        <v>170</v>
      </c>
      <c r="M206" s="175" t="s">
        <v>548</v>
      </c>
      <c r="N206" s="175" t="s">
        <v>1322</v>
      </c>
      <c r="O206" s="175" t="s">
        <v>2341</v>
      </c>
      <c r="P206" s="26" t="str">
        <f>_xlfn.DISPIMG("ID_590DFB2A64AB463E915AA57C80368398",1)</f>
        <v>=DISPIMG("ID_590DFB2A64AB463E915AA57C80368398",1)</v>
      </c>
      <c r="Q206" s="25" t="s">
        <v>2342</v>
      </c>
      <c r="R206" s="25">
        <v>277</v>
      </c>
      <c r="S206" s="40" t="s">
        <v>4505</v>
      </c>
      <c r="T206" s="18" t="s">
        <v>46</v>
      </c>
      <c r="U206" s="25">
        <v>26</v>
      </c>
      <c r="V206" s="25">
        <v>0</v>
      </c>
      <c r="W206" s="25"/>
    </row>
    <row r="207" s="34" customFormat="1" hidden="1" customHeight="1" spans="1:23">
      <c r="A207" s="25">
        <v>20</v>
      </c>
      <c r="B207" s="175" t="s">
        <v>2076</v>
      </c>
      <c r="C207" s="175" t="s">
        <v>153</v>
      </c>
      <c r="D207" s="175" t="s">
        <v>2077</v>
      </c>
      <c r="E207" s="25">
        <v>19951510515</v>
      </c>
      <c r="F207" s="175" t="s">
        <v>156</v>
      </c>
      <c r="G207" s="175" t="s">
        <v>8</v>
      </c>
      <c r="H207" s="25">
        <v>202102002</v>
      </c>
      <c r="I207" s="175" t="s">
        <v>279</v>
      </c>
      <c r="J207" s="175" t="s">
        <v>507</v>
      </c>
      <c r="K207" s="175" t="s">
        <v>497</v>
      </c>
      <c r="L207" s="175" t="s">
        <v>170</v>
      </c>
      <c r="M207" s="175" t="s">
        <v>224</v>
      </c>
      <c r="N207" s="175" t="s">
        <v>989</v>
      </c>
      <c r="O207" s="175" t="s">
        <v>2079</v>
      </c>
      <c r="P207" s="26" t="str">
        <f>_xlfn.DISPIMG("ID_55D50712BDA742E9BE089E9AEF5CFD56",1)</f>
        <v>=DISPIMG("ID_55D50712BDA742E9BE089E9AEF5CFD56",1)</v>
      </c>
      <c r="Q207" s="25" t="s">
        <v>2080</v>
      </c>
      <c r="R207" s="25">
        <v>242</v>
      </c>
      <c r="S207" s="40" t="s">
        <v>4500</v>
      </c>
      <c r="T207" s="18" t="s">
        <v>46</v>
      </c>
      <c r="U207" s="25">
        <v>27</v>
      </c>
      <c r="V207" s="25">
        <v>0</v>
      </c>
      <c r="W207" s="25"/>
    </row>
    <row r="208" s="34" customFormat="1" hidden="1" customHeight="1" spans="1:23">
      <c r="A208" s="25">
        <v>10</v>
      </c>
      <c r="B208" s="175" t="s">
        <v>1127</v>
      </c>
      <c r="C208" s="175" t="s">
        <v>153</v>
      </c>
      <c r="D208" s="175" t="s">
        <v>1128</v>
      </c>
      <c r="E208" s="25">
        <v>13698023687</v>
      </c>
      <c r="F208" s="175" t="s">
        <v>156</v>
      </c>
      <c r="G208" s="175" t="s">
        <v>8</v>
      </c>
      <c r="H208" s="25">
        <v>202102002</v>
      </c>
      <c r="I208" s="175" t="s">
        <v>157</v>
      </c>
      <c r="J208" s="175" t="s">
        <v>158</v>
      </c>
      <c r="K208" s="175" t="s">
        <v>270</v>
      </c>
      <c r="L208" s="175" t="s">
        <v>170</v>
      </c>
      <c r="M208" s="175" t="s">
        <v>548</v>
      </c>
      <c r="N208" s="175" t="s">
        <v>1130</v>
      </c>
      <c r="O208" s="175" t="s">
        <v>1131</v>
      </c>
      <c r="P208" s="26" t="str">
        <f>_xlfn.DISPIMG("ID_2ABFF7AF1BF04D95953E32E5250DE953",1)</f>
        <v>=DISPIMG("ID_2ABFF7AF1BF04D95953E32E5250DE953",1)</v>
      </c>
      <c r="Q208" s="25" t="s">
        <v>1132</v>
      </c>
      <c r="R208" s="25">
        <v>118</v>
      </c>
      <c r="S208" s="40" t="s">
        <v>4490</v>
      </c>
      <c r="T208" s="18" t="s">
        <v>46</v>
      </c>
      <c r="U208" s="25">
        <v>29</v>
      </c>
      <c r="V208" s="25">
        <v>0</v>
      </c>
      <c r="W208" s="25"/>
    </row>
    <row r="209" s="34" customFormat="1" hidden="1" customHeight="1" spans="1:23">
      <c r="A209" s="25">
        <v>22</v>
      </c>
      <c r="B209" s="175" t="s">
        <v>3948</v>
      </c>
      <c r="C209" s="175" t="s">
        <v>165</v>
      </c>
      <c r="D209" s="175" t="s">
        <v>3949</v>
      </c>
      <c r="E209" s="25">
        <v>13803563575</v>
      </c>
      <c r="F209" s="175" t="s">
        <v>156</v>
      </c>
      <c r="G209" s="175" t="s">
        <v>8</v>
      </c>
      <c r="H209" s="25">
        <v>202102002</v>
      </c>
      <c r="I209" s="175" t="s">
        <v>279</v>
      </c>
      <c r="J209" s="175" t="s">
        <v>158</v>
      </c>
      <c r="K209" s="175" t="s">
        <v>497</v>
      </c>
      <c r="L209" s="175" t="s">
        <v>170</v>
      </c>
      <c r="M209" s="175" t="s">
        <v>180</v>
      </c>
      <c r="N209" s="175" t="s">
        <v>3230</v>
      </c>
      <c r="O209" s="175" t="s">
        <v>3951</v>
      </c>
      <c r="P209" s="26" t="str">
        <f>_xlfn.DISPIMG("ID_997BB006A29449FB8D35751C6152A872",1)</f>
        <v>=DISPIMG("ID_997BB006A29449FB8D35751C6152A872",1)</v>
      </c>
      <c r="Q209" s="25" t="s">
        <v>3952</v>
      </c>
      <c r="R209" s="25">
        <v>504</v>
      </c>
      <c r="S209" s="40" t="s">
        <v>4535</v>
      </c>
      <c r="T209" s="18" t="s">
        <v>48</v>
      </c>
      <c r="U209" s="25">
        <v>1</v>
      </c>
      <c r="V209" s="25">
        <v>0</v>
      </c>
      <c r="W209" s="25"/>
    </row>
    <row r="210" s="34" customFormat="1" hidden="1" customHeight="1" spans="1:23">
      <c r="A210" s="25">
        <v>17</v>
      </c>
      <c r="B210" s="175" t="s">
        <v>3811</v>
      </c>
      <c r="C210" s="175" t="s">
        <v>165</v>
      </c>
      <c r="D210" s="175" t="s">
        <v>3812</v>
      </c>
      <c r="E210" s="25">
        <v>18970830560</v>
      </c>
      <c r="F210" s="175" t="s">
        <v>156</v>
      </c>
      <c r="G210" s="175" t="s">
        <v>8</v>
      </c>
      <c r="H210" s="25">
        <v>202102002</v>
      </c>
      <c r="I210" s="175" t="s">
        <v>157</v>
      </c>
      <c r="J210" s="175" t="s">
        <v>2483</v>
      </c>
      <c r="K210" s="175" t="s">
        <v>1832</v>
      </c>
      <c r="L210" s="175" t="s">
        <v>160</v>
      </c>
      <c r="M210" s="175" t="s">
        <v>349</v>
      </c>
      <c r="N210" s="175" t="s">
        <v>8</v>
      </c>
      <c r="O210" s="25">
        <v>0</v>
      </c>
      <c r="P210" s="26" t="str">
        <f>_xlfn.DISPIMG("ID_E15E0A7D91AC4C3983241BCD063880D6",1)</f>
        <v>=DISPIMG("ID_E15E0A7D91AC4C3983241BCD063880D6",1)</v>
      </c>
      <c r="Q210" s="25" t="s">
        <v>3814</v>
      </c>
      <c r="R210" s="25">
        <v>486</v>
      </c>
      <c r="S210" s="40" t="s">
        <v>4529</v>
      </c>
      <c r="T210" s="18" t="s">
        <v>48</v>
      </c>
      <c r="U210" s="25">
        <v>2</v>
      </c>
      <c r="V210" s="25">
        <v>0</v>
      </c>
      <c r="W210" s="25"/>
    </row>
    <row r="211" s="34" customFormat="1" hidden="1" customHeight="1" spans="1:23">
      <c r="A211" s="25">
        <v>13</v>
      </c>
      <c r="B211" s="175" t="s">
        <v>3594</v>
      </c>
      <c r="C211" s="175" t="s">
        <v>165</v>
      </c>
      <c r="D211" s="175" t="s">
        <v>3595</v>
      </c>
      <c r="E211" s="25">
        <v>13635983416</v>
      </c>
      <c r="F211" s="175" t="s">
        <v>156</v>
      </c>
      <c r="G211" s="175" t="s">
        <v>8</v>
      </c>
      <c r="H211" s="25">
        <v>202102002</v>
      </c>
      <c r="I211" s="175" t="s">
        <v>279</v>
      </c>
      <c r="J211" s="175" t="s">
        <v>3597</v>
      </c>
      <c r="K211" s="175" t="s">
        <v>497</v>
      </c>
      <c r="L211" s="175" t="s">
        <v>170</v>
      </c>
      <c r="M211" s="175" t="s">
        <v>189</v>
      </c>
      <c r="N211" s="175" t="s">
        <v>989</v>
      </c>
      <c r="O211" s="175" t="s">
        <v>3598</v>
      </c>
      <c r="P211" s="26" t="str">
        <f>_xlfn.DISPIMG("ID_DB80027A676342B6B8178A0E756378C3",1)</f>
        <v>=DISPIMG("ID_DB80027A676342B6B8178A0E756378C3",1)</v>
      </c>
      <c r="Q211" s="25" t="s">
        <v>3599</v>
      </c>
      <c r="R211" s="25">
        <v>457</v>
      </c>
      <c r="S211" s="40" t="s">
        <v>4524</v>
      </c>
      <c r="T211" s="18" t="s">
        <v>48</v>
      </c>
      <c r="U211" s="25">
        <v>3</v>
      </c>
      <c r="V211" s="25">
        <v>0</v>
      </c>
      <c r="W211" s="25"/>
    </row>
    <row r="212" s="34" customFormat="1" hidden="1" customHeight="1" spans="1:23">
      <c r="A212" s="25">
        <v>10</v>
      </c>
      <c r="B212" s="175" t="s">
        <v>3083</v>
      </c>
      <c r="C212" s="175" t="s">
        <v>165</v>
      </c>
      <c r="D212" s="175" t="s">
        <v>3084</v>
      </c>
      <c r="E212" s="25">
        <v>15070231776</v>
      </c>
      <c r="F212" s="175" t="s">
        <v>156</v>
      </c>
      <c r="G212" s="175" t="s">
        <v>8</v>
      </c>
      <c r="H212" s="25">
        <v>202102002</v>
      </c>
      <c r="I212" s="175" t="s">
        <v>157</v>
      </c>
      <c r="J212" s="175" t="s">
        <v>3086</v>
      </c>
      <c r="K212" s="175" t="s">
        <v>3087</v>
      </c>
      <c r="L212" s="175" t="s">
        <v>160</v>
      </c>
      <c r="M212" s="175" t="s">
        <v>455</v>
      </c>
      <c r="N212" s="175" t="s">
        <v>8</v>
      </c>
      <c r="O212" s="25">
        <v>0</v>
      </c>
      <c r="P212" s="26" t="str">
        <f>_xlfn.DISPIMG("ID_FE0A8F210AE74D2ABEA83714575A775F",1)</f>
        <v>=DISPIMG("ID_FE0A8F210AE74D2ABEA83714575A775F",1)</v>
      </c>
      <c r="Q212" s="25" t="s">
        <v>3088</v>
      </c>
      <c r="R212" s="25">
        <v>381</v>
      </c>
      <c r="S212" s="40" t="s">
        <v>4520</v>
      </c>
      <c r="T212" s="18" t="s">
        <v>48</v>
      </c>
      <c r="U212" s="25">
        <v>9</v>
      </c>
      <c r="V212" s="25">
        <v>0</v>
      </c>
      <c r="W212" s="25"/>
    </row>
    <row r="213" s="34" customFormat="1" hidden="1" customHeight="1" spans="1:23">
      <c r="A213" s="25">
        <v>14</v>
      </c>
      <c r="B213" s="175" t="s">
        <v>1027</v>
      </c>
      <c r="C213" s="175" t="s">
        <v>165</v>
      </c>
      <c r="D213" s="175" t="s">
        <v>3692</v>
      </c>
      <c r="E213" s="25">
        <v>15779259710</v>
      </c>
      <c r="F213" s="175" t="s">
        <v>156</v>
      </c>
      <c r="G213" s="175" t="s">
        <v>8</v>
      </c>
      <c r="H213" s="25">
        <v>202102002</v>
      </c>
      <c r="I213" s="175" t="s">
        <v>279</v>
      </c>
      <c r="J213" s="175" t="s">
        <v>3694</v>
      </c>
      <c r="K213" s="175" t="s">
        <v>497</v>
      </c>
      <c r="L213" s="175" t="s">
        <v>170</v>
      </c>
      <c r="M213" s="175" t="s">
        <v>180</v>
      </c>
      <c r="N213" s="175" t="s">
        <v>8</v>
      </c>
      <c r="O213" s="175" t="s">
        <v>3695</v>
      </c>
      <c r="P213" s="26" t="str">
        <f>_xlfn.DISPIMG("ID_57DB6C2F5BCD45498E344599D2C7D1D8",1)</f>
        <v>=DISPIMG("ID_57DB6C2F5BCD45498E344599D2C7D1D8",1)</v>
      </c>
      <c r="Q213" s="25" t="s">
        <v>3696</v>
      </c>
      <c r="R213" s="25">
        <v>470</v>
      </c>
      <c r="S213" s="40" t="s">
        <v>4525</v>
      </c>
      <c r="T213" s="18" t="s">
        <v>48</v>
      </c>
      <c r="U213" s="25">
        <v>10</v>
      </c>
      <c r="V213" s="25">
        <v>0</v>
      </c>
      <c r="W213" s="25"/>
    </row>
    <row r="214" s="34" customFormat="1" hidden="1" customHeight="1" spans="1:23">
      <c r="A214" s="25">
        <v>19</v>
      </c>
      <c r="B214" s="175" t="s">
        <v>3865</v>
      </c>
      <c r="C214" s="175" t="s">
        <v>165</v>
      </c>
      <c r="D214" s="175" t="s">
        <v>3866</v>
      </c>
      <c r="E214" s="25">
        <v>18879267212</v>
      </c>
      <c r="F214" s="175" t="s">
        <v>156</v>
      </c>
      <c r="G214" s="175" t="s">
        <v>8</v>
      </c>
      <c r="H214" s="25">
        <v>202102002</v>
      </c>
      <c r="I214" s="175" t="s">
        <v>157</v>
      </c>
      <c r="J214" s="175" t="s">
        <v>827</v>
      </c>
      <c r="K214" s="175" t="s">
        <v>270</v>
      </c>
      <c r="L214" s="175" t="s">
        <v>170</v>
      </c>
      <c r="M214" s="175" t="s">
        <v>171</v>
      </c>
      <c r="N214" s="175" t="s">
        <v>3868</v>
      </c>
      <c r="O214" s="175" t="s">
        <v>3869</v>
      </c>
      <c r="P214" s="26" t="str">
        <f>_xlfn.DISPIMG("ID_60BA691C89BB46A3A629500DC48B1B82",1)</f>
        <v>=DISPIMG("ID_60BA691C89BB46A3A629500DC48B1B82",1)</v>
      </c>
      <c r="Q214" s="25" t="s">
        <v>3870</v>
      </c>
      <c r="R214" s="25">
        <v>493</v>
      </c>
      <c r="S214" s="40" t="s">
        <v>4532</v>
      </c>
      <c r="T214" s="18" t="s">
        <v>48</v>
      </c>
      <c r="U214" s="25">
        <v>14</v>
      </c>
      <c r="V214" s="25">
        <v>0</v>
      </c>
      <c r="W214" s="25"/>
    </row>
    <row r="215" s="34" customFormat="1" hidden="1" customHeight="1" spans="1:23">
      <c r="A215" s="25">
        <v>15</v>
      </c>
      <c r="B215" s="175" t="s">
        <v>3734</v>
      </c>
      <c r="C215" s="175" t="s">
        <v>165</v>
      </c>
      <c r="D215" s="175" t="s">
        <v>3735</v>
      </c>
      <c r="E215" s="25">
        <v>15070233072</v>
      </c>
      <c r="F215" s="175" t="s">
        <v>156</v>
      </c>
      <c r="G215" s="175" t="s">
        <v>8</v>
      </c>
      <c r="H215" s="25">
        <v>202102002</v>
      </c>
      <c r="I215" s="175" t="s">
        <v>157</v>
      </c>
      <c r="J215" s="175" t="s">
        <v>3737</v>
      </c>
      <c r="K215" s="175" t="s">
        <v>3738</v>
      </c>
      <c r="L215" s="175" t="s">
        <v>160</v>
      </c>
      <c r="M215" s="175" t="s">
        <v>171</v>
      </c>
      <c r="N215" s="175" t="s">
        <v>8</v>
      </c>
      <c r="O215" s="175" t="s">
        <v>3739</v>
      </c>
      <c r="P215" s="26" t="str">
        <f>_xlfn.DISPIMG("ID_B7F470084B4940CBBF67BF60A043E6F0",1)</f>
        <v>=DISPIMG("ID_B7F470084B4940CBBF67BF60A043E6F0",1)</v>
      </c>
      <c r="Q215" s="25" t="s">
        <v>3740</v>
      </c>
      <c r="R215" s="25">
        <v>476</v>
      </c>
      <c r="S215" s="40" t="s">
        <v>4527</v>
      </c>
      <c r="T215" s="18" t="s">
        <v>48</v>
      </c>
      <c r="U215" s="25">
        <v>15</v>
      </c>
      <c r="V215" s="25">
        <v>0</v>
      </c>
      <c r="W215" s="25"/>
    </row>
    <row r="216" s="34" customFormat="1" hidden="1" customHeight="1" spans="1:23">
      <c r="A216" s="25">
        <v>11</v>
      </c>
      <c r="B216" s="175" t="s">
        <v>3226</v>
      </c>
      <c r="C216" s="175" t="s">
        <v>165</v>
      </c>
      <c r="D216" s="175" t="s">
        <v>3227</v>
      </c>
      <c r="E216" s="25">
        <v>18279226554</v>
      </c>
      <c r="F216" s="175" t="s">
        <v>156</v>
      </c>
      <c r="G216" s="175" t="s">
        <v>8</v>
      </c>
      <c r="H216" s="25">
        <v>202102002</v>
      </c>
      <c r="I216" s="175" t="s">
        <v>157</v>
      </c>
      <c r="J216" s="175" t="s">
        <v>3229</v>
      </c>
      <c r="K216" s="175" t="s">
        <v>1832</v>
      </c>
      <c r="L216" s="175" t="s">
        <v>160</v>
      </c>
      <c r="M216" s="175" t="s">
        <v>235</v>
      </c>
      <c r="N216" s="175" t="s">
        <v>3230</v>
      </c>
      <c r="O216" s="25">
        <v>0</v>
      </c>
      <c r="P216" s="26" t="str">
        <f>_xlfn.DISPIMG("ID_E38CE29681DB4326A5DB290E49AD4AFC",1)</f>
        <v>=DISPIMG("ID_E38CE29681DB4326A5DB290E49AD4AFC",1)</v>
      </c>
      <c r="Q216" s="25" t="s">
        <v>3231</v>
      </c>
      <c r="R216" s="25">
        <v>402</v>
      </c>
      <c r="S216" s="40" t="s">
        <v>4522</v>
      </c>
      <c r="T216" s="18" t="s">
        <v>48</v>
      </c>
      <c r="U216" s="25">
        <v>16</v>
      </c>
      <c r="V216" s="25">
        <v>0</v>
      </c>
      <c r="W216" s="25"/>
    </row>
    <row r="217" s="34" customFormat="1" hidden="1" customHeight="1" spans="1:23">
      <c r="A217" s="25">
        <v>12</v>
      </c>
      <c r="B217" s="175" t="s">
        <v>3416</v>
      </c>
      <c r="C217" s="175" t="s">
        <v>165</v>
      </c>
      <c r="D217" s="175" t="s">
        <v>3417</v>
      </c>
      <c r="E217" s="25">
        <v>15179885806</v>
      </c>
      <c r="F217" s="175" t="s">
        <v>156</v>
      </c>
      <c r="G217" s="175" t="s">
        <v>8</v>
      </c>
      <c r="H217" s="25">
        <v>202102002</v>
      </c>
      <c r="I217" s="175" t="s">
        <v>157</v>
      </c>
      <c r="J217" s="175" t="s">
        <v>242</v>
      </c>
      <c r="K217" s="175" t="s">
        <v>3087</v>
      </c>
      <c r="L217" s="175" t="s">
        <v>160</v>
      </c>
      <c r="M217" s="175" t="s">
        <v>180</v>
      </c>
      <c r="N217" s="175" t="s">
        <v>3418</v>
      </c>
      <c r="O217" s="175" t="s">
        <v>3419</v>
      </c>
      <c r="P217" s="26" t="str">
        <f>_xlfn.DISPIMG("ID_7663A71771F44500AC5AF2DBC8366CB5",1)</f>
        <v>=DISPIMG("ID_7663A71771F44500AC5AF2DBC8366CB5",1)</v>
      </c>
      <c r="Q217" s="25" t="s">
        <v>3420</v>
      </c>
      <c r="R217" s="25">
        <v>431</v>
      </c>
      <c r="S217" s="40" t="s">
        <v>4523</v>
      </c>
      <c r="T217" s="18" t="s">
        <v>48</v>
      </c>
      <c r="U217" s="25">
        <v>21</v>
      </c>
      <c r="V217" s="25">
        <v>0</v>
      </c>
      <c r="W217" s="25"/>
    </row>
    <row r="218" s="34" customFormat="1" hidden="1" customHeight="1" spans="1:23">
      <c r="A218" s="25">
        <v>20</v>
      </c>
      <c r="B218" s="175" t="s">
        <v>3904</v>
      </c>
      <c r="C218" s="175" t="s">
        <v>153</v>
      </c>
      <c r="D218" s="175" t="s">
        <v>3905</v>
      </c>
      <c r="E218" s="25">
        <v>15007027769</v>
      </c>
      <c r="F218" s="175" t="s">
        <v>156</v>
      </c>
      <c r="G218" s="175" t="s">
        <v>8</v>
      </c>
      <c r="H218" s="25">
        <v>202102002</v>
      </c>
      <c r="I218" s="175" t="s">
        <v>157</v>
      </c>
      <c r="J218" s="175" t="s">
        <v>158</v>
      </c>
      <c r="K218" s="175" t="s">
        <v>1481</v>
      </c>
      <c r="L218" s="175" t="s">
        <v>160</v>
      </c>
      <c r="M218" s="175" t="s">
        <v>216</v>
      </c>
      <c r="N218" s="175" t="s">
        <v>8</v>
      </c>
      <c r="O218" s="25">
        <v>0</v>
      </c>
      <c r="P218" s="26" t="str">
        <f>_xlfn.DISPIMG("ID_9F8C123E434549AABE94648B98FC4902",1)</f>
        <v>=DISPIMG("ID_9F8C123E434549AABE94648B98FC4902",1)</v>
      </c>
      <c r="Q218" s="25" t="s">
        <v>3907</v>
      </c>
      <c r="R218" s="25">
        <v>498</v>
      </c>
      <c r="S218" s="40" t="s">
        <v>4533</v>
      </c>
      <c r="T218" s="18" t="s">
        <v>48</v>
      </c>
      <c r="U218" s="25">
        <v>23</v>
      </c>
      <c r="V218" s="25">
        <v>0</v>
      </c>
      <c r="W218" s="25"/>
    </row>
    <row r="219" s="34" customFormat="1" hidden="1" customHeight="1" spans="1:23">
      <c r="A219" s="25">
        <v>25</v>
      </c>
      <c r="B219" s="175" t="s">
        <v>4191</v>
      </c>
      <c r="C219" s="175" t="s">
        <v>153</v>
      </c>
      <c r="D219" s="175" t="s">
        <v>4192</v>
      </c>
      <c r="E219" s="25">
        <v>15979988511</v>
      </c>
      <c r="F219" s="175" t="s">
        <v>156</v>
      </c>
      <c r="G219" s="175" t="s">
        <v>8</v>
      </c>
      <c r="H219" s="25">
        <v>202102002</v>
      </c>
      <c r="I219" s="175" t="s">
        <v>157</v>
      </c>
      <c r="J219" s="175" t="s">
        <v>789</v>
      </c>
      <c r="K219" s="175" t="s">
        <v>270</v>
      </c>
      <c r="L219" s="175" t="s">
        <v>160</v>
      </c>
      <c r="M219" s="175" t="s">
        <v>180</v>
      </c>
      <c r="N219" s="175" t="s">
        <v>8</v>
      </c>
      <c r="O219" s="175" t="s">
        <v>4194</v>
      </c>
      <c r="P219" s="26" t="str">
        <f>_xlfn.DISPIMG("ID_0D01E0F1A35045CF8FA47A6F17C3312E",1)</f>
        <v>=DISPIMG("ID_0D01E0F1A35045CF8FA47A6F17C3312E",1)</v>
      </c>
      <c r="Q219" s="25" t="s">
        <v>4195</v>
      </c>
      <c r="R219" s="25">
        <v>536</v>
      </c>
      <c r="S219" s="40" t="s">
        <v>4538</v>
      </c>
      <c r="T219" s="18" t="s">
        <v>48</v>
      </c>
      <c r="U219" s="25">
        <v>24</v>
      </c>
      <c r="V219" s="25">
        <v>0</v>
      </c>
      <c r="W219" s="25"/>
    </row>
    <row r="220" s="34" customFormat="1" hidden="1" customHeight="1" spans="1:23">
      <c r="A220" s="25">
        <v>26</v>
      </c>
      <c r="B220" s="175" t="s">
        <v>4230</v>
      </c>
      <c r="C220" s="175" t="s">
        <v>165</v>
      </c>
      <c r="D220" s="175" t="s">
        <v>4231</v>
      </c>
      <c r="E220" s="25">
        <v>15797679627</v>
      </c>
      <c r="F220" s="175" t="s">
        <v>156</v>
      </c>
      <c r="G220" s="175" t="s">
        <v>8</v>
      </c>
      <c r="H220" s="25">
        <v>202102002</v>
      </c>
      <c r="I220" s="175" t="s">
        <v>157</v>
      </c>
      <c r="J220" s="175" t="s">
        <v>876</v>
      </c>
      <c r="K220" s="175" t="s">
        <v>1204</v>
      </c>
      <c r="L220" s="175" t="s">
        <v>160</v>
      </c>
      <c r="M220" s="175" t="s">
        <v>171</v>
      </c>
      <c r="N220" s="175" t="s">
        <v>4233</v>
      </c>
      <c r="O220" s="25">
        <v>0</v>
      </c>
      <c r="P220" s="26" t="str">
        <f>_xlfn.DISPIMG("ID_866D1667729041288352BAC0C5E9F611",1)</f>
        <v>=DISPIMG("ID_866D1667729041288352BAC0C5E9F611",1)</v>
      </c>
      <c r="Q220" s="25" t="s">
        <v>4234</v>
      </c>
      <c r="R220" s="25">
        <v>541</v>
      </c>
      <c r="S220" s="40" t="s">
        <v>4531</v>
      </c>
      <c r="T220" s="18" t="s">
        <v>48</v>
      </c>
      <c r="U220" s="25">
        <v>25</v>
      </c>
      <c r="V220" s="25">
        <v>0</v>
      </c>
      <c r="W220" s="25"/>
    </row>
    <row r="221" s="61" customFormat="1" hidden="1" customHeight="1" spans="1:23">
      <c r="A221" s="66">
        <v>5</v>
      </c>
      <c r="B221" s="182" t="s">
        <v>2180</v>
      </c>
      <c r="C221" s="182" t="s">
        <v>153</v>
      </c>
      <c r="D221" s="182" t="s">
        <v>2181</v>
      </c>
      <c r="E221" s="66">
        <v>18779219080</v>
      </c>
      <c r="F221" s="182" t="s">
        <v>506</v>
      </c>
      <c r="G221" s="182" t="s">
        <v>8</v>
      </c>
      <c r="H221" s="66">
        <v>202102015</v>
      </c>
      <c r="I221" s="182" t="s">
        <v>279</v>
      </c>
      <c r="J221" s="182" t="s">
        <v>158</v>
      </c>
      <c r="K221" s="182" t="s">
        <v>497</v>
      </c>
      <c r="L221" s="182" t="s">
        <v>170</v>
      </c>
      <c r="M221" s="182" t="s">
        <v>919</v>
      </c>
      <c r="N221" s="182" t="s">
        <v>2183</v>
      </c>
      <c r="O221" s="182" t="s">
        <v>2184</v>
      </c>
      <c r="P221" s="67" t="str">
        <f>_xlfn.DISPIMG("ID_59BF2512FDA845A780519BF3EE363C98",1)</f>
        <v>=DISPIMG("ID_59BF2512FDA845A780519BF3EE363C98",1)</v>
      </c>
      <c r="Q221" s="66" t="s">
        <v>2185</v>
      </c>
      <c r="R221" s="66">
        <v>358</v>
      </c>
      <c r="S221" s="68" t="s">
        <v>4515</v>
      </c>
      <c r="T221" s="69" t="s">
        <v>48</v>
      </c>
      <c r="U221" s="66">
        <v>5</v>
      </c>
      <c r="V221" s="66">
        <v>74</v>
      </c>
      <c r="W221" s="66">
        <v>1</v>
      </c>
    </row>
    <row r="222" s="34" customFormat="1" hidden="1" customHeight="1" spans="1:23">
      <c r="A222" s="25">
        <v>4</v>
      </c>
      <c r="B222" s="175" t="s">
        <v>779</v>
      </c>
      <c r="C222" s="175" t="s">
        <v>165</v>
      </c>
      <c r="D222" s="175" t="s">
        <v>780</v>
      </c>
      <c r="E222" s="25">
        <v>18379173946</v>
      </c>
      <c r="F222" s="175" t="s">
        <v>506</v>
      </c>
      <c r="G222" s="175" t="s">
        <v>8</v>
      </c>
      <c r="H222" s="25">
        <v>202102015</v>
      </c>
      <c r="I222" s="175" t="s">
        <v>279</v>
      </c>
      <c r="J222" s="175" t="s">
        <v>662</v>
      </c>
      <c r="K222" s="175" t="s">
        <v>497</v>
      </c>
      <c r="L222" s="175" t="s">
        <v>170</v>
      </c>
      <c r="M222" s="175" t="s">
        <v>171</v>
      </c>
      <c r="N222" s="175" t="s">
        <v>568</v>
      </c>
      <c r="O222" s="175" t="s">
        <v>782</v>
      </c>
      <c r="P222" s="26" t="str">
        <f>_xlfn.DISPIMG("ID_F2E1FDE086E6423DAF30A93C1D5DA4A4",1)</f>
        <v>=DISPIMG("ID_F2E1FDE086E6423DAF30A93C1D5DA4A4",1)</v>
      </c>
      <c r="Q222" s="25" t="s">
        <v>783</v>
      </c>
      <c r="R222" s="25">
        <v>75</v>
      </c>
      <c r="S222" s="40" t="s">
        <v>4484</v>
      </c>
      <c r="T222" s="18" t="s">
        <v>46</v>
      </c>
      <c r="U222" s="25">
        <v>19</v>
      </c>
      <c r="V222" s="25">
        <v>0</v>
      </c>
      <c r="W222" s="25"/>
    </row>
    <row r="223" s="61" customFormat="1" hidden="1" customHeight="1" spans="1:23">
      <c r="A223" s="66">
        <v>27</v>
      </c>
      <c r="B223" s="182" t="s">
        <v>2210</v>
      </c>
      <c r="C223" s="182" t="s">
        <v>165</v>
      </c>
      <c r="D223" s="182" t="s">
        <v>2211</v>
      </c>
      <c r="E223" s="66">
        <v>15770710161</v>
      </c>
      <c r="F223" s="182" t="s">
        <v>384</v>
      </c>
      <c r="G223" s="182" t="s">
        <v>27</v>
      </c>
      <c r="H223" s="66">
        <v>202101016</v>
      </c>
      <c r="I223" s="182" t="s">
        <v>157</v>
      </c>
      <c r="J223" s="182" t="s">
        <v>1413</v>
      </c>
      <c r="K223" s="182" t="s">
        <v>215</v>
      </c>
      <c r="L223" s="182" t="s">
        <v>170</v>
      </c>
      <c r="M223" s="182" t="s">
        <v>171</v>
      </c>
      <c r="N223" s="182" t="s">
        <v>2213</v>
      </c>
      <c r="O223" s="182" t="s">
        <v>2214</v>
      </c>
      <c r="P223" s="67" t="str">
        <f>_xlfn.DISPIMG("ID_0AC7D7DC948D4142BC7E39C07F0EB7F8",1)</f>
        <v>=DISPIMG("ID_0AC7D7DC948D4142BC7E39C07F0EB7F8",1)</v>
      </c>
      <c r="Q223" s="66" t="s">
        <v>2215</v>
      </c>
      <c r="R223" s="66">
        <v>260</v>
      </c>
      <c r="S223" s="68" t="s">
        <v>4540</v>
      </c>
      <c r="T223" s="69" t="s">
        <v>48</v>
      </c>
      <c r="U223" s="66">
        <v>28</v>
      </c>
      <c r="V223" s="66">
        <v>73</v>
      </c>
      <c r="W223" s="66">
        <v>1</v>
      </c>
    </row>
    <row r="224" s="34" customFormat="1" hidden="1" customHeight="1" spans="1:23">
      <c r="A224" s="25">
        <v>28</v>
      </c>
      <c r="B224" s="175" t="s">
        <v>3667</v>
      </c>
      <c r="C224" s="175" t="s">
        <v>153</v>
      </c>
      <c r="D224" s="175" t="s">
        <v>3668</v>
      </c>
      <c r="E224" s="25">
        <v>15604248160</v>
      </c>
      <c r="F224" s="175" t="s">
        <v>384</v>
      </c>
      <c r="G224" s="175" t="s">
        <v>27</v>
      </c>
      <c r="H224" s="25">
        <v>202101016</v>
      </c>
      <c r="I224" s="175" t="s">
        <v>705</v>
      </c>
      <c r="J224" s="175" t="s">
        <v>3670</v>
      </c>
      <c r="K224" s="175" t="s">
        <v>215</v>
      </c>
      <c r="L224" s="175" t="s">
        <v>160</v>
      </c>
      <c r="M224" s="175" t="s">
        <v>910</v>
      </c>
      <c r="N224" s="175" t="s">
        <v>3671</v>
      </c>
      <c r="O224" s="175" t="s">
        <v>3672</v>
      </c>
      <c r="P224" s="26" t="str">
        <f>_xlfn.DISPIMG("ID_FBBE15C9E10944F892C3BCC99A8EDA31",1)</f>
        <v>=DISPIMG("ID_FBBE15C9E10944F892C3BCC99A8EDA31",1)</v>
      </c>
      <c r="Q224" s="25" t="s">
        <v>3673</v>
      </c>
      <c r="R224" s="25">
        <v>467</v>
      </c>
      <c r="S224" s="40" t="s">
        <v>4541</v>
      </c>
      <c r="T224" s="18" t="s">
        <v>48</v>
      </c>
      <c r="U224" s="25">
        <v>27</v>
      </c>
      <c r="V224" s="25">
        <v>0</v>
      </c>
      <c r="W224" s="25"/>
    </row>
    <row r="225" s="62" customFormat="1" hidden="1" customHeight="1" spans="1:23">
      <c r="A225" s="14">
        <v>29</v>
      </c>
      <c r="B225" s="183" t="s">
        <v>425</v>
      </c>
      <c r="C225" s="183" t="s">
        <v>165</v>
      </c>
      <c r="D225" s="174" t="s">
        <v>426</v>
      </c>
      <c r="E225" s="14">
        <v>18720147865</v>
      </c>
      <c r="F225" s="183" t="s">
        <v>297</v>
      </c>
      <c r="G225" s="183" t="s">
        <v>29</v>
      </c>
      <c r="H225" s="73">
        <v>202101008</v>
      </c>
      <c r="I225" s="174" t="s">
        <v>157</v>
      </c>
      <c r="J225" s="174" t="s">
        <v>428</v>
      </c>
      <c r="K225" s="174" t="s">
        <v>429</v>
      </c>
      <c r="L225" s="174" t="s">
        <v>160</v>
      </c>
      <c r="M225" s="174" t="s">
        <v>235</v>
      </c>
      <c r="N225" s="174" t="s">
        <v>430</v>
      </c>
      <c r="O225" s="14">
        <v>0</v>
      </c>
      <c r="P225" s="74" t="str">
        <f>_xlfn.DISPIMG("ID_9C21E529A1D946A49AECBF1B4E991CC9",1)</f>
        <v>=DISPIMG("ID_9C21E529A1D946A49AECBF1B4E991CC9",1)</v>
      </c>
      <c r="Q225" s="14" t="s">
        <v>431</v>
      </c>
      <c r="R225" s="14">
        <v>32</v>
      </c>
      <c r="S225" s="75" t="s">
        <v>4542</v>
      </c>
      <c r="T225" s="76" t="s">
        <v>48</v>
      </c>
      <c r="U225" s="73">
        <v>29</v>
      </c>
      <c r="V225" s="73">
        <v>63</v>
      </c>
      <c r="W225" s="73">
        <v>1</v>
      </c>
    </row>
    <row r="226" s="61" customFormat="1" hidden="1" customHeight="1" spans="1:23">
      <c r="A226" s="66">
        <v>10</v>
      </c>
      <c r="B226" s="182" t="s">
        <v>2090</v>
      </c>
      <c r="C226" s="182" t="s">
        <v>153</v>
      </c>
      <c r="D226" s="182" t="s">
        <v>2091</v>
      </c>
      <c r="E226" s="66">
        <v>18079635877</v>
      </c>
      <c r="F226" s="182" t="s">
        <v>156</v>
      </c>
      <c r="G226" s="182" t="s">
        <v>13</v>
      </c>
      <c r="H226" s="66">
        <v>202102003</v>
      </c>
      <c r="I226" s="182" t="s">
        <v>157</v>
      </c>
      <c r="J226" s="182" t="s">
        <v>507</v>
      </c>
      <c r="K226" s="182" t="s">
        <v>2093</v>
      </c>
      <c r="L226" s="182" t="s">
        <v>160</v>
      </c>
      <c r="M226" s="182" t="s">
        <v>281</v>
      </c>
      <c r="N226" s="182" t="s">
        <v>25</v>
      </c>
      <c r="O226" s="182" t="s">
        <v>2094</v>
      </c>
      <c r="P226" s="67" t="str">
        <f>_xlfn.DISPIMG("ID_C4F6E9DAFE344DCCAABCAAE0A2F04564",1)</f>
        <v>=DISPIMG("ID_C4F6E9DAFE344DCCAABCAAE0A2F04564",1)</v>
      </c>
      <c r="Q226" s="66" t="s">
        <v>2095</v>
      </c>
      <c r="R226" s="66">
        <v>244</v>
      </c>
      <c r="S226" s="68" t="s">
        <v>4579</v>
      </c>
      <c r="T226" s="69" t="s">
        <v>54</v>
      </c>
      <c r="U226" s="66">
        <v>29</v>
      </c>
      <c r="V226" s="66">
        <v>93.5</v>
      </c>
      <c r="W226" s="66">
        <v>1</v>
      </c>
    </row>
    <row r="227" s="61" customFormat="1" hidden="1" customHeight="1" spans="1:23">
      <c r="A227" s="66">
        <v>10</v>
      </c>
      <c r="B227" s="182" t="s">
        <v>3008</v>
      </c>
      <c r="C227" s="182" t="s">
        <v>165</v>
      </c>
      <c r="D227" s="182" t="s">
        <v>3009</v>
      </c>
      <c r="E227" s="66">
        <v>15180626109</v>
      </c>
      <c r="F227" s="182" t="s">
        <v>156</v>
      </c>
      <c r="G227" s="182" t="s">
        <v>13</v>
      </c>
      <c r="H227" s="66">
        <v>202102003</v>
      </c>
      <c r="I227" s="182" t="s">
        <v>157</v>
      </c>
      <c r="J227" s="182" t="s">
        <v>197</v>
      </c>
      <c r="K227" s="182" t="s">
        <v>179</v>
      </c>
      <c r="L227" s="182" t="s">
        <v>160</v>
      </c>
      <c r="M227" s="182" t="s">
        <v>261</v>
      </c>
      <c r="N227" s="182" t="s">
        <v>3011</v>
      </c>
      <c r="O227" s="66">
        <v>0</v>
      </c>
      <c r="P227" s="67" t="str">
        <f>_xlfn.DISPIMG("ID_81E01CE746794A43971E9E864E9A0098",1)</f>
        <v>=DISPIMG("ID_81E01CE746794A43971E9E864E9A0098",1)</v>
      </c>
      <c r="Q227" s="66" t="s">
        <v>3012</v>
      </c>
      <c r="R227" s="66">
        <v>371</v>
      </c>
      <c r="S227" s="68" t="s">
        <v>4609</v>
      </c>
      <c r="T227" s="69" t="s">
        <v>55</v>
      </c>
      <c r="U227" s="66">
        <v>29</v>
      </c>
      <c r="V227" s="66">
        <v>93.5</v>
      </c>
      <c r="W227" s="66">
        <v>1</v>
      </c>
    </row>
    <row r="228" s="61" customFormat="1" hidden="1" customHeight="1" spans="1:23">
      <c r="A228" s="66">
        <v>1</v>
      </c>
      <c r="B228" s="182" t="s">
        <v>2753</v>
      </c>
      <c r="C228" s="182" t="s">
        <v>165</v>
      </c>
      <c r="D228" s="182" t="s">
        <v>2754</v>
      </c>
      <c r="E228" s="66">
        <v>18770057517</v>
      </c>
      <c r="F228" s="182" t="s">
        <v>156</v>
      </c>
      <c r="G228" s="182" t="s">
        <v>13</v>
      </c>
      <c r="H228" s="66">
        <v>202102003</v>
      </c>
      <c r="I228" s="182" t="s">
        <v>157</v>
      </c>
      <c r="J228" s="182" t="s">
        <v>646</v>
      </c>
      <c r="K228" s="182" t="s">
        <v>179</v>
      </c>
      <c r="L228" s="182" t="s">
        <v>160</v>
      </c>
      <c r="M228" s="182" t="s">
        <v>548</v>
      </c>
      <c r="N228" s="182" t="s">
        <v>2284</v>
      </c>
      <c r="O228" s="182" t="s">
        <v>2756</v>
      </c>
      <c r="P228" s="67" t="str">
        <f>_xlfn.DISPIMG("ID_2E6C674524F0427FBB4E2C3FFA53D3DF",1)</f>
        <v>=DISPIMG("ID_2E6C674524F0427FBB4E2C3FFA53D3DF",1)</v>
      </c>
      <c r="Q228" s="66" t="s">
        <v>2757</v>
      </c>
      <c r="R228" s="66">
        <v>333</v>
      </c>
      <c r="S228" s="68" t="s">
        <v>4600</v>
      </c>
      <c r="T228" s="69" t="s">
        <v>55</v>
      </c>
      <c r="U228" s="66">
        <v>6</v>
      </c>
      <c r="V228" s="66">
        <v>93</v>
      </c>
      <c r="W228" s="66">
        <v>3</v>
      </c>
    </row>
    <row r="229" s="61" customFormat="1" hidden="1" customHeight="1" spans="1:23">
      <c r="A229" s="66">
        <v>1</v>
      </c>
      <c r="B229" s="182" t="s">
        <v>194</v>
      </c>
      <c r="C229" s="182" t="s">
        <v>165</v>
      </c>
      <c r="D229" s="182" t="s">
        <v>195</v>
      </c>
      <c r="E229" s="66">
        <v>15079132548</v>
      </c>
      <c r="F229" s="182" t="s">
        <v>156</v>
      </c>
      <c r="G229" s="182" t="s">
        <v>13</v>
      </c>
      <c r="H229" s="66">
        <v>202102003</v>
      </c>
      <c r="I229" s="182" t="s">
        <v>157</v>
      </c>
      <c r="J229" s="182" t="s">
        <v>197</v>
      </c>
      <c r="K229" s="182" t="s">
        <v>198</v>
      </c>
      <c r="L229" s="182" t="s">
        <v>160</v>
      </c>
      <c r="M229" s="182" t="s">
        <v>199</v>
      </c>
      <c r="N229" s="182" t="s">
        <v>13</v>
      </c>
      <c r="O229" s="66">
        <v>0</v>
      </c>
      <c r="P229" s="67" t="str">
        <f>_xlfn.DISPIMG("ID_07DCBF9A6CCC43E7BDA66377D7B2A516",1)</f>
        <v>=DISPIMG("ID_07DCBF9A6CCC43E7BDA66377D7B2A516",1)</v>
      </c>
      <c r="Q229" s="66" t="s">
        <v>200</v>
      </c>
      <c r="R229" s="66">
        <v>6</v>
      </c>
      <c r="S229" s="68" t="s">
        <v>4543</v>
      </c>
      <c r="T229" s="69" t="s">
        <v>52</v>
      </c>
      <c r="U229" s="66">
        <v>6</v>
      </c>
      <c r="V229" s="66">
        <v>92.5</v>
      </c>
      <c r="W229" s="66">
        <v>4</v>
      </c>
    </row>
    <row r="230" s="61" customFormat="1" hidden="1" customHeight="1" spans="1:23">
      <c r="A230" s="66">
        <v>5</v>
      </c>
      <c r="B230" s="182" t="s">
        <v>2812</v>
      </c>
      <c r="C230" s="182" t="s">
        <v>165</v>
      </c>
      <c r="D230" s="182" t="s">
        <v>2813</v>
      </c>
      <c r="E230" s="66">
        <v>17770890987</v>
      </c>
      <c r="F230" s="182" t="s">
        <v>156</v>
      </c>
      <c r="G230" s="182" t="s">
        <v>13</v>
      </c>
      <c r="H230" s="66">
        <v>202102003</v>
      </c>
      <c r="I230" s="182" t="s">
        <v>157</v>
      </c>
      <c r="J230" s="182" t="s">
        <v>385</v>
      </c>
      <c r="K230" s="182" t="s">
        <v>179</v>
      </c>
      <c r="L230" s="182" t="s">
        <v>170</v>
      </c>
      <c r="M230" s="182" t="s">
        <v>2047</v>
      </c>
      <c r="N230" s="182" t="s">
        <v>1692</v>
      </c>
      <c r="O230" s="182" t="s">
        <v>2815</v>
      </c>
      <c r="P230" s="67" t="str">
        <f>_xlfn.DISPIMG("ID_5757AB93890A4F58A4EA7B46206D2416",1)</f>
        <v>=DISPIMG("ID_5757AB93890A4F58A4EA7B46206D2416",1)</v>
      </c>
      <c r="Q230" s="66" t="s">
        <v>2816</v>
      </c>
      <c r="R230" s="66">
        <v>341</v>
      </c>
      <c r="S230" s="68" t="s">
        <v>4604</v>
      </c>
      <c r="T230" s="69" t="s">
        <v>55</v>
      </c>
      <c r="U230" s="66">
        <v>30</v>
      </c>
      <c r="V230" s="66">
        <v>92.5</v>
      </c>
      <c r="W230" s="66">
        <v>4</v>
      </c>
    </row>
    <row r="231" s="61" customFormat="1" hidden="1" customHeight="1" spans="1:23">
      <c r="A231" s="66">
        <v>11</v>
      </c>
      <c r="B231" s="182" t="s">
        <v>3151</v>
      </c>
      <c r="C231" s="182" t="s">
        <v>165</v>
      </c>
      <c r="D231" s="182" t="s">
        <v>3152</v>
      </c>
      <c r="E231" s="66">
        <v>15807046137</v>
      </c>
      <c r="F231" s="182" t="s">
        <v>156</v>
      </c>
      <c r="G231" s="182" t="s">
        <v>13</v>
      </c>
      <c r="H231" s="66">
        <v>202102003</v>
      </c>
      <c r="I231" s="182" t="s">
        <v>157</v>
      </c>
      <c r="J231" s="182" t="s">
        <v>611</v>
      </c>
      <c r="K231" s="182" t="s">
        <v>179</v>
      </c>
      <c r="L231" s="182" t="s">
        <v>160</v>
      </c>
      <c r="M231" s="182" t="s">
        <v>261</v>
      </c>
      <c r="N231" s="182" t="s">
        <v>13</v>
      </c>
      <c r="O231" s="182" t="s">
        <v>3154</v>
      </c>
      <c r="P231" s="67" t="str">
        <f>_xlfn.DISPIMG("ID_677BA8871B344518950747C60527229E",1)</f>
        <v>=DISPIMG("ID_677BA8871B344518950747C60527229E",1)</v>
      </c>
      <c r="Q231" s="66" t="s">
        <v>3155</v>
      </c>
      <c r="R231" s="66">
        <v>390</v>
      </c>
      <c r="S231" s="68" t="s">
        <v>4610</v>
      </c>
      <c r="T231" s="69" t="s">
        <v>55</v>
      </c>
      <c r="U231" s="66">
        <v>4</v>
      </c>
      <c r="V231" s="66">
        <v>91.5</v>
      </c>
      <c r="W231" s="66">
        <v>6</v>
      </c>
    </row>
    <row r="232" s="61" customFormat="1" hidden="1" customHeight="1" spans="1:23">
      <c r="A232" s="66">
        <v>4</v>
      </c>
      <c r="B232" s="182" t="s">
        <v>1868</v>
      </c>
      <c r="C232" s="182" t="s">
        <v>165</v>
      </c>
      <c r="D232" s="182" t="s">
        <v>1869</v>
      </c>
      <c r="E232" s="66">
        <v>18270285866</v>
      </c>
      <c r="F232" s="182" t="s">
        <v>156</v>
      </c>
      <c r="G232" s="182" t="s">
        <v>13</v>
      </c>
      <c r="H232" s="66">
        <v>202102003</v>
      </c>
      <c r="I232" s="182" t="s">
        <v>157</v>
      </c>
      <c r="J232" s="182" t="s">
        <v>697</v>
      </c>
      <c r="K232" s="182" t="s">
        <v>179</v>
      </c>
      <c r="L232" s="182" t="s">
        <v>160</v>
      </c>
      <c r="M232" s="182" t="s">
        <v>161</v>
      </c>
      <c r="N232" s="182" t="s">
        <v>13</v>
      </c>
      <c r="O232" s="182" t="s">
        <v>1871</v>
      </c>
      <c r="P232" s="67" t="str">
        <f>_xlfn.DISPIMG("ID_8FA08A92AF314DECB56C8C1E101E9B2E",1)</f>
        <v>=DISPIMG("ID_8FA08A92AF314DECB56C8C1E101E9B2E",1)</v>
      </c>
      <c r="Q232" s="66" t="s">
        <v>1872</v>
      </c>
      <c r="R232" s="66">
        <v>214</v>
      </c>
      <c r="S232" s="68" t="s">
        <v>4573</v>
      </c>
      <c r="T232" s="69" t="s">
        <v>54</v>
      </c>
      <c r="U232" s="66">
        <v>19</v>
      </c>
      <c r="V232" s="66">
        <v>91</v>
      </c>
      <c r="W232" s="66">
        <v>7</v>
      </c>
    </row>
    <row r="233" s="61" customFormat="1" hidden="1" customHeight="1" spans="1:23">
      <c r="A233" s="66">
        <v>3</v>
      </c>
      <c r="B233" s="182" t="s">
        <v>2781</v>
      </c>
      <c r="C233" s="182" t="s">
        <v>165</v>
      </c>
      <c r="D233" s="182" t="s">
        <v>2782</v>
      </c>
      <c r="E233" s="66">
        <v>15720953943</v>
      </c>
      <c r="F233" s="182" t="s">
        <v>156</v>
      </c>
      <c r="G233" s="182" t="s">
        <v>13</v>
      </c>
      <c r="H233" s="66">
        <v>202102003</v>
      </c>
      <c r="I233" s="182" t="s">
        <v>279</v>
      </c>
      <c r="J233" s="182" t="s">
        <v>178</v>
      </c>
      <c r="K233" s="182" t="s">
        <v>223</v>
      </c>
      <c r="L233" s="182" t="s">
        <v>170</v>
      </c>
      <c r="M233" s="182" t="s">
        <v>281</v>
      </c>
      <c r="N233" s="182" t="s">
        <v>13</v>
      </c>
      <c r="O233" s="182" t="s">
        <v>2784</v>
      </c>
      <c r="P233" s="67" t="str">
        <f>_xlfn.DISPIMG("ID_88B18CBF153241AE8E07B8EDC59079D6",1)</f>
        <v>=DISPIMG("ID_88B18CBF153241AE8E07B8EDC59079D6",1)</v>
      </c>
      <c r="Q233" s="66" t="s">
        <v>2785</v>
      </c>
      <c r="R233" s="66">
        <v>337</v>
      </c>
      <c r="S233" s="68" t="s">
        <v>4602</v>
      </c>
      <c r="T233" s="69" t="s">
        <v>55</v>
      </c>
      <c r="U233" s="66">
        <v>18</v>
      </c>
      <c r="V233" s="66">
        <v>91</v>
      </c>
      <c r="W233" s="66">
        <v>7</v>
      </c>
    </row>
    <row r="234" s="61" customFormat="1" hidden="1" customHeight="1" spans="1:23">
      <c r="A234" s="66">
        <v>21</v>
      </c>
      <c r="B234" s="182" t="s">
        <v>1270</v>
      </c>
      <c r="C234" s="182" t="s">
        <v>153</v>
      </c>
      <c r="D234" s="182" t="s">
        <v>1271</v>
      </c>
      <c r="E234" s="66">
        <v>18879347903</v>
      </c>
      <c r="F234" s="182" t="s">
        <v>156</v>
      </c>
      <c r="G234" s="182" t="s">
        <v>13</v>
      </c>
      <c r="H234" s="66">
        <v>202102003</v>
      </c>
      <c r="I234" s="182" t="s">
        <v>279</v>
      </c>
      <c r="J234" s="182" t="s">
        <v>1273</v>
      </c>
      <c r="K234" s="182" t="s">
        <v>223</v>
      </c>
      <c r="L234" s="182" t="s">
        <v>170</v>
      </c>
      <c r="M234" s="182" t="s">
        <v>548</v>
      </c>
      <c r="N234" s="182" t="s">
        <v>13</v>
      </c>
      <c r="O234" s="182" t="s">
        <v>1274</v>
      </c>
      <c r="P234" s="67" t="str">
        <f>_xlfn.DISPIMG("ID_DF04DBFB481D40418B898CD7AB20784A",1)</f>
        <v>=DISPIMG("ID_DF04DBFB481D40418B898CD7AB20784A",1)</v>
      </c>
      <c r="Q234" s="66" t="s">
        <v>1275</v>
      </c>
      <c r="R234" s="66">
        <v>136</v>
      </c>
      <c r="S234" s="68" t="s">
        <v>4560</v>
      </c>
      <c r="T234" s="69" t="s">
        <v>52</v>
      </c>
      <c r="U234" s="66">
        <v>2</v>
      </c>
      <c r="V234" s="66">
        <v>90.5</v>
      </c>
      <c r="W234" s="66">
        <v>9</v>
      </c>
    </row>
    <row r="235" s="61" customFormat="1" hidden="1" customHeight="1" spans="1:23">
      <c r="A235" s="66">
        <v>20</v>
      </c>
      <c r="B235" s="182" t="s">
        <v>1210</v>
      </c>
      <c r="C235" s="182" t="s">
        <v>165</v>
      </c>
      <c r="D235" s="182" t="s">
        <v>1211</v>
      </c>
      <c r="E235" s="66">
        <v>18279901604</v>
      </c>
      <c r="F235" s="182" t="s">
        <v>156</v>
      </c>
      <c r="G235" s="182" t="s">
        <v>13</v>
      </c>
      <c r="H235" s="66">
        <v>202102003</v>
      </c>
      <c r="I235" s="182" t="s">
        <v>157</v>
      </c>
      <c r="J235" s="182" t="s">
        <v>1213</v>
      </c>
      <c r="K235" s="182" t="s">
        <v>1214</v>
      </c>
      <c r="L235" s="182" t="s">
        <v>160</v>
      </c>
      <c r="M235" s="182" t="s">
        <v>252</v>
      </c>
      <c r="N235" s="182" t="s">
        <v>13</v>
      </c>
      <c r="O235" s="66">
        <v>0</v>
      </c>
      <c r="P235" s="67" t="str">
        <f>_xlfn.DISPIMG("ID_FBB70D9010F74144B210C02BDB9CE6A1",1)</f>
        <v>=DISPIMG("ID_FBB70D9010F74144B210C02BDB9CE6A1",1)</v>
      </c>
      <c r="Q235" s="66" t="s">
        <v>1215</v>
      </c>
      <c r="R235" s="66">
        <v>128</v>
      </c>
      <c r="S235" s="68" t="s">
        <v>4559</v>
      </c>
      <c r="T235" s="69" t="s">
        <v>52</v>
      </c>
      <c r="U235" s="66">
        <v>27</v>
      </c>
      <c r="V235" s="66">
        <v>90.5</v>
      </c>
      <c r="W235" s="66">
        <v>9</v>
      </c>
    </row>
    <row r="236" s="34" customFormat="1" hidden="1" customHeight="1" spans="1:23">
      <c r="A236" s="25">
        <v>4</v>
      </c>
      <c r="B236" s="175" t="s">
        <v>258</v>
      </c>
      <c r="C236" s="175" t="s">
        <v>165</v>
      </c>
      <c r="D236" s="175" t="s">
        <v>259</v>
      </c>
      <c r="E236" s="25">
        <v>15079252433</v>
      </c>
      <c r="F236" s="175" t="s">
        <v>156</v>
      </c>
      <c r="G236" s="175" t="s">
        <v>13</v>
      </c>
      <c r="H236" s="25">
        <v>202102003</v>
      </c>
      <c r="I236" s="175" t="s">
        <v>157</v>
      </c>
      <c r="J236" s="175" t="s">
        <v>158</v>
      </c>
      <c r="K236" s="175" t="s">
        <v>179</v>
      </c>
      <c r="L236" s="175" t="s">
        <v>170</v>
      </c>
      <c r="M236" s="175" t="s">
        <v>261</v>
      </c>
      <c r="N236" s="175" t="s">
        <v>13</v>
      </c>
      <c r="O236" s="25">
        <v>0</v>
      </c>
      <c r="P236" s="26" t="str">
        <f>_xlfn.DISPIMG("ID_6612D67BD9E1456A9FAE3B7BC6ABC79B",1)</f>
        <v>=DISPIMG("ID_6612D67BD9E1456A9FAE3B7BC6ABC79B",1)</v>
      </c>
      <c r="Q236" s="25" t="s">
        <v>262</v>
      </c>
      <c r="R236" s="25">
        <v>13</v>
      </c>
      <c r="S236" s="40" t="s">
        <v>4546</v>
      </c>
      <c r="T236" s="18" t="s">
        <v>52</v>
      </c>
      <c r="U236" s="25">
        <v>19</v>
      </c>
      <c r="V236" s="25">
        <v>89.5</v>
      </c>
      <c r="W236" s="25">
        <v>11</v>
      </c>
    </row>
    <row r="237" s="34" customFormat="1" hidden="1" customHeight="1" spans="1:23">
      <c r="A237" s="25">
        <v>1</v>
      </c>
      <c r="B237" s="175" t="s">
        <v>1715</v>
      </c>
      <c r="C237" s="175" t="s">
        <v>165</v>
      </c>
      <c r="D237" s="175" t="s">
        <v>1716</v>
      </c>
      <c r="E237" s="25">
        <v>15070075457</v>
      </c>
      <c r="F237" s="175" t="s">
        <v>156</v>
      </c>
      <c r="G237" s="175" t="s">
        <v>13</v>
      </c>
      <c r="H237" s="25">
        <v>202102003</v>
      </c>
      <c r="I237" s="175" t="s">
        <v>157</v>
      </c>
      <c r="J237" s="175" t="s">
        <v>1718</v>
      </c>
      <c r="K237" s="175" t="s">
        <v>1195</v>
      </c>
      <c r="L237" s="175" t="s">
        <v>170</v>
      </c>
      <c r="M237" s="175" t="s">
        <v>281</v>
      </c>
      <c r="N237" s="175" t="s">
        <v>13</v>
      </c>
      <c r="O237" s="175" t="s">
        <v>1719</v>
      </c>
      <c r="P237" s="26" t="str">
        <f>_xlfn.DISPIMG("ID_33BA8978EFEE4AA59909527B43B2E1C1",1)</f>
        <v>=DISPIMG("ID_33BA8978EFEE4AA59909527B43B2E1C1",1)</v>
      </c>
      <c r="Q237" s="25" t="s">
        <v>1720</v>
      </c>
      <c r="R237" s="25">
        <v>194</v>
      </c>
      <c r="S237" s="40" t="s">
        <v>4570</v>
      </c>
      <c r="T237" s="18" t="s">
        <v>54</v>
      </c>
      <c r="U237" s="25">
        <v>6</v>
      </c>
      <c r="V237" s="25">
        <v>89.5</v>
      </c>
      <c r="W237" s="25">
        <v>11</v>
      </c>
    </row>
    <row r="238" s="34" customFormat="1" hidden="1" customHeight="1" spans="1:23">
      <c r="A238" s="25">
        <v>30</v>
      </c>
      <c r="B238" s="175" t="s">
        <v>2711</v>
      </c>
      <c r="C238" s="175" t="s">
        <v>165</v>
      </c>
      <c r="D238" s="175" t="s">
        <v>2712</v>
      </c>
      <c r="E238" s="25">
        <v>17722507024</v>
      </c>
      <c r="F238" s="175" t="s">
        <v>156</v>
      </c>
      <c r="G238" s="175" t="s">
        <v>13</v>
      </c>
      <c r="H238" s="25">
        <v>202102003</v>
      </c>
      <c r="I238" s="175" t="s">
        <v>157</v>
      </c>
      <c r="J238" s="175" t="s">
        <v>2714</v>
      </c>
      <c r="K238" s="175" t="s">
        <v>179</v>
      </c>
      <c r="L238" s="175" t="s">
        <v>160</v>
      </c>
      <c r="M238" s="175" t="s">
        <v>216</v>
      </c>
      <c r="N238" s="175" t="s">
        <v>13</v>
      </c>
      <c r="O238" s="25">
        <v>0</v>
      </c>
      <c r="P238" s="26" t="str">
        <f>_xlfn.DISPIMG("ID_8518D0C3018F4000B213F1115E41EEAA",1)</f>
        <v>=DISPIMG("ID_8518D0C3018F4000B213F1115E41EEAA",1)</v>
      </c>
      <c r="Q238" s="25" t="s">
        <v>2715</v>
      </c>
      <c r="R238" s="25">
        <v>327</v>
      </c>
      <c r="S238" s="40" t="s">
        <v>4599</v>
      </c>
      <c r="T238" s="18" t="s">
        <v>54</v>
      </c>
      <c r="U238" s="25">
        <v>25</v>
      </c>
      <c r="V238" s="25">
        <v>89.5</v>
      </c>
      <c r="W238" s="25">
        <v>11</v>
      </c>
    </row>
    <row r="239" s="34" customFormat="1" hidden="1" customHeight="1" spans="1:23">
      <c r="A239" s="25">
        <v>26</v>
      </c>
      <c r="B239" s="175" t="s">
        <v>1486</v>
      </c>
      <c r="C239" s="175" t="s">
        <v>165</v>
      </c>
      <c r="D239" s="175" t="s">
        <v>1487</v>
      </c>
      <c r="E239" s="25">
        <v>13979859802</v>
      </c>
      <c r="F239" s="175" t="s">
        <v>156</v>
      </c>
      <c r="G239" s="175" t="s">
        <v>13</v>
      </c>
      <c r="H239" s="25">
        <v>202102003</v>
      </c>
      <c r="I239" s="175" t="s">
        <v>157</v>
      </c>
      <c r="J239" s="175" t="s">
        <v>233</v>
      </c>
      <c r="K239" s="175" t="s">
        <v>1489</v>
      </c>
      <c r="L239" s="175" t="s">
        <v>170</v>
      </c>
      <c r="M239" s="175" t="s">
        <v>1490</v>
      </c>
      <c r="N239" s="175" t="s">
        <v>1491</v>
      </c>
      <c r="O239" s="175" t="s">
        <v>1492</v>
      </c>
      <c r="P239" s="26" t="str">
        <f>_xlfn.DISPIMG("ID_8C3008D7D3C74B79A4E1698AF4E9725F",1)</f>
        <v>=DISPIMG("ID_8C3008D7D3C74B79A4E1698AF4E9725F",1)</v>
      </c>
      <c r="Q239" s="25" t="s">
        <v>1493</v>
      </c>
      <c r="R239" s="25">
        <v>165</v>
      </c>
      <c r="S239" s="40" t="s">
        <v>4565</v>
      </c>
      <c r="T239" s="18" t="s">
        <v>52</v>
      </c>
      <c r="U239" s="25">
        <v>1</v>
      </c>
      <c r="V239" s="25">
        <v>89</v>
      </c>
      <c r="W239" s="25">
        <v>14</v>
      </c>
    </row>
    <row r="240" s="34" customFormat="1" hidden="1" customHeight="1" spans="1:23">
      <c r="A240" s="25">
        <v>6</v>
      </c>
      <c r="B240" s="175" t="s">
        <v>355</v>
      </c>
      <c r="C240" s="175" t="s">
        <v>165</v>
      </c>
      <c r="D240" s="175" t="s">
        <v>356</v>
      </c>
      <c r="E240" s="25">
        <v>18311315751</v>
      </c>
      <c r="F240" s="175" t="s">
        <v>156</v>
      </c>
      <c r="G240" s="175" t="s">
        <v>13</v>
      </c>
      <c r="H240" s="25">
        <v>202102003</v>
      </c>
      <c r="I240" s="175" t="s">
        <v>157</v>
      </c>
      <c r="J240" s="175" t="s">
        <v>358</v>
      </c>
      <c r="K240" s="175" t="s">
        <v>179</v>
      </c>
      <c r="L240" s="175" t="s">
        <v>160</v>
      </c>
      <c r="M240" s="175" t="s">
        <v>306</v>
      </c>
      <c r="N240" s="175" t="s">
        <v>359</v>
      </c>
      <c r="O240" s="175" t="s">
        <v>360</v>
      </c>
      <c r="P240" s="26" t="str">
        <f>_xlfn.DISPIMG("ID_FD9EEFBCD596495DACB8A95ACD5E222F",1)</f>
        <v>=DISPIMG("ID_FD9EEFBCD596495DACB8A95ACD5E222F",1)</v>
      </c>
      <c r="Q240" s="25" t="s">
        <v>361</v>
      </c>
      <c r="R240" s="25">
        <v>24</v>
      </c>
      <c r="S240" s="40" t="s">
        <v>4544</v>
      </c>
      <c r="T240" s="18" t="s">
        <v>52</v>
      </c>
      <c r="U240" s="25">
        <v>5</v>
      </c>
      <c r="V240" s="25">
        <v>89</v>
      </c>
      <c r="W240" s="25">
        <v>14</v>
      </c>
    </row>
    <row r="241" s="34" customFormat="1" hidden="1" customHeight="1" spans="1:23">
      <c r="A241" s="25">
        <v>10</v>
      </c>
      <c r="B241" s="175" t="s">
        <v>537</v>
      </c>
      <c r="C241" s="175" t="s">
        <v>165</v>
      </c>
      <c r="D241" s="175" t="s">
        <v>538</v>
      </c>
      <c r="E241" s="25">
        <v>18720218990</v>
      </c>
      <c r="F241" s="175" t="s">
        <v>156</v>
      </c>
      <c r="G241" s="175" t="s">
        <v>13</v>
      </c>
      <c r="H241" s="25">
        <v>202102003</v>
      </c>
      <c r="I241" s="175" t="s">
        <v>157</v>
      </c>
      <c r="J241" s="175" t="s">
        <v>540</v>
      </c>
      <c r="K241" s="175" t="s">
        <v>179</v>
      </c>
      <c r="L241" s="175" t="s">
        <v>160</v>
      </c>
      <c r="M241" s="175" t="s">
        <v>541</v>
      </c>
      <c r="N241" s="175" t="s">
        <v>25</v>
      </c>
      <c r="O241" s="25">
        <v>0</v>
      </c>
      <c r="P241" s="26" t="str">
        <f>_xlfn.DISPIMG("ID_9605826B48E04C21832E1CDFB6E0AF15",1)</f>
        <v>=DISPIMG("ID_9605826B48E04C21832E1CDFB6E0AF15",1)</v>
      </c>
      <c r="Q241" s="25" t="s">
        <v>542</v>
      </c>
      <c r="R241" s="25">
        <v>46</v>
      </c>
      <c r="S241" s="40" t="s">
        <v>4549</v>
      </c>
      <c r="T241" s="18" t="s">
        <v>52</v>
      </c>
      <c r="U241" s="25">
        <v>29</v>
      </c>
      <c r="V241" s="25">
        <v>89</v>
      </c>
      <c r="W241" s="25">
        <v>14</v>
      </c>
    </row>
    <row r="242" s="34" customFormat="1" hidden="1" customHeight="1" spans="1:23">
      <c r="A242" s="25">
        <v>2</v>
      </c>
      <c r="B242" s="175" t="s">
        <v>2760</v>
      </c>
      <c r="C242" s="175" t="s">
        <v>165</v>
      </c>
      <c r="D242" s="175" t="s">
        <v>2761</v>
      </c>
      <c r="E242" s="25">
        <v>18296291050</v>
      </c>
      <c r="F242" s="175" t="s">
        <v>156</v>
      </c>
      <c r="G242" s="175" t="s">
        <v>13</v>
      </c>
      <c r="H242" s="25">
        <v>202102003</v>
      </c>
      <c r="I242" s="175" t="s">
        <v>157</v>
      </c>
      <c r="J242" s="175" t="s">
        <v>2763</v>
      </c>
      <c r="K242" s="175" t="s">
        <v>179</v>
      </c>
      <c r="L242" s="175" t="s">
        <v>160</v>
      </c>
      <c r="M242" s="175" t="s">
        <v>261</v>
      </c>
      <c r="N242" s="175" t="s">
        <v>487</v>
      </c>
      <c r="O242" s="25">
        <v>0</v>
      </c>
      <c r="P242" s="26" t="str">
        <f>_xlfn.DISPIMG("ID_345E5ECE839B455186CF8C80E701C44C",1)</f>
        <v>=DISPIMG("ID_345E5ECE839B455186CF8C80E701C44C",1)</v>
      </c>
      <c r="Q242" s="25" t="s">
        <v>2764</v>
      </c>
      <c r="R242" s="25">
        <v>334</v>
      </c>
      <c r="S242" s="40" t="s">
        <v>4601</v>
      </c>
      <c r="T242" s="18" t="s">
        <v>55</v>
      </c>
      <c r="U242" s="25">
        <v>7</v>
      </c>
      <c r="V242" s="25">
        <v>88.5</v>
      </c>
      <c r="W242" s="25">
        <v>17</v>
      </c>
    </row>
    <row r="243" s="34" customFormat="1" hidden="1" customHeight="1" spans="1:23">
      <c r="A243" s="25">
        <v>18</v>
      </c>
      <c r="B243" s="175" t="s">
        <v>3458</v>
      </c>
      <c r="C243" s="175" t="s">
        <v>165</v>
      </c>
      <c r="D243" s="175" t="s">
        <v>3459</v>
      </c>
      <c r="E243" s="25">
        <v>18207577354</v>
      </c>
      <c r="F243" s="175" t="s">
        <v>156</v>
      </c>
      <c r="G243" s="175" t="s">
        <v>13</v>
      </c>
      <c r="H243" s="25">
        <v>202102003</v>
      </c>
      <c r="I243" s="175" t="s">
        <v>157</v>
      </c>
      <c r="J243" s="175" t="s">
        <v>385</v>
      </c>
      <c r="K243" s="175" t="s">
        <v>3461</v>
      </c>
      <c r="L243" s="175" t="s">
        <v>160</v>
      </c>
      <c r="M243" s="175" t="s">
        <v>368</v>
      </c>
      <c r="N243" s="175" t="s">
        <v>3011</v>
      </c>
      <c r="O243" s="175" t="s">
        <v>3462</v>
      </c>
      <c r="P243" s="26" t="str">
        <f>_xlfn.DISPIMG("ID_D2C4D691F93F4717949BB5BBCD3994DD",1)</f>
        <v>=DISPIMG("ID_D2C4D691F93F4717949BB5BBCD3994DD",1)</v>
      </c>
      <c r="Q243" s="25" t="s">
        <v>3463</v>
      </c>
      <c r="R243" s="25">
        <v>437</v>
      </c>
      <c r="S243" s="40" t="s">
        <v>4617</v>
      </c>
      <c r="T243" s="18" t="s">
        <v>55</v>
      </c>
      <c r="U243" s="25">
        <v>15</v>
      </c>
      <c r="V243" s="25">
        <v>88.5</v>
      </c>
      <c r="W243" s="25">
        <v>17</v>
      </c>
    </row>
    <row r="244" s="34" customFormat="1" hidden="1" customHeight="1" spans="1:23">
      <c r="A244" s="25">
        <v>23</v>
      </c>
      <c r="B244" s="175" t="s">
        <v>2532</v>
      </c>
      <c r="C244" s="175" t="s">
        <v>165</v>
      </c>
      <c r="D244" s="175" t="s">
        <v>2533</v>
      </c>
      <c r="E244" s="25">
        <v>13687926524</v>
      </c>
      <c r="F244" s="175" t="s">
        <v>156</v>
      </c>
      <c r="G244" s="175" t="s">
        <v>13</v>
      </c>
      <c r="H244" s="25">
        <v>202102003</v>
      </c>
      <c r="I244" s="175" t="s">
        <v>157</v>
      </c>
      <c r="J244" s="175" t="s">
        <v>2535</v>
      </c>
      <c r="K244" s="175" t="s">
        <v>179</v>
      </c>
      <c r="L244" s="175" t="s">
        <v>160</v>
      </c>
      <c r="M244" s="175" t="s">
        <v>161</v>
      </c>
      <c r="N244" s="175" t="s">
        <v>13</v>
      </c>
      <c r="O244" s="25">
        <v>0</v>
      </c>
      <c r="P244" s="26" t="str">
        <f>_xlfn.DISPIMG("ID_B2A378810E7443059EBD825CE991BFE9",1)</f>
        <v>=DISPIMG("ID_B2A378810E7443059EBD825CE991BFE9",1)</v>
      </c>
      <c r="Q244" s="25" t="s">
        <v>2536</v>
      </c>
      <c r="R244" s="25">
        <v>303</v>
      </c>
      <c r="S244" s="40" t="s">
        <v>4592</v>
      </c>
      <c r="T244" s="18" t="s">
        <v>54</v>
      </c>
      <c r="U244" s="25">
        <v>14</v>
      </c>
      <c r="V244" s="25">
        <v>88</v>
      </c>
      <c r="W244" s="25">
        <v>19</v>
      </c>
    </row>
    <row r="245" s="34" customFormat="1" hidden="1" customHeight="1" spans="1:23">
      <c r="A245" s="25">
        <v>22</v>
      </c>
      <c r="B245" s="175" t="s">
        <v>1311</v>
      </c>
      <c r="C245" s="175" t="s">
        <v>165</v>
      </c>
      <c r="D245" s="175" t="s">
        <v>1312</v>
      </c>
      <c r="E245" s="25">
        <v>13672224425</v>
      </c>
      <c r="F245" s="175" t="s">
        <v>156</v>
      </c>
      <c r="G245" s="175" t="s">
        <v>13</v>
      </c>
      <c r="H245" s="25">
        <v>202102003</v>
      </c>
      <c r="I245" s="175" t="s">
        <v>157</v>
      </c>
      <c r="J245" s="175" t="s">
        <v>697</v>
      </c>
      <c r="K245" s="175" t="s">
        <v>243</v>
      </c>
      <c r="L245" s="175" t="s">
        <v>160</v>
      </c>
      <c r="M245" s="175" t="s">
        <v>368</v>
      </c>
      <c r="N245" s="175" t="s">
        <v>13</v>
      </c>
      <c r="O245" s="175" t="s">
        <v>1314</v>
      </c>
      <c r="P245" s="26" t="str">
        <f>_xlfn.DISPIMG("ID_7D2290FD7009470AB45B6E90DB94AE0B",1)</f>
        <v>=DISPIMG("ID_7D2290FD7009470AB45B6E90DB94AE0B",1)</v>
      </c>
      <c r="Q245" s="25" t="s">
        <v>1315</v>
      </c>
      <c r="R245" s="25">
        <v>142</v>
      </c>
      <c r="S245" s="40" t="s">
        <v>4561</v>
      </c>
      <c r="T245" s="18" t="s">
        <v>52</v>
      </c>
      <c r="U245" s="25">
        <v>11</v>
      </c>
      <c r="V245" s="25">
        <v>87.5</v>
      </c>
      <c r="W245" s="25">
        <v>20</v>
      </c>
    </row>
    <row r="246" s="34" customFormat="1" hidden="1" customHeight="1" spans="1:23">
      <c r="A246" s="25">
        <v>18</v>
      </c>
      <c r="B246" s="175" t="s">
        <v>1184</v>
      </c>
      <c r="C246" s="175" t="s">
        <v>165</v>
      </c>
      <c r="D246" s="175" t="s">
        <v>1185</v>
      </c>
      <c r="E246" s="25">
        <v>18379170197</v>
      </c>
      <c r="F246" s="175" t="s">
        <v>156</v>
      </c>
      <c r="G246" s="175" t="s">
        <v>13</v>
      </c>
      <c r="H246" s="25">
        <v>202102003</v>
      </c>
      <c r="I246" s="175" t="s">
        <v>157</v>
      </c>
      <c r="J246" s="175" t="s">
        <v>197</v>
      </c>
      <c r="K246" s="175" t="s">
        <v>179</v>
      </c>
      <c r="L246" s="175" t="s">
        <v>160</v>
      </c>
      <c r="M246" s="175" t="s">
        <v>577</v>
      </c>
      <c r="N246" s="175" t="s">
        <v>1187</v>
      </c>
      <c r="O246" s="175" t="s">
        <v>1188</v>
      </c>
      <c r="P246" s="26" t="str">
        <f>_xlfn.DISPIMG("ID_CF1AB7C1F93745BDBA48E23E3B3C5BFF",1)</f>
        <v>=DISPIMG("ID_CF1AB7C1F93745BDBA48E23E3B3C5BFF",1)</v>
      </c>
      <c r="Q246" s="25" t="s">
        <v>1189</v>
      </c>
      <c r="R246" s="25">
        <v>125</v>
      </c>
      <c r="S246" s="40" t="s">
        <v>4557</v>
      </c>
      <c r="T246" s="18" t="s">
        <v>52</v>
      </c>
      <c r="U246" s="25">
        <v>15</v>
      </c>
      <c r="V246" s="25">
        <v>87.5</v>
      </c>
      <c r="W246" s="25">
        <v>20</v>
      </c>
    </row>
    <row r="247" s="34" customFormat="1" hidden="1" customHeight="1" spans="1:23">
      <c r="A247" s="25">
        <v>3</v>
      </c>
      <c r="B247" s="175" t="s">
        <v>1781</v>
      </c>
      <c r="C247" s="175" t="s">
        <v>165</v>
      </c>
      <c r="D247" s="175" t="s">
        <v>1782</v>
      </c>
      <c r="E247" s="25">
        <v>18379139309</v>
      </c>
      <c r="F247" s="175" t="s">
        <v>156</v>
      </c>
      <c r="G247" s="175" t="s">
        <v>13</v>
      </c>
      <c r="H247" s="25">
        <v>202102003</v>
      </c>
      <c r="I247" s="175" t="s">
        <v>157</v>
      </c>
      <c r="J247" s="175" t="s">
        <v>1784</v>
      </c>
      <c r="K247" s="175" t="s">
        <v>243</v>
      </c>
      <c r="L247" s="175" t="s">
        <v>160</v>
      </c>
      <c r="M247" s="175" t="s">
        <v>516</v>
      </c>
      <c r="N247" s="175" t="s">
        <v>25</v>
      </c>
      <c r="O247" s="175" t="s">
        <v>1785</v>
      </c>
      <c r="P247" s="26" t="str">
        <f>_xlfn.DISPIMG("ID_FAA9DF7D97144F66A8EC0127C6ABD49F",1)</f>
        <v>=DISPIMG("ID_FAA9DF7D97144F66A8EC0127C6ABD49F",1)</v>
      </c>
      <c r="Q247" s="25" t="s">
        <v>1786</v>
      </c>
      <c r="R247" s="25">
        <v>203</v>
      </c>
      <c r="S247" s="40" t="s">
        <v>4572</v>
      </c>
      <c r="T247" s="18" t="s">
        <v>54</v>
      </c>
      <c r="U247" s="25">
        <v>18</v>
      </c>
      <c r="V247" s="25">
        <v>87</v>
      </c>
      <c r="W247" s="25">
        <v>22</v>
      </c>
    </row>
    <row r="248" s="34" customFormat="1" hidden="1" customHeight="1" spans="1:23">
      <c r="A248" s="25">
        <v>19</v>
      </c>
      <c r="B248" s="175" t="s">
        <v>2280</v>
      </c>
      <c r="C248" s="175" t="s">
        <v>153</v>
      </c>
      <c r="D248" s="175" t="s">
        <v>2281</v>
      </c>
      <c r="E248" s="25">
        <v>18679290186</v>
      </c>
      <c r="F248" s="175" t="s">
        <v>156</v>
      </c>
      <c r="G248" s="175" t="s">
        <v>13</v>
      </c>
      <c r="H248" s="25">
        <v>202102003</v>
      </c>
      <c r="I248" s="175" t="s">
        <v>279</v>
      </c>
      <c r="J248" s="175" t="s">
        <v>233</v>
      </c>
      <c r="K248" s="175" t="s">
        <v>223</v>
      </c>
      <c r="L248" s="175" t="s">
        <v>170</v>
      </c>
      <c r="M248" s="175" t="s">
        <v>2283</v>
      </c>
      <c r="N248" s="175" t="s">
        <v>2284</v>
      </c>
      <c r="O248" s="175" t="s">
        <v>2285</v>
      </c>
      <c r="P248" s="26" t="str">
        <f>_xlfn.DISPIMG("ID_89FA20207CD0456DA5278484203F3141",1)</f>
        <v>=DISPIMG("ID_89FA20207CD0456DA5278484203F3141",1)</v>
      </c>
      <c r="Q248" s="25" t="s">
        <v>2286</v>
      </c>
      <c r="R248" s="25">
        <v>269</v>
      </c>
      <c r="S248" s="40" t="s">
        <v>4588</v>
      </c>
      <c r="T248" s="18" t="s">
        <v>54</v>
      </c>
      <c r="U248" s="25">
        <v>22</v>
      </c>
      <c r="V248" s="25">
        <v>87</v>
      </c>
      <c r="W248" s="25">
        <v>22</v>
      </c>
    </row>
    <row r="249" s="34" customFormat="1" hidden="1" customHeight="1" spans="1:23">
      <c r="A249" s="25">
        <v>4</v>
      </c>
      <c r="B249" s="175" t="s">
        <v>2788</v>
      </c>
      <c r="C249" s="175" t="s">
        <v>165</v>
      </c>
      <c r="D249" s="175" t="s">
        <v>2789</v>
      </c>
      <c r="E249" s="25">
        <v>15727651558</v>
      </c>
      <c r="F249" s="175" t="s">
        <v>156</v>
      </c>
      <c r="G249" s="175" t="s">
        <v>13</v>
      </c>
      <c r="H249" s="25">
        <v>202102003</v>
      </c>
      <c r="I249" s="175" t="s">
        <v>157</v>
      </c>
      <c r="J249" s="175" t="s">
        <v>827</v>
      </c>
      <c r="K249" s="175" t="s">
        <v>223</v>
      </c>
      <c r="L249" s="175" t="s">
        <v>170</v>
      </c>
      <c r="M249" s="175" t="s">
        <v>306</v>
      </c>
      <c r="N249" s="175" t="s">
        <v>2791</v>
      </c>
      <c r="O249" s="175" t="s">
        <v>2792</v>
      </c>
      <c r="P249" s="26" t="str">
        <f>_xlfn.DISPIMG("ID_5273CD0F4AF44426A565D4F4C926815B",1)</f>
        <v>=DISPIMG("ID_5273CD0F4AF44426A565D4F4C926815B",1)</v>
      </c>
      <c r="Q249" s="25" t="s">
        <v>2793</v>
      </c>
      <c r="R249" s="25">
        <v>338</v>
      </c>
      <c r="S249" s="40" t="s">
        <v>4603</v>
      </c>
      <c r="T249" s="18" t="s">
        <v>55</v>
      </c>
      <c r="U249" s="25">
        <v>19</v>
      </c>
      <c r="V249" s="25">
        <v>87</v>
      </c>
      <c r="W249" s="25">
        <v>22</v>
      </c>
    </row>
    <row r="250" s="34" customFormat="1" hidden="1" customHeight="1" spans="1:23">
      <c r="A250" s="25">
        <v>16</v>
      </c>
      <c r="B250" s="175" t="s">
        <v>2188</v>
      </c>
      <c r="C250" s="175" t="s">
        <v>165</v>
      </c>
      <c r="D250" s="175" t="s">
        <v>2189</v>
      </c>
      <c r="E250" s="25">
        <v>15297925516</v>
      </c>
      <c r="F250" s="175" t="s">
        <v>156</v>
      </c>
      <c r="G250" s="175" t="s">
        <v>13</v>
      </c>
      <c r="H250" s="25">
        <v>202102003</v>
      </c>
      <c r="I250" s="175" t="s">
        <v>157</v>
      </c>
      <c r="J250" s="175" t="s">
        <v>178</v>
      </c>
      <c r="K250" s="175" t="s">
        <v>179</v>
      </c>
      <c r="L250" s="175" t="s">
        <v>170</v>
      </c>
      <c r="M250" s="175" t="s">
        <v>161</v>
      </c>
      <c r="N250" s="175" t="s">
        <v>25</v>
      </c>
      <c r="O250" s="25">
        <v>0</v>
      </c>
      <c r="P250" s="26" t="str">
        <f>_xlfn.DISPIMG("ID_D5F43AB9EBAD44A4B07E87AF936A6299",1)</f>
        <v>=DISPIMG("ID_D5F43AB9EBAD44A4B07E87AF936A6299",1)</v>
      </c>
      <c r="Q250" s="25" t="s">
        <v>2191</v>
      </c>
      <c r="R250" s="25">
        <v>257</v>
      </c>
      <c r="S250" s="40" t="s">
        <v>4585</v>
      </c>
      <c r="T250" s="18" t="s">
        <v>54</v>
      </c>
      <c r="U250" s="25">
        <v>3</v>
      </c>
      <c r="V250" s="25">
        <v>87</v>
      </c>
      <c r="W250" s="25">
        <v>22</v>
      </c>
    </row>
    <row r="251" s="34" customFormat="1" hidden="1" customHeight="1" spans="1:23">
      <c r="A251" s="25">
        <v>7</v>
      </c>
      <c r="B251" s="175" t="s">
        <v>434</v>
      </c>
      <c r="C251" s="175" t="s">
        <v>165</v>
      </c>
      <c r="D251" s="175" t="s">
        <v>435</v>
      </c>
      <c r="E251" s="25">
        <v>18707020389</v>
      </c>
      <c r="F251" s="175" t="s">
        <v>156</v>
      </c>
      <c r="G251" s="175" t="s">
        <v>13</v>
      </c>
      <c r="H251" s="25">
        <v>202102003</v>
      </c>
      <c r="I251" s="175" t="s">
        <v>157</v>
      </c>
      <c r="J251" s="175" t="s">
        <v>437</v>
      </c>
      <c r="K251" s="175" t="s">
        <v>179</v>
      </c>
      <c r="L251" s="175" t="s">
        <v>160</v>
      </c>
      <c r="M251" s="175" t="s">
        <v>161</v>
      </c>
      <c r="N251" s="175" t="s">
        <v>13</v>
      </c>
      <c r="O251" s="175" t="s">
        <v>438</v>
      </c>
      <c r="P251" s="26" t="str">
        <f>_xlfn.DISPIMG("ID_A9E5DA8466964C2D98F0B0FFCCE562D8",1)</f>
        <v>=DISPIMG("ID_A9E5DA8466964C2D98F0B0FFCCE562D8",1)</v>
      </c>
      <c r="Q251" s="25" t="s">
        <v>439</v>
      </c>
      <c r="R251" s="25">
        <v>33</v>
      </c>
      <c r="S251" s="40" t="s">
        <v>4521</v>
      </c>
      <c r="T251" s="18" t="s">
        <v>52</v>
      </c>
      <c r="U251" s="25">
        <v>8</v>
      </c>
      <c r="V251" s="25">
        <v>86.5</v>
      </c>
      <c r="W251" s="25">
        <v>26</v>
      </c>
    </row>
    <row r="252" s="34" customFormat="1" hidden="1" customHeight="1" spans="1:23">
      <c r="A252" s="25">
        <v>12</v>
      </c>
      <c r="B252" s="175" t="s">
        <v>608</v>
      </c>
      <c r="C252" s="175" t="s">
        <v>165</v>
      </c>
      <c r="D252" s="175" t="s">
        <v>609</v>
      </c>
      <c r="E252" s="25">
        <v>18779299502</v>
      </c>
      <c r="F252" s="175" t="s">
        <v>156</v>
      </c>
      <c r="G252" s="175" t="s">
        <v>13</v>
      </c>
      <c r="H252" s="25">
        <v>202102003</v>
      </c>
      <c r="I252" s="175" t="s">
        <v>157</v>
      </c>
      <c r="J252" s="175" t="s">
        <v>611</v>
      </c>
      <c r="K252" s="175" t="s">
        <v>179</v>
      </c>
      <c r="L252" s="175" t="s">
        <v>160</v>
      </c>
      <c r="M252" s="175" t="s">
        <v>261</v>
      </c>
      <c r="N252" s="175" t="s">
        <v>13</v>
      </c>
      <c r="O252" s="25">
        <v>0</v>
      </c>
      <c r="P252" s="26" t="str">
        <f>_xlfn.DISPIMG("ID_AED44616ADF34083BED4818BEE7F954D",1)</f>
        <v>=DISPIMG("ID_AED44616ADF34083BED4818BEE7F954D",1)</v>
      </c>
      <c r="Q252" s="25" t="s">
        <v>612</v>
      </c>
      <c r="R252" s="25">
        <v>54</v>
      </c>
      <c r="S252" s="40" t="s">
        <v>4551</v>
      </c>
      <c r="T252" s="18" t="s">
        <v>52</v>
      </c>
      <c r="U252" s="25">
        <v>9</v>
      </c>
      <c r="V252" s="25">
        <v>86.5</v>
      </c>
      <c r="W252" s="25">
        <v>26</v>
      </c>
    </row>
    <row r="253" s="34" customFormat="1" hidden="1" customHeight="1" spans="1:23">
      <c r="A253" s="25">
        <v>28</v>
      </c>
      <c r="B253" s="175" t="s">
        <v>1528</v>
      </c>
      <c r="C253" s="175" t="s">
        <v>165</v>
      </c>
      <c r="D253" s="175" t="s">
        <v>1529</v>
      </c>
      <c r="E253" s="25">
        <v>13247705960</v>
      </c>
      <c r="F253" s="175" t="s">
        <v>156</v>
      </c>
      <c r="G253" s="175" t="s">
        <v>13</v>
      </c>
      <c r="H253" s="25">
        <v>202102003</v>
      </c>
      <c r="I253" s="175" t="s">
        <v>157</v>
      </c>
      <c r="J253" s="175" t="s">
        <v>385</v>
      </c>
      <c r="K253" s="175" t="s">
        <v>179</v>
      </c>
      <c r="L253" s="175" t="s">
        <v>160</v>
      </c>
      <c r="M253" s="175" t="s">
        <v>548</v>
      </c>
      <c r="N253" s="175" t="s">
        <v>25</v>
      </c>
      <c r="O253" s="175" t="s">
        <v>1531</v>
      </c>
      <c r="P253" s="26" t="str">
        <f>_xlfn.DISPIMG("ID_8A933BECC5A94F3D8B394A9689736C52",1)</f>
        <v>=DISPIMG("ID_8A933BECC5A94F3D8B394A9689736C52",1)</v>
      </c>
      <c r="Q253" s="25" t="s">
        <v>1532</v>
      </c>
      <c r="R253" s="25">
        <v>170</v>
      </c>
      <c r="S253" s="40" t="s">
        <v>4567</v>
      </c>
      <c r="T253" s="18" t="s">
        <v>52</v>
      </c>
      <c r="U253" s="25">
        <v>13</v>
      </c>
      <c r="V253" s="25">
        <v>86.5</v>
      </c>
      <c r="W253" s="25">
        <v>26</v>
      </c>
    </row>
    <row r="254" s="34" customFormat="1" hidden="1" customHeight="1" spans="1:23">
      <c r="A254" s="25">
        <v>3</v>
      </c>
      <c r="B254" s="175" t="s">
        <v>230</v>
      </c>
      <c r="C254" s="175" t="s">
        <v>165</v>
      </c>
      <c r="D254" s="175" t="s">
        <v>231</v>
      </c>
      <c r="E254" s="25">
        <v>18317923585</v>
      </c>
      <c r="F254" s="175" t="s">
        <v>156</v>
      </c>
      <c r="G254" s="175" t="s">
        <v>13</v>
      </c>
      <c r="H254" s="25">
        <v>202102003</v>
      </c>
      <c r="I254" s="175" t="s">
        <v>157</v>
      </c>
      <c r="J254" s="175" t="s">
        <v>233</v>
      </c>
      <c r="K254" s="175" t="s">
        <v>234</v>
      </c>
      <c r="L254" s="175" t="s">
        <v>170</v>
      </c>
      <c r="M254" s="175" t="s">
        <v>235</v>
      </c>
      <c r="N254" s="175" t="s">
        <v>13</v>
      </c>
      <c r="O254" s="175" t="s">
        <v>236</v>
      </c>
      <c r="P254" s="26" t="str">
        <f>_xlfn.DISPIMG("ID_5F2C40BDD5324AC2917B018DDF4B26D9",1)</f>
        <v>=DISPIMG("ID_5F2C40BDD5324AC2917B018DDF4B26D9",1)</v>
      </c>
      <c r="Q254" s="25" t="s">
        <v>237</v>
      </c>
      <c r="R254" s="25">
        <v>10</v>
      </c>
      <c r="S254" s="40" t="s">
        <v>4545</v>
      </c>
      <c r="T254" s="18" t="s">
        <v>52</v>
      </c>
      <c r="U254" s="25">
        <v>18</v>
      </c>
      <c r="V254" s="25">
        <v>86.5</v>
      </c>
      <c r="W254" s="25">
        <v>26</v>
      </c>
    </row>
    <row r="255" s="34" customFormat="1" hidden="1" customHeight="1" spans="1:23">
      <c r="A255" s="25">
        <v>27</v>
      </c>
      <c r="B255" s="175" t="s">
        <v>2592</v>
      </c>
      <c r="C255" s="175" t="s">
        <v>165</v>
      </c>
      <c r="D255" s="175" t="s">
        <v>2593</v>
      </c>
      <c r="E255" s="25">
        <v>15179254283</v>
      </c>
      <c r="F255" s="175" t="s">
        <v>156</v>
      </c>
      <c r="G255" s="175" t="s">
        <v>13</v>
      </c>
      <c r="H255" s="25">
        <v>202102003</v>
      </c>
      <c r="I255" s="175" t="s">
        <v>157</v>
      </c>
      <c r="J255" s="175" t="s">
        <v>269</v>
      </c>
      <c r="K255" s="175" t="s">
        <v>298</v>
      </c>
      <c r="L255" s="175" t="s">
        <v>160</v>
      </c>
      <c r="M255" s="175" t="s">
        <v>161</v>
      </c>
      <c r="N255" s="175" t="s">
        <v>13</v>
      </c>
      <c r="O255" s="175" t="s">
        <v>2595</v>
      </c>
      <c r="P255" s="26" t="str">
        <f>_xlfn.DISPIMG("ID_4B5E37E946EA4E60BDCBA196E50050B9",1)</f>
        <v>=DISPIMG("ID_4B5E37E946EA4E60BDCBA196E50050B9",1)</v>
      </c>
      <c r="Q255" s="25" t="s">
        <v>2596</v>
      </c>
      <c r="R255" s="25">
        <v>311</v>
      </c>
      <c r="S255" s="40" t="s">
        <v>4596</v>
      </c>
      <c r="T255" s="18" t="s">
        <v>54</v>
      </c>
      <c r="U255" s="25">
        <v>12</v>
      </c>
      <c r="V255" s="25">
        <v>86.5</v>
      </c>
      <c r="W255" s="25">
        <v>26</v>
      </c>
    </row>
    <row r="256" s="34" customFormat="1" hidden="1" customHeight="1" spans="1:23">
      <c r="A256" s="25">
        <v>6</v>
      </c>
      <c r="B256" s="175" t="s">
        <v>2819</v>
      </c>
      <c r="C256" s="175" t="s">
        <v>165</v>
      </c>
      <c r="D256" s="175" t="s">
        <v>2820</v>
      </c>
      <c r="E256" s="25">
        <v>18720151872</v>
      </c>
      <c r="F256" s="175" t="s">
        <v>156</v>
      </c>
      <c r="G256" s="175" t="s">
        <v>13</v>
      </c>
      <c r="H256" s="25">
        <v>202102003</v>
      </c>
      <c r="I256" s="175" t="s">
        <v>157</v>
      </c>
      <c r="J256" s="175" t="s">
        <v>269</v>
      </c>
      <c r="K256" s="175" t="s">
        <v>2821</v>
      </c>
      <c r="L256" s="175" t="s">
        <v>170</v>
      </c>
      <c r="M256" s="175" t="s">
        <v>455</v>
      </c>
      <c r="N256" s="175" t="s">
        <v>13</v>
      </c>
      <c r="O256" s="25">
        <v>0</v>
      </c>
      <c r="P256" s="26" t="str">
        <f>_xlfn.DISPIMG("ID_3C9269A8B40D486AA589E83B191F62F8",1)</f>
        <v>=DISPIMG("ID_3C9269A8B40D486AA589E83B191F62F8",1)</v>
      </c>
      <c r="Q256" s="25" t="s">
        <v>2822</v>
      </c>
      <c r="R256" s="25">
        <v>342</v>
      </c>
      <c r="S256" s="40" t="s">
        <v>4605</v>
      </c>
      <c r="T256" s="18" t="s">
        <v>55</v>
      </c>
      <c r="U256" s="25">
        <v>5</v>
      </c>
      <c r="V256" s="25">
        <v>86.5</v>
      </c>
      <c r="W256" s="25">
        <v>26</v>
      </c>
    </row>
    <row r="257" s="34" customFormat="1" hidden="1" customHeight="1" spans="1:23">
      <c r="A257" s="25">
        <v>5</v>
      </c>
      <c r="B257" s="175" t="s">
        <v>302</v>
      </c>
      <c r="C257" s="175" t="s">
        <v>165</v>
      </c>
      <c r="D257" s="175" t="s">
        <v>303</v>
      </c>
      <c r="E257" s="25">
        <v>18270729426</v>
      </c>
      <c r="F257" s="175" t="s">
        <v>156</v>
      </c>
      <c r="G257" s="175" t="s">
        <v>13</v>
      </c>
      <c r="H257" s="25">
        <v>202102003</v>
      </c>
      <c r="I257" s="175" t="s">
        <v>157</v>
      </c>
      <c r="J257" s="175" t="s">
        <v>305</v>
      </c>
      <c r="K257" s="175" t="s">
        <v>179</v>
      </c>
      <c r="L257" s="175" t="s">
        <v>170</v>
      </c>
      <c r="M257" s="175" t="s">
        <v>306</v>
      </c>
      <c r="N257" s="175" t="s">
        <v>307</v>
      </c>
      <c r="O257" s="175" t="s">
        <v>308</v>
      </c>
      <c r="P257" s="26" t="str">
        <f>_xlfn.DISPIMG("ID_BFA65A737AA14FBDAE88EFBDD5E2990B",1)</f>
        <v>=DISPIMG("ID_BFA65A737AA14FBDAE88EFBDD5E2990B",1)</v>
      </c>
      <c r="Q257" s="25" t="s">
        <v>309</v>
      </c>
      <c r="R257" s="25">
        <v>18</v>
      </c>
      <c r="S257" s="40" t="s">
        <v>4539</v>
      </c>
      <c r="T257" s="18" t="s">
        <v>52</v>
      </c>
      <c r="U257" s="25">
        <v>30</v>
      </c>
      <c r="V257" s="25">
        <v>86</v>
      </c>
      <c r="W257" s="25">
        <v>32</v>
      </c>
    </row>
    <row r="258" s="34" customFormat="1" hidden="1" customHeight="1" spans="1:23">
      <c r="A258" s="25">
        <v>13</v>
      </c>
      <c r="B258" s="175" t="s">
        <v>2140</v>
      </c>
      <c r="C258" s="175" t="s">
        <v>165</v>
      </c>
      <c r="D258" s="175" t="s">
        <v>2141</v>
      </c>
      <c r="E258" s="25">
        <v>13576909746</v>
      </c>
      <c r="F258" s="175" t="s">
        <v>156</v>
      </c>
      <c r="G258" s="175" t="s">
        <v>13</v>
      </c>
      <c r="H258" s="25">
        <v>202102003</v>
      </c>
      <c r="I258" s="175" t="s">
        <v>157</v>
      </c>
      <c r="J258" s="175" t="s">
        <v>540</v>
      </c>
      <c r="K258" s="175" t="s">
        <v>298</v>
      </c>
      <c r="L258" s="175" t="s">
        <v>160</v>
      </c>
      <c r="M258" s="175" t="s">
        <v>180</v>
      </c>
      <c r="N258" s="175" t="s">
        <v>13</v>
      </c>
      <c r="O258" s="175" t="s">
        <v>2143</v>
      </c>
      <c r="P258" s="26" t="str">
        <f>_xlfn.DISPIMG("ID_5B22FFE3C77C4E8C9BD243D72EC649E2",1)</f>
        <v>=DISPIMG("ID_5B22FFE3C77C4E8C9BD243D72EC649E2",1)</v>
      </c>
      <c r="Q258" s="25" t="s">
        <v>2144</v>
      </c>
      <c r="R258" s="25">
        <v>251</v>
      </c>
      <c r="S258" s="40" t="s">
        <v>4582</v>
      </c>
      <c r="T258" s="18" t="s">
        <v>54</v>
      </c>
      <c r="U258" s="25">
        <v>16</v>
      </c>
      <c r="V258" s="25">
        <v>86</v>
      </c>
      <c r="W258" s="25">
        <v>32</v>
      </c>
    </row>
    <row r="259" s="34" customFormat="1" hidden="1" customHeight="1" spans="1:23">
      <c r="A259" s="25">
        <v>7</v>
      </c>
      <c r="B259" s="175" t="s">
        <v>2895</v>
      </c>
      <c r="C259" s="175" t="s">
        <v>165</v>
      </c>
      <c r="D259" s="175" t="s">
        <v>2896</v>
      </c>
      <c r="E259" s="25">
        <v>13667020095</v>
      </c>
      <c r="F259" s="175" t="s">
        <v>156</v>
      </c>
      <c r="G259" s="175" t="s">
        <v>13</v>
      </c>
      <c r="H259" s="25">
        <v>202102003</v>
      </c>
      <c r="I259" s="175" t="s">
        <v>157</v>
      </c>
      <c r="J259" s="175" t="s">
        <v>1413</v>
      </c>
      <c r="K259" s="175" t="s">
        <v>298</v>
      </c>
      <c r="L259" s="175" t="s">
        <v>160</v>
      </c>
      <c r="M259" s="175" t="s">
        <v>455</v>
      </c>
      <c r="N259" s="175" t="s">
        <v>13</v>
      </c>
      <c r="O259" s="25">
        <v>0</v>
      </c>
      <c r="P259" s="26" t="str">
        <f>_xlfn.DISPIMG("ID_C271EED4B7664E51B0603E12A2C5BA93",1)</f>
        <v>=DISPIMG("ID_C271EED4B7664E51B0603E12A2C5BA93",1)</v>
      </c>
      <c r="Q259" s="25" t="s">
        <v>2898</v>
      </c>
      <c r="R259" s="25">
        <v>352</v>
      </c>
      <c r="S259" s="40" t="s">
        <v>4606</v>
      </c>
      <c r="T259" s="18" t="s">
        <v>55</v>
      </c>
      <c r="U259" s="25">
        <v>8</v>
      </c>
      <c r="V259" s="25">
        <v>86</v>
      </c>
      <c r="W259" s="25">
        <v>32</v>
      </c>
    </row>
    <row r="260" s="34" customFormat="1" hidden="1" customHeight="1" spans="1:23">
      <c r="A260" s="25">
        <v>2</v>
      </c>
      <c r="B260" s="175" t="s">
        <v>4273</v>
      </c>
      <c r="C260" s="175" t="s">
        <v>165</v>
      </c>
      <c r="D260" s="175" t="s">
        <v>4274</v>
      </c>
      <c r="E260" s="25">
        <v>18317912297</v>
      </c>
      <c r="F260" s="175" t="s">
        <v>156</v>
      </c>
      <c r="G260" s="175" t="s">
        <v>13</v>
      </c>
      <c r="H260" s="25">
        <v>202102003</v>
      </c>
      <c r="I260" s="175" t="s">
        <v>157</v>
      </c>
      <c r="J260" s="175" t="s">
        <v>1513</v>
      </c>
      <c r="K260" s="175" t="s">
        <v>1331</v>
      </c>
      <c r="L260" s="175" t="s">
        <v>160</v>
      </c>
      <c r="M260" s="175" t="s">
        <v>368</v>
      </c>
      <c r="N260" s="175" t="s">
        <v>13</v>
      </c>
      <c r="O260" s="175" t="s">
        <v>4276</v>
      </c>
      <c r="P260" s="26" t="str">
        <f>_xlfn.DISPIMG("ID_BFA48D3AEAE641428A104A2BB93F50F8",1)</f>
        <v>=DISPIMG("ID_BFA48D3AEAE641428A104A2BB93F50F8",1)</v>
      </c>
      <c r="Q260" s="25" t="s">
        <v>4277</v>
      </c>
      <c r="R260" s="25">
        <v>547</v>
      </c>
      <c r="S260" s="40" t="s">
        <v>4631</v>
      </c>
      <c r="T260" s="18" t="s">
        <v>56</v>
      </c>
      <c r="U260" s="25">
        <v>5</v>
      </c>
      <c r="V260" s="25">
        <v>86</v>
      </c>
      <c r="W260" s="25">
        <v>32</v>
      </c>
    </row>
    <row r="261" s="34" customFormat="1" hidden="1" customHeight="1" spans="1:23">
      <c r="A261" s="25">
        <v>16</v>
      </c>
      <c r="B261" s="175" t="s">
        <v>1118</v>
      </c>
      <c r="C261" s="175" t="s">
        <v>165</v>
      </c>
      <c r="D261" s="175" t="s">
        <v>1119</v>
      </c>
      <c r="E261" s="25">
        <v>15170931048</v>
      </c>
      <c r="F261" s="175" t="s">
        <v>156</v>
      </c>
      <c r="G261" s="175" t="s">
        <v>13</v>
      </c>
      <c r="H261" s="25">
        <v>202102003</v>
      </c>
      <c r="I261" s="175" t="s">
        <v>157</v>
      </c>
      <c r="J261" s="175" t="s">
        <v>1121</v>
      </c>
      <c r="K261" s="175" t="s">
        <v>1122</v>
      </c>
      <c r="L261" s="175" t="s">
        <v>160</v>
      </c>
      <c r="M261" s="175" t="s">
        <v>577</v>
      </c>
      <c r="N261" s="175" t="s">
        <v>13</v>
      </c>
      <c r="O261" s="175" t="s">
        <v>1123</v>
      </c>
      <c r="P261" s="26" t="str">
        <f>_xlfn.DISPIMG("ID_FE9003ADDBCE49A4979CC74582466077",1)</f>
        <v>=DISPIMG("ID_FE9003ADDBCE49A4979CC74582466077",1)</v>
      </c>
      <c r="Q261" s="25" t="s">
        <v>1124</v>
      </c>
      <c r="R261" s="25">
        <v>117</v>
      </c>
      <c r="S261" s="40" t="s">
        <v>4555</v>
      </c>
      <c r="T261" s="18" t="s">
        <v>52</v>
      </c>
      <c r="U261" s="25">
        <v>3</v>
      </c>
      <c r="V261" s="25">
        <v>85.5</v>
      </c>
      <c r="W261" s="25">
        <v>36</v>
      </c>
    </row>
    <row r="262" s="34" customFormat="1" hidden="1" customHeight="1" spans="1:23">
      <c r="A262" s="25">
        <v>2</v>
      </c>
      <c r="B262" s="175" t="s">
        <v>220</v>
      </c>
      <c r="C262" s="175" t="s">
        <v>165</v>
      </c>
      <c r="D262" s="175" t="s">
        <v>221</v>
      </c>
      <c r="E262" s="25">
        <v>13330102770</v>
      </c>
      <c r="F262" s="175" t="s">
        <v>156</v>
      </c>
      <c r="G262" s="175" t="s">
        <v>13</v>
      </c>
      <c r="H262" s="25">
        <v>202102003</v>
      </c>
      <c r="I262" s="175" t="s">
        <v>157</v>
      </c>
      <c r="J262" s="175" t="s">
        <v>178</v>
      </c>
      <c r="K262" s="175" t="s">
        <v>223</v>
      </c>
      <c r="L262" s="175" t="s">
        <v>170</v>
      </c>
      <c r="M262" s="175" t="s">
        <v>224</v>
      </c>
      <c r="N262" s="175" t="s">
        <v>225</v>
      </c>
      <c r="O262" s="175" t="s">
        <v>226</v>
      </c>
      <c r="P262" s="26" t="str">
        <f>_xlfn.DISPIMG("ID_331C6355B784470AAD84DC8B9EBD3F4C",1)</f>
        <v>=DISPIMG("ID_331C6355B784470AAD84DC8B9EBD3F4C",1)</v>
      </c>
      <c r="Q262" s="25" t="s">
        <v>227</v>
      </c>
      <c r="R262" s="25">
        <v>9</v>
      </c>
      <c r="S262" s="40" t="s">
        <v>4526</v>
      </c>
      <c r="T262" s="18" t="s">
        <v>52</v>
      </c>
      <c r="U262" s="25">
        <v>7</v>
      </c>
      <c r="V262" s="25">
        <v>85.5</v>
      </c>
      <c r="W262" s="25">
        <v>36</v>
      </c>
    </row>
    <row r="263" s="34" customFormat="1" hidden="1" customHeight="1" spans="1:23">
      <c r="A263" s="25">
        <v>17</v>
      </c>
      <c r="B263" s="175" t="s">
        <v>2203</v>
      </c>
      <c r="C263" s="175" t="s">
        <v>165</v>
      </c>
      <c r="D263" s="175" t="s">
        <v>2204</v>
      </c>
      <c r="E263" s="25">
        <v>18702523558</v>
      </c>
      <c r="F263" s="175" t="s">
        <v>156</v>
      </c>
      <c r="G263" s="175" t="s">
        <v>13</v>
      </c>
      <c r="H263" s="25">
        <v>202102003</v>
      </c>
      <c r="I263" s="175" t="s">
        <v>157</v>
      </c>
      <c r="J263" s="175" t="s">
        <v>646</v>
      </c>
      <c r="K263" s="175" t="s">
        <v>179</v>
      </c>
      <c r="L263" s="175" t="s">
        <v>170</v>
      </c>
      <c r="M263" s="175" t="s">
        <v>368</v>
      </c>
      <c r="N263" s="175" t="s">
        <v>25</v>
      </c>
      <c r="O263" s="175" t="s">
        <v>2206</v>
      </c>
      <c r="P263" s="26" t="str">
        <f>_xlfn.DISPIMG("ID_06812EDB7CE84D14BCAEC56B86A3FB64",1)</f>
        <v>=DISPIMG("ID_06812EDB7CE84D14BCAEC56B86A3FB64",1)</v>
      </c>
      <c r="Q263" s="25" t="s">
        <v>2207</v>
      </c>
      <c r="R263" s="25">
        <v>259</v>
      </c>
      <c r="S263" s="40" t="s">
        <v>4586</v>
      </c>
      <c r="T263" s="18" t="s">
        <v>54</v>
      </c>
      <c r="U263" s="25">
        <v>10</v>
      </c>
      <c r="V263" s="25">
        <v>85</v>
      </c>
      <c r="W263" s="25">
        <v>38</v>
      </c>
    </row>
    <row r="264" s="34" customFormat="1" hidden="1" customHeight="1" spans="1:23">
      <c r="A264" s="25">
        <v>24</v>
      </c>
      <c r="B264" s="175" t="s">
        <v>1463</v>
      </c>
      <c r="C264" s="175" t="s">
        <v>165</v>
      </c>
      <c r="D264" s="175" t="s">
        <v>1464</v>
      </c>
      <c r="E264" s="25">
        <v>18279171935</v>
      </c>
      <c r="F264" s="175" t="s">
        <v>156</v>
      </c>
      <c r="G264" s="175" t="s">
        <v>13</v>
      </c>
      <c r="H264" s="25">
        <v>202102003</v>
      </c>
      <c r="I264" s="175" t="s">
        <v>157</v>
      </c>
      <c r="J264" s="175" t="s">
        <v>1466</v>
      </c>
      <c r="K264" s="175" t="s">
        <v>179</v>
      </c>
      <c r="L264" s="175" t="s">
        <v>160</v>
      </c>
      <c r="M264" s="175" t="s">
        <v>281</v>
      </c>
      <c r="N264" s="175" t="s">
        <v>1467</v>
      </c>
      <c r="O264" s="175" t="s">
        <v>1468</v>
      </c>
      <c r="P264" s="26" t="str">
        <f>_xlfn.DISPIMG("ID_050656778A6D494197B2CC367B7C8BBA",1)</f>
        <v>=DISPIMG("ID_050656778A6D494197B2CC367B7C8BBA",1)</v>
      </c>
      <c r="Q264" s="25" t="s">
        <v>1469</v>
      </c>
      <c r="R264" s="25">
        <v>162</v>
      </c>
      <c r="S264" s="40" t="s">
        <v>4563</v>
      </c>
      <c r="T264" s="18" t="s">
        <v>52</v>
      </c>
      <c r="U264" s="25">
        <v>23</v>
      </c>
      <c r="V264" s="25">
        <v>84.5</v>
      </c>
      <c r="W264" s="25">
        <v>39</v>
      </c>
    </row>
    <row r="265" s="34" customFormat="1" hidden="1" customHeight="1" spans="1:23">
      <c r="A265" s="25">
        <v>30</v>
      </c>
      <c r="B265" s="175" t="s">
        <v>1651</v>
      </c>
      <c r="C265" s="175" t="s">
        <v>165</v>
      </c>
      <c r="D265" s="175" t="s">
        <v>1652</v>
      </c>
      <c r="E265" s="25">
        <v>15870862742</v>
      </c>
      <c r="F265" s="175" t="s">
        <v>156</v>
      </c>
      <c r="G265" s="175" t="s">
        <v>13</v>
      </c>
      <c r="H265" s="25">
        <v>202102003</v>
      </c>
      <c r="I265" s="175" t="s">
        <v>157</v>
      </c>
      <c r="J265" s="175" t="s">
        <v>1654</v>
      </c>
      <c r="K265" s="175" t="s">
        <v>179</v>
      </c>
      <c r="L265" s="175" t="s">
        <v>160</v>
      </c>
      <c r="M265" s="175" t="s">
        <v>235</v>
      </c>
      <c r="N265" s="175" t="s">
        <v>13</v>
      </c>
      <c r="O265" s="25">
        <v>0</v>
      </c>
      <c r="P265" s="26" t="str">
        <f>_xlfn.DISPIMG("ID_3972EE6FED8B40BFAB5CECB7F30981FD",1)</f>
        <v>=DISPIMG("ID_3972EE6FED8B40BFAB5CECB7F30981FD",1)</v>
      </c>
      <c r="Q265" s="25" t="s">
        <v>1655</v>
      </c>
      <c r="R265" s="25">
        <v>186</v>
      </c>
      <c r="S265" s="40" t="s">
        <v>4569</v>
      </c>
      <c r="T265" s="18" t="s">
        <v>52</v>
      </c>
      <c r="U265" s="25">
        <v>25</v>
      </c>
      <c r="V265" s="25">
        <v>84.5</v>
      </c>
      <c r="W265" s="25">
        <v>39</v>
      </c>
    </row>
    <row r="266" s="34" customFormat="1" hidden="1" customHeight="1" spans="1:23">
      <c r="A266" s="25">
        <v>11</v>
      </c>
      <c r="B266" s="175" t="s">
        <v>2113</v>
      </c>
      <c r="C266" s="175" t="s">
        <v>165</v>
      </c>
      <c r="D266" s="175" t="s">
        <v>2114</v>
      </c>
      <c r="E266" s="25">
        <v>18779262393</v>
      </c>
      <c r="F266" s="175" t="s">
        <v>156</v>
      </c>
      <c r="G266" s="175" t="s">
        <v>13</v>
      </c>
      <c r="H266" s="25">
        <v>202102003</v>
      </c>
      <c r="I266" s="175" t="s">
        <v>157</v>
      </c>
      <c r="J266" s="175" t="s">
        <v>168</v>
      </c>
      <c r="K266" s="175" t="s">
        <v>179</v>
      </c>
      <c r="L266" s="175" t="s">
        <v>170</v>
      </c>
      <c r="M266" s="175" t="s">
        <v>261</v>
      </c>
      <c r="N266" s="175" t="s">
        <v>13</v>
      </c>
      <c r="O266" s="175" t="s">
        <v>2116</v>
      </c>
      <c r="P266" s="26" t="str">
        <f>_xlfn.DISPIMG("ID_FD96452CC72B491AA69A0DC966FE8814",1)</f>
        <v>=DISPIMG("ID_FD96452CC72B491AA69A0DC966FE8814",1)</v>
      </c>
      <c r="Q266" s="25" t="s">
        <v>2117</v>
      </c>
      <c r="R266" s="25">
        <v>247</v>
      </c>
      <c r="S266" s="40" t="s">
        <v>4580</v>
      </c>
      <c r="T266" s="18" t="s">
        <v>54</v>
      </c>
      <c r="U266" s="25">
        <v>4</v>
      </c>
      <c r="V266" s="25">
        <v>84</v>
      </c>
      <c r="W266" s="25">
        <v>41</v>
      </c>
    </row>
    <row r="267" s="34" customFormat="1" hidden="1" customHeight="1" spans="1:23">
      <c r="A267" s="25">
        <v>5</v>
      </c>
      <c r="B267" s="175" t="s">
        <v>4295</v>
      </c>
      <c r="C267" s="175" t="s">
        <v>165</v>
      </c>
      <c r="D267" s="175" t="s">
        <v>4296</v>
      </c>
      <c r="E267" s="25">
        <v>18174018729</v>
      </c>
      <c r="F267" s="175" t="s">
        <v>156</v>
      </c>
      <c r="G267" s="175" t="s">
        <v>13</v>
      </c>
      <c r="H267" s="25">
        <v>202102003</v>
      </c>
      <c r="I267" s="175" t="s">
        <v>157</v>
      </c>
      <c r="J267" s="175" t="s">
        <v>3054</v>
      </c>
      <c r="K267" s="175" t="s">
        <v>4298</v>
      </c>
      <c r="L267" s="175" t="s">
        <v>160</v>
      </c>
      <c r="M267" s="175" t="s">
        <v>261</v>
      </c>
      <c r="N267" s="175" t="s">
        <v>13</v>
      </c>
      <c r="O267" s="25">
        <v>0</v>
      </c>
      <c r="P267" s="26" t="str">
        <f>_xlfn.DISPIMG("ID_AB63EA744ECF442183CACE9AA5A6EA85",1)</f>
        <v>=DISPIMG("ID_AB63EA744ECF442183CACE9AA5A6EA85",1)</v>
      </c>
      <c r="Q267" s="25" t="s">
        <v>4299</v>
      </c>
      <c r="R267" s="25">
        <v>550</v>
      </c>
      <c r="S267" s="40" t="s">
        <v>4634</v>
      </c>
      <c r="T267" s="18" t="s">
        <v>56</v>
      </c>
      <c r="U267" s="25">
        <v>2</v>
      </c>
      <c r="V267" s="25">
        <v>84</v>
      </c>
      <c r="W267" s="25">
        <v>41</v>
      </c>
    </row>
    <row r="268" s="34" customFormat="1" hidden="1" customHeight="1" spans="1:23">
      <c r="A268" s="25">
        <v>12</v>
      </c>
      <c r="B268" s="175" t="s">
        <v>2120</v>
      </c>
      <c r="C268" s="175" t="s">
        <v>165</v>
      </c>
      <c r="D268" s="175" t="s">
        <v>2121</v>
      </c>
      <c r="E268" s="25">
        <v>15070693643</v>
      </c>
      <c r="F268" s="175" t="s">
        <v>156</v>
      </c>
      <c r="G268" s="175" t="s">
        <v>13</v>
      </c>
      <c r="H268" s="25">
        <v>202102003</v>
      </c>
      <c r="I268" s="175" t="s">
        <v>157</v>
      </c>
      <c r="J268" s="175" t="s">
        <v>197</v>
      </c>
      <c r="K268" s="175" t="s">
        <v>179</v>
      </c>
      <c r="L268" s="175" t="s">
        <v>160</v>
      </c>
      <c r="M268" s="175" t="s">
        <v>455</v>
      </c>
      <c r="N268" s="175" t="s">
        <v>225</v>
      </c>
      <c r="O268" s="25">
        <v>0</v>
      </c>
      <c r="P268" s="26" t="str">
        <f>_xlfn.DISPIMG("ID_BB45129897024B4183D09C0AA547B197",1)</f>
        <v>=DISPIMG("ID_BB45129897024B4183D09C0AA547B197",1)</v>
      </c>
      <c r="Q268" s="25" t="s">
        <v>2123</v>
      </c>
      <c r="R268" s="25">
        <v>248</v>
      </c>
      <c r="S268" s="40" t="s">
        <v>4581</v>
      </c>
      <c r="T268" s="18" t="s">
        <v>54</v>
      </c>
      <c r="U268" s="25">
        <v>9</v>
      </c>
      <c r="V268" s="25">
        <v>83.5</v>
      </c>
      <c r="W268" s="25">
        <v>43</v>
      </c>
    </row>
    <row r="269" s="34" customFormat="1" hidden="1" customHeight="1" spans="1:23">
      <c r="A269" s="25">
        <v>13</v>
      </c>
      <c r="B269" s="175" t="s">
        <v>833</v>
      </c>
      <c r="C269" s="175" t="s">
        <v>165</v>
      </c>
      <c r="D269" s="175" t="s">
        <v>834</v>
      </c>
      <c r="E269" s="25">
        <v>13517923087</v>
      </c>
      <c r="F269" s="175" t="s">
        <v>156</v>
      </c>
      <c r="G269" s="175" t="s">
        <v>13</v>
      </c>
      <c r="H269" s="25">
        <v>202102003</v>
      </c>
      <c r="I269" s="175" t="s">
        <v>279</v>
      </c>
      <c r="J269" s="175" t="s">
        <v>339</v>
      </c>
      <c r="K269" s="175" t="s">
        <v>223</v>
      </c>
      <c r="L269" s="175" t="s">
        <v>170</v>
      </c>
      <c r="M269" s="175" t="s">
        <v>224</v>
      </c>
      <c r="N269" s="175" t="s">
        <v>13</v>
      </c>
      <c r="O269" s="175" t="s">
        <v>836</v>
      </c>
      <c r="P269" s="26" t="str">
        <f>_xlfn.DISPIMG("ID_89C7FFEC948F45D4B7C91F290C37CCB6",1)</f>
        <v>=DISPIMG("ID_89C7FFEC948F45D4B7C91F290C37CCB6",1)</v>
      </c>
      <c r="Q269" s="25" t="s">
        <v>837</v>
      </c>
      <c r="R269" s="25">
        <v>82</v>
      </c>
      <c r="S269" s="40" t="s">
        <v>4552</v>
      </c>
      <c r="T269" s="18" t="s">
        <v>52</v>
      </c>
      <c r="U269" s="25">
        <v>16</v>
      </c>
      <c r="V269" s="25">
        <v>83</v>
      </c>
      <c r="W269" s="25">
        <v>44</v>
      </c>
    </row>
    <row r="270" s="34" customFormat="1" hidden="1" customHeight="1" spans="1:23">
      <c r="A270" s="25">
        <v>15</v>
      </c>
      <c r="B270" s="175" t="s">
        <v>1018</v>
      </c>
      <c r="C270" s="175" t="s">
        <v>165</v>
      </c>
      <c r="D270" s="175" t="s">
        <v>1019</v>
      </c>
      <c r="E270" s="25">
        <v>18270832760</v>
      </c>
      <c r="F270" s="175" t="s">
        <v>156</v>
      </c>
      <c r="G270" s="175" t="s">
        <v>13</v>
      </c>
      <c r="H270" s="25">
        <v>202102003</v>
      </c>
      <c r="I270" s="175" t="s">
        <v>157</v>
      </c>
      <c r="J270" s="175" t="s">
        <v>827</v>
      </c>
      <c r="K270" s="175" t="s">
        <v>1021</v>
      </c>
      <c r="L270" s="175" t="s">
        <v>160</v>
      </c>
      <c r="M270" s="175" t="s">
        <v>281</v>
      </c>
      <c r="N270" s="175" t="s">
        <v>1022</v>
      </c>
      <c r="O270" s="175" t="s">
        <v>1023</v>
      </c>
      <c r="P270" s="26" t="str">
        <f>_xlfn.DISPIMG("ID_8ABFE7CB3D4544BB889DAF8FFFAF27BC",1)</f>
        <v>=DISPIMG("ID_8ABFE7CB3D4544BB889DAF8FFFAF27BC",1)</v>
      </c>
      <c r="Q270" s="25" t="s">
        <v>1024</v>
      </c>
      <c r="R270" s="25">
        <v>104</v>
      </c>
      <c r="S270" s="40" t="s">
        <v>4554</v>
      </c>
      <c r="T270" s="18" t="s">
        <v>52</v>
      </c>
      <c r="U270" s="25">
        <v>28</v>
      </c>
      <c r="V270" s="25">
        <v>83</v>
      </c>
      <c r="W270" s="25">
        <v>44</v>
      </c>
    </row>
    <row r="271" s="34" customFormat="1" hidden="1" customHeight="1" spans="1:23">
      <c r="A271" s="25">
        <v>6</v>
      </c>
      <c r="B271" s="175" t="s">
        <v>1925</v>
      </c>
      <c r="C271" s="175" t="s">
        <v>165</v>
      </c>
      <c r="D271" s="175" t="s">
        <v>1926</v>
      </c>
      <c r="E271" s="25">
        <v>18000203663</v>
      </c>
      <c r="F271" s="175" t="s">
        <v>156</v>
      </c>
      <c r="G271" s="175" t="s">
        <v>13</v>
      </c>
      <c r="H271" s="25">
        <v>202102003</v>
      </c>
      <c r="I271" s="175" t="s">
        <v>157</v>
      </c>
      <c r="J271" s="175" t="s">
        <v>611</v>
      </c>
      <c r="K271" s="175" t="s">
        <v>179</v>
      </c>
      <c r="L271" s="175" t="s">
        <v>160</v>
      </c>
      <c r="M271" s="175" t="s">
        <v>281</v>
      </c>
      <c r="N271" s="175" t="s">
        <v>13</v>
      </c>
      <c r="O271" s="175" t="s">
        <v>1928</v>
      </c>
      <c r="P271" s="26" t="str">
        <f>_xlfn.DISPIMG("ID_F763BF131F364181A17D865B8B797D97",1)</f>
        <v>=DISPIMG("ID_F763BF131F364181A17D865B8B797D97",1)</v>
      </c>
      <c r="Q271" s="25" t="s">
        <v>1929</v>
      </c>
      <c r="R271" s="25">
        <v>222</v>
      </c>
      <c r="S271" s="40" t="s">
        <v>4575</v>
      </c>
      <c r="T271" s="18" t="s">
        <v>54</v>
      </c>
      <c r="U271" s="25">
        <v>5</v>
      </c>
      <c r="V271" s="25">
        <v>83</v>
      </c>
      <c r="W271" s="25">
        <v>44</v>
      </c>
    </row>
    <row r="272" s="34" customFormat="1" hidden="1" customHeight="1" spans="1:23">
      <c r="A272" s="25">
        <v>29</v>
      </c>
      <c r="B272" s="175" t="s">
        <v>2698</v>
      </c>
      <c r="C272" s="175" t="s">
        <v>165</v>
      </c>
      <c r="D272" s="175" t="s">
        <v>2699</v>
      </c>
      <c r="E272" s="25">
        <v>17879865970</v>
      </c>
      <c r="F272" s="175" t="s">
        <v>156</v>
      </c>
      <c r="G272" s="175" t="s">
        <v>13</v>
      </c>
      <c r="H272" s="25">
        <v>202102003</v>
      </c>
      <c r="I272" s="175" t="s">
        <v>157</v>
      </c>
      <c r="J272" s="175" t="s">
        <v>603</v>
      </c>
      <c r="K272" s="175" t="s">
        <v>179</v>
      </c>
      <c r="L272" s="175" t="s">
        <v>160</v>
      </c>
      <c r="M272" s="175" t="s">
        <v>161</v>
      </c>
      <c r="N272" s="175" t="s">
        <v>13</v>
      </c>
      <c r="O272" s="175" t="s">
        <v>2701</v>
      </c>
      <c r="P272" s="26" t="str">
        <f>_xlfn.DISPIMG("ID_F144CD0E4B7B43F08EC41420B132D7BF",1)</f>
        <v>=DISPIMG("ID_F144CD0E4B7B43F08EC41420B132D7BF",1)</v>
      </c>
      <c r="Q272" s="25" t="s">
        <v>2702</v>
      </c>
      <c r="R272" s="25">
        <v>325</v>
      </c>
      <c r="S272" s="40" t="s">
        <v>4598</v>
      </c>
      <c r="T272" s="18" t="s">
        <v>54</v>
      </c>
      <c r="U272" s="25">
        <v>24</v>
      </c>
      <c r="V272" s="25">
        <v>83</v>
      </c>
      <c r="W272" s="25">
        <v>44</v>
      </c>
    </row>
    <row r="273" s="34" customFormat="1" hidden="1" customHeight="1" spans="1:23">
      <c r="A273" s="25">
        <v>8</v>
      </c>
      <c r="B273" s="175" t="s">
        <v>2901</v>
      </c>
      <c r="C273" s="175" t="s">
        <v>165</v>
      </c>
      <c r="D273" s="175" t="s">
        <v>2902</v>
      </c>
      <c r="E273" s="25">
        <v>18070124707</v>
      </c>
      <c r="F273" s="175" t="s">
        <v>156</v>
      </c>
      <c r="G273" s="175" t="s">
        <v>13</v>
      </c>
      <c r="H273" s="25">
        <v>202102003</v>
      </c>
      <c r="I273" s="175" t="s">
        <v>157</v>
      </c>
      <c r="J273" s="175" t="s">
        <v>2904</v>
      </c>
      <c r="K273" s="175" t="s">
        <v>2379</v>
      </c>
      <c r="L273" s="175" t="s">
        <v>160</v>
      </c>
      <c r="M273" s="175" t="s">
        <v>396</v>
      </c>
      <c r="N273" s="175" t="s">
        <v>13</v>
      </c>
      <c r="O273" s="25">
        <v>0</v>
      </c>
      <c r="P273" s="26" t="str">
        <f>_xlfn.DISPIMG("ID_C611D78CF3534BF4A6063B88C3B55BD9",1)</f>
        <v>=DISPIMG("ID_C611D78CF3534BF4A6063B88C3B55BD9",1)</v>
      </c>
      <c r="Q273" s="25" t="s">
        <v>2905</v>
      </c>
      <c r="R273" s="25">
        <v>353</v>
      </c>
      <c r="S273" s="40" t="s">
        <v>4607</v>
      </c>
      <c r="T273" s="18" t="s">
        <v>55</v>
      </c>
      <c r="U273" s="25">
        <v>17</v>
      </c>
      <c r="V273" s="25">
        <v>83</v>
      </c>
      <c r="W273" s="25">
        <v>44</v>
      </c>
    </row>
    <row r="274" s="34" customFormat="1" hidden="1" customHeight="1" spans="1:23">
      <c r="A274" s="25">
        <v>1</v>
      </c>
      <c r="B274" s="175" t="s">
        <v>4244</v>
      </c>
      <c r="C274" s="175" t="s">
        <v>165</v>
      </c>
      <c r="D274" s="175" t="s">
        <v>4245</v>
      </c>
      <c r="E274" s="25">
        <v>18296230426</v>
      </c>
      <c r="F274" s="175" t="s">
        <v>156</v>
      </c>
      <c r="G274" s="175" t="s">
        <v>13</v>
      </c>
      <c r="H274" s="25">
        <v>202102003</v>
      </c>
      <c r="I274" s="175" t="s">
        <v>157</v>
      </c>
      <c r="J274" s="175" t="s">
        <v>646</v>
      </c>
      <c r="K274" s="175" t="s">
        <v>179</v>
      </c>
      <c r="L274" s="175" t="s">
        <v>160</v>
      </c>
      <c r="M274" s="175" t="s">
        <v>180</v>
      </c>
      <c r="N274" s="175" t="s">
        <v>25</v>
      </c>
      <c r="O274" s="175" t="s">
        <v>4247</v>
      </c>
      <c r="P274" s="26" t="str">
        <f>_xlfn.DISPIMG("ID_36DA19808F4346CB8F6359485B7E0248",1)</f>
        <v>=DISPIMG("ID_36DA19808F4346CB8F6359485B7E0248",1)</v>
      </c>
      <c r="Q274" s="25" t="s">
        <v>4248</v>
      </c>
      <c r="R274" s="25">
        <v>543</v>
      </c>
      <c r="S274" s="40" t="s">
        <v>4630</v>
      </c>
      <c r="T274" s="18" t="s">
        <v>56</v>
      </c>
      <c r="U274" s="25">
        <v>6</v>
      </c>
      <c r="V274" s="25">
        <v>83</v>
      </c>
      <c r="W274" s="25">
        <v>44</v>
      </c>
    </row>
    <row r="275" s="34" customFormat="1" hidden="1" customHeight="1" spans="1:23">
      <c r="A275" s="25">
        <v>28</v>
      </c>
      <c r="B275" s="175" t="s">
        <v>2620</v>
      </c>
      <c r="C275" s="175" t="s">
        <v>165</v>
      </c>
      <c r="D275" s="175" t="s">
        <v>2621</v>
      </c>
      <c r="E275" s="25">
        <v>15374326855</v>
      </c>
      <c r="F275" s="175" t="s">
        <v>156</v>
      </c>
      <c r="G275" s="175" t="s">
        <v>13</v>
      </c>
      <c r="H275" s="25">
        <v>202102003</v>
      </c>
      <c r="I275" s="175" t="s">
        <v>279</v>
      </c>
      <c r="J275" s="175" t="s">
        <v>2623</v>
      </c>
      <c r="K275" s="175" t="s">
        <v>223</v>
      </c>
      <c r="L275" s="175" t="s">
        <v>170</v>
      </c>
      <c r="M275" s="175" t="s">
        <v>587</v>
      </c>
      <c r="N275" s="175" t="s">
        <v>487</v>
      </c>
      <c r="O275" s="175" t="s">
        <v>2624</v>
      </c>
      <c r="P275" s="26" t="str">
        <f>_xlfn.DISPIMG("ID_2F48B8B967A44C168C6D69CE2A1FBAF0",1)</f>
        <v>=DISPIMG("ID_2F48B8B967A44C168C6D69CE2A1FBAF0",1)</v>
      </c>
      <c r="Q275" s="25" t="s">
        <v>2625</v>
      </c>
      <c r="R275" s="25">
        <v>315</v>
      </c>
      <c r="S275" s="40" t="s">
        <v>4597</v>
      </c>
      <c r="T275" s="18" t="s">
        <v>54</v>
      </c>
      <c r="U275" s="25">
        <v>13</v>
      </c>
      <c r="V275" s="25">
        <v>82.5</v>
      </c>
      <c r="W275" s="25">
        <v>50</v>
      </c>
    </row>
    <row r="276" s="34" customFormat="1" hidden="1" customHeight="1" spans="1:23">
      <c r="A276" s="25">
        <v>30</v>
      </c>
      <c r="B276" s="175" t="s">
        <v>4169</v>
      </c>
      <c r="C276" s="175" t="s">
        <v>165</v>
      </c>
      <c r="D276" s="175" t="s">
        <v>4170</v>
      </c>
      <c r="E276" s="25">
        <v>13970241382</v>
      </c>
      <c r="F276" s="175" t="s">
        <v>156</v>
      </c>
      <c r="G276" s="175" t="s">
        <v>13</v>
      </c>
      <c r="H276" s="25">
        <v>202102003</v>
      </c>
      <c r="I276" s="175" t="s">
        <v>157</v>
      </c>
      <c r="J276" s="175" t="s">
        <v>233</v>
      </c>
      <c r="K276" s="175" t="s">
        <v>4172</v>
      </c>
      <c r="L276" s="175" t="s">
        <v>170</v>
      </c>
      <c r="M276" s="175" t="s">
        <v>161</v>
      </c>
      <c r="N276" s="175" t="s">
        <v>4173</v>
      </c>
      <c r="O276" s="25">
        <v>0</v>
      </c>
      <c r="P276" s="26" t="str">
        <f>_xlfn.DISPIMG("ID_5B6CA2E5A2044344BC4069C94E27DF22",1)</f>
        <v>=DISPIMG("ID_5B6CA2E5A2044344BC4069C94E27DF22",1)</v>
      </c>
      <c r="Q276" s="25" t="s">
        <v>4174</v>
      </c>
      <c r="R276" s="25">
        <v>533</v>
      </c>
      <c r="S276" s="40" t="s">
        <v>4629</v>
      </c>
      <c r="T276" s="18" t="s">
        <v>55</v>
      </c>
      <c r="U276" s="25">
        <v>25</v>
      </c>
      <c r="V276" s="25">
        <v>82.5</v>
      </c>
      <c r="W276" s="25">
        <v>50</v>
      </c>
    </row>
    <row r="277" s="34" customFormat="1" hidden="1" customHeight="1" spans="1:23">
      <c r="A277" s="25">
        <v>5</v>
      </c>
      <c r="B277" s="175" t="s">
        <v>1890</v>
      </c>
      <c r="C277" s="175" t="s">
        <v>165</v>
      </c>
      <c r="D277" s="175" t="s">
        <v>1891</v>
      </c>
      <c r="E277" s="25">
        <v>18770267494</v>
      </c>
      <c r="F277" s="175" t="s">
        <v>156</v>
      </c>
      <c r="G277" s="175" t="s">
        <v>13</v>
      </c>
      <c r="H277" s="25">
        <v>202102003</v>
      </c>
      <c r="I277" s="175" t="s">
        <v>157</v>
      </c>
      <c r="J277" s="175" t="s">
        <v>646</v>
      </c>
      <c r="K277" s="175" t="s">
        <v>179</v>
      </c>
      <c r="L277" s="175" t="s">
        <v>160</v>
      </c>
      <c r="M277" s="175" t="s">
        <v>161</v>
      </c>
      <c r="N277" s="175" t="s">
        <v>25</v>
      </c>
      <c r="O277" s="175" t="s">
        <v>1893</v>
      </c>
      <c r="P277" s="26" t="str">
        <f>_xlfn.DISPIMG("ID_E3FEEF4304AD40319195B6CB72FAB7DA",1)</f>
        <v>=DISPIMG("ID_E3FEEF4304AD40319195B6CB72FAB7DA",1)</v>
      </c>
      <c r="Q277" s="25" t="s">
        <v>1894</v>
      </c>
      <c r="R277" s="25">
        <v>217</v>
      </c>
      <c r="S277" s="40" t="s">
        <v>4574</v>
      </c>
      <c r="T277" s="18" t="s">
        <v>54</v>
      </c>
      <c r="U277" s="25">
        <v>30</v>
      </c>
      <c r="V277" s="25">
        <v>82</v>
      </c>
      <c r="W277" s="25">
        <v>51</v>
      </c>
    </row>
    <row r="278" s="34" customFormat="1" hidden="1" customHeight="1" spans="1:23">
      <c r="A278" s="25">
        <v>13</v>
      </c>
      <c r="B278" s="175" t="s">
        <v>3241</v>
      </c>
      <c r="C278" s="175" t="s">
        <v>165</v>
      </c>
      <c r="D278" s="175" t="s">
        <v>3242</v>
      </c>
      <c r="E278" s="25">
        <v>15390868523</v>
      </c>
      <c r="F278" s="175" t="s">
        <v>156</v>
      </c>
      <c r="G278" s="175" t="s">
        <v>13</v>
      </c>
      <c r="H278" s="25">
        <v>202102003</v>
      </c>
      <c r="I278" s="175" t="s">
        <v>157</v>
      </c>
      <c r="J278" s="175" t="s">
        <v>3244</v>
      </c>
      <c r="K278" s="175" t="s">
        <v>179</v>
      </c>
      <c r="L278" s="175" t="s">
        <v>160</v>
      </c>
      <c r="M278" s="175" t="s">
        <v>161</v>
      </c>
      <c r="N278" s="175" t="s">
        <v>190</v>
      </c>
      <c r="O278" s="25">
        <v>0</v>
      </c>
      <c r="P278" s="26" t="str">
        <f>_xlfn.DISPIMG("ID_AED07D8F3E8D4336A7B785D8FBC52BF4",1)</f>
        <v>=DISPIMG("ID_AED07D8F3E8D4336A7B785D8FBC52BF4",1)</v>
      </c>
      <c r="Q278" s="25" t="s">
        <v>3245</v>
      </c>
      <c r="R278" s="25">
        <v>404</v>
      </c>
      <c r="S278" s="40" t="s">
        <v>4612</v>
      </c>
      <c r="T278" s="18" t="s">
        <v>55</v>
      </c>
      <c r="U278" s="25">
        <v>16</v>
      </c>
      <c r="V278" s="25">
        <v>81.5</v>
      </c>
      <c r="W278" s="25">
        <v>53</v>
      </c>
    </row>
    <row r="279" s="34" customFormat="1" hidden="1" customHeight="1" spans="1:23">
      <c r="A279" s="25">
        <v>20</v>
      </c>
      <c r="B279" s="175" t="s">
        <v>3647</v>
      </c>
      <c r="C279" s="175" t="s">
        <v>165</v>
      </c>
      <c r="D279" s="175" t="s">
        <v>3648</v>
      </c>
      <c r="E279" s="25">
        <v>19914728112</v>
      </c>
      <c r="F279" s="175" t="s">
        <v>156</v>
      </c>
      <c r="G279" s="175" t="s">
        <v>13</v>
      </c>
      <c r="H279" s="25">
        <v>202102003</v>
      </c>
      <c r="I279" s="175" t="s">
        <v>705</v>
      </c>
      <c r="J279" s="175" t="s">
        <v>1413</v>
      </c>
      <c r="K279" s="175" t="s">
        <v>3650</v>
      </c>
      <c r="L279" s="175" t="s">
        <v>170</v>
      </c>
      <c r="M279" s="175" t="s">
        <v>455</v>
      </c>
      <c r="N279" s="175" t="s">
        <v>3651</v>
      </c>
      <c r="O279" s="25">
        <v>0</v>
      </c>
      <c r="P279" s="26" t="str">
        <f>_xlfn.DISPIMG("ID_5D17E050202348DFAA14EEF8D985F66D",1)</f>
        <v>=DISPIMG("ID_5D17E050202348DFAA14EEF8D985F66D",1)</v>
      </c>
      <c r="Q279" s="25" t="s">
        <v>3652</v>
      </c>
      <c r="R279" s="25">
        <v>464</v>
      </c>
      <c r="S279" s="40" t="s">
        <v>4619</v>
      </c>
      <c r="T279" s="18" t="s">
        <v>55</v>
      </c>
      <c r="U279" s="25">
        <v>27</v>
      </c>
      <c r="V279" s="25">
        <v>80.5</v>
      </c>
      <c r="W279" s="25">
        <v>54</v>
      </c>
    </row>
    <row r="280" s="34" customFormat="1" hidden="1" customHeight="1" spans="1:23">
      <c r="A280" s="25">
        <v>15</v>
      </c>
      <c r="B280" s="175" t="s">
        <v>2156</v>
      </c>
      <c r="C280" s="175" t="s">
        <v>165</v>
      </c>
      <c r="D280" s="175" t="s">
        <v>2157</v>
      </c>
      <c r="E280" s="25">
        <v>17707083376</v>
      </c>
      <c r="F280" s="175" t="s">
        <v>156</v>
      </c>
      <c r="G280" s="175" t="s">
        <v>13</v>
      </c>
      <c r="H280" s="25">
        <v>202102003</v>
      </c>
      <c r="I280" s="175" t="s">
        <v>157</v>
      </c>
      <c r="J280" s="175" t="s">
        <v>2159</v>
      </c>
      <c r="K280" s="175" t="s">
        <v>179</v>
      </c>
      <c r="L280" s="175" t="s">
        <v>170</v>
      </c>
      <c r="M280" s="175" t="s">
        <v>2160</v>
      </c>
      <c r="N280" s="175" t="s">
        <v>13</v>
      </c>
      <c r="O280" s="175" t="s">
        <v>2161</v>
      </c>
      <c r="P280" s="26" t="str">
        <f>_xlfn.DISPIMG("ID_40A8AEA41DF44D5AB3229E18DF729A74",1)</f>
        <v>=DISPIMG("ID_40A8AEA41DF44D5AB3229E18DF729A74",1)</v>
      </c>
      <c r="Q280" s="25" t="s">
        <v>2162</v>
      </c>
      <c r="R280" s="25">
        <v>253</v>
      </c>
      <c r="S280" s="40" t="s">
        <v>4584</v>
      </c>
      <c r="T280" s="18" t="s">
        <v>54</v>
      </c>
      <c r="U280" s="25">
        <v>28</v>
      </c>
      <c r="V280" s="25">
        <v>78</v>
      </c>
      <c r="W280" s="25">
        <v>55</v>
      </c>
    </row>
    <row r="281" s="34" customFormat="1" hidden="1" customHeight="1" spans="1:23">
      <c r="A281" s="25">
        <v>9</v>
      </c>
      <c r="B281" s="175" t="s">
        <v>2932</v>
      </c>
      <c r="C281" s="175" t="s">
        <v>165</v>
      </c>
      <c r="D281" s="175" t="s">
        <v>2933</v>
      </c>
      <c r="E281" s="25">
        <v>13870255583</v>
      </c>
      <c r="F281" s="175" t="s">
        <v>156</v>
      </c>
      <c r="G281" s="175" t="s">
        <v>13</v>
      </c>
      <c r="H281" s="25">
        <v>202102003</v>
      </c>
      <c r="I281" s="175" t="s">
        <v>157</v>
      </c>
      <c r="J281" s="175" t="s">
        <v>385</v>
      </c>
      <c r="K281" s="175" t="s">
        <v>1832</v>
      </c>
      <c r="L281" s="175" t="s">
        <v>160</v>
      </c>
      <c r="M281" s="175" t="s">
        <v>2935</v>
      </c>
      <c r="N281" s="175" t="s">
        <v>487</v>
      </c>
      <c r="O281" s="175" t="s">
        <v>2936</v>
      </c>
      <c r="P281" s="26" t="str">
        <f>_xlfn.DISPIMG("ID_63C75D62D3BC4F35AC4FD3D224F21D03",1)</f>
        <v>=DISPIMG("ID_63C75D62D3BC4F35AC4FD3D224F21D03",1)</v>
      </c>
      <c r="Q281" s="25" t="s">
        <v>2937</v>
      </c>
      <c r="R281" s="25">
        <v>360</v>
      </c>
      <c r="S281" s="40" t="s">
        <v>4608</v>
      </c>
      <c r="T281" s="18" t="s">
        <v>55</v>
      </c>
      <c r="U281" s="25">
        <v>20</v>
      </c>
      <c r="V281" s="25">
        <v>78</v>
      </c>
      <c r="W281" s="25">
        <v>55</v>
      </c>
    </row>
    <row r="282" s="34" customFormat="1" hidden="1" customHeight="1" spans="1:23">
      <c r="A282" s="25">
        <v>14</v>
      </c>
      <c r="B282" s="175" t="s">
        <v>3255</v>
      </c>
      <c r="C282" s="175" t="s">
        <v>165</v>
      </c>
      <c r="D282" s="175" t="s">
        <v>3256</v>
      </c>
      <c r="E282" s="25">
        <v>18770283607</v>
      </c>
      <c r="F282" s="175" t="s">
        <v>156</v>
      </c>
      <c r="G282" s="175" t="s">
        <v>13</v>
      </c>
      <c r="H282" s="25">
        <v>202102003</v>
      </c>
      <c r="I282" s="175" t="s">
        <v>157</v>
      </c>
      <c r="J282" s="175" t="s">
        <v>611</v>
      </c>
      <c r="K282" s="175" t="s">
        <v>179</v>
      </c>
      <c r="L282" s="175" t="s">
        <v>160</v>
      </c>
      <c r="M282" s="175" t="s">
        <v>577</v>
      </c>
      <c r="N282" s="175" t="s">
        <v>3258</v>
      </c>
      <c r="O282" s="175" t="s">
        <v>3259</v>
      </c>
      <c r="P282" s="26" t="str">
        <f>_xlfn.DISPIMG("ID_9640DE1808F9498F8612547EA44506E8",1)</f>
        <v>=DISPIMG("ID_9640DE1808F9498F8612547EA44506E8",1)</v>
      </c>
      <c r="Q282" s="25" t="s">
        <v>3260</v>
      </c>
      <c r="R282" s="25">
        <v>406</v>
      </c>
      <c r="S282" s="40" t="s">
        <v>4613</v>
      </c>
      <c r="T282" s="18" t="s">
        <v>55</v>
      </c>
      <c r="U282" s="25">
        <v>21</v>
      </c>
      <c r="V282" s="25">
        <v>78</v>
      </c>
      <c r="W282" s="25">
        <v>55</v>
      </c>
    </row>
    <row r="283" s="34" customFormat="1" hidden="1" customHeight="1" spans="1:23">
      <c r="A283" s="25">
        <v>19</v>
      </c>
      <c r="B283" s="175" t="s">
        <v>1192</v>
      </c>
      <c r="C283" s="175" t="s">
        <v>165</v>
      </c>
      <c r="D283" s="175" t="s">
        <v>1193</v>
      </c>
      <c r="E283" s="25">
        <v>18079223375</v>
      </c>
      <c r="F283" s="175" t="s">
        <v>156</v>
      </c>
      <c r="G283" s="175" t="s">
        <v>13</v>
      </c>
      <c r="H283" s="25">
        <v>202102003</v>
      </c>
      <c r="I283" s="175" t="s">
        <v>157</v>
      </c>
      <c r="J283" s="175" t="s">
        <v>233</v>
      </c>
      <c r="K283" s="175" t="s">
        <v>1195</v>
      </c>
      <c r="L283" s="175" t="s">
        <v>170</v>
      </c>
      <c r="M283" s="175" t="s">
        <v>587</v>
      </c>
      <c r="N283" s="175" t="s">
        <v>13</v>
      </c>
      <c r="O283" s="175" t="s">
        <v>1196</v>
      </c>
      <c r="P283" s="26" t="str">
        <f>_xlfn.DISPIMG("ID_1776A5AD18184E18978F80ADFFF4A0AF",1)</f>
        <v>=DISPIMG("ID_1776A5AD18184E18978F80ADFFF4A0AF",1)</v>
      </c>
      <c r="Q283" s="25" t="s">
        <v>1197</v>
      </c>
      <c r="R283" s="25">
        <v>126</v>
      </c>
      <c r="S283" s="40" t="s">
        <v>4558</v>
      </c>
      <c r="T283" s="18" t="s">
        <v>52</v>
      </c>
      <c r="U283" s="25">
        <v>22</v>
      </c>
      <c r="V283" s="25">
        <v>76</v>
      </c>
      <c r="W283" s="25">
        <v>58</v>
      </c>
    </row>
    <row r="284" s="34" customFormat="1" hidden="1" customHeight="1" spans="1:23">
      <c r="A284" s="25">
        <v>23</v>
      </c>
      <c r="B284" s="175" t="s">
        <v>1357</v>
      </c>
      <c r="C284" s="175" t="s">
        <v>165</v>
      </c>
      <c r="D284" s="175" t="s">
        <v>1358</v>
      </c>
      <c r="E284" s="25">
        <v>19977181836</v>
      </c>
      <c r="F284" s="175" t="s">
        <v>156</v>
      </c>
      <c r="G284" s="175" t="s">
        <v>13</v>
      </c>
      <c r="H284" s="25">
        <v>202102003</v>
      </c>
      <c r="I284" s="175" t="s">
        <v>157</v>
      </c>
      <c r="J284" s="175" t="s">
        <v>1360</v>
      </c>
      <c r="K284" s="175" t="s">
        <v>223</v>
      </c>
      <c r="L284" s="175" t="s">
        <v>170</v>
      </c>
      <c r="M284" s="175" t="s">
        <v>587</v>
      </c>
      <c r="N284" s="175" t="s">
        <v>1361</v>
      </c>
      <c r="O284" s="175" t="s">
        <v>1362</v>
      </c>
      <c r="P284" s="26" t="str">
        <f>_xlfn.DISPIMG("ID_F234455BC8F04A26B7C1140CBE7FB1F1",1)</f>
        <v>=DISPIMG("ID_F234455BC8F04A26B7C1140CBE7FB1F1",1)</v>
      </c>
      <c r="Q284" s="25" t="s">
        <v>1363</v>
      </c>
      <c r="R284" s="25">
        <v>148</v>
      </c>
      <c r="S284" s="40" t="s">
        <v>4562</v>
      </c>
      <c r="T284" s="18" t="s">
        <v>52</v>
      </c>
      <c r="U284" s="25">
        <v>14</v>
      </c>
      <c r="V284" s="25">
        <v>75</v>
      </c>
      <c r="W284" s="25">
        <v>59</v>
      </c>
    </row>
    <row r="285" s="34" customFormat="1" hidden="1" customHeight="1" spans="1:23">
      <c r="A285" s="25">
        <v>16</v>
      </c>
      <c r="B285" s="175" t="s">
        <v>3351</v>
      </c>
      <c r="C285" s="175" t="s">
        <v>165</v>
      </c>
      <c r="D285" s="175" t="s">
        <v>3352</v>
      </c>
      <c r="E285" s="25">
        <v>18720295129</v>
      </c>
      <c r="F285" s="175" t="s">
        <v>156</v>
      </c>
      <c r="G285" s="175" t="s">
        <v>13</v>
      </c>
      <c r="H285" s="25">
        <v>202102003</v>
      </c>
      <c r="I285" s="175" t="s">
        <v>279</v>
      </c>
      <c r="J285" s="175" t="s">
        <v>158</v>
      </c>
      <c r="K285" s="175" t="s">
        <v>223</v>
      </c>
      <c r="L285" s="175" t="s">
        <v>170</v>
      </c>
      <c r="M285" s="175" t="s">
        <v>180</v>
      </c>
      <c r="N285" s="175" t="s">
        <v>3354</v>
      </c>
      <c r="O285" s="175" t="s">
        <v>3355</v>
      </c>
      <c r="P285" s="26" t="str">
        <f>_xlfn.DISPIMG("ID_74A8F2037BB844E7BAC2F04950084CD2",1)</f>
        <v>=DISPIMG("ID_74A8F2037BB844E7BAC2F04950084CD2",1)</v>
      </c>
      <c r="Q285" s="25" t="s">
        <v>3356</v>
      </c>
      <c r="R285" s="25">
        <v>422</v>
      </c>
      <c r="S285" s="40" t="s">
        <v>4615</v>
      </c>
      <c r="T285" s="18" t="s">
        <v>55</v>
      </c>
      <c r="U285" s="25">
        <v>3</v>
      </c>
      <c r="V285" s="25">
        <v>75</v>
      </c>
      <c r="W285" s="25">
        <v>59</v>
      </c>
    </row>
    <row r="286" s="34" customFormat="1" hidden="1" customHeight="1" spans="1:23">
      <c r="A286" s="25">
        <v>17</v>
      </c>
      <c r="B286" s="175" t="s">
        <v>1176</v>
      </c>
      <c r="C286" s="175" t="s">
        <v>165</v>
      </c>
      <c r="D286" s="175" t="s">
        <v>1177</v>
      </c>
      <c r="E286" s="25">
        <v>13782906805</v>
      </c>
      <c r="F286" s="175" t="s">
        <v>156</v>
      </c>
      <c r="G286" s="175" t="s">
        <v>13</v>
      </c>
      <c r="H286" s="25">
        <v>202102003</v>
      </c>
      <c r="I286" s="175" t="s">
        <v>157</v>
      </c>
      <c r="J286" s="175" t="s">
        <v>1179</v>
      </c>
      <c r="K286" s="175" t="s">
        <v>298</v>
      </c>
      <c r="L286" s="175" t="s">
        <v>160</v>
      </c>
      <c r="M286" s="175" t="s">
        <v>171</v>
      </c>
      <c r="N286" s="175" t="s">
        <v>13</v>
      </c>
      <c r="O286" s="175" t="s">
        <v>1180</v>
      </c>
      <c r="P286" s="26" t="str">
        <f>_xlfn.DISPIMG("ID_DB5AD54F043740C8B3AEB4879C927DCC",1)</f>
        <v>=DISPIMG("ID_DB5AD54F043740C8B3AEB4879C927DCC",1)</v>
      </c>
      <c r="Q286" s="25" t="s">
        <v>1181</v>
      </c>
      <c r="R286" s="25">
        <v>124</v>
      </c>
      <c r="S286" s="40" t="s">
        <v>4556</v>
      </c>
      <c r="T286" s="18" t="s">
        <v>52</v>
      </c>
      <c r="U286" s="25">
        <v>10</v>
      </c>
      <c r="V286" s="25">
        <v>0</v>
      </c>
      <c r="W286" s="25"/>
    </row>
    <row r="287" s="34" customFormat="1" hidden="1" customHeight="1" spans="1:23">
      <c r="A287" s="25">
        <v>27</v>
      </c>
      <c r="B287" s="175" t="s">
        <v>1503</v>
      </c>
      <c r="C287" s="175" t="s">
        <v>165</v>
      </c>
      <c r="D287" s="175" t="s">
        <v>1504</v>
      </c>
      <c r="E287" s="25">
        <v>15070911038</v>
      </c>
      <c r="F287" s="175" t="s">
        <v>156</v>
      </c>
      <c r="G287" s="175" t="s">
        <v>13</v>
      </c>
      <c r="H287" s="25">
        <v>202102003</v>
      </c>
      <c r="I287" s="175" t="s">
        <v>157</v>
      </c>
      <c r="J287" s="175" t="s">
        <v>827</v>
      </c>
      <c r="K287" s="175" t="s">
        <v>223</v>
      </c>
      <c r="L287" s="175" t="s">
        <v>170</v>
      </c>
      <c r="M287" s="175" t="s">
        <v>180</v>
      </c>
      <c r="N287" s="175" t="s">
        <v>1506</v>
      </c>
      <c r="O287" s="175" t="s">
        <v>1507</v>
      </c>
      <c r="P287" s="26" t="str">
        <f>_xlfn.DISPIMG("ID_ADCECB4C3BFF4D9FA761F0B3617DDB20",1)</f>
        <v>=DISPIMG("ID_ADCECB4C3BFF4D9FA761F0B3617DDB20",1)</v>
      </c>
      <c r="Q287" s="25" t="s">
        <v>1508</v>
      </c>
      <c r="R287" s="25">
        <v>167</v>
      </c>
      <c r="S287" s="40" t="s">
        <v>4566</v>
      </c>
      <c r="T287" s="18" t="s">
        <v>52</v>
      </c>
      <c r="U287" s="25">
        <v>12</v>
      </c>
      <c r="V287" s="25">
        <v>0</v>
      </c>
      <c r="W287" s="25"/>
    </row>
    <row r="288" s="34" customFormat="1" hidden="1" customHeight="1" spans="1:23">
      <c r="A288" s="25">
        <v>8</v>
      </c>
      <c r="B288" s="175" t="s">
        <v>484</v>
      </c>
      <c r="C288" s="175" t="s">
        <v>165</v>
      </c>
      <c r="D288" s="175" t="s">
        <v>485</v>
      </c>
      <c r="E288" s="25">
        <v>15079175289</v>
      </c>
      <c r="F288" s="175" t="s">
        <v>156</v>
      </c>
      <c r="G288" s="175" t="s">
        <v>13</v>
      </c>
      <c r="H288" s="25">
        <v>202102003</v>
      </c>
      <c r="I288" s="175" t="s">
        <v>279</v>
      </c>
      <c r="J288" s="175" t="s">
        <v>178</v>
      </c>
      <c r="K288" s="175" t="s">
        <v>223</v>
      </c>
      <c r="L288" s="175" t="s">
        <v>170</v>
      </c>
      <c r="M288" s="175" t="s">
        <v>180</v>
      </c>
      <c r="N288" s="175" t="s">
        <v>487</v>
      </c>
      <c r="O288" s="175" t="s">
        <v>488</v>
      </c>
      <c r="P288" s="26" t="str">
        <f>_xlfn.DISPIMG("ID_090E35C53BC1424DB22E97EDD7B66993",1)</f>
        <v>=DISPIMG("ID_090E35C53BC1424DB22E97EDD7B66993",1)</v>
      </c>
      <c r="Q288" s="25" t="s">
        <v>489</v>
      </c>
      <c r="R288" s="25">
        <v>39</v>
      </c>
      <c r="S288" s="40" t="s">
        <v>4547</v>
      </c>
      <c r="T288" s="18" t="s">
        <v>52</v>
      </c>
      <c r="U288" s="25">
        <v>17</v>
      </c>
      <c r="V288" s="25">
        <v>0</v>
      </c>
      <c r="W288" s="25"/>
    </row>
    <row r="289" s="34" customFormat="1" hidden="1" customHeight="1" spans="1:23">
      <c r="A289" s="25">
        <v>14</v>
      </c>
      <c r="B289" s="175" t="s">
        <v>994</v>
      </c>
      <c r="C289" s="175" t="s">
        <v>165</v>
      </c>
      <c r="D289" s="175" t="s">
        <v>995</v>
      </c>
      <c r="E289" s="25">
        <v>15079132554</v>
      </c>
      <c r="F289" s="175" t="s">
        <v>156</v>
      </c>
      <c r="G289" s="175" t="s">
        <v>13</v>
      </c>
      <c r="H289" s="25">
        <v>202102003</v>
      </c>
      <c r="I289" s="175" t="s">
        <v>157</v>
      </c>
      <c r="J289" s="175" t="s">
        <v>197</v>
      </c>
      <c r="K289" s="175" t="s">
        <v>179</v>
      </c>
      <c r="L289" s="175" t="s">
        <v>160</v>
      </c>
      <c r="M289" s="175" t="s">
        <v>180</v>
      </c>
      <c r="N289" s="175" t="s">
        <v>997</v>
      </c>
      <c r="O289" s="175" t="s">
        <v>998</v>
      </c>
      <c r="P289" s="26" t="str">
        <f>_xlfn.DISPIMG("ID_10318FA0EB2E4E7ABCD18627E825B2DF",1)</f>
        <v>=DISPIMG("ID_10318FA0EB2E4E7ABCD18627E825B2DF",1)</v>
      </c>
      <c r="Q289" s="25" t="s">
        <v>999</v>
      </c>
      <c r="R289" s="25">
        <v>101</v>
      </c>
      <c r="S289" s="40" t="s">
        <v>4553</v>
      </c>
      <c r="T289" s="18" t="s">
        <v>52</v>
      </c>
      <c r="U289" s="25">
        <v>21</v>
      </c>
      <c r="V289" s="25">
        <v>0</v>
      </c>
      <c r="W289" s="25"/>
    </row>
    <row r="290" s="34" customFormat="1" hidden="1" customHeight="1" spans="1:23">
      <c r="A290" s="25">
        <v>29</v>
      </c>
      <c r="B290" s="175" t="s">
        <v>1643</v>
      </c>
      <c r="C290" s="175" t="s">
        <v>153</v>
      </c>
      <c r="D290" s="175" t="s">
        <v>1644</v>
      </c>
      <c r="E290" s="25">
        <v>18351336229</v>
      </c>
      <c r="F290" s="175" t="s">
        <v>156</v>
      </c>
      <c r="G290" s="175" t="s">
        <v>13</v>
      </c>
      <c r="H290" s="25">
        <v>202102003</v>
      </c>
      <c r="I290" s="175" t="s">
        <v>157</v>
      </c>
      <c r="J290" s="175" t="s">
        <v>1646</v>
      </c>
      <c r="K290" s="175" t="s">
        <v>1647</v>
      </c>
      <c r="L290" s="175" t="s">
        <v>160</v>
      </c>
      <c r="M290" s="175" t="s">
        <v>261</v>
      </c>
      <c r="N290" s="175" t="s">
        <v>1506</v>
      </c>
      <c r="O290" s="25">
        <v>0</v>
      </c>
      <c r="P290" s="26" t="str">
        <f>_xlfn.DISPIMG("ID_B4AD11310DDA4138B05F8034BA3D88DD",1)</f>
        <v>=DISPIMG("ID_B4AD11310DDA4138B05F8034BA3D88DD",1)</v>
      </c>
      <c r="Q290" s="25" t="s">
        <v>1648</v>
      </c>
      <c r="R290" s="25">
        <v>185</v>
      </c>
      <c r="S290" s="40" t="s">
        <v>4568</v>
      </c>
      <c r="T290" s="18" t="s">
        <v>52</v>
      </c>
      <c r="U290" s="25">
        <v>24</v>
      </c>
      <c r="V290" s="25">
        <v>0</v>
      </c>
      <c r="W290" s="25"/>
    </row>
    <row r="291" s="34" customFormat="1" hidden="1" customHeight="1" spans="1:23">
      <c r="A291" s="25">
        <v>25</v>
      </c>
      <c r="B291" s="175" t="s">
        <v>1477</v>
      </c>
      <c r="C291" s="175" t="s">
        <v>153</v>
      </c>
      <c r="D291" s="175" t="s">
        <v>1478</v>
      </c>
      <c r="E291" s="25">
        <v>15779705216</v>
      </c>
      <c r="F291" s="175" t="s">
        <v>156</v>
      </c>
      <c r="G291" s="175" t="s">
        <v>13</v>
      </c>
      <c r="H291" s="25">
        <v>202102003</v>
      </c>
      <c r="I291" s="175" t="s">
        <v>157</v>
      </c>
      <c r="J291" s="175" t="s">
        <v>1480</v>
      </c>
      <c r="K291" s="175" t="s">
        <v>1481</v>
      </c>
      <c r="L291" s="175" t="s">
        <v>160</v>
      </c>
      <c r="M291" s="175" t="s">
        <v>235</v>
      </c>
      <c r="N291" s="175" t="s">
        <v>13</v>
      </c>
      <c r="O291" s="175" t="s">
        <v>1482</v>
      </c>
      <c r="P291" s="26" t="str">
        <f>_xlfn.DISPIMG("ID_7EA9DB823A764F28A536B4FEC9EB2A2B",1)</f>
        <v>=DISPIMG("ID_7EA9DB823A764F28A536B4FEC9EB2A2B",1)</v>
      </c>
      <c r="Q291" s="25" t="s">
        <v>1483</v>
      </c>
      <c r="R291" s="25">
        <v>164</v>
      </c>
      <c r="S291" s="40" t="s">
        <v>4564</v>
      </c>
      <c r="T291" s="18" t="s">
        <v>52</v>
      </c>
      <c r="U291" s="25">
        <v>26</v>
      </c>
      <c r="V291" s="25">
        <v>0</v>
      </c>
      <c r="W291" s="25"/>
    </row>
    <row r="292" s="34" customFormat="1" hidden="1" customHeight="1" spans="1:23">
      <c r="A292" s="25">
        <v>26</v>
      </c>
      <c r="B292" s="175" t="s">
        <v>2585</v>
      </c>
      <c r="C292" s="175" t="s">
        <v>153</v>
      </c>
      <c r="D292" s="175" t="s">
        <v>2586</v>
      </c>
      <c r="E292" s="25">
        <v>18870098307</v>
      </c>
      <c r="F292" s="175" t="s">
        <v>156</v>
      </c>
      <c r="G292" s="175" t="s">
        <v>13</v>
      </c>
      <c r="H292" s="25">
        <v>202102003</v>
      </c>
      <c r="I292" s="175" t="s">
        <v>157</v>
      </c>
      <c r="J292" s="175" t="s">
        <v>233</v>
      </c>
      <c r="K292" s="175" t="s">
        <v>179</v>
      </c>
      <c r="L292" s="175" t="s">
        <v>160</v>
      </c>
      <c r="M292" s="175" t="s">
        <v>2298</v>
      </c>
      <c r="N292" s="175" t="s">
        <v>1692</v>
      </c>
      <c r="O292" s="175" t="s">
        <v>2588</v>
      </c>
      <c r="P292" s="26" t="str">
        <f>_xlfn.DISPIMG("ID_C226BACFF043492F9C2831E3F2035CBF",1)</f>
        <v>=DISPIMG("ID_C226BACFF043492F9C2831E3F2035CBF",1)</v>
      </c>
      <c r="Q292" s="25" t="s">
        <v>2589</v>
      </c>
      <c r="R292" s="25">
        <v>310</v>
      </c>
      <c r="S292" s="40" t="s">
        <v>4595</v>
      </c>
      <c r="T292" s="18" t="s">
        <v>54</v>
      </c>
      <c r="U292" s="25">
        <v>1</v>
      </c>
      <c r="V292" s="25">
        <v>0</v>
      </c>
      <c r="W292" s="25"/>
    </row>
    <row r="293" s="34" customFormat="1" hidden="1" customHeight="1" spans="1:23">
      <c r="A293" s="25">
        <v>21</v>
      </c>
      <c r="B293" s="175" t="s">
        <v>2303</v>
      </c>
      <c r="C293" s="175" t="s">
        <v>165</v>
      </c>
      <c r="D293" s="175" t="s">
        <v>2304</v>
      </c>
      <c r="E293" s="25">
        <v>18397921329</v>
      </c>
      <c r="F293" s="175" t="s">
        <v>156</v>
      </c>
      <c r="G293" s="175" t="s">
        <v>13</v>
      </c>
      <c r="H293" s="25">
        <v>202102003</v>
      </c>
      <c r="I293" s="175" t="s">
        <v>157</v>
      </c>
      <c r="J293" s="175" t="s">
        <v>233</v>
      </c>
      <c r="K293" s="175" t="s">
        <v>1832</v>
      </c>
      <c r="L293" s="175" t="s">
        <v>160</v>
      </c>
      <c r="M293" s="175" t="s">
        <v>161</v>
      </c>
      <c r="N293" s="175" t="s">
        <v>2284</v>
      </c>
      <c r="O293" s="25">
        <v>0</v>
      </c>
      <c r="P293" s="26" t="str">
        <f>_xlfn.DISPIMG("ID_D3E1E42587914F6EA2229B8441CD1EF2",1)</f>
        <v>=DISPIMG("ID_D3E1E42587914F6EA2229B8441CD1EF2",1)</v>
      </c>
      <c r="Q293" s="25" t="s">
        <v>2306</v>
      </c>
      <c r="R293" s="25">
        <v>272</v>
      </c>
      <c r="S293" s="40" t="s">
        <v>4590</v>
      </c>
      <c r="T293" s="18" t="s">
        <v>54</v>
      </c>
      <c r="U293" s="25">
        <v>2</v>
      </c>
      <c r="V293" s="25">
        <v>0</v>
      </c>
      <c r="W293" s="25"/>
    </row>
    <row r="294" s="35" customFormat="1" hidden="1" customHeight="1" spans="1:23">
      <c r="A294" s="25">
        <v>2</v>
      </c>
      <c r="B294" s="175" t="s">
        <v>1759</v>
      </c>
      <c r="C294" s="175" t="s">
        <v>165</v>
      </c>
      <c r="D294" s="175" t="s">
        <v>1760</v>
      </c>
      <c r="E294" s="25">
        <v>13450834436</v>
      </c>
      <c r="F294" s="175" t="s">
        <v>156</v>
      </c>
      <c r="G294" s="175" t="s">
        <v>13</v>
      </c>
      <c r="H294" s="25">
        <v>202102003</v>
      </c>
      <c r="I294" s="175" t="s">
        <v>279</v>
      </c>
      <c r="J294" s="175" t="s">
        <v>158</v>
      </c>
      <c r="K294" s="175" t="s">
        <v>298</v>
      </c>
      <c r="L294" s="175" t="s">
        <v>160</v>
      </c>
      <c r="M294" s="175" t="s">
        <v>910</v>
      </c>
      <c r="N294" s="175" t="s">
        <v>13</v>
      </c>
      <c r="O294" s="175" t="s">
        <v>1762</v>
      </c>
      <c r="P294" s="26" t="str">
        <f>_xlfn.DISPIMG("ID_6061453C50E94D60AD50D7D119779DE5",1)</f>
        <v>=DISPIMG("ID_6061453C50E94D60AD50D7D119779DE5",1)</v>
      </c>
      <c r="Q294" s="25" t="s">
        <v>1763</v>
      </c>
      <c r="R294" s="25">
        <v>200</v>
      </c>
      <c r="S294" s="40" t="s">
        <v>4571</v>
      </c>
      <c r="T294" s="18" t="s">
        <v>54</v>
      </c>
      <c r="U294" s="25">
        <v>7</v>
      </c>
      <c r="V294" s="25">
        <v>0</v>
      </c>
      <c r="W294" s="25"/>
    </row>
    <row r="295" s="34" customFormat="1" hidden="1" customHeight="1" spans="1:23">
      <c r="A295" s="25">
        <v>7</v>
      </c>
      <c r="B295" s="175" t="s">
        <v>1997</v>
      </c>
      <c r="C295" s="175" t="s">
        <v>165</v>
      </c>
      <c r="D295" s="175" t="s">
        <v>1998</v>
      </c>
      <c r="E295" s="25">
        <v>15270177023</v>
      </c>
      <c r="F295" s="175" t="s">
        <v>156</v>
      </c>
      <c r="G295" s="175" t="s">
        <v>13</v>
      </c>
      <c r="H295" s="25">
        <v>202102003</v>
      </c>
      <c r="I295" s="175" t="s">
        <v>157</v>
      </c>
      <c r="J295" s="175" t="s">
        <v>158</v>
      </c>
      <c r="K295" s="175" t="s">
        <v>2000</v>
      </c>
      <c r="L295" s="175" t="s">
        <v>160</v>
      </c>
      <c r="M295" s="175" t="s">
        <v>161</v>
      </c>
      <c r="N295" s="175" t="s">
        <v>13</v>
      </c>
      <c r="O295" s="25">
        <v>0</v>
      </c>
      <c r="P295" s="26" t="str">
        <f>_xlfn.DISPIMG("ID_08A4D05852A0412E805E12227EDF1C33",1)</f>
        <v>=DISPIMG("ID_08A4D05852A0412E805E12227EDF1C33",1)</v>
      </c>
      <c r="Q295" s="25" t="s">
        <v>2001</v>
      </c>
      <c r="R295" s="25">
        <v>232</v>
      </c>
      <c r="S295" s="40" t="s">
        <v>4576</v>
      </c>
      <c r="T295" s="18" t="s">
        <v>54</v>
      </c>
      <c r="U295" s="25">
        <v>8</v>
      </c>
      <c r="V295" s="25">
        <v>0</v>
      </c>
      <c r="W295" s="25"/>
    </row>
    <row r="296" s="34" customFormat="1" hidden="1" customHeight="1" spans="1:23">
      <c r="A296" s="25">
        <v>22</v>
      </c>
      <c r="B296" s="175" t="s">
        <v>2422</v>
      </c>
      <c r="C296" s="175" t="s">
        <v>165</v>
      </c>
      <c r="D296" s="175" t="s">
        <v>2423</v>
      </c>
      <c r="E296" s="25">
        <v>18720291058</v>
      </c>
      <c r="F296" s="175" t="s">
        <v>156</v>
      </c>
      <c r="G296" s="175" t="s">
        <v>13</v>
      </c>
      <c r="H296" s="25">
        <v>202102003</v>
      </c>
      <c r="I296" s="175" t="s">
        <v>157</v>
      </c>
      <c r="J296" s="175" t="s">
        <v>2425</v>
      </c>
      <c r="K296" s="175" t="s">
        <v>395</v>
      </c>
      <c r="L296" s="175" t="s">
        <v>160</v>
      </c>
      <c r="M296" s="175" t="s">
        <v>577</v>
      </c>
      <c r="N296" s="175" t="s">
        <v>324</v>
      </c>
      <c r="O296" s="175" t="s">
        <v>2426</v>
      </c>
      <c r="P296" s="26" t="str">
        <f>_xlfn.DISPIMG("ID_93FC4398D0D24B119D9D1B8E0038C2BD",1)</f>
        <v>=DISPIMG("ID_93FC4398D0D24B119D9D1B8E0038C2BD",1)</v>
      </c>
      <c r="Q296" s="25" t="s">
        <v>2427</v>
      </c>
      <c r="R296" s="25">
        <v>288</v>
      </c>
      <c r="S296" s="40" t="s">
        <v>4591</v>
      </c>
      <c r="T296" s="18" t="s">
        <v>54</v>
      </c>
      <c r="U296" s="25">
        <v>11</v>
      </c>
      <c r="V296" s="25">
        <v>0</v>
      </c>
      <c r="W296" s="25"/>
    </row>
    <row r="297" s="34" customFormat="1" hidden="1" customHeight="1" spans="1:23">
      <c r="A297" s="25">
        <v>18</v>
      </c>
      <c r="B297" s="175" t="s">
        <v>2256</v>
      </c>
      <c r="C297" s="175" t="s">
        <v>165</v>
      </c>
      <c r="D297" s="175" t="s">
        <v>2257</v>
      </c>
      <c r="E297" s="25">
        <v>18379620695</v>
      </c>
      <c r="F297" s="175" t="s">
        <v>156</v>
      </c>
      <c r="G297" s="175" t="s">
        <v>13</v>
      </c>
      <c r="H297" s="25">
        <v>202102003</v>
      </c>
      <c r="I297" s="175" t="s">
        <v>157</v>
      </c>
      <c r="J297" s="175" t="s">
        <v>2259</v>
      </c>
      <c r="K297" s="175" t="s">
        <v>2260</v>
      </c>
      <c r="L297" s="175" t="s">
        <v>170</v>
      </c>
      <c r="M297" s="175" t="s">
        <v>252</v>
      </c>
      <c r="N297" s="175" t="s">
        <v>13</v>
      </c>
      <c r="O297" s="175" t="s">
        <v>2261</v>
      </c>
      <c r="P297" s="26" t="str">
        <f>_xlfn.DISPIMG("ID_796E86B7DB7B4E23A74B2B041E7E25B9",1)</f>
        <v>=DISPIMG("ID_796E86B7DB7B4E23A74B2B041E7E25B9",1)</v>
      </c>
      <c r="Q297" s="25" t="s">
        <v>2262</v>
      </c>
      <c r="R297" s="25">
        <v>266</v>
      </c>
      <c r="S297" s="40" t="s">
        <v>4587</v>
      </c>
      <c r="T297" s="18" t="s">
        <v>54</v>
      </c>
      <c r="U297" s="25">
        <v>15</v>
      </c>
      <c r="V297" s="25">
        <v>0</v>
      </c>
      <c r="W297" s="25"/>
    </row>
    <row r="298" s="34" customFormat="1" hidden="1" customHeight="1" spans="1:23">
      <c r="A298" s="25">
        <v>8</v>
      </c>
      <c r="B298" s="175" t="s">
        <v>2012</v>
      </c>
      <c r="C298" s="175" t="s">
        <v>165</v>
      </c>
      <c r="D298" s="175" t="s">
        <v>2013</v>
      </c>
      <c r="E298" s="25">
        <v>18970612776</v>
      </c>
      <c r="F298" s="175" t="s">
        <v>156</v>
      </c>
      <c r="G298" s="175" t="s">
        <v>13</v>
      </c>
      <c r="H298" s="25">
        <v>202102003</v>
      </c>
      <c r="I298" s="175" t="s">
        <v>279</v>
      </c>
      <c r="J298" s="175" t="s">
        <v>2015</v>
      </c>
      <c r="K298" s="175" t="s">
        <v>223</v>
      </c>
      <c r="L298" s="175" t="s">
        <v>170</v>
      </c>
      <c r="M298" s="175" t="s">
        <v>216</v>
      </c>
      <c r="N298" s="175" t="s">
        <v>2016</v>
      </c>
      <c r="O298" s="175" t="s">
        <v>2017</v>
      </c>
      <c r="P298" s="26" t="str">
        <f>_xlfn.DISPIMG("ID_DBB8A81F2D854EDC847C805211582887",1)</f>
        <v>=DISPIMG("ID_DBB8A81F2D854EDC847C805211582887",1)</v>
      </c>
      <c r="Q298" s="25" t="s">
        <v>2018</v>
      </c>
      <c r="R298" s="25">
        <v>234</v>
      </c>
      <c r="S298" s="40" t="s">
        <v>4577</v>
      </c>
      <c r="T298" s="18" t="s">
        <v>54</v>
      </c>
      <c r="U298" s="25">
        <v>17</v>
      </c>
      <c r="V298" s="25">
        <v>0</v>
      </c>
      <c r="W298" s="25"/>
    </row>
    <row r="299" s="34" customFormat="1" hidden="1" customHeight="1" spans="1:23">
      <c r="A299" s="25">
        <v>14</v>
      </c>
      <c r="B299" s="175" t="s">
        <v>2147</v>
      </c>
      <c r="C299" s="175" t="s">
        <v>165</v>
      </c>
      <c r="D299" s="175" t="s">
        <v>2148</v>
      </c>
      <c r="E299" s="25">
        <v>18870849075</v>
      </c>
      <c r="F299" s="175" t="s">
        <v>156</v>
      </c>
      <c r="G299" s="175" t="s">
        <v>13</v>
      </c>
      <c r="H299" s="25">
        <v>202102003</v>
      </c>
      <c r="I299" s="175" t="s">
        <v>157</v>
      </c>
      <c r="J299" s="175" t="s">
        <v>2150</v>
      </c>
      <c r="K299" s="175" t="s">
        <v>1832</v>
      </c>
      <c r="L299" s="175" t="s">
        <v>160</v>
      </c>
      <c r="M299" s="175" t="s">
        <v>2151</v>
      </c>
      <c r="N299" s="175" t="s">
        <v>13</v>
      </c>
      <c r="O299" s="175" t="s">
        <v>2152</v>
      </c>
      <c r="P299" s="26" t="str">
        <f>_xlfn.DISPIMG("ID_AE861B6E26D2460C9E654A52BE43B6F4",1)</f>
        <v>=DISPIMG("ID_AE861B6E26D2460C9E654A52BE43B6F4",1)</v>
      </c>
      <c r="Q299" s="25" t="s">
        <v>2153</v>
      </c>
      <c r="R299" s="25">
        <v>252</v>
      </c>
      <c r="S299" s="40" t="s">
        <v>4583</v>
      </c>
      <c r="T299" s="18" t="s">
        <v>54</v>
      </c>
      <c r="U299" s="25">
        <v>21</v>
      </c>
      <c r="V299" s="25">
        <v>0</v>
      </c>
      <c r="W299" s="25"/>
    </row>
    <row r="300" s="34" customFormat="1" hidden="1" customHeight="1" spans="1:23">
      <c r="A300" s="25">
        <v>24</v>
      </c>
      <c r="B300" s="175" t="s">
        <v>2547</v>
      </c>
      <c r="C300" s="175" t="s">
        <v>165</v>
      </c>
      <c r="D300" s="175" t="s">
        <v>2548</v>
      </c>
      <c r="E300" s="25">
        <v>18779213164</v>
      </c>
      <c r="F300" s="175" t="s">
        <v>156</v>
      </c>
      <c r="G300" s="175" t="s">
        <v>13</v>
      </c>
      <c r="H300" s="25">
        <v>202102003</v>
      </c>
      <c r="I300" s="175" t="s">
        <v>157</v>
      </c>
      <c r="J300" s="175" t="s">
        <v>158</v>
      </c>
      <c r="K300" s="175" t="s">
        <v>179</v>
      </c>
      <c r="L300" s="175" t="s">
        <v>170</v>
      </c>
      <c r="M300" s="175" t="s">
        <v>2550</v>
      </c>
      <c r="N300" s="175" t="s">
        <v>2551</v>
      </c>
      <c r="O300" s="175" t="s">
        <v>2552</v>
      </c>
      <c r="P300" s="26" t="str">
        <f>_xlfn.DISPIMG("ID_4531DA1F574D4F7CA2AF28BAD514AF1A",1)</f>
        <v>=DISPIMG("ID_4531DA1F574D4F7CA2AF28BAD514AF1A",1)</v>
      </c>
      <c r="Q300" s="25" t="s">
        <v>2553</v>
      </c>
      <c r="R300" s="25">
        <v>305</v>
      </c>
      <c r="S300" s="40" t="s">
        <v>4593</v>
      </c>
      <c r="T300" s="18" t="s">
        <v>54</v>
      </c>
      <c r="U300" s="25">
        <v>23</v>
      </c>
      <c r="V300" s="25">
        <v>0</v>
      </c>
      <c r="W300" s="25"/>
    </row>
    <row r="301" s="34" customFormat="1" hidden="1" customHeight="1" spans="1:23">
      <c r="A301" s="25">
        <v>20</v>
      </c>
      <c r="B301" s="175" t="s">
        <v>2289</v>
      </c>
      <c r="C301" s="175" t="s">
        <v>165</v>
      </c>
      <c r="D301" s="175" t="s">
        <v>2290</v>
      </c>
      <c r="E301" s="25">
        <v>18170815855</v>
      </c>
      <c r="F301" s="175" t="s">
        <v>156</v>
      </c>
      <c r="G301" s="175" t="s">
        <v>13</v>
      </c>
      <c r="H301" s="25">
        <v>202102003</v>
      </c>
      <c r="I301" s="175" t="s">
        <v>157</v>
      </c>
      <c r="J301" s="175" t="s">
        <v>158</v>
      </c>
      <c r="K301" s="175" t="s">
        <v>223</v>
      </c>
      <c r="L301" s="175" t="s">
        <v>170</v>
      </c>
      <c r="M301" s="175" t="s">
        <v>349</v>
      </c>
      <c r="N301" s="175" t="s">
        <v>1692</v>
      </c>
      <c r="O301" s="175" t="s">
        <v>2290</v>
      </c>
      <c r="P301" s="26" t="str">
        <f>_xlfn.DISPIMG("ID_BC3CD3F4A07B4F5DB131E901992815BA",1)</f>
        <v>=DISPIMG("ID_BC3CD3F4A07B4F5DB131E901992815BA",1)</v>
      </c>
      <c r="Q301" s="25" t="s">
        <v>2291</v>
      </c>
      <c r="R301" s="25">
        <v>270</v>
      </c>
      <c r="S301" s="40" t="s">
        <v>4589</v>
      </c>
      <c r="T301" s="18" t="s">
        <v>54</v>
      </c>
      <c r="U301" s="25">
        <v>27</v>
      </c>
      <c r="V301" s="25">
        <v>0</v>
      </c>
      <c r="W301" s="25"/>
    </row>
    <row r="302" s="34" customFormat="1" hidden="1" customHeight="1" spans="1:23">
      <c r="A302" s="25">
        <v>26</v>
      </c>
      <c r="B302" s="175" t="s">
        <v>4021</v>
      </c>
      <c r="C302" s="175" t="s">
        <v>165</v>
      </c>
      <c r="D302" s="175" t="s">
        <v>4022</v>
      </c>
      <c r="E302" s="25">
        <v>15870639139</v>
      </c>
      <c r="F302" s="175" t="s">
        <v>156</v>
      </c>
      <c r="G302" s="175" t="s">
        <v>13</v>
      </c>
      <c r="H302" s="25">
        <v>202102003</v>
      </c>
      <c r="I302" s="175" t="s">
        <v>157</v>
      </c>
      <c r="J302" s="175" t="s">
        <v>1413</v>
      </c>
      <c r="K302" s="175" t="s">
        <v>1122</v>
      </c>
      <c r="L302" s="175" t="s">
        <v>160</v>
      </c>
      <c r="M302" s="175" t="s">
        <v>235</v>
      </c>
      <c r="N302" s="175" t="s">
        <v>487</v>
      </c>
      <c r="O302" s="175" t="s">
        <v>4024</v>
      </c>
      <c r="P302" s="26" t="str">
        <f>_xlfn.DISPIMG("ID_678965A481D64CEABA15E59CA2B84698",1)</f>
        <v>=DISPIMG("ID_678965A481D64CEABA15E59CA2B84698",1)</v>
      </c>
      <c r="Q302" s="25" t="s">
        <v>4025</v>
      </c>
      <c r="R302" s="25">
        <v>514</v>
      </c>
      <c r="S302" s="40" t="s">
        <v>4625</v>
      </c>
      <c r="T302" s="18" t="s">
        <v>55</v>
      </c>
      <c r="U302" s="25">
        <v>1</v>
      </c>
      <c r="V302" s="25">
        <v>0</v>
      </c>
      <c r="W302" s="25"/>
    </row>
    <row r="303" s="34" customFormat="1" hidden="1" customHeight="1" spans="1:23">
      <c r="A303" s="25">
        <v>21</v>
      </c>
      <c r="B303" s="175" t="s">
        <v>3804</v>
      </c>
      <c r="C303" s="175" t="s">
        <v>165</v>
      </c>
      <c r="D303" s="175" t="s">
        <v>3805</v>
      </c>
      <c r="E303" s="25">
        <v>18859568610</v>
      </c>
      <c r="F303" s="175" t="s">
        <v>156</v>
      </c>
      <c r="G303" s="175" t="s">
        <v>13</v>
      </c>
      <c r="H303" s="25">
        <v>202102003</v>
      </c>
      <c r="I303" s="175" t="s">
        <v>157</v>
      </c>
      <c r="J303" s="175" t="s">
        <v>2943</v>
      </c>
      <c r="K303" s="175" t="s">
        <v>179</v>
      </c>
      <c r="L303" s="175" t="s">
        <v>160</v>
      </c>
      <c r="M303" s="175" t="s">
        <v>235</v>
      </c>
      <c r="N303" s="175" t="s">
        <v>1187</v>
      </c>
      <c r="O303" s="175" t="s">
        <v>3807</v>
      </c>
      <c r="P303" s="26" t="str">
        <f>_xlfn.DISPIMG("ID_958C237DE20E4119882FD97115456597",1)</f>
        <v>=DISPIMG("ID_958C237DE20E4119882FD97115456597",1)</v>
      </c>
      <c r="Q303" s="25" t="s">
        <v>3808</v>
      </c>
      <c r="R303" s="25">
        <v>485</v>
      </c>
      <c r="S303" s="40" t="s">
        <v>4620</v>
      </c>
      <c r="T303" s="18" t="s">
        <v>55</v>
      </c>
      <c r="U303" s="25">
        <v>2</v>
      </c>
      <c r="V303" s="25">
        <v>0</v>
      </c>
      <c r="W303" s="25"/>
    </row>
    <row r="304" s="34" customFormat="1" hidden="1" customHeight="1" spans="1:23">
      <c r="A304" s="25">
        <v>12</v>
      </c>
      <c r="B304" s="175" t="s">
        <v>3204</v>
      </c>
      <c r="C304" s="175" t="s">
        <v>165</v>
      </c>
      <c r="D304" s="175" t="s">
        <v>3205</v>
      </c>
      <c r="E304" s="25">
        <v>18270304769</v>
      </c>
      <c r="F304" s="175" t="s">
        <v>156</v>
      </c>
      <c r="G304" s="175" t="s">
        <v>13</v>
      </c>
      <c r="H304" s="25">
        <v>202102003</v>
      </c>
      <c r="I304" s="175" t="s">
        <v>279</v>
      </c>
      <c r="J304" s="175" t="s">
        <v>168</v>
      </c>
      <c r="K304" s="175" t="s">
        <v>223</v>
      </c>
      <c r="L304" s="175" t="s">
        <v>170</v>
      </c>
      <c r="M304" s="175" t="s">
        <v>171</v>
      </c>
      <c r="N304" s="175" t="s">
        <v>13</v>
      </c>
      <c r="O304" s="175" t="s">
        <v>3207</v>
      </c>
      <c r="P304" s="26" t="str">
        <f>_xlfn.DISPIMG("ID_51BC672EACDF4F87BCFEE4B4000126C2",1)</f>
        <v>=DISPIMG("ID_51BC672EACDF4F87BCFEE4B4000126C2",1)</v>
      </c>
      <c r="Q304" s="25" t="s">
        <v>3208</v>
      </c>
      <c r="R304" s="25">
        <v>399</v>
      </c>
      <c r="S304" s="40" t="s">
        <v>4611</v>
      </c>
      <c r="T304" s="18" t="s">
        <v>55</v>
      </c>
      <c r="U304" s="25">
        <v>9</v>
      </c>
      <c r="V304" s="25">
        <v>0</v>
      </c>
      <c r="W304" s="25"/>
    </row>
    <row r="305" s="34" customFormat="1" hidden="1" customHeight="1" spans="1:23">
      <c r="A305" s="25">
        <v>17</v>
      </c>
      <c r="B305" s="175" t="s">
        <v>3409</v>
      </c>
      <c r="C305" s="175" t="s">
        <v>165</v>
      </c>
      <c r="D305" s="175" t="s">
        <v>3410</v>
      </c>
      <c r="E305" s="25">
        <v>15079270221</v>
      </c>
      <c r="F305" s="175" t="s">
        <v>156</v>
      </c>
      <c r="G305" s="175" t="s">
        <v>13</v>
      </c>
      <c r="H305" s="25">
        <v>202102003</v>
      </c>
      <c r="I305" s="175" t="s">
        <v>157</v>
      </c>
      <c r="J305" s="175" t="s">
        <v>158</v>
      </c>
      <c r="K305" s="175" t="s">
        <v>298</v>
      </c>
      <c r="L305" s="175" t="s">
        <v>160</v>
      </c>
      <c r="M305" s="175" t="s">
        <v>306</v>
      </c>
      <c r="N305" s="175" t="s">
        <v>13</v>
      </c>
      <c r="O305" s="175" t="s">
        <v>3412</v>
      </c>
      <c r="P305" s="26" t="str">
        <f>_xlfn.DISPIMG("ID_36F8A707A81B40EC83CC116E77C5C07D",1)</f>
        <v>=DISPIMG("ID_36F8A707A81B40EC83CC116E77C5C07D",1)</v>
      </c>
      <c r="Q305" s="25" t="s">
        <v>3413</v>
      </c>
      <c r="R305" s="25">
        <v>430</v>
      </c>
      <c r="S305" s="40" t="s">
        <v>4616</v>
      </c>
      <c r="T305" s="18" t="s">
        <v>55</v>
      </c>
      <c r="U305" s="25">
        <v>10</v>
      </c>
      <c r="V305" s="25">
        <v>0</v>
      </c>
      <c r="W305" s="25"/>
    </row>
    <row r="306" s="34" customFormat="1" hidden="1" customHeight="1" spans="1:23">
      <c r="A306" s="25">
        <v>22</v>
      </c>
      <c r="B306" s="175" t="s">
        <v>3826</v>
      </c>
      <c r="C306" s="175" t="s">
        <v>165</v>
      </c>
      <c r="D306" s="175" t="s">
        <v>3827</v>
      </c>
      <c r="E306" s="25">
        <v>18379207307</v>
      </c>
      <c r="F306" s="175" t="s">
        <v>156</v>
      </c>
      <c r="G306" s="175" t="s">
        <v>13</v>
      </c>
      <c r="H306" s="25">
        <v>202102003</v>
      </c>
      <c r="I306" s="175" t="s">
        <v>279</v>
      </c>
      <c r="J306" s="175" t="s">
        <v>158</v>
      </c>
      <c r="K306" s="175" t="s">
        <v>223</v>
      </c>
      <c r="L306" s="175" t="s">
        <v>170</v>
      </c>
      <c r="M306" s="175" t="s">
        <v>180</v>
      </c>
      <c r="N306" s="175" t="s">
        <v>487</v>
      </c>
      <c r="O306" s="175" t="s">
        <v>3829</v>
      </c>
      <c r="P306" s="26" t="str">
        <f>_xlfn.DISPIMG("ID_0F27C17184DB40E4ADCCEAF2E242F8D5",1)</f>
        <v>=DISPIMG("ID_0F27C17184DB40E4ADCCEAF2E242F8D5",1)</v>
      </c>
      <c r="Q306" s="25" t="s">
        <v>3830</v>
      </c>
      <c r="R306" s="25">
        <v>488</v>
      </c>
      <c r="S306" s="40" t="s">
        <v>4621</v>
      </c>
      <c r="T306" s="18" t="s">
        <v>55</v>
      </c>
      <c r="U306" s="25">
        <v>11</v>
      </c>
      <c r="V306" s="25">
        <v>0</v>
      </c>
      <c r="W306" s="25"/>
    </row>
    <row r="307" s="34" customFormat="1" hidden="1" customHeight="1" spans="1:23">
      <c r="A307" s="25">
        <v>23</v>
      </c>
      <c r="B307" s="175" t="s">
        <v>3970</v>
      </c>
      <c r="C307" s="175" t="s">
        <v>165</v>
      </c>
      <c r="D307" s="175" t="s">
        <v>3971</v>
      </c>
      <c r="E307" s="25">
        <v>18279298177</v>
      </c>
      <c r="F307" s="175" t="s">
        <v>156</v>
      </c>
      <c r="G307" s="175" t="s">
        <v>13</v>
      </c>
      <c r="H307" s="25">
        <v>202102003</v>
      </c>
      <c r="I307" s="175" t="s">
        <v>157</v>
      </c>
      <c r="J307" s="175" t="s">
        <v>233</v>
      </c>
      <c r="K307" s="175" t="s">
        <v>3973</v>
      </c>
      <c r="L307" s="175" t="s">
        <v>160</v>
      </c>
      <c r="M307" s="175" t="s">
        <v>161</v>
      </c>
      <c r="N307" s="175" t="s">
        <v>25</v>
      </c>
      <c r="O307" s="175" t="s">
        <v>3974</v>
      </c>
      <c r="P307" s="26" t="str">
        <f>_xlfn.DISPIMG("ID_B1F0BA2C377444B08B7692E1B53E42C5",1)</f>
        <v>=DISPIMG("ID_B1F0BA2C377444B08B7692E1B53E42C5",1)</v>
      </c>
      <c r="Q307" s="25" t="s">
        <v>3975</v>
      </c>
      <c r="R307" s="25">
        <v>507</v>
      </c>
      <c r="S307" s="40" t="s">
        <v>4622</v>
      </c>
      <c r="T307" s="18" t="s">
        <v>55</v>
      </c>
      <c r="U307" s="25">
        <v>14</v>
      </c>
      <c r="V307" s="25">
        <v>0</v>
      </c>
      <c r="W307" s="25"/>
    </row>
    <row r="308" s="34" customFormat="1" hidden="1" customHeight="1" spans="1:23">
      <c r="A308" s="25">
        <v>24</v>
      </c>
      <c r="B308" s="175" t="s">
        <v>3991</v>
      </c>
      <c r="C308" s="175" t="s">
        <v>165</v>
      </c>
      <c r="D308" s="175" t="s">
        <v>3992</v>
      </c>
      <c r="E308" s="25">
        <v>15779276924</v>
      </c>
      <c r="F308" s="175" t="s">
        <v>156</v>
      </c>
      <c r="G308" s="175" t="s">
        <v>13</v>
      </c>
      <c r="H308" s="25">
        <v>202102003</v>
      </c>
      <c r="I308" s="175" t="s">
        <v>157</v>
      </c>
      <c r="J308" s="175" t="s">
        <v>158</v>
      </c>
      <c r="K308" s="175" t="s">
        <v>298</v>
      </c>
      <c r="L308" s="175" t="s">
        <v>160</v>
      </c>
      <c r="M308" s="175" t="s">
        <v>171</v>
      </c>
      <c r="N308" s="175" t="s">
        <v>1692</v>
      </c>
      <c r="O308" s="175" t="s">
        <v>3994</v>
      </c>
      <c r="P308" s="26" t="str">
        <f>_xlfn.DISPIMG("ID_78A88502741143D5850B496E71BE5DA0",1)</f>
        <v>=DISPIMG("ID_78A88502741143D5850B496E71BE5DA0",1)</v>
      </c>
      <c r="Q308" s="25" t="s">
        <v>3995</v>
      </c>
      <c r="R308" s="25">
        <v>510</v>
      </c>
      <c r="S308" s="40" t="s">
        <v>4623</v>
      </c>
      <c r="T308" s="18" t="s">
        <v>55</v>
      </c>
      <c r="U308" s="25">
        <v>23</v>
      </c>
      <c r="V308" s="25">
        <v>0</v>
      </c>
      <c r="W308" s="25"/>
    </row>
    <row r="309" s="34" customFormat="1" hidden="1" customHeight="1" spans="1:23">
      <c r="A309" s="25">
        <v>25</v>
      </c>
      <c r="B309" s="175" t="s">
        <v>4013</v>
      </c>
      <c r="C309" s="175" t="s">
        <v>165</v>
      </c>
      <c r="D309" s="175" t="s">
        <v>4014</v>
      </c>
      <c r="E309" s="25">
        <v>18870236365</v>
      </c>
      <c r="F309" s="175" t="s">
        <v>156</v>
      </c>
      <c r="G309" s="175" t="s">
        <v>13</v>
      </c>
      <c r="H309" s="25">
        <v>202102003</v>
      </c>
      <c r="I309" s="175" t="s">
        <v>279</v>
      </c>
      <c r="J309" s="175" t="s">
        <v>158</v>
      </c>
      <c r="K309" s="175" t="s">
        <v>223</v>
      </c>
      <c r="L309" s="175" t="s">
        <v>170</v>
      </c>
      <c r="M309" s="175" t="s">
        <v>306</v>
      </c>
      <c r="N309" s="175" t="s">
        <v>4016</v>
      </c>
      <c r="O309" s="175" t="s">
        <v>4017</v>
      </c>
      <c r="P309" s="26" t="str">
        <f>_xlfn.DISPIMG("ID_4B6C2F7765194334A42FC9F1088827FE",1)</f>
        <v>=DISPIMG("ID_4B6C2F7765194334A42FC9F1088827FE",1)</v>
      </c>
      <c r="Q309" s="25" t="s">
        <v>4018</v>
      </c>
      <c r="R309" s="25">
        <v>513</v>
      </c>
      <c r="S309" s="40" t="s">
        <v>4624</v>
      </c>
      <c r="T309" s="18" t="s">
        <v>55</v>
      </c>
      <c r="U309" s="25">
        <v>26</v>
      </c>
      <c r="V309" s="25">
        <v>0</v>
      </c>
      <c r="W309" s="25"/>
    </row>
    <row r="310" s="34" customFormat="1" hidden="1" customHeight="1" spans="1:23">
      <c r="A310" s="25">
        <v>15</v>
      </c>
      <c r="B310" s="175" t="s">
        <v>3314</v>
      </c>
      <c r="C310" s="175" t="s">
        <v>165</v>
      </c>
      <c r="D310" s="175" t="s">
        <v>3315</v>
      </c>
      <c r="E310" s="25">
        <v>18070403284</v>
      </c>
      <c r="F310" s="175" t="s">
        <v>156</v>
      </c>
      <c r="G310" s="175" t="s">
        <v>13</v>
      </c>
      <c r="H310" s="25">
        <v>202102003</v>
      </c>
      <c r="I310" s="175" t="s">
        <v>157</v>
      </c>
      <c r="J310" s="175" t="s">
        <v>385</v>
      </c>
      <c r="K310" s="175" t="s">
        <v>2821</v>
      </c>
      <c r="L310" s="175" t="s">
        <v>170</v>
      </c>
      <c r="M310" s="175" t="s">
        <v>281</v>
      </c>
      <c r="N310" s="175" t="s">
        <v>25</v>
      </c>
      <c r="O310" s="175" t="s">
        <v>3317</v>
      </c>
      <c r="P310" s="26" t="str">
        <f>_xlfn.DISPIMG("ID_395A3D0BD71445EA85EA2ACA292A2801",1)</f>
        <v>=DISPIMG("ID_395A3D0BD71445EA85EA2ACA292A2801",1)</v>
      </c>
      <c r="Q310" s="25" t="s">
        <v>3318</v>
      </c>
      <c r="R310" s="25">
        <v>416</v>
      </c>
      <c r="S310" s="40" t="s">
        <v>4614</v>
      </c>
      <c r="T310" s="18" t="s">
        <v>55</v>
      </c>
      <c r="U310" s="25">
        <v>28</v>
      </c>
      <c r="V310" s="25">
        <v>0</v>
      </c>
      <c r="W310" s="25"/>
    </row>
    <row r="311" s="34" customFormat="1" hidden="1" customHeight="1" spans="1:23">
      <c r="A311" s="25">
        <v>4</v>
      </c>
      <c r="B311" s="175" t="s">
        <v>4287</v>
      </c>
      <c r="C311" s="175" t="s">
        <v>165</v>
      </c>
      <c r="D311" s="175" t="s">
        <v>4288</v>
      </c>
      <c r="E311" s="25">
        <v>15067121965</v>
      </c>
      <c r="F311" s="175" t="s">
        <v>156</v>
      </c>
      <c r="G311" s="175" t="s">
        <v>13</v>
      </c>
      <c r="H311" s="25">
        <v>202102003</v>
      </c>
      <c r="I311" s="175" t="s">
        <v>279</v>
      </c>
      <c r="J311" s="175" t="s">
        <v>4290</v>
      </c>
      <c r="K311" s="175" t="s">
        <v>4291</v>
      </c>
      <c r="L311" s="175" t="s">
        <v>170</v>
      </c>
      <c r="M311" s="175" t="s">
        <v>224</v>
      </c>
      <c r="N311" s="175" t="s">
        <v>1398</v>
      </c>
      <c r="O311" s="25">
        <v>0</v>
      </c>
      <c r="P311" s="26" t="str">
        <f>_xlfn.DISPIMG("ID_722A9A1419ED4209B5078EB200B4615A",1)</f>
        <v>=DISPIMG("ID_722A9A1419ED4209B5078EB200B4615A",1)</v>
      </c>
      <c r="Q311" s="25" t="s">
        <v>4292</v>
      </c>
      <c r="R311" s="25">
        <v>549</v>
      </c>
      <c r="S311" s="40" t="s">
        <v>4633</v>
      </c>
      <c r="T311" s="18" t="s">
        <v>56</v>
      </c>
      <c r="U311" s="25">
        <v>3</v>
      </c>
      <c r="V311" s="25">
        <v>0</v>
      </c>
      <c r="W311" s="25"/>
    </row>
    <row r="312" s="34" customFormat="1" hidden="1" customHeight="1" spans="1:23">
      <c r="A312" s="25">
        <v>3</v>
      </c>
      <c r="B312" s="175" t="s">
        <v>4280</v>
      </c>
      <c r="C312" s="175" t="s">
        <v>165</v>
      </c>
      <c r="D312" s="175" t="s">
        <v>4281</v>
      </c>
      <c r="E312" s="25">
        <v>15949551660</v>
      </c>
      <c r="F312" s="175" t="s">
        <v>156</v>
      </c>
      <c r="G312" s="175" t="s">
        <v>13</v>
      </c>
      <c r="H312" s="25">
        <v>202102003</v>
      </c>
      <c r="I312" s="175" t="s">
        <v>157</v>
      </c>
      <c r="J312" s="175" t="s">
        <v>158</v>
      </c>
      <c r="K312" s="175" t="s">
        <v>298</v>
      </c>
      <c r="L312" s="175" t="s">
        <v>160</v>
      </c>
      <c r="M312" s="175" t="s">
        <v>252</v>
      </c>
      <c r="N312" s="175" t="s">
        <v>13</v>
      </c>
      <c r="O312" s="175" t="s">
        <v>4283</v>
      </c>
      <c r="P312" s="26" t="str">
        <f>_xlfn.DISPIMG("ID_0A7C024448EB4671A840FBA92AB35983",1)</f>
        <v>=DISPIMG("ID_0A7C024448EB4671A840FBA92AB35983",1)</v>
      </c>
      <c r="Q312" s="25" t="s">
        <v>4284</v>
      </c>
      <c r="R312" s="25">
        <v>548</v>
      </c>
      <c r="S312" s="40" t="s">
        <v>4632</v>
      </c>
      <c r="T312" s="18" t="s">
        <v>56</v>
      </c>
      <c r="U312" s="25">
        <v>4</v>
      </c>
      <c r="V312" s="25">
        <v>0</v>
      </c>
      <c r="W312" s="25"/>
    </row>
    <row r="313" s="61" customFormat="1" hidden="1" customHeight="1" spans="1:23">
      <c r="A313" s="66">
        <v>9</v>
      </c>
      <c r="B313" s="182" t="s">
        <v>503</v>
      </c>
      <c r="C313" s="182" t="s">
        <v>165</v>
      </c>
      <c r="D313" s="182" t="s">
        <v>504</v>
      </c>
      <c r="E313" s="66">
        <v>18279271412</v>
      </c>
      <c r="F313" s="182" t="s">
        <v>506</v>
      </c>
      <c r="G313" s="182" t="s">
        <v>13</v>
      </c>
      <c r="H313" s="66">
        <v>202102016</v>
      </c>
      <c r="I313" s="182" t="s">
        <v>157</v>
      </c>
      <c r="J313" s="182" t="s">
        <v>507</v>
      </c>
      <c r="K313" s="182" t="s">
        <v>298</v>
      </c>
      <c r="L313" s="182" t="s">
        <v>160</v>
      </c>
      <c r="M313" s="182" t="s">
        <v>252</v>
      </c>
      <c r="N313" s="182" t="s">
        <v>13</v>
      </c>
      <c r="O313" s="182" t="s">
        <v>508</v>
      </c>
      <c r="P313" s="67" t="str">
        <f>_xlfn.DISPIMG("ID_40FEE490C2E64411A9F9A70FED108C60",1)</f>
        <v>=DISPIMG("ID_40FEE490C2E64411A9F9A70FED108C60",1)</v>
      </c>
      <c r="Q313" s="66" t="s">
        <v>509</v>
      </c>
      <c r="R313" s="66">
        <v>42</v>
      </c>
      <c r="S313" s="68" t="s">
        <v>4548</v>
      </c>
      <c r="T313" s="69" t="s">
        <v>52</v>
      </c>
      <c r="U313" s="66">
        <v>20</v>
      </c>
      <c r="V313" s="66">
        <v>83.5</v>
      </c>
      <c r="W313" s="66">
        <v>1</v>
      </c>
    </row>
    <row r="314" s="61" customFormat="1" hidden="1" customHeight="1" spans="1:23">
      <c r="A314" s="66">
        <v>11</v>
      </c>
      <c r="B314" s="182" t="s">
        <v>600</v>
      </c>
      <c r="C314" s="182" t="s">
        <v>165</v>
      </c>
      <c r="D314" s="182" t="s">
        <v>601</v>
      </c>
      <c r="E314" s="66">
        <v>18170238971</v>
      </c>
      <c r="F314" s="182" t="s">
        <v>506</v>
      </c>
      <c r="G314" s="182" t="s">
        <v>13</v>
      </c>
      <c r="H314" s="66">
        <v>202102016</v>
      </c>
      <c r="I314" s="182" t="s">
        <v>157</v>
      </c>
      <c r="J314" s="182" t="s">
        <v>603</v>
      </c>
      <c r="K314" s="182" t="s">
        <v>179</v>
      </c>
      <c r="L314" s="182" t="s">
        <v>160</v>
      </c>
      <c r="M314" s="182" t="s">
        <v>216</v>
      </c>
      <c r="N314" s="182" t="s">
        <v>13</v>
      </c>
      <c r="O314" s="182" t="s">
        <v>604</v>
      </c>
      <c r="P314" s="67" t="str">
        <f>_xlfn.DISPIMG("ID_274A21E15DE94C9DB65D865C0AE50BA3",1)</f>
        <v>=DISPIMG("ID_274A21E15DE94C9DB65D865C0AE50BA3",1)</v>
      </c>
      <c r="Q314" s="66" t="s">
        <v>605</v>
      </c>
      <c r="R314" s="66">
        <v>53</v>
      </c>
      <c r="S314" s="68" t="s">
        <v>4550</v>
      </c>
      <c r="T314" s="69" t="s">
        <v>52</v>
      </c>
      <c r="U314" s="66">
        <v>4</v>
      </c>
      <c r="V314" s="66">
        <v>79.5</v>
      </c>
      <c r="W314" s="66">
        <v>2</v>
      </c>
    </row>
    <row r="315" s="61" customFormat="1" hidden="1" customHeight="1" spans="1:23">
      <c r="A315" s="66">
        <v>25</v>
      </c>
      <c r="B315" s="182" t="s">
        <v>2578</v>
      </c>
      <c r="C315" s="182" t="s">
        <v>165</v>
      </c>
      <c r="D315" s="182" t="s">
        <v>2579</v>
      </c>
      <c r="E315" s="66">
        <v>13907924069</v>
      </c>
      <c r="F315" s="182" t="s">
        <v>506</v>
      </c>
      <c r="G315" s="182" t="s">
        <v>13</v>
      </c>
      <c r="H315" s="66">
        <v>202102016</v>
      </c>
      <c r="I315" s="182" t="s">
        <v>279</v>
      </c>
      <c r="J315" s="182" t="s">
        <v>1237</v>
      </c>
      <c r="K315" s="182" t="s">
        <v>169</v>
      </c>
      <c r="L315" s="182" t="s">
        <v>170</v>
      </c>
      <c r="M315" s="182" t="s">
        <v>161</v>
      </c>
      <c r="N315" s="182" t="s">
        <v>2284</v>
      </c>
      <c r="O315" s="182" t="s">
        <v>2581</v>
      </c>
      <c r="P315" s="67" t="str">
        <f>_xlfn.DISPIMG("ID_1B69D0009E5944278A43199D519E50CB",1)</f>
        <v>=DISPIMG("ID_1B69D0009E5944278A43199D519E50CB",1)</v>
      </c>
      <c r="Q315" s="66" t="s">
        <v>2582</v>
      </c>
      <c r="R315" s="66">
        <v>309</v>
      </c>
      <c r="S315" s="68" t="s">
        <v>4594</v>
      </c>
      <c r="T315" s="69" t="s">
        <v>54</v>
      </c>
      <c r="U315" s="66">
        <v>26</v>
      </c>
      <c r="V315" s="66">
        <v>77.5</v>
      </c>
      <c r="W315" s="66">
        <v>3</v>
      </c>
    </row>
    <row r="316" s="61" customFormat="1" hidden="1" customHeight="1" spans="1:23">
      <c r="A316" s="66">
        <v>28</v>
      </c>
      <c r="B316" s="182" t="s">
        <v>4096</v>
      </c>
      <c r="C316" s="182" t="s">
        <v>165</v>
      </c>
      <c r="D316" s="182" t="s">
        <v>4097</v>
      </c>
      <c r="E316" s="66">
        <v>18279205166</v>
      </c>
      <c r="F316" s="182" t="s">
        <v>506</v>
      </c>
      <c r="G316" s="182" t="s">
        <v>13</v>
      </c>
      <c r="H316" s="66">
        <v>202102016</v>
      </c>
      <c r="I316" s="182" t="s">
        <v>157</v>
      </c>
      <c r="J316" s="182" t="s">
        <v>1121</v>
      </c>
      <c r="K316" s="182" t="s">
        <v>179</v>
      </c>
      <c r="L316" s="182" t="s">
        <v>160</v>
      </c>
      <c r="M316" s="182" t="s">
        <v>199</v>
      </c>
      <c r="N316" s="182" t="s">
        <v>13</v>
      </c>
      <c r="O316" s="182" t="s">
        <v>4099</v>
      </c>
      <c r="P316" s="67" t="str">
        <f>_xlfn.DISPIMG("ID_AF2EA5B71B5B4904B17F83B386FDD8B5",1)</f>
        <v>=DISPIMG("ID_AF2EA5B71B5B4904B17F83B386FDD8B5",1)</v>
      </c>
      <c r="Q316" s="66" t="s">
        <v>4100</v>
      </c>
      <c r="R316" s="66">
        <v>524</v>
      </c>
      <c r="S316" s="68" t="s">
        <v>4627</v>
      </c>
      <c r="T316" s="69" t="s">
        <v>55</v>
      </c>
      <c r="U316" s="66">
        <v>13</v>
      </c>
      <c r="V316" s="66">
        <v>76</v>
      </c>
      <c r="W316" s="66">
        <v>4</v>
      </c>
    </row>
    <row r="317" s="34" customFormat="1" hidden="1" customHeight="1" spans="1:23">
      <c r="A317" s="25">
        <v>9</v>
      </c>
      <c r="B317" s="175" t="s">
        <v>2020</v>
      </c>
      <c r="C317" s="175" t="s">
        <v>165</v>
      </c>
      <c r="D317" s="175" t="s">
        <v>2021</v>
      </c>
      <c r="E317" s="25">
        <v>13607094902</v>
      </c>
      <c r="F317" s="175" t="s">
        <v>506</v>
      </c>
      <c r="G317" s="175" t="s">
        <v>13</v>
      </c>
      <c r="H317" s="25">
        <v>202102016</v>
      </c>
      <c r="I317" s="175" t="s">
        <v>157</v>
      </c>
      <c r="J317" s="175" t="s">
        <v>2015</v>
      </c>
      <c r="K317" s="175" t="s">
        <v>179</v>
      </c>
      <c r="L317" s="175" t="s">
        <v>170</v>
      </c>
      <c r="M317" s="175" t="s">
        <v>2023</v>
      </c>
      <c r="N317" s="175" t="s">
        <v>13</v>
      </c>
      <c r="O317" s="175" t="s">
        <v>2024</v>
      </c>
      <c r="P317" s="26" t="str">
        <f>_xlfn.DISPIMG("ID_391065F92F2843D5ABEC64E49971BF9B",1)</f>
        <v>=DISPIMG("ID_391065F92F2843D5ABEC64E49971BF9B",1)</v>
      </c>
      <c r="Q317" s="25" t="s">
        <v>2025</v>
      </c>
      <c r="R317" s="25">
        <v>235</v>
      </c>
      <c r="S317" s="40" t="s">
        <v>4578</v>
      </c>
      <c r="T317" s="18" t="s">
        <v>54</v>
      </c>
      <c r="U317" s="25">
        <v>20</v>
      </c>
      <c r="V317" s="25">
        <v>0</v>
      </c>
      <c r="W317" s="25"/>
    </row>
    <row r="318" s="34" customFormat="1" hidden="1" customHeight="1" spans="1:23">
      <c r="A318" s="25">
        <v>27</v>
      </c>
      <c r="B318" s="175" t="s">
        <v>4065</v>
      </c>
      <c r="C318" s="175" t="s">
        <v>165</v>
      </c>
      <c r="D318" s="175" t="s">
        <v>4066</v>
      </c>
      <c r="E318" s="25">
        <v>15797987795</v>
      </c>
      <c r="F318" s="175" t="s">
        <v>506</v>
      </c>
      <c r="G318" s="175" t="s">
        <v>13</v>
      </c>
      <c r="H318" s="25">
        <v>202102016</v>
      </c>
      <c r="I318" s="175" t="s">
        <v>279</v>
      </c>
      <c r="J318" s="175" t="s">
        <v>158</v>
      </c>
      <c r="K318" s="175" t="s">
        <v>223</v>
      </c>
      <c r="L318" s="175" t="s">
        <v>170</v>
      </c>
      <c r="M318" s="175" t="s">
        <v>368</v>
      </c>
      <c r="N318" s="175" t="s">
        <v>4068</v>
      </c>
      <c r="O318" s="175" t="s">
        <v>4069</v>
      </c>
      <c r="P318" s="26" t="str">
        <f>_xlfn.DISPIMG("ID_699B420D06BD4D209FB40A52E07C758F",1)</f>
        <v>=DISPIMG("ID_699B420D06BD4D209FB40A52E07C758F",1)</v>
      </c>
      <c r="Q318" s="25" t="s">
        <v>4070</v>
      </c>
      <c r="R318" s="25">
        <v>520</v>
      </c>
      <c r="S318" s="40" t="s">
        <v>4626</v>
      </c>
      <c r="T318" s="18" t="s">
        <v>55</v>
      </c>
      <c r="U318" s="25">
        <v>12</v>
      </c>
      <c r="V318" s="25">
        <v>0</v>
      </c>
      <c r="W318" s="25"/>
    </row>
    <row r="319" s="34" customFormat="1" hidden="1" customHeight="1" spans="1:23">
      <c r="A319" s="25">
        <v>19</v>
      </c>
      <c r="B319" s="175" t="s">
        <v>3481</v>
      </c>
      <c r="C319" s="175" t="s">
        <v>153</v>
      </c>
      <c r="D319" s="175" t="s">
        <v>3482</v>
      </c>
      <c r="E319" s="25">
        <v>13119548929</v>
      </c>
      <c r="F319" s="175" t="s">
        <v>506</v>
      </c>
      <c r="G319" s="175" t="s">
        <v>13</v>
      </c>
      <c r="H319" s="25">
        <v>202102016</v>
      </c>
      <c r="I319" s="175" t="s">
        <v>157</v>
      </c>
      <c r="J319" s="175" t="s">
        <v>1112</v>
      </c>
      <c r="K319" s="175" t="s">
        <v>3484</v>
      </c>
      <c r="L319" s="175" t="s">
        <v>160</v>
      </c>
      <c r="M319" s="175" t="s">
        <v>216</v>
      </c>
      <c r="N319" s="175" t="s">
        <v>2284</v>
      </c>
      <c r="O319" s="175" t="s">
        <v>3485</v>
      </c>
      <c r="P319" s="26" t="str">
        <f>_xlfn.DISPIMG("ID_9C9702A9D71D49F4A0D4283BE0B57A8D",1)</f>
        <v>=DISPIMG("ID_9C9702A9D71D49F4A0D4283BE0B57A8D",1)</v>
      </c>
      <c r="Q319" s="25" t="s">
        <v>3486</v>
      </c>
      <c r="R319" s="25">
        <v>440</v>
      </c>
      <c r="S319" s="40" t="s">
        <v>4618</v>
      </c>
      <c r="T319" s="18" t="s">
        <v>55</v>
      </c>
      <c r="U319" s="25">
        <v>22</v>
      </c>
      <c r="V319" s="25">
        <v>0</v>
      </c>
      <c r="W319" s="25"/>
    </row>
    <row r="320" s="34" customFormat="1" hidden="1" customHeight="1" spans="1:23">
      <c r="A320" s="25">
        <v>29</v>
      </c>
      <c r="B320" s="175" t="s">
        <v>4120</v>
      </c>
      <c r="C320" s="175" t="s">
        <v>153</v>
      </c>
      <c r="D320" s="175" t="s">
        <v>4121</v>
      </c>
      <c r="E320" s="25">
        <v>15070281790</v>
      </c>
      <c r="F320" s="175" t="s">
        <v>506</v>
      </c>
      <c r="G320" s="175" t="s">
        <v>13</v>
      </c>
      <c r="H320" s="25">
        <v>202102016</v>
      </c>
      <c r="I320" s="175" t="s">
        <v>157</v>
      </c>
      <c r="J320" s="175" t="s">
        <v>269</v>
      </c>
      <c r="K320" s="175" t="s">
        <v>179</v>
      </c>
      <c r="L320" s="175" t="s">
        <v>170</v>
      </c>
      <c r="M320" s="175" t="s">
        <v>3039</v>
      </c>
      <c r="N320" s="175" t="s">
        <v>307</v>
      </c>
      <c r="O320" s="175" t="s">
        <v>4123</v>
      </c>
      <c r="P320" s="26" t="str">
        <f>_xlfn.DISPIMG("ID_E27C6548F4194D02B9DC397724E0FA4F",1)</f>
        <v>=DISPIMG("ID_E27C6548F4194D02B9DC397724E0FA4F",1)</v>
      </c>
      <c r="Q320" s="25" t="s">
        <v>4124</v>
      </c>
      <c r="R320" s="25">
        <v>527</v>
      </c>
      <c r="S320" s="40" t="s">
        <v>4628</v>
      </c>
      <c r="T320" s="18" t="s">
        <v>55</v>
      </c>
      <c r="U320" s="25">
        <v>24</v>
      </c>
      <c r="V320" s="25">
        <v>0</v>
      </c>
      <c r="W320" s="25"/>
    </row>
    <row r="321" s="34" customFormat="1" hidden="1" customHeight="1" spans="1:23">
      <c r="A321" s="25">
        <v>6</v>
      </c>
      <c r="B321" s="175" t="s">
        <v>4302</v>
      </c>
      <c r="C321" s="175" t="s">
        <v>165</v>
      </c>
      <c r="D321" s="175" t="s">
        <v>4303</v>
      </c>
      <c r="E321" s="25">
        <v>15279209806</v>
      </c>
      <c r="F321" s="175" t="s">
        <v>506</v>
      </c>
      <c r="G321" s="175" t="s">
        <v>13</v>
      </c>
      <c r="H321" s="25">
        <v>202102016</v>
      </c>
      <c r="I321" s="175" t="s">
        <v>279</v>
      </c>
      <c r="J321" s="175" t="s">
        <v>168</v>
      </c>
      <c r="K321" s="175" t="s">
        <v>223</v>
      </c>
      <c r="L321" s="175" t="s">
        <v>170</v>
      </c>
      <c r="M321" s="175" t="s">
        <v>577</v>
      </c>
      <c r="N321" s="175" t="s">
        <v>487</v>
      </c>
      <c r="O321" s="175" t="s">
        <v>4304</v>
      </c>
      <c r="P321" s="26" t="str">
        <f>_xlfn.DISPIMG("ID_2F1FB7C94C004C5BAD8EEBBBB9C7D0C9",1)</f>
        <v>=DISPIMG("ID_2F1FB7C94C004C5BAD8EEBBBB9C7D0C9",1)</v>
      </c>
      <c r="Q321" s="25" t="s">
        <v>4305</v>
      </c>
      <c r="R321" s="25">
        <v>551</v>
      </c>
      <c r="S321" s="40" t="s">
        <v>4635</v>
      </c>
      <c r="T321" s="18" t="s">
        <v>56</v>
      </c>
      <c r="U321" s="25">
        <v>1</v>
      </c>
      <c r="V321" s="25">
        <v>0</v>
      </c>
      <c r="W321" s="25"/>
    </row>
    <row r="322" s="61" customFormat="1" hidden="1" customHeight="1" spans="1:23">
      <c r="A322" s="66">
        <v>9</v>
      </c>
      <c r="B322" s="182" t="s">
        <v>1034</v>
      </c>
      <c r="C322" s="182" t="s">
        <v>165</v>
      </c>
      <c r="D322" s="182" t="s">
        <v>1035</v>
      </c>
      <c r="E322" s="66">
        <v>18270651805</v>
      </c>
      <c r="F322" s="182" t="s">
        <v>156</v>
      </c>
      <c r="G322" s="182" t="s">
        <v>12</v>
      </c>
      <c r="H322" s="66">
        <v>202102010</v>
      </c>
      <c r="I322" s="182" t="s">
        <v>157</v>
      </c>
      <c r="J322" s="182" t="s">
        <v>178</v>
      </c>
      <c r="K322" s="182" t="s">
        <v>1037</v>
      </c>
      <c r="L322" s="182" t="s">
        <v>170</v>
      </c>
      <c r="M322" s="182" t="s">
        <v>161</v>
      </c>
      <c r="N322" s="182" t="s">
        <v>1038</v>
      </c>
      <c r="O322" s="182" t="s">
        <v>1039</v>
      </c>
      <c r="P322" s="67" t="str">
        <f>_xlfn.DISPIMG("ID_0FA5FFDB4D0442D5AB7C6CB6A0A51E2D",1)</f>
        <v>=DISPIMG("ID_0FA5FFDB4D0442D5AB7C6CB6A0A51E2D",1)</v>
      </c>
      <c r="Q322" s="66" t="s">
        <v>1040</v>
      </c>
      <c r="R322" s="66">
        <v>106</v>
      </c>
      <c r="S322" s="68" t="s">
        <v>4638</v>
      </c>
      <c r="T322" s="69" t="s">
        <v>56</v>
      </c>
      <c r="U322" s="66">
        <v>9</v>
      </c>
      <c r="V322" s="66">
        <v>78.5</v>
      </c>
      <c r="W322" s="66">
        <v>1</v>
      </c>
    </row>
    <row r="323" s="61" customFormat="1" hidden="1" customHeight="1" spans="1:23">
      <c r="A323" s="66">
        <v>10</v>
      </c>
      <c r="B323" s="182" t="s">
        <v>1153</v>
      </c>
      <c r="C323" s="182" t="s">
        <v>165</v>
      </c>
      <c r="D323" s="182" t="s">
        <v>1154</v>
      </c>
      <c r="E323" s="66">
        <v>13803552587</v>
      </c>
      <c r="F323" s="182" t="s">
        <v>156</v>
      </c>
      <c r="G323" s="182" t="s">
        <v>12</v>
      </c>
      <c r="H323" s="66">
        <v>202102010</v>
      </c>
      <c r="I323" s="182" t="s">
        <v>157</v>
      </c>
      <c r="J323" s="182" t="s">
        <v>385</v>
      </c>
      <c r="K323" s="182" t="s">
        <v>445</v>
      </c>
      <c r="L323" s="182" t="s">
        <v>160</v>
      </c>
      <c r="M323" s="182" t="s">
        <v>261</v>
      </c>
      <c r="N323" s="182" t="s">
        <v>1156</v>
      </c>
      <c r="O323" s="182" t="s">
        <v>1157</v>
      </c>
      <c r="P323" s="67" t="str">
        <f>_xlfn.DISPIMG("ID_2A6402E44B2C4CB5B00B003CEEB85AA0",1)</f>
        <v>=DISPIMG("ID_2A6402E44B2C4CB5B00B003CEEB85AA0",1)</v>
      </c>
      <c r="Q323" s="66" t="s">
        <v>1158</v>
      </c>
      <c r="R323" s="66">
        <v>121</v>
      </c>
      <c r="S323" s="68" t="s">
        <v>4642</v>
      </c>
      <c r="T323" s="69" t="s">
        <v>56</v>
      </c>
      <c r="U323" s="66">
        <v>10</v>
      </c>
      <c r="V323" s="66">
        <v>71.5</v>
      </c>
      <c r="W323" s="66">
        <v>2</v>
      </c>
    </row>
    <row r="324" s="61" customFormat="1" hidden="1" customHeight="1" spans="1:23">
      <c r="A324" s="66">
        <v>13</v>
      </c>
      <c r="B324" s="182" t="s">
        <v>3274</v>
      </c>
      <c r="C324" s="182" t="s">
        <v>165</v>
      </c>
      <c r="D324" s="182" t="s">
        <v>3275</v>
      </c>
      <c r="E324" s="66">
        <v>15870802185</v>
      </c>
      <c r="F324" s="182" t="s">
        <v>156</v>
      </c>
      <c r="G324" s="182" t="s">
        <v>12</v>
      </c>
      <c r="H324" s="66">
        <v>202102010</v>
      </c>
      <c r="I324" s="182" t="s">
        <v>157</v>
      </c>
      <c r="J324" s="182" t="s">
        <v>3276</v>
      </c>
      <c r="K324" s="182" t="s">
        <v>3277</v>
      </c>
      <c r="L324" s="182" t="s">
        <v>170</v>
      </c>
      <c r="M324" s="182" t="s">
        <v>516</v>
      </c>
      <c r="N324" s="182" t="s">
        <v>3278</v>
      </c>
      <c r="O324" s="182" t="s">
        <v>3279</v>
      </c>
      <c r="P324" s="67" t="str">
        <f>_xlfn.DISPIMG("ID_CA7F81D47ACB4FA38E0278F330AEC9F9",1)</f>
        <v>=DISPIMG("ID_CA7F81D47ACB4FA38E0278F330AEC9F9",1)</v>
      </c>
      <c r="Q324" s="66" t="s">
        <v>3280</v>
      </c>
      <c r="R324" s="66">
        <v>409</v>
      </c>
      <c r="S324" s="68" t="s">
        <v>4648</v>
      </c>
      <c r="T324" s="69" t="s">
        <v>56</v>
      </c>
      <c r="U324" s="66">
        <v>14</v>
      </c>
      <c r="V324" s="66">
        <v>60</v>
      </c>
      <c r="W324" s="66">
        <v>3</v>
      </c>
    </row>
    <row r="325" s="34" customFormat="1" hidden="1" customHeight="1" spans="1:23">
      <c r="A325" s="25">
        <v>8</v>
      </c>
      <c r="B325" s="175" t="s">
        <v>906</v>
      </c>
      <c r="C325" s="175" t="s">
        <v>165</v>
      </c>
      <c r="D325" s="175" t="s">
        <v>907</v>
      </c>
      <c r="E325" s="25">
        <v>18872969481</v>
      </c>
      <c r="F325" s="175" t="s">
        <v>156</v>
      </c>
      <c r="G325" s="175" t="s">
        <v>12</v>
      </c>
      <c r="H325" s="25">
        <v>202102010</v>
      </c>
      <c r="I325" s="175" t="s">
        <v>157</v>
      </c>
      <c r="J325" s="175" t="s">
        <v>909</v>
      </c>
      <c r="K325" s="175" t="s">
        <v>445</v>
      </c>
      <c r="L325" s="175" t="s">
        <v>170</v>
      </c>
      <c r="M325" s="175" t="s">
        <v>910</v>
      </c>
      <c r="N325" s="175" t="s">
        <v>911</v>
      </c>
      <c r="O325" s="175" t="s">
        <v>912</v>
      </c>
      <c r="P325" s="26" t="str">
        <f>_xlfn.DISPIMG("ID_5478E78BEF25454AA0569457DA503AEE",1)</f>
        <v>=DISPIMG("ID_5478E78BEF25454AA0569457DA503AEE",1)</v>
      </c>
      <c r="Q325" s="25" t="s">
        <v>913</v>
      </c>
      <c r="R325" s="25">
        <v>91</v>
      </c>
      <c r="S325" s="40" t="s">
        <v>4637</v>
      </c>
      <c r="T325" s="18" t="s">
        <v>56</v>
      </c>
      <c r="U325" s="25">
        <v>8</v>
      </c>
      <c r="V325" s="25">
        <v>54</v>
      </c>
      <c r="W325" s="25">
        <v>4</v>
      </c>
    </row>
    <row r="326" s="34" customFormat="1" hidden="1" customHeight="1" spans="1:23">
      <c r="A326" s="25">
        <v>12</v>
      </c>
      <c r="B326" s="175" t="s">
        <v>2240</v>
      </c>
      <c r="C326" s="175" t="s">
        <v>153</v>
      </c>
      <c r="D326" s="175" t="s">
        <v>2241</v>
      </c>
      <c r="E326" s="25">
        <v>18079253586</v>
      </c>
      <c r="F326" s="175" t="s">
        <v>156</v>
      </c>
      <c r="G326" s="175" t="s">
        <v>12</v>
      </c>
      <c r="H326" s="25">
        <v>202102010</v>
      </c>
      <c r="I326" s="175" t="s">
        <v>157</v>
      </c>
      <c r="J326" s="175" t="s">
        <v>2243</v>
      </c>
      <c r="K326" s="175" t="s">
        <v>445</v>
      </c>
      <c r="L326" s="175" t="s">
        <v>160</v>
      </c>
      <c r="M326" s="175" t="s">
        <v>368</v>
      </c>
      <c r="N326" s="175" t="s">
        <v>2244</v>
      </c>
      <c r="O326" s="175" t="s">
        <v>2245</v>
      </c>
      <c r="P326" s="26" t="str">
        <f>_xlfn.DISPIMG("ID_36DB22886E2542F0B08D8BC7EEC58760",1)</f>
        <v>=DISPIMG("ID_36DB22886E2542F0B08D8BC7EEC58760",1)</v>
      </c>
      <c r="Q326" s="25" t="s">
        <v>2246</v>
      </c>
      <c r="R326" s="25">
        <v>264</v>
      </c>
      <c r="S326" s="40" t="s">
        <v>4647</v>
      </c>
      <c r="T326" s="18" t="s">
        <v>56</v>
      </c>
      <c r="U326" s="25">
        <v>11</v>
      </c>
      <c r="V326" s="25">
        <v>36</v>
      </c>
      <c r="W326" s="25">
        <v>5</v>
      </c>
    </row>
    <row r="327" s="34" customFormat="1" hidden="1" customHeight="1" spans="1:23">
      <c r="A327" s="25">
        <v>7</v>
      </c>
      <c r="B327" s="175" t="s">
        <v>441</v>
      </c>
      <c r="C327" s="175" t="s">
        <v>165</v>
      </c>
      <c r="D327" s="175" t="s">
        <v>442</v>
      </c>
      <c r="E327" s="25">
        <v>15172397471</v>
      </c>
      <c r="F327" s="175" t="s">
        <v>156</v>
      </c>
      <c r="G327" s="175" t="s">
        <v>12</v>
      </c>
      <c r="H327" s="25">
        <v>202102010</v>
      </c>
      <c r="I327" s="175" t="s">
        <v>157</v>
      </c>
      <c r="J327" s="175" t="s">
        <v>444</v>
      </c>
      <c r="K327" s="175" t="s">
        <v>445</v>
      </c>
      <c r="L327" s="175" t="s">
        <v>160</v>
      </c>
      <c r="M327" s="175" t="s">
        <v>252</v>
      </c>
      <c r="N327" s="175" t="s">
        <v>446</v>
      </c>
      <c r="O327" s="175" t="s">
        <v>447</v>
      </c>
      <c r="P327" s="26" t="str">
        <f>_xlfn.DISPIMG("ID_8FDFD8CDACA94911BFEF3051E2235221",1)</f>
        <v>=DISPIMG("ID_8FDFD8CDACA94911BFEF3051E2235221",1)</v>
      </c>
      <c r="Q327" s="25" t="s">
        <v>448</v>
      </c>
      <c r="R327" s="25">
        <v>34</v>
      </c>
      <c r="S327" s="40" t="s">
        <v>4636</v>
      </c>
      <c r="T327" s="18" t="s">
        <v>56</v>
      </c>
      <c r="U327" s="25">
        <v>7</v>
      </c>
      <c r="V327" s="25">
        <v>0</v>
      </c>
      <c r="W327" s="25"/>
    </row>
    <row r="328" s="34" customFormat="1" hidden="1" customHeight="1" spans="1:23">
      <c r="A328" s="25">
        <v>14</v>
      </c>
      <c r="B328" s="175" t="s">
        <v>4134</v>
      </c>
      <c r="C328" s="175" t="s">
        <v>165</v>
      </c>
      <c r="D328" s="175" t="s">
        <v>4135</v>
      </c>
      <c r="E328" s="25">
        <v>15207926555</v>
      </c>
      <c r="F328" s="175" t="s">
        <v>156</v>
      </c>
      <c r="G328" s="175" t="s">
        <v>12</v>
      </c>
      <c r="H328" s="25">
        <v>202102010</v>
      </c>
      <c r="I328" s="175" t="s">
        <v>157</v>
      </c>
      <c r="J328" s="175" t="s">
        <v>4137</v>
      </c>
      <c r="K328" s="175" t="s">
        <v>1442</v>
      </c>
      <c r="L328" s="175" t="s">
        <v>160</v>
      </c>
      <c r="M328" s="175" t="s">
        <v>368</v>
      </c>
      <c r="N328" s="175" t="s">
        <v>4138</v>
      </c>
      <c r="O328" s="25">
        <v>0</v>
      </c>
      <c r="P328" s="26" t="str">
        <f>_xlfn.DISPIMG("ID_911EFC838815489D872B9030D6735741",1)</f>
        <v>=DISPIMG("ID_911EFC838815489D872B9030D6735741",1)</v>
      </c>
      <c r="Q328" s="25" t="s">
        <v>4139</v>
      </c>
      <c r="R328" s="25">
        <v>529</v>
      </c>
      <c r="S328" s="40" t="s">
        <v>4652</v>
      </c>
      <c r="T328" s="18" t="s">
        <v>56</v>
      </c>
      <c r="U328" s="25">
        <v>12</v>
      </c>
      <c r="V328" s="25">
        <v>0</v>
      </c>
      <c r="W328" s="25"/>
    </row>
    <row r="329" s="34" customFormat="1" hidden="1" customHeight="1" spans="1:23">
      <c r="A329" s="25">
        <v>15</v>
      </c>
      <c r="B329" s="175" t="s">
        <v>4198</v>
      </c>
      <c r="C329" s="175" t="s">
        <v>165</v>
      </c>
      <c r="D329" s="175" t="s">
        <v>4199</v>
      </c>
      <c r="E329" s="25">
        <v>18160796883</v>
      </c>
      <c r="F329" s="175" t="s">
        <v>156</v>
      </c>
      <c r="G329" s="175" t="s">
        <v>12</v>
      </c>
      <c r="H329" s="25">
        <v>202102010</v>
      </c>
      <c r="I329" s="175" t="s">
        <v>157</v>
      </c>
      <c r="J329" s="175" t="s">
        <v>4201</v>
      </c>
      <c r="K329" s="175" t="s">
        <v>445</v>
      </c>
      <c r="L329" s="175" t="s">
        <v>170</v>
      </c>
      <c r="M329" s="175" t="s">
        <v>199</v>
      </c>
      <c r="N329" s="175" t="s">
        <v>359</v>
      </c>
      <c r="O329" s="175" t="s">
        <v>4202</v>
      </c>
      <c r="P329" s="26" t="str">
        <f>_xlfn.DISPIMG("ID_85E134BF0AB1468FAAB0CB1A9F9C4F34",1)</f>
        <v>=DISPIMG("ID_85E134BF0AB1468FAAB0CB1A9F9C4F34",1)</v>
      </c>
      <c r="Q329" s="25" t="s">
        <v>4203</v>
      </c>
      <c r="R329" s="25">
        <v>537</v>
      </c>
      <c r="S329" s="40" t="s">
        <v>4653</v>
      </c>
      <c r="T329" s="18" t="s">
        <v>56</v>
      </c>
      <c r="U329" s="25">
        <v>13</v>
      </c>
      <c r="V329" s="25">
        <v>0</v>
      </c>
      <c r="W329" s="25"/>
    </row>
    <row r="330" s="34" customFormat="1" hidden="1" customHeight="1" spans="1:23">
      <c r="A330" s="25">
        <v>11</v>
      </c>
      <c r="B330" s="175" t="s">
        <v>1439</v>
      </c>
      <c r="C330" s="175" t="s">
        <v>165</v>
      </c>
      <c r="D330" s="175" t="s">
        <v>1440</v>
      </c>
      <c r="E330" s="25">
        <v>13687083396</v>
      </c>
      <c r="F330" s="175" t="s">
        <v>156</v>
      </c>
      <c r="G330" s="175" t="s">
        <v>12</v>
      </c>
      <c r="H330" s="25">
        <v>202102010</v>
      </c>
      <c r="I330" s="175" t="s">
        <v>157</v>
      </c>
      <c r="J330" s="175" t="s">
        <v>444</v>
      </c>
      <c r="K330" s="175" t="s">
        <v>1442</v>
      </c>
      <c r="L330" s="175" t="s">
        <v>160</v>
      </c>
      <c r="M330" s="175" t="s">
        <v>396</v>
      </c>
      <c r="N330" s="175" t="s">
        <v>24</v>
      </c>
      <c r="O330" s="25">
        <v>0</v>
      </c>
      <c r="P330" s="26" t="str">
        <f>_xlfn.DISPIMG("ID_4F7FAD79CF244D82AC4A116B39238E93",1)</f>
        <v>=DISPIMG("ID_4F7FAD79CF244D82AC4A116B39238E93",1)</v>
      </c>
      <c r="Q330" s="25" t="s">
        <v>1443</v>
      </c>
      <c r="R330" s="25">
        <v>159</v>
      </c>
      <c r="S330" s="40" t="s">
        <v>4643</v>
      </c>
      <c r="T330" s="18" t="s">
        <v>56</v>
      </c>
      <c r="U330" s="25">
        <v>15</v>
      </c>
      <c r="V330" s="25">
        <v>0</v>
      </c>
      <c r="W330" s="25"/>
    </row>
    <row r="331" s="61" customFormat="1" hidden="1" customHeight="1" spans="1:23">
      <c r="A331" s="66">
        <v>20</v>
      </c>
      <c r="B331" s="182" t="s">
        <v>1846</v>
      </c>
      <c r="C331" s="182" t="s">
        <v>165</v>
      </c>
      <c r="D331" s="182" t="s">
        <v>1847</v>
      </c>
      <c r="E331" s="66">
        <v>18879254089</v>
      </c>
      <c r="F331" s="182" t="s">
        <v>156</v>
      </c>
      <c r="G331" s="182" t="s">
        <v>5</v>
      </c>
      <c r="H331" s="66">
        <v>202102008</v>
      </c>
      <c r="I331" s="182" t="s">
        <v>279</v>
      </c>
      <c r="J331" s="182" t="s">
        <v>158</v>
      </c>
      <c r="K331" s="182" t="s">
        <v>1849</v>
      </c>
      <c r="L331" s="182" t="s">
        <v>170</v>
      </c>
      <c r="M331" s="182" t="s">
        <v>396</v>
      </c>
      <c r="N331" s="182" t="s">
        <v>1850</v>
      </c>
      <c r="O331" s="182" t="s">
        <v>1851</v>
      </c>
      <c r="P331" s="67" t="str">
        <f>_xlfn.DISPIMG("ID_19DBAF911A5F41D795A3B7585DA543D3",1)</f>
        <v>=DISPIMG("ID_19DBAF911A5F41D795A3B7585DA543D3",1)</v>
      </c>
      <c r="Q331" s="66" t="s">
        <v>1852</v>
      </c>
      <c r="R331" s="66">
        <v>211</v>
      </c>
      <c r="S331" s="68" t="s">
        <v>4664</v>
      </c>
      <c r="T331" s="69" t="s">
        <v>56</v>
      </c>
      <c r="U331" s="66">
        <v>16</v>
      </c>
      <c r="V331" s="66">
        <v>90</v>
      </c>
      <c r="W331" s="66">
        <v>1</v>
      </c>
    </row>
    <row r="332" s="61" customFormat="1" hidden="1" customHeight="1" spans="1:23">
      <c r="A332" s="66">
        <v>18</v>
      </c>
      <c r="B332" s="182" t="s">
        <v>1630</v>
      </c>
      <c r="C332" s="182" t="s">
        <v>153</v>
      </c>
      <c r="D332" s="182" t="s">
        <v>1631</v>
      </c>
      <c r="E332" s="66">
        <v>18437922593</v>
      </c>
      <c r="F332" s="182" t="s">
        <v>156</v>
      </c>
      <c r="G332" s="182" t="s">
        <v>5</v>
      </c>
      <c r="H332" s="66">
        <v>202102008</v>
      </c>
      <c r="I332" s="182" t="s">
        <v>157</v>
      </c>
      <c r="J332" s="182" t="s">
        <v>1633</v>
      </c>
      <c r="K332" s="182" t="s">
        <v>280</v>
      </c>
      <c r="L332" s="182" t="s">
        <v>170</v>
      </c>
      <c r="M332" s="182" t="s">
        <v>199</v>
      </c>
      <c r="N332" s="182" t="s">
        <v>5</v>
      </c>
      <c r="O332" s="66">
        <v>0</v>
      </c>
      <c r="P332" s="67" t="str">
        <f>_xlfn.DISPIMG("ID_30389EE5D2254B4693F3D201E2C25479",1)</f>
        <v>=DISPIMG("ID_30389EE5D2254B4693F3D201E2C25479",1)</v>
      </c>
      <c r="Q332" s="66" t="s">
        <v>1634</v>
      </c>
      <c r="R332" s="66">
        <v>183</v>
      </c>
      <c r="S332" s="68" t="s">
        <v>4662</v>
      </c>
      <c r="T332" s="69" t="s">
        <v>56</v>
      </c>
      <c r="U332" s="66">
        <v>17</v>
      </c>
      <c r="V332" s="66">
        <v>89</v>
      </c>
      <c r="W332" s="66">
        <v>2</v>
      </c>
    </row>
    <row r="333" s="61" customFormat="1" hidden="1" customHeight="1" spans="1:23">
      <c r="A333" s="66">
        <v>23</v>
      </c>
      <c r="B333" s="182" t="s">
        <v>3873</v>
      </c>
      <c r="C333" s="182" t="s">
        <v>153</v>
      </c>
      <c r="D333" s="182" t="s">
        <v>3874</v>
      </c>
      <c r="E333" s="66">
        <v>13317434772</v>
      </c>
      <c r="F333" s="182" t="s">
        <v>156</v>
      </c>
      <c r="G333" s="182" t="s">
        <v>5</v>
      </c>
      <c r="H333" s="66">
        <v>202102008</v>
      </c>
      <c r="I333" s="182" t="s">
        <v>157</v>
      </c>
      <c r="J333" s="182" t="s">
        <v>3876</v>
      </c>
      <c r="K333" s="182" t="s">
        <v>290</v>
      </c>
      <c r="L333" s="182" t="s">
        <v>170</v>
      </c>
      <c r="M333" s="182" t="s">
        <v>171</v>
      </c>
      <c r="N333" s="182" t="s">
        <v>1064</v>
      </c>
      <c r="O333" s="182" t="s">
        <v>3877</v>
      </c>
      <c r="P333" s="67" t="str">
        <f>_xlfn.DISPIMG("ID_707B86616C5E4D0A96852FA2ECC7652E",1)</f>
        <v>=DISPIMG("ID_707B86616C5E4D0A96852FA2ECC7652E",1)</v>
      </c>
      <c r="Q333" s="66" t="s">
        <v>3878</v>
      </c>
      <c r="R333" s="66">
        <v>494</v>
      </c>
      <c r="S333" s="68" t="s">
        <v>4644</v>
      </c>
      <c r="T333" s="69" t="s">
        <v>56</v>
      </c>
      <c r="U333" s="66">
        <v>23</v>
      </c>
      <c r="V333" s="66">
        <v>89</v>
      </c>
      <c r="W333" s="66">
        <v>2</v>
      </c>
    </row>
    <row r="334" s="61" customFormat="1" hidden="1" customHeight="1" spans="1:23">
      <c r="A334" s="66">
        <v>22</v>
      </c>
      <c r="B334" s="182" t="s">
        <v>2459</v>
      </c>
      <c r="C334" s="182" t="s">
        <v>165</v>
      </c>
      <c r="D334" s="182" t="s">
        <v>2460</v>
      </c>
      <c r="E334" s="66">
        <v>18702519372</v>
      </c>
      <c r="F334" s="182" t="s">
        <v>156</v>
      </c>
      <c r="G334" s="182" t="s">
        <v>5</v>
      </c>
      <c r="H334" s="66">
        <v>202102008</v>
      </c>
      <c r="I334" s="182" t="s">
        <v>279</v>
      </c>
      <c r="J334" s="182" t="s">
        <v>662</v>
      </c>
      <c r="K334" s="182" t="s">
        <v>348</v>
      </c>
      <c r="L334" s="182" t="s">
        <v>170</v>
      </c>
      <c r="M334" s="182" t="s">
        <v>199</v>
      </c>
      <c r="N334" s="182" t="s">
        <v>2462</v>
      </c>
      <c r="O334" s="66">
        <v>0</v>
      </c>
      <c r="P334" s="67" t="str">
        <f>_xlfn.DISPIMG("ID_C162899F9DDD4F8CA771F69FFB2795AD",1)</f>
        <v>=DISPIMG("ID_C162899F9DDD4F8CA771F69FFB2795AD",1)</v>
      </c>
      <c r="Q334" s="66" t="s">
        <v>2463</v>
      </c>
      <c r="R334" s="66">
        <v>293</v>
      </c>
      <c r="S334" s="68" t="s">
        <v>4640</v>
      </c>
      <c r="T334" s="69" t="s">
        <v>56</v>
      </c>
      <c r="U334" s="66">
        <v>22</v>
      </c>
      <c r="V334" s="66">
        <v>85</v>
      </c>
      <c r="W334" s="66">
        <v>4</v>
      </c>
    </row>
    <row r="335" s="61" customFormat="1" hidden="1" customHeight="1" spans="1:23">
      <c r="A335" s="66">
        <v>17</v>
      </c>
      <c r="B335" s="182" t="s">
        <v>286</v>
      </c>
      <c r="C335" s="182" t="s">
        <v>153</v>
      </c>
      <c r="D335" s="182" t="s">
        <v>287</v>
      </c>
      <c r="E335" s="66">
        <v>18755672832</v>
      </c>
      <c r="F335" s="182" t="s">
        <v>156</v>
      </c>
      <c r="G335" s="182" t="s">
        <v>5</v>
      </c>
      <c r="H335" s="66">
        <v>202102008</v>
      </c>
      <c r="I335" s="182" t="s">
        <v>157</v>
      </c>
      <c r="J335" s="182" t="s">
        <v>289</v>
      </c>
      <c r="K335" s="182" t="s">
        <v>290</v>
      </c>
      <c r="L335" s="182" t="s">
        <v>170</v>
      </c>
      <c r="M335" s="182" t="s">
        <v>261</v>
      </c>
      <c r="N335" s="182" t="s">
        <v>5</v>
      </c>
      <c r="O335" s="66">
        <v>0</v>
      </c>
      <c r="P335" s="67" t="str">
        <f>_xlfn.DISPIMG("ID_5BB4AA0F377240A584934BCE0D4B941B",1)</f>
        <v>=DISPIMG("ID_5BB4AA0F377240A584934BCE0D4B941B",1)</v>
      </c>
      <c r="Q335" s="66" t="s">
        <v>291</v>
      </c>
      <c r="R335" s="66">
        <v>16</v>
      </c>
      <c r="S335" s="68" t="s">
        <v>4658</v>
      </c>
      <c r="T335" s="69" t="s">
        <v>56</v>
      </c>
      <c r="U335" s="66">
        <v>19</v>
      </c>
      <c r="V335" s="66">
        <v>81</v>
      </c>
      <c r="W335" s="66">
        <v>5</v>
      </c>
    </row>
    <row r="336" s="61" customFormat="1" hidden="1" customHeight="1" spans="1:23">
      <c r="A336" s="66">
        <v>21</v>
      </c>
      <c r="B336" s="182" t="s">
        <v>2294</v>
      </c>
      <c r="C336" s="182" t="s">
        <v>153</v>
      </c>
      <c r="D336" s="182" t="s">
        <v>2295</v>
      </c>
      <c r="E336" s="66">
        <v>18179457855</v>
      </c>
      <c r="F336" s="182" t="s">
        <v>156</v>
      </c>
      <c r="G336" s="182" t="s">
        <v>5</v>
      </c>
      <c r="H336" s="66">
        <v>202102008</v>
      </c>
      <c r="I336" s="182" t="s">
        <v>157</v>
      </c>
      <c r="J336" s="182" t="s">
        <v>1654</v>
      </c>
      <c r="K336" s="182" t="s">
        <v>2297</v>
      </c>
      <c r="L336" s="182" t="s">
        <v>160</v>
      </c>
      <c r="M336" s="182" t="s">
        <v>2298</v>
      </c>
      <c r="N336" s="182" t="s">
        <v>2299</v>
      </c>
      <c r="O336" s="66">
        <v>0</v>
      </c>
      <c r="P336" s="67" t="str">
        <f>_xlfn.DISPIMG("ID_2348B3C3CCB6443B92AD1A08F0A487FA",1)</f>
        <v>=DISPIMG("ID_2348B3C3CCB6443B92AD1A08F0A487FA",1)</v>
      </c>
      <c r="Q336" s="66" t="s">
        <v>2300</v>
      </c>
      <c r="R336" s="66">
        <v>271</v>
      </c>
      <c r="S336" s="68" t="s">
        <v>4639</v>
      </c>
      <c r="T336" s="69" t="s">
        <v>56</v>
      </c>
      <c r="U336" s="66">
        <v>21</v>
      </c>
      <c r="V336" s="66">
        <v>75</v>
      </c>
      <c r="W336" s="66">
        <v>6</v>
      </c>
    </row>
    <row r="337" s="61" customFormat="1" hidden="1" customHeight="1" spans="1:23">
      <c r="A337" s="66">
        <v>16</v>
      </c>
      <c r="B337" s="182" t="s">
        <v>239</v>
      </c>
      <c r="C337" s="182" t="s">
        <v>165</v>
      </c>
      <c r="D337" s="182" t="s">
        <v>240</v>
      </c>
      <c r="E337" s="66">
        <v>13697988167</v>
      </c>
      <c r="F337" s="182" t="s">
        <v>156</v>
      </c>
      <c r="G337" s="182" t="s">
        <v>5</v>
      </c>
      <c r="H337" s="66">
        <v>202102008</v>
      </c>
      <c r="I337" s="182" t="s">
        <v>157</v>
      </c>
      <c r="J337" s="182" t="s">
        <v>242</v>
      </c>
      <c r="K337" s="182" t="s">
        <v>243</v>
      </c>
      <c r="L337" s="182" t="s">
        <v>160</v>
      </c>
      <c r="M337" s="182" t="s">
        <v>161</v>
      </c>
      <c r="N337" s="182" t="s">
        <v>5</v>
      </c>
      <c r="O337" s="66">
        <v>0</v>
      </c>
      <c r="P337" s="67" t="str">
        <f>_xlfn.DISPIMG("ID_9CBFB21D3F5B4658948522EF0C2AECE4",1)</f>
        <v>=DISPIMG("ID_9CBFB21D3F5B4658948522EF0C2AECE4",1)</v>
      </c>
      <c r="Q337" s="66" t="s">
        <v>244</v>
      </c>
      <c r="R337" s="66">
        <v>11</v>
      </c>
      <c r="S337" s="68" t="s">
        <v>4657</v>
      </c>
      <c r="T337" s="69" t="s">
        <v>56</v>
      </c>
      <c r="U337" s="66">
        <v>18</v>
      </c>
      <c r="V337" s="66">
        <v>70</v>
      </c>
      <c r="W337" s="66">
        <v>7</v>
      </c>
    </row>
    <row r="338" s="10" customFormat="1" hidden="1" customHeight="1" spans="1:23">
      <c r="A338" s="14">
        <v>19</v>
      </c>
      <c r="B338" s="174" t="s">
        <v>1706</v>
      </c>
      <c r="C338" s="174" t="s">
        <v>153</v>
      </c>
      <c r="D338" s="174" t="s">
        <v>1707</v>
      </c>
      <c r="E338" s="14">
        <v>15070040825</v>
      </c>
      <c r="F338" s="174" t="s">
        <v>506</v>
      </c>
      <c r="G338" s="174" t="s">
        <v>5</v>
      </c>
      <c r="H338" s="14">
        <v>202102020</v>
      </c>
      <c r="I338" s="174" t="s">
        <v>157</v>
      </c>
      <c r="J338" s="174" t="s">
        <v>789</v>
      </c>
      <c r="K338" s="174" t="s">
        <v>1709</v>
      </c>
      <c r="L338" s="174" t="s">
        <v>160</v>
      </c>
      <c r="M338" s="174" t="s">
        <v>1346</v>
      </c>
      <c r="N338" s="174" t="s">
        <v>1710</v>
      </c>
      <c r="O338" s="174" t="s">
        <v>1711</v>
      </c>
      <c r="P338" s="74" t="str">
        <f>_xlfn.DISPIMG("ID_B3E8781AF7454377842FD7EC53A6E781",1)</f>
        <v>=DISPIMG("ID_B3E8781AF7454377842FD7EC53A6E781",1)</v>
      </c>
      <c r="Q338" s="14" t="s">
        <v>1712</v>
      </c>
      <c r="R338" s="14">
        <v>193</v>
      </c>
      <c r="S338" s="78" t="s">
        <v>4663</v>
      </c>
      <c r="T338" s="19" t="s">
        <v>56</v>
      </c>
      <c r="U338" s="14">
        <v>20</v>
      </c>
      <c r="V338" s="14">
        <v>80</v>
      </c>
      <c r="W338" s="14">
        <v>1</v>
      </c>
    </row>
    <row r="339" s="61" customFormat="1" hidden="1" customHeight="1" spans="1:23">
      <c r="A339" s="66">
        <v>7</v>
      </c>
      <c r="B339" s="182" t="s">
        <v>627</v>
      </c>
      <c r="C339" s="182" t="s">
        <v>165</v>
      </c>
      <c r="D339" s="182" t="s">
        <v>628</v>
      </c>
      <c r="E339" s="66">
        <v>18162269962</v>
      </c>
      <c r="F339" s="182" t="s">
        <v>156</v>
      </c>
      <c r="G339" s="182" t="s">
        <v>6</v>
      </c>
      <c r="H339" s="66">
        <v>202102012</v>
      </c>
      <c r="I339" s="182" t="s">
        <v>157</v>
      </c>
      <c r="J339" s="182" t="s">
        <v>630</v>
      </c>
      <c r="K339" s="182" t="s">
        <v>207</v>
      </c>
      <c r="L339" s="182" t="s">
        <v>160</v>
      </c>
      <c r="M339" s="182" t="s">
        <v>541</v>
      </c>
      <c r="N339" s="182" t="s">
        <v>18</v>
      </c>
      <c r="O339" s="182" t="s">
        <v>631</v>
      </c>
      <c r="P339" s="67" t="str">
        <f>_xlfn.DISPIMG("ID_50ADA4D0B38B42B786E2DD18C78CCC60",1)</f>
        <v>=DISPIMG("ID_50ADA4D0B38B42B786E2DD18C78CCC60",1)</v>
      </c>
      <c r="Q339" s="66" t="s">
        <v>632</v>
      </c>
      <c r="R339" s="66">
        <v>57</v>
      </c>
      <c r="S339" s="68" t="s">
        <v>4641</v>
      </c>
      <c r="T339" s="69" t="s">
        <v>60</v>
      </c>
      <c r="U339" s="66">
        <v>8</v>
      </c>
      <c r="V339" s="66">
        <v>95</v>
      </c>
      <c r="W339" s="66">
        <v>1</v>
      </c>
    </row>
    <row r="340" s="61" customFormat="1" hidden="1" customHeight="1" spans="1:23">
      <c r="A340" s="66">
        <v>10</v>
      </c>
      <c r="B340" s="182" t="s">
        <v>1076</v>
      </c>
      <c r="C340" s="182" t="s">
        <v>165</v>
      </c>
      <c r="D340" s="182" t="s">
        <v>1077</v>
      </c>
      <c r="E340" s="66">
        <v>18870203440</v>
      </c>
      <c r="F340" s="182" t="s">
        <v>156</v>
      </c>
      <c r="G340" s="182" t="s">
        <v>6</v>
      </c>
      <c r="H340" s="66">
        <v>202102012</v>
      </c>
      <c r="I340" s="182" t="s">
        <v>157</v>
      </c>
      <c r="J340" s="182" t="s">
        <v>1079</v>
      </c>
      <c r="K340" s="182" t="s">
        <v>1080</v>
      </c>
      <c r="L340" s="182" t="s">
        <v>160</v>
      </c>
      <c r="M340" s="182" t="s">
        <v>235</v>
      </c>
      <c r="N340" s="182" t="s">
        <v>413</v>
      </c>
      <c r="O340" s="182" t="s">
        <v>1081</v>
      </c>
      <c r="P340" s="67" t="str">
        <f>_xlfn.DISPIMG("ID_78C412614C7B42A0AA2A4D942DD9F1A2",1)</f>
        <v>=DISPIMG("ID_78C412614C7B42A0AA2A4D942DD9F1A2",1)</v>
      </c>
      <c r="Q340" s="66" t="s">
        <v>1082</v>
      </c>
      <c r="R340" s="66">
        <v>112</v>
      </c>
      <c r="S340" s="68" t="s">
        <v>4656</v>
      </c>
      <c r="T340" s="69" t="s">
        <v>60</v>
      </c>
      <c r="U340" s="66">
        <v>29</v>
      </c>
      <c r="V340" s="66">
        <v>89</v>
      </c>
      <c r="W340" s="66">
        <v>2</v>
      </c>
    </row>
    <row r="341" s="61" customFormat="1" hidden="1" customHeight="1" spans="1:23">
      <c r="A341" s="66">
        <v>17</v>
      </c>
      <c r="B341" s="182" t="s">
        <v>2233</v>
      </c>
      <c r="C341" s="182" t="s">
        <v>165</v>
      </c>
      <c r="D341" s="182" t="s">
        <v>2234</v>
      </c>
      <c r="E341" s="66">
        <v>18279238026</v>
      </c>
      <c r="F341" s="182" t="s">
        <v>156</v>
      </c>
      <c r="G341" s="182" t="s">
        <v>6</v>
      </c>
      <c r="H341" s="66">
        <v>202102012</v>
      </c>
      <c r="I341" s="182" t="s">
        <v>157</v>
      </c>
      <c r="J341" s="182" t="s">
        <v>2236</v>
      </c>
      <c r="K341" s="182" t="s">
        <v>188</v>
      </c>
      <c r="L341" s="182" t="s">
        <v>160</v>
      </c>
      <c r="M341" s="182" t="s">
        <v>516</v>
      </c>
      <c r="N341" s="182" t="s">
        <v>18</v>
      </c>
      <c r="O341" s="66">
        <v>0</v>
      </c>
      <c r="P341" s="67" t="str">
        <f>_xlfn.DISPIMG("ID_B83409D3E833484EAA2409A5675BAA5D",1)</f>
        <v>=DISPIMG("ID_B83409D3E833484EAA2409A5675BAA5D",1)</v>
      </c>
      <c r="Q341" s="66" t="s">
        <v>2237</v>
      </c>
      <c r="R341" s="66">
        <v>263</v>
      </c>
      <c r="S341" s="68" t="s">
        <v>4669</v>
      </c>
      <c r="T341" s="69" t="s">
        <v>60</v>
      </c>
      <c r="U341" s="66">
        <v>10</v>
      </c>
      <c r="V341" s="66">
        <v>87</v>
      </c>
      <c r="W341" s="66">
        <v>3</v>
      </c>
    </row>
    <row r="342" s="61" customFormat="1" hidden="1" customHeight="1" spans="1:23">
      <c r="A342" s="66">
        <v>27</v>
      </c>
      <c r="B342" s="182" t="s">
        <v>3423</v>
      </c>
      <c r="C342" s="182" t="s">
        <v>165</v>
      </c>
      <c r="D342" s="182" t="s">
        <v>3424</v>
      </c>
      <c r="E342" s="66">
        <v>18720214779</v>
      </c>
      <c r="F342" s="182" t="s">
        <v>156</v>
      </c>
      <c r="G342" s="182" t="s">
        <v>6</v>
      </c>
      <c r="H342" s="66">
        <v>202102012</v>
      </c>
      <c r="I342" s="182" t="s">
        <v>157</v>
      </c>
      <c r="J342" s="182" t="s">
        <v>1424</v>
      </c>
      <c r="K342" s="182" t="s">
        <v>404</v>
      </c>
      <c r="L342" s="182" t="s">
        <v>160</v>
      </c>
      <c r="M342" s="182" t="s">
        <v>171</v>
      </c>
      <c r="N342" s="182" t="s">
        <v>18</v>
      </c>
      <c r="O342" s="182" t="s">
        <v>3425</v>
      </c>
      <c r="P342" s="67" t="str">
        <f>_xlfn.DISPIMG("ID_F35EB404C32C41B8B6B9DFFF6A73D9A8",1)</f>
        <v>=DISPIMG("ID_F35EB404C32C41B8B6B9DFFF6A73D9A8",1)</v>
      </c>
      <c r="Q342" s="66" t="s">
        <v>3426</v>
      </c>
      <c r="R342" s="66">
        <v>432</v>
      </c>
      <c r="S342" s="68" t="s">
        <v>4679</v>
      </c>
      <c r="T342" s="69" t="s">
        <v>60</v>
      </c>
      <c r="U342" s="66">
        <v>12</v>
      </c>
      <c r="V342" s="66">
        <v>86.5</v>
      </c>
      <c r="W342" s="66">
        <v>4</v>
      </c>
    </row>
    <row r="343" s="34" customFormat="1" hidden="1" customHeight="1" spans="1:23">
      <c r="A343" s="25">
        <v>21</v>
      </c>
      <c r="B343" s="175" t="s">
        <v>2705</v>
      </c>
      <c r="C343" s="175" t="s">
        <v>165</v>
      </c>
      <c r="D343" s="175" t="s">
        <v>2706</v>
      </c>
      <c r="E343" s="25">
        <v>18879206969</v>
      </c>
      <c r="F343" s="175" t="s">
        <v>156</v>
      </c>
      <c r="G343" s="175" t="s">
        <v>6</v>
      </c>
      <c r="H343" s="25">
        <v>202102012</v>
      </c>
      <c r="I343" s="175" t="s">
        <v>157</v>
      </c>
      <c r="J343" s="175" t="s">
        <v>2708</v>
      </c>
      <c r="K343" s="175" t="s">
        <v>750</v>
      </c>
      <c r="L343" s="175" t="s">
        <v>160</v>
      </c>
      <c r="M343" s="175" t="s">
        <v>216</v>
      </c>
      <c r="N343" s="175" t="s">
        <v>18</v>
      </c>
      <c r="O343" s="25">
        <v>0</v>
      </c>
      <c r="P343" s="26" t="str">
        <f>_xlfn.DISPIMG("ID_4ECDECBC23404DF3A6E316268C69D43E",1)</f>
        <v>=DISPIMG("ID_4ECDECBC23404DF3A6E316268C69D43E",1)</v>
      </c>
      <c r="Q343" s="25" t="s">
        <v>2709</v>
      </c>
      <c r="R343" s="25">
        <v>326</v>
      </c>
      <c r="S343" s="40" t="s">
        <v>4673</v>
      </c>
      <c r="T343" s="18" t="s">
        <v>60</v>
      </c>
      <c r="U343" s="25">
        <v>2</v>
      </c>
      <c r="V343" s="25">
        <v>85</v>
      </c>
      <c r="W343" s="25">
        <v>5</v>
      </c>
    </row>
    <row r="344" s="34" customFormat="1" hidden="1" customHeight="1" spans="1:23">
      <c r="A344" s="25">
        <v>3</v>
      </c>
      <c r="B344" s="175" t="s">
        <v>3780</v>
      </c>
      <c r="C344" s="175" t="s">
        <v>165</v>
      </c>
      <c r="D344" s="175" t="s">
        <v>3781</v>
      </c>
      <c r="E344" s="25">
        <v>18372112404</v>
      </c>
      <c r="F344" s="175" t="s">
        <v>156</v>
      </c>
      <c r="G344" s="175" t="s">
        <v>6</v>
      </c>
      <c r="H344" s="25">
        <v>202102012</v>
      </c>
      <c r="I344" s="175" t="s">
        <v>157</v>
      </c>
      <c r="J344" s="175" t="s">
        <v>3783</v>
      </c>
      <c r="K344" s="175" t="s">
        <v>3784</v>
      </c>
      <c r="L344" s="175" t="s">
        <v>160</v>
      </c>
      <c r="M344" s="175" t="s">
        <v>252</v>
      </c>
      <c r="N344" s="175" t="s">
        <v>6</v>
      </c>
      <c r="O344" s="175" t="s">
        <v>3785</v>
      </c>
      <c r="P344" s="26" t="str">
        <f>_xlfn.DISPIMG("ID_D2BC3DB6B6B24D07A1729D0ECE731594",1)</f>
        <v>=DISPIMG("ID_D2BC3DB6B6B24D07A1729D0ECE731594",1)</v>
      </c>
      <c r="Q344" s="25" t="s">
        <v>3786</v>
      </c>
      <c r="R344" s="25">
        <v>482</v>
      </c>
      <c r="S344" s="40" t="s">
        <v>4685</v>
      </c>
      <c r="T344" s="18" t="s">
        <v>62</v>
      </c>
      <c r="U344" s="25">
        <v>4</v>
      </c>
      <c r="V344" s="25">
        <v>84</v>
      </c>
      <c r="W344" s="25">
        <v>6</v>
      </c>
    </row>
    <row r="345" s="34" customFormat="1" hidden="1" customHeight="1" spans="1:23">
      <c r="A345" s="25">
        <v>6</v>
      </c>
      <c r="B345" s="175" t="s">
        <v>409</v>
      </c>
      <c r="C345" s="175" t="s">
        <v>153</v>
      </c>
      <c r="D345" s="175" t="s">
        <v>410</v>
      </c>
      <c r="E345" s="25">
        <v>13177702893</v>
      </c>
      <c r="F345" s="175" t="s">
        <v>156</v>
      </c>
      <c r="G345" s="175" t="s">
        <v>6</v>
      </c>
      <c r="H345" s="25">
        <v>202102012</v>
      </c>
      <c r="I345" s="175" t="s">
        <v>157</v>
      </c>
      <c r="J345" s="175" t="s">
        <v>412</v>
      </c>
      <c r="K345" s="175" t="s">
        <v>323</v>
      </c>
      <c r="L345" s="175" t="s">
        <v>170</v>
      </c>
      <c r="M345" s="175" t="s">
        <v>252</v>
      </c>
      <c r="N345" s="175" t="s">
        <v>413</v>
      </c>
      <c r="O345" s="175" t="s">
        <v>414</v>
      </c>
      <c r="P345" s="26" t="str">
        <f>_xlfn.DISPIMG("ID_C929C0A6F3B54FF18F2B98BE28643203",1)</f>
        <v>=DISPIMG("ID_C929C0A6F3B54FF18F2B98BE28643203",1)</v>
      </c>
      <c r="Q345" s="25" t="s">
        <v>415</v>
      </c>
      <c r="R345" s="25">
        <v>30</v>
      </c>
      <c r="S345" s="40" t="s">
        <v>4659</v>
      </c>
      <c r="T345" s="18" t="s">
        <v>60</v>
      </c>
      <c r="U345" s="25">
        <v>5</v>
      </c>
      <c r="V345" s="25">
        <v>82</v>
      </c>
      <c r="W345" s="25">
        <v>7</v>
      </c>
    </row>
    <row r="346" s="34" customFormat="1" hidden="1" customHeight="1" spans="1:23">
      <c r="A346" s="25">
        <v>5</v>
      </c>
      <c r="B346" s="175" t="s">
        <v>400</v>
      </c>
      <c r="C346" s="175" t="s">
        <v>165</v>
      </c>
      <c r="D346" s="175" t="s">
        <v>401</v>
      </c>
      <c r="E346" s="25">
        <v>18279242907</v>
      </c>
      <c r="F346" s="175" t="s">
        <v>156</v>
      </c>
      <c r="G346" s="175" t="s">
        <v>6</v>
      </c>
      <c r="H346" s="25">
        <v>202102012</v>
      </c>
      <c r="I346" s="175" t="s">
        <v>157</v>
      </c>
      <c r="J346" s="175" t="s">
        <v>403</v>
      </c>
      <c r="K346" s="175" t="s">
        <v>404</v>
      </c>
      <c r="L346" s="175" t="s">
        <v>160</v>
      </c>
      <c r="M346" s="175" t="s">
        <v>252</v>
      </c>
      <c r="N346" s="175" t="s">
        <v>6</v>
      </c>
      <c r="O346" s="175" t="s">
        <v>405</v>
      </c>
      <c r="P346" s="26" t="str">
        <f>_xlfn.DISPIMG("ID_CF4959AF4AC44C8391DB8D257F1D8B87",1)</f>
        <v>=DISPIMG("ID_CF4959AF4AC44C8391DB8D257F1D8B87",1)</v>
      </c>
      <c r="Q346" s="25" t="s">
        <v>406</v>
      </c>
      <c r="R346" s="25">
        <v>29</v>
      </c>
      <c r="S346" s="40" t="s">
        <v>4655</v>
      </c>
      <c r="T346" s="18" t="s">
        <v>60</v>
      </c>
      <c r="U346" s="25">
        <v>30</v>
      </c>
      <c r="V346" s="25">
        <v>81</v>
      </c>
      <c r="W346" s="25">
        <v>8</v>
      </c>
    </row>
    <row r="347" s="34" customFormat="1" hidden="1" customHeight="1" spans="1:23">
      <c r="A347" s="25">
        <v>19</v>
      </c>
      <c r="B347" s="175" t="s">
        <v>2316</v>
      </c>
      <c r="C347" s="175" t="s">
        <v>165</v>
      </c>
      <c r="D347" s="175" t="s">
        <v>2317</v>
      </c>
      <c r="E347" s="25">
        <v>18790256284</v>
      </c>
      <c r="F347" s="175" t="s">
        <v>156</v>
      </c>
      <c r="G347" s="175" t="s">
        <v>6</v>
      </c>
      <c r="H347" s="25">
        <v>202102012</v>
      </c>
      <c r="I347" s="175" t="s">
        <v>157</v>
      </c>
      <c r="J347" s="175" t="s">
        <v>403</v>
      </c>
      <c r="K347" s="175" t="s">
        <v>207</v>
      </c>
      <c r="L347" s="175" t="s">
        <v>160</v>
      </c>
      <c r="M347" s="175" t="s">
        <v>161</v>
      </c>
      <c r="N347" s="175" t="s">
        <v>1156</v>
      </c>
      <c r="O347" s="175" t="s">
        <v>2319</v>
      </c>
      <c r="P347" s="26" t="str">
        <f>_xlfn.DISPIMG("ID_CE4D4038789D4DF1AB53AB5B07B379E6",1)</f>
        <v>=DISPIMG("ID_CE4D4038789D4DF1AB53AB5B07B379E6",1)</v>
      </c>
      <c r="Q347" s="25" t="s">
        <v>2320</v>
      </c>
      <c r="R347" s="25">
        <v>274</v>
      </c>
      <c r="S347" s="40" t="s">
        <v>4671</v>
      </c>
      <c r="T347" s="18" t="s">
        <v>60</v>
      </c>
      <c r="U347" s="25">
        <v>22</v>
      </c>
      <c r="V347" s="25">
        <v>79.5</v>
      </c>
      <c r="W347" s="25">
        <v>9</v>
      </c>
    </row>
    <row r="348" s="34" customFormat="1" hidden="1" customHeight="1" spans="1:23">
      <c r="A348" s="25">
        <v>4</v>
      </c>
      <c r="B348" s="175" t="s">
        <v>319</v>
      </c>
      <c r="C348" s="175" t="s">
        <v>165</v>
      </c>
      <c r="D348" s="175" t="s">
        <v>320</v>
      </c>
      <c r="E348" s="25">
        <v>18679938518</v>
      </c>
      <c r="F348" s="175" t="s">
        <v>156</v>
      </c>
      <c r="G348" s="175" t="s">
        <v>6</v>
      </c>
      <c r="H348" s="25">
        <v>202102012</v>
      </c>
      <c r="I348" s="175" t="s">
        <v>157</v>
      </c>
      <c r="J348" s="175" t="s">
        <v>322</v>
      </c>
      <c r="K348" s="175" t="s">
        <v>323</v>
      </c>
      <c r="L348" s="175" t="s">
        <v>170</v>
      </c>
      <c r="M348" s="175" t="s">
        <v>180</v>
      </c>
      <c r="N348" s="175" t="s">
        <v>324</v>
      </c>
      <c r="O348" s="175" t="s">
        <v>325</v>
      </c>
      <c r="P348" s="26" t="str">
        <f>_xlfn.DISPIMG("ID_7D94F98EB3D041FA910044FDF5DF1027",1)</f>
        <v>=DISPIMG("ID_7D94F98EB3D041FA910044FDF5DF1027",1)</v>
      </c>
      <c r="Q348" s="25" t="s">
        <v>326</v>
      </c>
      <c r="R348" s="25">
        <v>20</v>
      </c>
      <c r="S348" s="40" t="s">
        <v>4654</v>
      </c>
      <c r="T348" s="18" t="s">
        <v>60</v>
      </c>
      <c r="U348" s="25">
        <v>19</v>
      </c>
      <c r="V348" s="25">
        <v>79</v>
      </c>
      <c r="W348" s="25">
        <v>10</v>
      </c>
    </row>
    <row r="349" s="34" customFormat="1" hidden="1" customHeight="1" spans="1:23">
      <c r="A349" s="25">
        <v>24</v>
      </c>
      <c r="B349" s="175" t="s">
        <v>3091</v>
      </c>
      <c r="C349" s="175" t="s">
        <v>165</v>
      </c>
      <c r="D349" s="175" t="s">
        <v>3092</v>
      </c>
      <c r="E349" s="25">
        <v>18679162461</v>
      </c>
      <c r="F349" s="175" t="s">
        <v>156</v>
      </c>
      <c r="G349" s="175" t="s">
        <v>6</v>
      </c>
      <c r="H349" s="25">
        <v>202102012</v>
      </c>
      <c r="I349" s="175" t="s">
        <v>157</v>
      </c>
      <c r="J349" s="175" t="s">
        <v>3094</v>
      </c>
      <c r="K349" s="175" t="s">
        <v>3095</v>
      </c>
      <c r="L349" s="175" t="s">
        <v>160</v>
      </c>
      <c r="M349" s="175" t="s">
        <v>171</v>
      </c>
      <c r="N349" s="175" t="s">
        <v>18</v>
      </c>
      <c r="O349" s="175" t="s">
        <v>3096</v>
      </c>
      <c r="P349" s="26" t="str">
        <f>_xlfn.DISPIMG("ID_26230D3A7A254FB387523A67FAC705F7",1)</f>
        <v>=DISPIMG("ID_26230D3A7A254FB387523A67FAC705F7",1)</v>
      </c>
      <c r="Q349" s="25" t="s">
        <v>3097</v>
      </c>
      <c r="R349" s="25">
        <v>382</v>
      </c>
      <c r="S349" s="40" t="s">
        <v>4676</v>
      </c>
      <c r="T349" s="18" t="s">
        <v>60</v>
      </c>
      <c r="U349" s="25">
        <v>23</v>
      </c>
      <c r="V349" s="25">
        <v>78.5</v>
      </c>
      <c r="W349" s="25">
        <v>11</v>
      </c>
    </row>
    <row r="350" s="34" customFormat="1" hidden="1" customHeight="1" spans="1:23">
      <c r="A350" s="25">
        <v>22</v>
      </c>
      <c r="B350" s="175" t="s">
        <v>2718</v>
      </c>
      <c r="C350" s="175" t="s">
        <v>153</v>
      </c>
      <c r="D350" s="175" t="s">
        <v>2719</v>
      </c>
      <c r="E350" s="25">
        <v>15779215230</v>
      </c>
      <c r="F350" s="175" t="s">
        <v>156</v>
      </c>
      <c r="G350" s="175" t="s">
        <v>6</v>
      </c>
      <c r="H350" s="25">
        <v>202102012</v>
      </c>
      <c r="I350" s="175" t="s">
        <v>157</v>
      </c>
      <c r="J350" s="175" t="s">
        <v>168</v>
      </c>
      <c r="K350" s="175" t="s">
        <v>2721</v>
      </c>
      <c r="L350" s="175" t="s">
        <v>160</v>
      </c>
      <c r="M350" s="175" t="s">
        <v>455</v>
      </c>
      <c r="N350" s="175" t="s">
        <v>18</v>
      </c>
      <c r="O350" s="175" t="s">
        <v>2722</v>
      </c>
      <c r="P350" s="26" t="str">
        <f>_xlfn.DISPIMG("ID_2B62698B077F4147874AB6F7E19938E7",1)</f>
        <v>=DISPIMG("ID_2B62698B077F4147874AB6F7E19938E7",1)</v>
      </c>
      <c r="Q350" s="25" t="s">
        <v>2723</v>
      </c>
      <c r="R350" s="25">
        <v>328</v>
      </c>
      <c r="S350" s="40" t="s">
        <v>4674</v>
      </c>
      <c r="T350" s="18" t="s">
        <v>60</v>
      </c>
      <c r="U350" s="25">
        <v>11</v>
      </c>
      <c r="V350" s="25">
        <v>77.5</v>
      </c>
      <c r="W350" s="25">
        <v>12</v>
      </c>
    </row>
    <row r="351" s="34" customFormat="1" hidden="1" customHeight="1" spans="1:23">
      <c r="A351" s="25">
        <v>29</v>
      </c>
      <c r="B351" s="175" t="s">
        <v>3466</v>
      </c>
      <c r="C351" s="175" t="s">
        <v>165</v>
      </c>
      <c r="D351" s="175" t="s">
        <v>3467</v>
      </c>
      <c r="E351" s="25">
        <v>15879126790</v>
      </c>
      <c r="F351" s="175" t="s">
        <v>156</v>
      </c>
      <c r="G351" s="175" t="s">
        <v>6</v>
      </c>
      <c r="H351" s="25">
        <v>202102012</v>
      </c>
      <c r="I351" s="175" t="s">
        <v>157</v>
      </c>
      <c r="J351" s="175" t="s">
        <v>901</v>
      </c>
      <c r="K351" s="175" t="s">
        <v>188</v>
      </c>
      <c r="L351" s="175" t="s">
        <v>160</v>
      </c>
      <c r="M351" s="175" t="s">
        <v>281</v>
      </c>
      <c r="N351" s="175" t="s">
        <v>1579</v>
      </c>
      <c r="O351" s="175" t="s">
        <v>3469</v>
      </c>
      <c r="P351" s="26" t="str">
        <f>_xlfn.DISPIMG("ID_F4E1B2AC46944606B0ACE14F8CC9918C",1)</f>
        <v>=DISPIMG("ID_F4E1B2AC46944606B0ACE14F8CC9918C",1)</v>
      </c>
      <c r="Q351" s="25" t="s">
        <v>3470</v>
      </c>
      <c r="R351" s="25">
        <v>438</v>
      </c>
      <c r="S351" s="40" t="s">
        <v>4681</v>
      </c>
      <c r="T351" s="18" t="s">
        <v>60</v>
      </c>
      <c r="U351" s="25">
        <v>24</v>
      </c>
      <c r="V351" s="25">
        <v>75.5</v>
      </c>
      <c r="W351" s="25">
        <v>13</v>
      </c>
    </row>
    <row r="352" s="34" customFormat="1" hidden="1" customHeight="1" spans="1:23">
      <c r="A352" s="25">
        <v>20</v>
      </c>
      <c r="B352" s="175" t="s">
        <v>2643</v>
      </c>
      <c r="C352" s="175" t="s">
        <v>165</v>
      </c>
      <c r="D352" s="175" t="s">
        <v>2644</v>
      </c>
      <c r="E352" s="25">
        <v>15779267017</v>
      </c>
      <c r="F352" s="175" t="s">
        <v>156</v>
      </c>
      <c r="G352" s="175" t="s">
        <v>6</v>
      </c>
      <c r="H352" s="25">
        <v>202102012</v>
      </c>
      <c r="I352" s="175" t="s">
        <v>157</v>
      </c>
      <c r="J352" s="175" t="s">
        <v>2646</v>
      </c>
      <c r="K352" s="175" t="s">
        <v>2647</v>
      </c>
      <c r="L352" s="175" t="s">
        <v>160</v>
      </c>
      <c r="M352" s="175" t="s">
        <v>306</v>
      </c>
      <c r="N352" s="175" t="s">
        <v>18</v>
      </c>
      <c r="O352" s="175" t="s">
        <v>2648</v>
      </c>
      <c r="P352" s="26" t="str">
        <f>_xlfn.DISPIMG("ID_5444703683DB4591A53B76ECB3D8FAE4",1)</f>
        <v>=DISPIMG("ID_5444703683DB4591A53B76ECB3D8FAE4",1)</v>
      </c>
      <c r="Q352" s="25" t="s">
        <v>2649</v>
      </c>
      <c r="R352" s="25">
        <v>318</v>
      </c>
      <c r="S352" s="40" t="s">
        <v>4672</v>
      </c>
      <c r="T352" s="18" t="s">
        <v>60</v>
      </c>
      <c r="U352" s="25">
        <v>27</v>
      </c>
      <c r="V352" s="25">
        <v>70</v>
      </c>
      <c r="W352" s="25">
        <v>14</v>
      </c>
    </row>
    <row r="353" s="34" customFormat="1" hidden="1" customHeight="1" spans="1:23">
      <c r="A353" s="25">
        <v>8</v>
      </c>
      <c r="B353" s="175" t="s">
        <v>746</v>
      </c>
      <c r="C353" s="175" t="s">
        <v>165</v>
      </c>
      <c r="D353" s="175" t="s">
        <v>747</v>
      </c>
      <c r="E353" s="25">
        <v>15641592275</v>
      </c>
      <c r="F353" s="175" t="s">
        <v>156</v>
      </c>
      <c r="G353" s="175" t="s">
        <v>6</v>
      </c>
      <c r="H353" s="25">
        <v>202102012</v>
      </c>
      <c r="I353" s="175" t="s">
        <v>157</v>
      </c>
      <c r="J353" s="175" t="s">
        <v>749</v>
      </c>
      <c r="K353" s="175" t="s">
        <v>750</v>
      </c>
      <c r="L353" s="175" t="s">
        <v>160</v>
      </c>
      <c r="M353" s="175" t="s">
        <v>252</v>
      </c>
      <c r="N353" s="175" t="s">
        <v>6</v>
      </c>
      <c r="O353" s="25">
        <v>0</v>
      </c>
      <c r="P353" s="26" t="str">
        <f>_xlfn.DISPIMG("ID_7B1FBC3D2E8F42D28CA9AC35B8C2D010",1)</f>
        <v>=DISPIMG("ID_7B1FBC3D2E8F42D28CA9AC35B8C2D010",1)</v>
      </c>
      <c r="Q353" s="25" t="s">
        <v>751</v>
      </c>
      <c r="R353" s="25">
        <v>71</v>
      </c>
      <c r="S353" s="40" t="s">
        <v>4646</v>
      </c>
      <c r="T353" s="18" t="s">
        <v>60</v>
      </c>
      <c r="U353" s="25">
        <v>17</v>
      </c>
      <c r="V353" s="25">
        <v>68</v>
      </c>
      <c r="W353" s="25">
        <v>15</v>
      </c>
    </row>
    <row r="354" s="34" customFormat="1" hidden="1" customHeight="1" spans="1:23">
      <c r="A354" s="25">
        <v>12</v>
      </c>
      <c r="B354" s="175" t="s">
        <v>1227</v>
      </c>
      <c r="C354" s="175" t="s">
        <v>165</v>
      </c>
      <c r="D354" s="175" t="s">
        <v>1228</v>
      </c>
      <c r="E354" s="25">
        <v>18279868722</v>
      </c>
      <c r="F354" s="175" t="s">
        <v>156</v>
      </c>
      <c r="G354" s="175" t="s">
        <v>6</v>
      </c>
      <c r="H354" s="25">
        <v>202102012</v>
      </c>
      <c r="I354" s="175" t="s">
        <v>279</v>
      </c>
      <c r="J354" s="175" t="s">
        <v>168</v>
      </c>
      <c r="K354" s="175" t="s">
        <v>1138</v>
      </c>
      <c r="L354" s="175" t="s">
        <v>170</v>
      </c>
      <c r="M354" s="175" t="s">
        <v>368</v>
      </c>
      <c r="N354" s="175" t="s">
        <v>498</v>
      </c>
      <c r="O354" s="175" t="s">
        <v>1230</v>
      </c>
      <c r="P354" s="26" t="str">
        <f>_xlfn.DISPIMG("ID_F7BC6213D6E44840BB6BEB26E73F83E9",1)</f>
        <v>=DISPIMG("ID_F7BC6213D6E44840BB6BEB26E73F83E9",1)</v>
      </c>
      <c r="Q354" s="25" t="s">
        <v>1231</v>
      </c>
      <c r="R354" s="25">
        <v>130</v>
      </c>
      <c r="S354" s="40" t="s">
        <v>4661</v>
      </c>
      <c r="T354" s="18" t="s">
        <v>60</v>
      </c>
      <c r="U354" s="25">
        <v>9</v>
      </c>
      <c r="V354" s="25">
        <v>64</v>
      </c>
      <c r="W354" s="25">
        <v>16</v>
      </c>
    </row>
    <row r="355" s="34" customFormat="1" hidden="1" customHeight="1" spans="1:23">
      <c r="A355" s="25">
        <v>23</v>
      </c>
      <c r="B355" s="175" t="s">
        <v>2922</v>
      </c>
      <c r="C355" s="175" t="s">
        <v>165</v>
      </c>
      <c r="D355" s="175" t="s">
        <v>2923</v>
      </c>
      <c r="E355" s="25">
        <v>18079240698</v>
      </c>
      <c r="F355" s="175" t="s">
        <v>156</v>
      </c>
      <c r="G355" s="175" t="s">
        <v>6</v>
      </c>
      <c r="H355" s="25">
        <v>202102012</v>
      </c>
      <c r="I355" s="175" t="s">
        <v>157</v>
      </c>
      <c r="J355" s="175" t="s">
        <v>322</v>
      </c>
      <c r="K355" s="175" t="s">
        <v>2268</v>
      </c>
      <c r="L355" s="175" t="s">
        <v>160</v>
      </c>
      <c r="M355" s="175" t="s">
        <v>455</v>
      </c>
      <c r="N355" s="175" t="s">
        <v>2925</v>
      </c>
      <c r="O355" s="25">
        <v>0</v>
      </c>
      <c r="P355" s="26" t="str">
        <f>_xlfn.DISPIMG("ID_40B4A1C67261465298C744E0F0D93767",1)</f>
        <v>=DISPIMG("ID_40B4A1C67261465298C744E0F0D93767",1)</v>
      </c>
      <c r="Q355" s="25" t="s">
        <v>2926</v>
      </c>
      <c r="R355" s="25">
        <v>356</v>
      </c>
      <c r="S355" s="40" t="s">
        <v>4675</v>
      </c>
      <c r="T355" s="18" t="s">
        <v>60</v>
      </c>
      <c r="U355" s="25">
        <v>14</v>
      </c>
      <c r="V355" s="25">
        <v>61.5</v>
      </c>
      <c r="W355" s="25">
        <v>17</v>
      </c>
    </row>
    <row r="356" s="4" customFormat="1" hidden="1" customHeight="1" spans="1:23">
      <c r="A356" s="25">
        <v>6</v>
      </c>
      <c r="B356" s="176" t="s">
        <v>4058</v>
      </c>
      <c r="C356" s="176" t="s">
        <v>165</v>
      </c>
      <c r="D356" s="175" t="s">
        <v>4059</v>
      </c>
      <c r="E356" s="25">
        <v>15679268911</v>
      </c>
      <c r="F356" s="176" t="s">
        <v>156</v>
      </c>
      <c r="G356" s="176" t="s">
        <v>6</v>
      </c>
      <c r="H356" s="70">
        <v>202102022</v>
      </c>
      <c r="I356" s="175" t="s">
        <v>157</v>
      </c>
      <c r="J356" s="175" t="s">
        <v>3054</v>
      </c>
      <c r="K356" s="175" t="s">
        <v>404</v>
      </c>
      <c r="L356" s="175" t="s">
        <v>160</v>
      </c>
      <c r="M356" s="175" t="s">
        <v>261</v>
      </c>
      <c r="N356" s="175" t="s">
        <v>4061</v>
      </c>
      <c r="O356" s="25">
        <v>0</v>
      </c>
      <c r="P356" s="26" t="str">
        <f>_xlfn.DISPIMG("ID_9ECCE1798899427AA809C16B6659E359",1)</f>
        <v>=DISPIMG("ID_9ECCE1798899427AA809C16B6659E359",1)</v>
      </c>
      <c r="Q356" s="25" t="s">
        <v>4062</v>
      </c>
      <c r="R356" s="25">
        <v>519</v>
      </c>
      <c r="S356" s="71" t="s">
        <v>4688</v>
      </c>
      <c r="T356" s="72" t="s">
        <v>62</v>
      </c>
      <c r="U356" s="70">
        <v>1</v>
      </c>
      <c r="V356" s="70">
        <v>61</v>
      </c>
      <c r="W356" s="70">
        <v>18</v>
      </c>
    </row>
    <row r="357" s="34" customFormat="1" hidden="1" customHeight="1" spans="1:23">
      <c r="A357" s="25">
        <v>1</v>
      </c>
      <c r="B357" s="175" t="s">
        <v>184</v>
      </c>
      <c r="C357" s="175" t="s">
        <v>153</v>
      </c>
      <c r="D357" s="175" t="s">
        <v>185</v>
      </c>
      <c r="E357" s="25">
        <v>18038082134</v>
      </c>
      <c r="F357" s="175" t="s">
        <v>156</v>
      </c>
      <c r="G357" s="175" t="s">
        <v>6</v>
      </c>
      <c r="H357" s="25">
        <v>202102012</v>
      </c>
      <c r="I357" s="175" t="s">
        <v>157</v>
      </c>
      <c r="J357" s="175" t="s">
        <v>187</v>
      </c>
      <c r="K357" s="175" t="s">
        <v>188</v>
      </c>
      <c r="L357" s="175" t="s">
        <v>160</v>
      </c>
      <c r="M357" s="175" t="s">
        <v>189</v>
      </c>
      <c r="N357" s="175" t="s">
        <v>190</v>
      </c>
      <c r="O357" s="25">
        <v>0</v>
      </c>
      <c r="P357" s="26" t="str">
        <f>_xlfn.DISPIMG("ID_F9EC90828AC344EC8EE9AB75C1318672",1)</f>
        <v>=DISPIMG("ID_F9EC90828AC344EC8EE9AB75C1318672",1)</v>
      </c>
      <c r="Q357" s="25" t="s">
        <v>191</v>
      </c>
      <c r="R357" s="25">
        <v>5</v>
      </c>
      <c r="S357" s="40" t="s">
        <v>4645</v>
      </c>
      <c r="T357" s="18" t="s">
        <v>60</v>
      </c>
      <c r="U357" s="25">
        <v>6</v>
      </c>
      <c r="V357" s="25">
        <v>0</v>
      </c>
      <c r="W357" s="25"/>
    </row>
    <row r="358" s="34" customFormat="1" hidden="1" customHeight="1" spans="1:23">
      <c r="A358" s="25">
        <v>2</v>
      </c>
      <c r="B358" s="175" t="s">
        <v>203</v>
      </c>
      <c r="C358" s="175" t="s">
        <v>165</v>
      </c>
      <c r="D358" s="175" t="s">
        <v>204</v>
      </c>
      <c r="E358" s="25">
        <v>18451114131</v>
      </c>
      <c r="F358" s="175" t="s">
        <v>156</v>
      </c>
      <c r="G358" s="175" t="s">
        <v>6</v>
      </c>
      <c r="H358" s="25">
        <v>202102012</v>
      </c>
      <c r="I358" s="175" t="s">
        <v>157</v>
      </c>
      <c r="J358" s="175" t="s">
        <v>206</v>
      </c>
      <c r="K358" s="175" t="s">
        <v>207</v>
      </c>
      <c r="L358" s="175" t="s">
        <v>160</v>
      </c>
      <c r="M358" s="175" t="s">
        <v>199</v>
      </c>
      <c r="N358" s="175" t="s">
        <v>6</v>
      </c>
      <c r="O358" s="175" t="s">
        <v>208</v>
      </c>
      <c r="P358" s="26" t="str">
        <f>_xlfn.DISPIMG("ID_F7457C8055E845839E12BBC94DC0151A",1)</f>
        <v>=DISPIMG("ID_F7457C8055E845839E12BBC94DC0151A",1)</v>
      </c>
      <c r="Q358" s="25" t="s">
        <v>209</v>
      </c>
      <c r="R358" s="25">
        <v>7</v>
      </c>
      <c r="S358" s="40" t="s">
        <v>4649</v>
      </c>
      <c r="T358" s="18" t="s">
        <v>60</v>
      </c>
      <c r="U358" s="25">
        <v>7</v>
      </c>
      <c r="V358" s="25">
        <v>0</v>
      </c>
      <c r="W358" s="25"/>
    </row>
    <row r="359" s="34" customFormat="1" hidden="1" customHeight="1" spans="1:23">
      <c r="A359" s="25">
        <v>28</v>
      </c>
      <c r="B359" s="175" t="s">
        <v>3450</v>
      </c>
      <c r="C359" s="175" t="s">
        <v>165</v>
      </c>
      <c r="D359" s="175" t="s">
        <v>3451</v>
      </c>
      <c r="E359" s="25">
        <v>13122970585</v>
      </c>
      <c r="F359" s="175" t="s">
        <v>156</v>
      </c>
      <c r="G359" s="175" t="s">
        <v>6</v>
      </c>
      <c r="H359" s="25">
        <v>202102012</v>
      </c>
      <c r="I359" s="175" t="s">
        <v>157</v>
      </c>
      <c r="J359" s="175" t="s">
        <v>3453</v>
      </c>
      <c r="K359" s="175" t="s">
        <v>323</v>
      </c>
      <c r="L359" s="175" t="s">
        <v>170</v>
      </c>
      <c r="M359" s="175" t="s">
        <v>396</v>
      </c>
      <c r="N359" s="175" t="s">
        <v>2244</v>
      </c>
      <c r="O359" s="175" t="s">
        <v>3454</v>
      </c>
      <c r="P359" s="26" t="str">
        <f>_xlfn.DISPIMG("ID_75AF34168E0448D4A462EFA2E90CB632",1)</f>
        <v>=DISPIMG("ID_75AF34168E0448D4A462EFA2E90CB632",1)</v>
      </c>
      <c r="Q359" s="25" t="s">
        <v>3455</v>
      </c>
      <c r="R359" s="25">
        <v>436</v>
      </c>
      <c r="S359" s="40" t="s">
        <v>4680</v>
      </c>
      <c r="T359" s="18" t="s">
        <v>60</v>
      </c>
      <c r="U359" s="25">
        <v>13</v>
      </c>
      <c r="V359" s="25">
        <v>0</v>
      </c>
      <c r="W359" s="25"/>
    </row>
    <row r="360" s="34" customFormat="1" hidden="1" customHeight="1" spans="1:23">
      <c r="A360" s="25">
        <v>3</v>
      </c>
      <c r="B360" s="175" t="s">
        <v>247</v>
      </c>
      <c r="C360" s="175" t="s">
        <v>165</v>
      </c>
      <c r="D360" s="175" t="s">
        <v>248</v>
      </c>
      <c r="E360" s="25">
        <v>18194294670</v>
      </c>
      <c r="F360" s="175" t="s">
        <v>156</v>
      </c>
      <c r="G360" s="175" t="s">
        <v>6</v>
      </c>
      <c r="H360" s="25">
        <v>202102012</v>
      </c>
      <c r="I360" s="175" t="s">
        <v>157</v>
      </c>
      <c r="J360" s="175" t="s">
        <v>250</v>
      </c>
      <c r="K360" s="175" t="s">
        <v>251</v>
      </c>
      <c r="L360" s="175" t="s">
        <v>160</v>
      </c>
      <c r="M360" s="175" t="s">
        <v>252</v>
      </c>
      <c r="N360" s="175" t="s">
        <v>253</v>
      </c>
      <c r="O360" s="175" t="s">
        <v>254</v>
      </c>
      <c r="P360" s="26" t="str">
        <f>_xlfn.DISPIMG("ID_75E1D16F2E6F48168F32947A4DF07EC3",1)</f>
        <v>=DISPIMG("ID_75E1D16F2E6F48168F32947A4DF07EC3",1)</v>
      </c>
      <c r="Q360" s="25" t="s">
        <v>255</v>
      </c>
      <c r="R360" s="25">
        <v>12</v>
      </c>
      <c r="S360" s="40" t="s">
        <v>4650</v>
      </c>
      <c r="T360" s="18" t="s">
        <v>60</v>
      </c>
      <c r="U360" s="25">
        <v>18</v>
      </c>
      <c r="V360" s="25">
        <v>0</v>
      </c>
      <c r="W360" s="25"/>
    </row>
    <row r="361" s="34" customFormat="1" hidden="1" customHeight="1" spans="1:23">
      <c r="A361" s="25">
        <v>9</v>
      </c>
      <c r="B361" s="175" t="s">
        <v>770</v>
      </c>
      <c r="C361" s="175" t="s">
        <v>165</v>
      </c>
      <c r="D361" s="175" t="s">
        <v>771</v>
      </c>
      <c r="E361" s="25">
        <v>13360075847</v>
      </c>
      <c r="F361" s="175" t="s">
        <v>156</v>
      </c>
      <c r="G361" s="175" t="s">
        <v>6</v>
      </c>
      <c r="H361" s="25">
        <v>202102012</v>
      </c>
      <c r="I361" s="175" t="s">
        <v>157</v>
      </c>
      <c r="J361" s="175" t="s">
        <v>773</v>
      </c>
      <c r="K361" s="175" t="s">
        <v>188</v>
      </c>
      <c r="L361" s="175" t="s">
        <v>160</v>
      </c>
      <c r="M361" s="175" t="s">
        <v>516</v>
      </c>
      <c r="N361" s="175" t="s">
        <v>774</v>
      </c>
      <c r="O361" s="175" t="s">
        <v>775</v>
      </c>
      <c r="P361" s="26" t="str">
        <f>_xlfn.DISPIMG("ID_F0D9772787374E2C95921274F505EDAD",1)</f>
        <v>=DISPIMG("ID_F0D9772787374E2C95921274F505EDAD",1)</v>
      </c>
      <c r="Q361" s="25" t="s">
        <v>776</v>
      </c>
      <c r="R361" s="25">
        <v>74</v>
      </c>
      <c r="S361" s="40" t="s">
        <v>4651</v>
      </c>
      <c r="T361" s="18" t="s">
        <v>60</v>
      </c>
      <c r="U361" s="25">
        <v>20</v>
      </c>
      <c r="V361" s="25">
        <v>0</v>
      </c>
      <c r="W361" s="25"/>
    </row>
    <row r="362" s="34" customFormat="1" hidden="1" customHeight="1" spans="1:23">
      <c r="A362" s="25">
        <v>25</v>
      </c>
      <c r="B362" s="175" t="s">
        <v>3123</v>
      </c>
      <c r="C362" s="175" t="s">
        <v>165</v>
      </c>
      <c r="D362" s="175" t="s">
        <v>3124</v>
      </c>
      <c r="E362" s="25">
        <v>19979611731</v>
      </c>
      <c r="F362" s="175" t="s">
        <v>156</v>
      </c>
      <c r="G362" s="175" t="s">
        <v>6</v>
      </c>
      <c r="H362" s="25">
        <v>202102012</v>
      </c>
      <c r="I362" s="175" t="s">
        <v>157</v>
      </c>
      <c r="J362" s="175" t="s">
        <v>3126</v>
      </c>
      <c r="K362" s="175" t="s">
        <v>404</v>
      </c>
      <c r="L362" s="175" t="s">
        <v>160</v>
      </c>
      <c r="M362" s="175" t="s">
        <v>199</v>
      </c>
      <c r="N362" s="175" t="s">
        <v>18</v>
      </c>
      <c r="O362" s="25">
        <v>0</v>
      </c>
      <c r="P362" s="26" t="str">
        <f>_xlfn.DISPIMG("ID_A2488CA19AE844B4BBFD68619FFEAA1D",1)</f>
        <v>=DISPIMG("ID_A2488CA19AE844B4BBFD68619FFEAA1D",1)</v>
      </c>
      <c r="Q362" s="25" t="s">
        <v>3127</v>
      </c>
      <c r="R362" s="25">
        <v>386</v>
      </c>
      <c r="S362" s="40" t="s">
        <v>4677</v>
      </c>
      <c r="T362" s="18" t="s">
        <v>60</v>
      </c>
      <c r="U362" s="25">
        <v>26</v>
      </c>
      <c r="V362" s="25">
        <v>0</v>
      </c>
      <c r="W362" s="25"/>
    </row>
    <row r="363" s="34" customFormat="1" hidden="1" customHeight="1" spans="1:23">
      <c r="A363" s="25">
        <v>5</v>
      </c>
      <c r="B363" s="175" t="s">
        <v>3895</v>
      </c>
      <c r="C363" s="175" t="s">
        <v>165</v>
      </c>
      <c r="D363" s="175" t="s">
        <v>3896</v>
      </c>
      <c r="E363" s="25">
        <v>17859733350</v>
      </c>
      <c r="F363" s="175" t="s">
        <v>156</v>
      </c>
      <c r="G363" s="175" t="s">
        <v>6</v>
      </c>
      <c r="H363" s="25">
        <v>202102012</v>
      </c>
      <c r="I363" s="175" t="s">
        <v>157</v>
      </c>
      <c r="J363" s="175" t="s">
        <v>3898</v>
      </c>
      <c r="K363" s="175" t="s">
        <v>3784</v>
      </c>
      <c r="L363" s="175" t="s">
        <v>160</v>
      </c>
      <c r="M363" s="175" t="s">
        <v>235</v>
      </c>
      <c r="N363" s="175" t="s">
        <v>3899</v>
      </c>
      <c r="O363" s="175" t="s">
        <v>3900</v>
      </c>
      <c r="P363" s="26" t="str">
        <f>_xlfn.DISPIMG("ID_BC241117C250469C89F85CEC4B64E8AA",1)</f>
        <v>=DISPIMG("ID_BC241117C250469C89F85CEC4B64E8AA",1)</v>
      </c>
      <c r="Q363" s="25" t="s">
        <v>3901</v>
      </c>
      <c r="R363" s="25">
        <v>497</v>
      </c>
      <c r="S363" s="40" t="s">
        <v>4687</v>
      </c>
      <c r="T363" s="18" t="s">
        <v>62</v>
      </c>
      <c r="U363" s="25">
        <v>2</v>
      </c>
      <c r="V363" s="25">
        <v>0</v>
      </c>
      <c r="W363" s="25"/>
    </row>
    <row r="364" s="34" customFormat="1" hidden="1" customHeight="1" spans="1:23">
      <c r="A364" s="25">
        <v>2</v>
      </c>
      <c r="B364" s="175" t="s">
        <v>3758</v>
      </c>
      <c r="C364" s="175" t="s">
        <v>165</v>
      </c>
      <c r="D364" s="175" t="s">
        <v>3759</v>
      </c>
      <c r="E364" s="25">
        <v>15946993908</v>
      </c>
      <c r="F364" s="175" t="s">
        <v>156</v>
      </c>
      <c r="G364" s="175" t="s">
        <v>6</v>
      </c>
      <c r="H364" s="25">
        <v>202102012</v>
      </c>
      <c r="I364" s="175" t="s">
        <v>157</v>
      </c>
      <c r="J364" s="175" t="s">
        <v>3761</v>
      </c>
      <c r="K364" s="175" t="s">
        <v>404</v>
      </c>
      <c r="L364" s="175" t="s">
        <v>160</v>
      </c>
      <c r="M364" s="175" t="s">
        <v>252</v>
      </c>
      <c r="N364" s="175" t="s">
        <v>6</v>
      </c>
      <c r="O364" s="175" t="s">
        <v>3762</v>
      </c>
      <c r="P364" s="26" t="str">
        <f>_xlfn.DISPIMG("ID_C2F02D4F7B2D4545A16075F83680F752",1)</f>
        <v>=DISPIMG("ID_C2F02D4F7B2D4545A16075F83680F752",1)</v>
      </c>
      <c r="Q364" s="25" t="s">
        <v>3763</v>
      </c>
      <c r="R364" s="25">
        <v>479</v>
      </c>
      <c r="S364" s="40" t="s">
        <v>4684</v>
      </c>
      <c r="T364" s="18" t="s">
        <v>62</v>
      </c>
      <c r="U364" s="25">
        <v>5</v>
      </c>
      <c r="V364" s="25">
        <v>0</v>
      </c>
      <c r="W364" s="25"/>
    </row>
    <row r="365" s="34" customFormat="1" hidden="1" customHeight="1" spans="1:23">
      <c r="A365" s="25">
        <v>1</v>
      </c>
      <c r="B365" s="175" t="s">
        <v>3743</v>
      </c>
      <c r="C365" s="175" t="s">
        <v>165</v>
      </c>
      <c r="D365" s="175" t="s">
        <v>3744</v>
      </c>
      <c r="E365" s="25">
        <v>15679201300</v>
      </c>
      <c r="F365" s="175" t="s">
        <v>156</v>
      </c>
      <c r="G365" s="175" t="s">
        <v>6</v>
      </c>
      <c r="H365" s="25">
        <v>202102012</v>
      </c>
      <c r="I365" s="175" t="s">
        <v>157</v>
      </c>
      <c r="J365" s="175" t="s">
        <v>437</v>
      </c>
      <c r="K365" s="175" t="s">
        <v>3746</v>
      </c>
      <c r="L365" s="175" t="s">
        <v>160</v>
      </c>
      <c r="M365" s="175" t="s">
        <v>216</v>
      </c>
      <c r="N365" s="175" t="s">
        <v>18</v>
      </c>
      <c r="O365" s="175" t="s">
        <v>3747</v>
      </c>
      <c r="P365" s="26" t="str">
        <f>_xlfn.DISPIMG("ID_B41ADE81115D4115B428E62357BC8F70",1)</f>
        <v>=DISPIMG("ID_B41ADE81115D4115B428E62357BC8F70",1)</v>
      </c>
      <c r="Q365" s="25" t="s">
        <v>3748</v>
      </c>
      <c r="R365" s="25">
        <v>477</v>
      </c>
      <c r="S365" s="40" t="s">
        <v>4683</v>
      </c>
      <c r="T365" s="18" t="s">
        <v>62</v>
      </c>
      <c r="U365" s="25">
        <v>6</v>
      </c>
      <c r="V365" s="25">
        <v>0</v>
      </c>
      <c r="W365" s="25"/>
    </row>
    <row r="366" s="61" customFormat="1" hidden="1" customHeight="1" spans="1:23">
      <c r="A366" s="66">
        <v>16</v>
      </c>
      <c r="B366" s="182" t="s">
        <v>1798</v>
      </c>
      <c r="C366" s="182" t="s">
        <v>165</v>
      </c>
      <c r="D366" s="182" t="s">
        <v>1799</v>
      </c>
      <c r="E366" s="66">
        <v>18070223507</v>
      </c>
      <c r="F366" s="182" t="s">
        <v>506</v>
      </c>
      <c r="G366" s="182" t="s">
        <v>6</v>
      </c>
      <c r="H366" s="66">
        <v>202102021</v>
      </c>
      <c r="I366" s="182" t="s">
        <v>157</v>
      </c>
      <c r="J366" s="182" t="s">
        <v>1801</v>
      </c>
      <c r="K366" s="182" t="s">
        <v>1802</v>
      </c>
      <c r="L366" s="182" t="s">
        <v>160</v>
      </c>
      <c r="M366" s="182" t="s">
        <v>161</v>
      </c>
      <c r="N366" s="182" t="s">
        <v>6</v>
      </c>
      <c r="O366" s="182" t="s">
        <v>1803</v>
      </c>
      <c r="P366" s="67" t="str">
        <f>_xlfn.DISPIMG("ID_054E9F37DEBB4C16973D352603A54499",1)</f>
        <v>=DISPIMG("ID_054E9F37DEBB4C16973D352603A54499",1)</v>
      </c>
      <c r="Q366" s="66" t="s">
        <v>1804</v>
      </c>
      <c r="R366" s="66">
        <v>205</v>
      </c>
      <c r="S366" s="68" t="s">
        <v>4668</v>
      </c>
      <c r="T366" s="69" t="s">
        <v>60</v>
      </c>
      <c r="U366" s="66">
        <v>3</v>
      </c>
      <c r="V366" s="66">
        <v>93</v>
      </c>
      <c r="W366" s="66">
        <v>1</v>
      </c>
    </row>
    <row r="367" s="61" customFormat="1" hidden="1" customHeight="1" spans="1:23">
      <c r="A367" s="66">
        <v>13</v>
      </c>
      <c r="B367" s="182" t="s">
        <v>1068</v>
      </c>
      <c r="C367" s="182" t="s">
        <v>165</v>
      </c>
      <c r="D367" s="182" t="s">
        <v>1069</v>
      </c>
      <c r="E367" s="66">
        <v>18279237136</v>
      </c>
      <c r="F367" s="182" t="s">
        <v>506</v>
      </c>
      <c r="G367" s="182" t="s">
        <v>6</v>
      </c>
      <c r="H367" s="66">
        <v>202102021</v>
      </c>
      <c r="I367" s="182" t="s">
        <v>157</v>
      </c>
      <c r="J367" s="182" t="s">
        <v>1071</v>
      </c>
      <c r="K367" s="182" t="s">
        <v>454</v>
      </c>
      <c r="L367" s="182" t="s">
        <v>160</v>
      </c>
      <c r="M367" s="182" t="s">
        <v>161</v>
      </c>
      <c r="N367" s="182" t="s">
        <v>413</v>
      </c>
      <c r="O367" s="182" t="s">
        <v>1072</v>
      </c>
      <c r="P367" s="67" t="str">
        <f>_xlfn.DISPIMG("ID_4A5DEA3E498746E9A9AC483CF4ABDF91",1)</f>
        <v>=DISPIMG("ID_4A5DEA3E498746E9A9AC483CF4ABDF91",1)</v>
      </c>
      <c r="Q367" s="66" t="s">
        <v>1073</v>
      </c>
      <c r="R367" s="66">
        <v>137</v>
      </c>
      <c r="S367" s="68" t="s">
        <v>4665</v>
      </c>
      <c r="T367" s="69" t="s">
        <v>60</v>
      </c>
      <c r="U367" s="66">
        <v>16</v>
      </c>
      <c r="V367" s="66">
        <v>86</v>
      </c>
      <c r="W367" s="66">
        <v>2</v>
      </c>
    </row>
    <row r="368" s="61" customFormat="1" hidden="1" customHeight="1" spans="1:23">
      <c r="A368" s="66">
        <v>14</v>
      </c>
      <c r="B368" s="182" t="s">
        <v>1336</v>
      </c>
      <c r="C368" s="182" t="s">
        <v>165</v>
      </c>
      <c r="D368" s="182" t="s">
        <v>1337</v>
      </c>
      <c r="E368" s="66">
        <v>15827758062</v>
      </c>
      <c r="F368" s="182" t="s">
        <v>506</v>
      </c>
      <c r="G368" s="182" t="s">
        <v>6</v>
      </c>
      <c r="H368" s="66">
        <v>202102021</v>
      </c>
      <c r="I368" s="182" t="s">
        <v>157</v>
      </c>
      <c r="J368" s="182" t="s">
        <v>909</v>
      </c>
      <c r="K368" s="182" t="s">
        <v>323</v>
      </c>
      <c r="L368" s="182" t="s">
        <v>170</v>
      </c>
      <c r="M368" s="182" t="s">
        <v>235</v>
      </c>
      <c r="N368" s="182" t="s">
        <v>1339</v>
      </c>
      <c r="O368" s="182" t="s">
        <v>1340</v>
      </c>
      <c r="P368" s="67" t="str">
        <f>_xlfn.DISPIMG("ID_59602C342648425A87CF8C12540A5579",1)</f>
        <v>=DISPIMG("ID_59602C342648425A87CF8C12540A5579",1)</v>
      </c>
      <c r="Q368" s="66" t="s">
        <v>1341</v>
      </c>
      <c r="R368" s="66">
        <v>145</v>
      </c>
      <c r="S368" s="68" t="s">
        <v>4666</v>
      </c>
      <c r="T368" s="69" t="s">
        <v>60</v>
      </c>
      <c r="U368" s="66">
        <v>21</v>
      </c>
      <c r="V368" s="66">
        <v>84</v>
      </c>
      <c r="W368" s="66">
        <v>3</v>
      </c>
    </row>
    <row r="369" s="61" customFormat="1" hidden="1" customHeight="1" spans="1:23">
      <c r="A369" s="66">
        <v>26</v>
      </c>
      <c r="B369" s="182" t="s">
        <v>3366</v>
      </c>
      <c r="C369" s="182" t="s">
        <v>153</v>
      </c>
      <c r="D369" s="182" t="s">
        <v>3367</v>
      </c>
      <c r="E369" s="66">
        <v>13755682208</v>
      </c>
      <c r="F369" s="182" t="s">
        <v>506</v>
      </c>
      <c r="G369" s="182" t="s">
        <v>6</v>
      </c>
      <c r="H369" s="66">
        <v>202102021</v>
      </c>
      <c r="I369" s="182" t="s">
        <v>279</v>
      </c>
      <c r="J369" s="182" t="s">
        <v>178</v>
      </c>
      <c r="K369" s="182" t="s">
        <v>1138</v>
      </c>
      <c r="L369" s="182" t="s">
        <v>170</v>
      </c>
      <c r="M369" s="182" t="s">
        <v>216</v>
      </c>
      <c r="N369" s="182" t="s">
        <v>3369</v>
      </c>
      <c r="O369" s="182" t="s">
        <v>3370</v>
      </c>
      <c r="P369" s="67" t="str">
        <f>_xlfn.DISPIMG("ID_5C988A3540504C69ADD9A8ABF15446E0",1)</f>
        <v>=DISPIMG("ID_5C988A3540504C69ADD9A8ABF15446E0",1)</v>
      </c>
      <c r="Q369" s="66" t="s">
        <v>3371</v>
      </c>
      <c r="R369" s="66">
        <v>424</v>
      </c>
      <c r="S369" s="68" t="s">
        <v>4678</v>
      </c>
      <c r="T369" s="69" t="s">
        <v>60</v>
      </c>
      <c r="U369" s="66">
        <v>1</v>
      </c>
      <c r="V369" s="66">
        <v>81.5</v>
      </c>
      <c r="W369" s="66">
        <v>4</v>
      </c>
    </row>
    <row r="370" s="34" customFormat="1" hidden="1" customHeight="1" spans="1:23">
      <c r="A370" s="25">
        <v>4</v>
      </c>
      <c r="B370" s="175" t="s">
        <v>3797</v>
      </c>
      <c r="C370" s="175" t="s">
        <v>165</v>
      </c>
      <c r="D370" s="175" t="s">
        <v>3798</v>
      </c>
      <c r="E370" s="25">
        <v>15879245873</v>
      </c>
      <c r="F370" s="175" t="s">
        <v>506</v>
      </c>
      <c r="G370" s="175" t="s">
        <v>6</v>
      </c>
      <c r="H370" s="25">
        <v>202102021</v>
      </c>
      <c r="I370" s="175" t="s">
        <v>157</v>
      </c>
      <c r="J370" s="175" t="s">
        <v>158</v>
      </c>
      <c r="K370" s="175" t="s">
        <v>188</v>
      </c>
      <c r="L370" s="175" t="s">
        <v>160</v>
      </c>
      <c r="M370" s="175" t="s">
        <v>306</v>
      </c>
      <c r="N370" s="175" t="s">
        <v>3800</v>
      </c>
      <c r="O370" s="25">
        <v>0</v>
      </c>
      <c r="P370" s="26" t="str">
        <f>_xlfn.DISPIMG("ID_B80DCC3A028B4FB2A6977287EC2BFAD8",1)</f>
        <v>=DISPIMG("ID_B80DCC3A028B4FB2A6977287EC2BFAD8",1)</v>
      </c>
      <c r="Q370" s="25" t="s">
        <v>3801</v>
      </c>
      <c r="R370" s="25">
        <v>484</v>
      </c>
      <c r="S370" s="40" t="s">
        <v>4686</v>
      </c>
      <c r="T370" s="18" t="s">
        <v>62</v>
      </c>
      <c r="U370" s="25">
        <v>3</v>
      </c>
      <c r="V370" s="25">
        <v>79</v>
      </c>
      <c r="W370" s="25">
        <v>5</v>
      </c>
    </row>
    <row r="371" s="34" customFormat="1" hidden="1" customHeight="1" spans="1:23">
      <c r="A371" s="25">
        <v>18</v>
      </c>
      <c r="B371" s="175" t="s">
        <v>2264</v>
      </c>
      <c r="C371" s="175" t="s">
        <v>153</v>
      </c>
      <c r="D371" s="175" t="s">
        <v>2265</v>
      </c>
      <c r="E371" s="25">
        <v>13755257750</v>
      </c>
      <c r="F371" s="175" t="s">
        <v>506</v>
      </c>
      <c r="G371" s="175" t="s">
        <v>6</v>
      </c>
      <c r="H371" s="25">
        <v>202102021</v>
      </c>
      <c r="I371" s="175" t="s">
        <v>157</v>
      </c>
      <c r="J371" s="175" t="s">
        <v>2267</v>
      </c>
      <c r="K371" s="175" t="s">
        <v>2268</v>
      </c>
      <c r="L371" s="175" t="s">
        <v>160</v>
      </c>
      <c r="M371" s="175" t="s">
        <v>161</v>
      </c>
      <c r="N371" s="175" t="s">
        <v>2269</v>
      </c>
      <c r="O371" s="25">
        <v>0</v>
      </c>
      <c r="P371" s="26" t="str">
        <f>_xlfn.DISPIMG("ID_73D56986F7DE44CDB5B00B7AF01CF017",1)</f>
        <v>=DISPIMG("ID_73D56986F7DE44CDB5B00B7AF01CF017",1)</v>
      </c>
      <c r="Q371" s="25" t="s">
        <v>2270</v>
      </c>
      <c r="R371" s="25">
        <v>267</v>
      </c>
      <c r="S371" s="40" t="s">
        <v>4670</v>
      </c>
      <c r="T371" s="18" t="s">
        <v>60</v>
      </c>
      <c r="U371" s="25">
        <v>15</v>
      </c>
      <c r="V371" s="25">
        <v>73.5</v>
      </c>
      <c r="W371" s="25">
        <v>6</v>
      </c>
    </row>
    <row r="372" s="34" customFormat="1" hidden="1" customHeight="1" spans="1:23">
      <c r="A372" s="25">
        <v>11</v>
      </c>
      <c r="B372" s="175" t="s">
        <v>1135</v>
      </c>
      <c r="C372" s="175" t="s">
        <v>165</v>
      </c>
      <c r="D372" s="175" t="s">
        <v>1136</v>
      </c>
      <c r="E372" s="25">
        <v>13767277916</v>
      </c>
      <c r="F372" s="175" t="s">
        <v>506</v>
      </c>
      <c r="G372" s="175" t="s">
        <v>6</v>
      </c>
      <c r="H372" s="25">
        <v>202102021</v>
      </c>
      <c r="I372" s="175" t="s">
        <v>279</v>
      </c>
      <c r="J372" s="175" t="s">
        <v>158</v>
      </c>
      <c r="K372" s="175" t="s">
        <v>1138</v>
      </c>
      <c r="L372" s="175" t="s">
        <v>170</v>
      </c>
      <c r="M372" s="175" t="s">
        <v>673</v>
      </c>
      <c r="N372" s="175" t="s">
        <v>6</v>
      </c>
      <c r="O372" s="175" t="s">
        <v>1139</v>
      </c>
      <c r="P372" s="26" t="str">
        <f>_xlfn.DISPIMG("ID_18B5B97762B948069F50AE4DD03BA465",1)</f>
        <v>=DISPIMG("ID_18B5B97762B948069F50AE4DD03BA465",1)</v>
      </c>
      <c r="Q372" s="25" t="s">
        <v>1140</v>
      </c>
      <c r="R372" s="25">
        <v>119</v>
      </c>
      <c r="S372" s="40" t="s">
        <v>4660</v>
      </c>
      <c r="T372" s="18" t="s">
        <v>60</v>
      </c>
      <c r="U372" s="25">
        <v>4</v>
      </c>
      <c r="V372" s="25">
        <v>60</v>
      </c>
      <c r="W372" s="25">
        <v>7</v>
      </c>
    </row>
    <row r="373" s="34" customFormat="1" hidden="1" customHeight="1" spans="1:23">
      <c r="A373" s="25">
        <v>30</v>
      </c>
      <c r="B373" s="175" t="s">
        <v>3630</v>
      </c>
      <c r="C373" s="175" t="s">
        <v>153</v>
      </c>
      <c r="D373" s="175" t="s">
        <v>3631</v>
      </c>
      <c r="E373" s="25">
        <v>19979468695</v>
      </c>
      <c r="F373" s="175" t="s">
        <v>506</v>
      </c>
      <c r="G373" s="175" t="s">
        <v>6</v>
      </c>
      <c r="H373" s="25">
        <v>202102021</v>
      </c>
      <c r="I373" s="175" t="s">
        <v>157</v>
      </c>
      <c r="J373" s="175" t="s">
        <v>3633</v>
      </c>
      <c r="K373" s="175" t="s">
        <v>323</v>
      </c>
      <c r="L373" s="175" t="s">
        <v>170</v>
      </c>
      <c r="M373" s="175" t="s">
        <v>171</v>
      </c>
      <c r="N373" s="175" t="s">
        <v>3634</v>
      </c>
      <c r="O373" s="175" t="s">
        <v>3635</v>
      </c>
      <c r="P373" s="26" t="str">
        <f>_xlfn.DISPIMG("ID_7CE83E02BD574BEF88ED6441327C41EF",1)</f>
        <v>=DISPIMG("ID_7CE83E02BD574BEF88ED6441327C41EF",1)</v>
      </c>
      <c r="Q373" s="25" t="s">
        <v>3636</v>
      </c>
      <c r="R373" s="25">
        <v>462</v>
      </c>
      <c r="S373" s="40" t="s">
        <v>4682</v>
      </c>
      <c r="T373" s="18" t="s">
        <v>60</v>
      </c>
      <c r="U373" s="25">
        <v>25</v>
      </c>
      <c r="V373" s="25">
        <v>0</v>
      </c>
      <c r="W373" s="25"/>
    </row>
    <row r="374" s="34" customFormat="1" hidden="1" customHeight="1" spans="1:23">
      <c r="A374" s="25">
        <v>15</v>
      </c>
      <c r="B374" s="175" t="s">
        <v>1622</v>
      </c>
      <c r="C374" s="175" t="s">
        <v>165</v>
      </c>
      <c r="D374" s="175" t="s">
        <v>1623</v>
      </c>
      <c r="E374" s="25">
        <v>15170969760</v>
      </c>
      <c r="F374" s="175" t="s">
        <v>506</v>
      </c>
      <c r="G374" s="175" t="s">
        <v>6</v>
      </c>
      <c r="H374" s="25">
        <v>202102021</v>
      </c>
      <c r="I374" s="175" t="s">
        <v>157</v>
      </c>
      <c r="J374" s="175" t="s">
        <v>1625</v>
      </c>
      <c r="K374" s="175" t="s">
        <v>750</v>
      </c>
      <c r="L374" s="175" t="s">
        <v>160</v>
      </c>
      <c r="M374" s="175" t="s">
        <v>1089</v>
      </c>
      <c r="N374" s="175" t="s">
        <v>6</v>
      </c>
      <c r="O374" s="175" t="s">
        <v>1626</v>
      </c>
      <c r="P374" s="26" t="str">
        <f>_xlfn.DISPIMG("ID_F5B5B7553FD14A38A3CEAB4A3171FC0C",1)</f>
        <v>=DISPIMG("ID_F5B5B7553FD14A38A3CEAB4A3171FC0C",1)</v>
      </c>
      <c r="Q374" s="25" t="s">
        <v>1627</v>
      </c>
      <c r="R374" s="25">
        <v>182</v>
      </c>
      <c r="S374" s="40" t="s">
        <v>4667</v>
      </c>
      <c r="T374" s="18" t="s">
        <v>60</v>
      </c>
      <c r="U374" s="25">
        <v>28</v>
      </c>
      <c r="V374" s="25">
        <v>0</v>
      </c>
      <c r="W374" s="25"/>
    </row>
    <row r="375" s="61" customFormat="1" customHeight="1" spans="1:23">
      <c r="A375" s="66">
        <v>9</v>
      </c>
      <c r="B375" s="182" t="s">
        <v>1393</v>
      </c>
      <c r="C375" s="182" t="s">
        <v>165</v>
      </c>
      <c r="D375" s="182" t="s">
        <v>1394</v>
      </c>
      <c r="E375" s="66">
        <v>18807004721</v>
      </c>
      <c r="F375" s="182" t="s">
        <v>156</v>
      </c>
      <c r="G375" s="182" t="s">
        <v>4</v>
      </c>
      <c r="H375" s="66">
        <v>202102005</v>
      </c>
      <c r="I375" s="182" t="s">
        <v>157</v>
      </c>
      <c r="J375" s="182" t="s">
        <v>1396</v>
      </c>
      <c r="K375" s="182" t="s">
        <v>1397</v>
      </c>
      <c r="L375" s="182" t="s">
        <v>160</v>
      </c>
      <c r="M375" s="182" t="s">
        <v>548</v>
      </c>
      <c r="N375" s="182" t="s">
        <v>1398</v>
      </c>
      <c r="O375" s="182" t="s">
        <v>1399</v>
      </c>
      <c r="P375" s="67" t="str">
        <f>_xlfn.DISPIMG("ID_55E386EEE22A4F28AA3DFCB82607D0EC",1)</f>
        <v>=DISPIMG("ID_55E386EEE22A4F28AA3DFCB82607D0EC",1)</v>
      </c>
      <c r="Q375" s="66" t="s">
        <v>1400</v>
      </c>
      <c r="R375" s="66">
        <v>153</v>
      </c>
      <c r="S375" s="68" t="s">
        <v>4691</v>
      </c>
      <c r="T375" s="69" t="s">
        <v>62</v>
      </c>
      <c r="U375" s="66">
        <v>8</v>
      </c>
      <c r="V375" s="66">
        <v>82</v>
      </c>
      <c r="W375" s="66">
        <v>1</v>
      </c>
    </row>
    <row r="376" s="61" customFormat="1" customHeight="1" spans="1:23">
      <c r="A376" s="66">
        <v>10</v>
      </c>
      <c r="B376" s="182" t="s">
        <v>1511</v>
      </c>
      <c r="C376" s="182" t="s">
        <v>165</v>
      </c>
      <c r="D376" s="182" t="s">
        <v>1512</v>
      </c>
      <c r="E376" s="66">
        <v>15179159428</v>
      </c>
      <c r="F376" s="182" t="s">
        <v>156</v>
      </c>
      <c r="G376" s="182" t="s">
        <v>4</v>
      </c>
      <c r="H376" s="66">
        <v>202102005</v>
      </c>
      <c r="I376" s="182" t="s">
        <v>157</v>
      </c>
      <c r="J376" s="182" t="s">
        <v>1513</v>
      </c>
      <c r="K376" s="182" t="s">
        <v>1514</v>
      </c>
      <c r="L376" s="182" t="s">
        <v>160</v>
      </c>
      <c r="M376" s="182" t="s">
        <v>396</v>
      </c>
      <c r="N376" s="182" t="s">
        <v>1515</v>
      </c>
      <c r="O376" s="182" t="s">
        <v>1516</v>
      </c>
      <c r="P376" s="67" t="str">
        <f>_xlfn.DISPIMG("ID_0409F7F95EEA403395B315D31E8491E7",1)</f>
        <v>=DISPIMG("ID_0409F7F95EEA403395B315D31E8491E7",1)</v>
      </c>
      <c r="Q376" s="66" t="s">
        <v>1517</v>
      </c>
      <c r="R376" s="66">
        <v>168</v>
      </c>
      <c r="S376" s="68" t="s">
        <v>4692</v>
      </c>
      <c r="T376" s="69" t="s">
        <v>62</v>
      </c>
      <c r="U376" s="66">
        <v>17</v>
      </c>
      <c r="V376" s="66">
        <v>81</v>
      </c>
      <c r="W376" s="66">
        <v>2</v>
      </c>
    </row>
    <row r="377" s="61" customFormat="1" customHeight="1" spans="1:23">
      <c r="A377" s="66">
        <v>16</v>
      </c>
      <c r="B377" s="182" t="s">
        <v>3940</v>
      </c>
      <c r="C377" s="182" t="s">
        <v>165</v>
      </c>
      <c r="D377" s="182" t="s">
        <v>3941</v>
      </c>
      <c r="E377" s="66">
        <v>13699503652</v>
      </c>
      <c r="F377" s="182" t="s">
        <v>156</v>
      </c>
      <c r="G377" s="182" t="s">
        <v>4</v>
      </c>
      <c r="H377" s="66">
        <v>202102005</v>
      </c>
      <c r="I377" s="182" t="s">
        <v>157</v>
      </c>
      <c r="J377" s="182" t="s">
        <v>385</v>
      </c>
      <c r="K377" s="182" t="s">
        <v>3943</v>
      </c>
      <c r="L377" s="182" t="s">
        <v>170</v>
      </c>
      <c r="M377" s="182" t="s">
        <v>180</v>
      </c>
      <c r="N377" s="182" t="s">
        <v>4</v>
      </c>
      <c r="O377" s="182" t="s">
        <v>3944</v>
      </c>
      <c r="P377" s="67" t="str">
        <f>_xlfn.DISPIMG("ID_5F49521312D540BAA0750C7E0D3B723B",1)</f>
        <v>=DISPIMG("ID_5F49521312D540BAA0750C7E0D3B723B",1)</v>
      </c>
      <c r="Q377" s="66" t="s">
        <v>3945</v>
      </c>
      <c r="R377" s="66">
        <v>503</v>
      </c>
      <c r="S377" s="68" t="s">
        <v>4701</v>
      </c>
      <c r="T377" s="69" t="s">
        <v>62</v>
      </c>
      <c r="U377" s="66">
        <v>14</v>
      </c>
      <c r="V377" s="66">
        <v>74</v>
      </c>
      <c r="W377" s="66">
        <v>3</v>
      </c>
    </row>
    <row r="378" s="61" customFormat="1" customHeight="1" spans="1:23">
      <c r="A378" s="66">
        <v>11</v>
      </c>
      <c r="B378" s="182" t="s">
        <v>1882</v>
      </c>
      <c r="C378" s="182" t="s">
        <v>165</v>
      </c>
      <c r="D378" s="182" t="s">
        <v>1883</v>
      </c>
      <c r="E378" s="66">
        <v>19807985498</v>
      </c>
      <c r="F378" s="182" t="s">
        <v>156</v>
      </c>
      <c r="G378" s="182" t="s">
        <v>4</v>
      </c>
      <c r="H378" s="66">
        <v>202102005</v>
      </c>
      <c r="I378" s="182" t="s">
        <v>279</v>
      </c>
      <c r="J378" s="182" t="s">
        <v>269</v>
      </c>
      <c r="K378" s="182" t="s">
        <v>1088</v>
      </c>
      <c r="L378" s="182" t="s">
        <v>170</v>
      </c>
      <c r="M378" s="182" t="s">
        <v>171</v>
      </c>
      <c r="N378" s="182" t="s">
        <v>1885</v>
      </c>
      <c r="O378" s="182" t="s">
        <v>1886</v>
      </c>
      <c r="P378" s="67" t="str">
        <f>_xlfn.DISPIMG("ID_D29EC84107E94871B7B70E677BC40AB8",1)</f>
        <v>=DISPIMG("ID_D29EC84107E94871B7B70E677BC40AB8",1)</v>
      </c>
      <c r="Q378" s="66" t="s">
        <v>1887</v>
      </c>
      <c r="R378" s="66">
        <v>216</v>
      </c>
      <c r="S378" s="68" t="s">
        <v>4693</v>
      </c>
      <c r="T378" s="69" t="s">
        <v>62</v>
      </c>
      <c r="U378" s="66">
        <v>9</v>
      </c>
      <c r="V378" s="66">
        <v>73</v>
      </c>
      <c r="W378" s="66">
        <v>4</v>
      </c>
    </row>
    <row r="379" s="63" customFormat="1" customHeight="1" spans="1:23">
      <c r="A379" s="66">
        <v>13</v>
      </c>
      <c r="B379" s="184" t="s">
        <v>3586</v>
      </c>
      <c r="C379" s="184" t="s">
        <v>165</v>
      </c>
      <c r="D379" s="182" t="s">
        <v>3587</v>
      </c>
      <c r="E379" s="66">
        <v>13970222797</v>
      </c>
      <c r="F379" s="184" t="s">
        <v>156</v>
      </c>
      <c r="G379" s="184" t="s">
        <v>4</v>
      </c>
      <c r="H379" s="77">
        <v>202102006</v>
      </c>
      <c r="I379" s="182" t="s">
        <v>157</v>
      </c>
      <c r="J379" s="182" t="s">
        <v>158</v>
      </c>
      <c r="K379" s="182" t="s">
        <v>3589</v>
      </c>
      <c r="L379" s="182" t="s">
        <v>160</v>
      </c>
      <c r="M379" s="182" t="s">
        <v>235</v>
      </c>
      <c r="N379" s="182" t="s">
        <v>4</v>
      </c>
      <c r="O379" s="182" t="s">
        <v>3590</v>
      </c>
      <c r="P379" s="67" t="str">
        <f>_xlfn.DISPIMG("ID_1E4E55AF2274433A8809E53B95627C78",1)</f>
        <v>=DISPIMG("ID_1E4E55AF2274433A8809E53B95627C78",1)</v>
      </c>
      <c r="Q379" s="66" t="s">
        <v>3591</v>
      </c>
      <c r="R379" s="66">
        <v>456</v>
      </c>
      <c r="S379" s="79" t="s">
        <v>4695</v>
      </c>
      <c r="T379" s="80" t="s">
        <v>62</v>
      </c>
      <c r="U379" s="77">
        <v>10</v>
      </c>
      <c r="V379" s="77">
        <v>72</v>
      </c>
      <c r="W379" s="77">
        <v>5</v>
      </c>
    </row>
    <row r="380" s="61" customFormat="1" customHeight="1" spans="1:23">
      <c r="A380" s="66">
        <v>8</v>
      </c>
      <c r="B380" s="182" t="s">
        <v>1085</v>
      </c>
      <c r="C380" s="182" t="s">
        <v>165</v>
      </c>
      <c r="D380" s="182" t="s">
        <v>1086</v>
      </c>
      <c r="E380" s="66">
        <v>15179282018</v>
      </c>
      <c r="F380" s="182" t="s">
        <v>156</v>
      </c>
      <c r="G380" s="182" t="s">
        <v>4</v>
      </c>
      <c r="H380" s="66">
        <v>202102005</v>
      </c>
      <c r="I380" s="182" t="s">
        <v>279</v>
      </c>
      <c r="J380" s="182" t="s">
        <v>158</v>
      </c>
      <c r="K380" s="182" t="s">
        <v>1088</v>
      </c>
      <c r="L380" s="182" t="s">
        <v>170</v>
      </c>
      <c r="M380" s="182" t="s">
        <v>1089</v>
      </c>
      <c r="N380" s="182" t="s">
        <v>4</v>
      </c>
      <c r="O380" s="182" t="s">
        <v>1090</v>
      </c>
      <c r="P380" s="67" t="str">
        <f>_xlfn.DISPIMG("ID_2B72C85721DF4DA8A46A71B57C490F39",1)</f>
        <v>=DISPIMG("ID_2B72C85721DF4DA8A46A71B57C490F39",1)</v>
      </c>
      <c r="Q380" s="66" t="s">
        <v>1091</v>
      </c>
      <c r="R380" s="66">
        <v>113</v>
      </c>
      <c r="S380" s="68" t="s">
        <v>4690</v>
      </c>
      <c r="T380" s="69" t="s">
        <v>62</v>
      </c>
      <c r="U380" s="66">
        <v>18</v>
      </c>
      <c r="V380" s="66">
        <v>65</v>
      </c>
      <c r="W380" s="66">
        <v>6</v>
      </c>
    </row>
    <row r="381" s="34" customFormat="1" customHeight="1" spans="1:23">
      <c r="A381" s="25">
        <v>17</v>
      </c>
      <c r="B381" s="175" t="s">
        <v>3962</v>
      </c>
      <c r="C381" s="175" t="s">
        <v>165</v>
      </c>
      <c r="D381" s="175" t="s">
        <v>3963</v>
      </c>
      <c r="E381" s="25">
        <v>18870866549</v>
      </c>
      <c r="F381" s="175" t="s">
        <v>156</v>
      </c>
      <c r="G381" s="175" t="s">
        <v>4</v>
      </c>
      <c r="H381" s="25">
        <v>202102005</v>
      </c>
      <c r="I381" s="175" t="s">
        <v>157</v>
      </c>
      <c r="J381" s="175" t="s">
        <v>3965</v>
      </c>
      <c r="K381" s="175" t="s">
        <v>3966</v>
      </c>
      <c r="L381" s="175" t="s">
        <v>160</v>
      </c>
      <c r="M381" s="175" t="s">
        <v>216</v>
      </c>
      <c r="N381" s="175" t="s">
        <v>4</v>
      </c>
      <c r="O381" s="25">
        <v>0</v>
      </c>
      <c r="P381" s="26" t="str">
        <f>_xlfn.DISPIMG("ID_B16A7073492C47F799EB61B1BAB98F3E",1)</f>
        <v>=DISPIMG("ID_B16A7073492C47F799EB61B1BAB98F3E",1)</v>
      </c>
      <c r="Q381" s="25" t="s">
        <v>3967</v>
      </c>
      <c r="R381" s="25">
        <v>506</v>
      </c>
      <c r="S381" s="40" t="s">
        <v>4706</v>
      </c>
      <c r="T381" s="18" t="s">
        <v>62</v>
      </c>
      <c r="U381" s="25">
        <v>12</v>
      </c>
      <c r="V381" s="25">
        <v>63</v>
      </c>
      <c r="W381" s="25">
        <v>7</v>
      </c>
    </row>
    <row r="382" s="34" customFormat="1" customHeight="1" spans="1:23">
      <c r="A382" s="25">
        <v>15</v>
      </c>
      <c r="B382" s="175" t="s">
        <v>3817</v>
      </c>
      <c r="C382" s="175" t="s">
        <v>165</v>
      </c>
      <c r="D382" s="175" t="s">
        <v>3818</v>
      </c>
      <c r="E382" s="25">
        <v>13002997695</v>
      </c>
      <c r="F382" s="175" t="s">
        <v>156</v>
      </c>
      <c r="G382" s="175" t="s">
        <v>4</v>
      </c>
      <c r="H382" s="25">
        <v>202102005</v>
      </c>
      <c r="I382" s="175" t="s">
        <v>157</v>
      </c>
      <c r="J382" s="175" t="s">
        <v>3820</v>
      </c>
      <c r="K382" s="175" t="s">
        <v>3821</v>
      </c>
      <c r="L382" s="175" t="s">
        <v>160</v>
      </c>
      <c r="M382" s="175" t="s">
        <v>199</v>
      </c>
      <c r="N382" s="175" t="s">
        <v>4</v>
      </c>
      <c r="O382" s="175" t="s">
        <v>3822</v>
      </c>
      <c r="P382" s="26" t="str">
        <f>_xlfn.DISPIMG("ID_F12BD6FEE7C74060A499738E5A967A51",1)</f>
        <v>=DISPIMG("ID_F12BD6FEE7C74060A499738E5A967A51",1)</v>
      </c>
      <c r="Q382" s="25" t="s">
        <v>3823</v>
      </c>
      <c r="R382" s="25">
        <v>487</v>
      </c>
      <c r="S382" s="40" t="s">
        <v>4697</v>
      </c>
      <c r="T382" s="18" t="s">
        <v>62</v>
      </c>
      <c r="U382" s="25">
        <v>11</v>
      </c>
      <c r="V382" s="25">
        <v>62</v>
      </c>
      <c r="W382" s="25">
        <v>8</v>
      </c>
    </row>
    <row r="383" s="34" customFormat="1" customHeight="1" spans="1:23">
      <c r="A383" s="25">
        <v>12</v>
      </c>
      <c r="B383" s="175" t="s">
        <v>2878</v>
      </c>
      <c r="C383" s="175" t="s">
        <v>165</v>
      </c>
      <c r="D383" s="175" t="s">
        <v>2879</v>
      </c>
      <c r="E383" s="25">
        <v>17310085449</v>
      </c>
      <c r="F383" s="175" t="s">
        <v>156</v>
      </c>
      <c r="G383" s="175" t="s">
        <v>4</v>
      </c>
      <c r="H383" s="25">
        <v>202102005</v>
      </c>
      <c r="I383" s="175" t="s">
        <v>157</v>
      </c>
      <c r="J383" s="175" t="s">
        <v>385</v>
      </c>
      <c r="K383" s="175" t="s">
        <v>2881</v>
      </c>
      <c r="L383" s="175" t="s">
        <v>170</v>
      </c>
      <c r="M383" s="175" t="s">
        <v>306</v>
      </c>
      <c r="N383" s="175" t="s">
        <v>2882</v>
      </c>
      <c r="O383" s="175" t="s">
        <v>2883</v>
      </c>
      <c r="P383" s="26" t="str">
        <f>_xlfn.DISPIMG("ID_EC7DE1A270244013822D2AF30798D0D0",1)</f>
        <v>=DISPIMG("ID_EC7DE1A270244013822D2AF30798D0D0",1)</v>
      </c>
      <c r="Q383" s="25" t="s">
        <v>2884</v>
      </c>
      <c r="R383" s="25">
        <v>350</v>
      </c>
      <c r="S383" s="40" t="s">
        <v>4694</v>
      </c>
      <c r="T383" s="18" t="s">
        <v>62</v>
      </c>
      <c r="U383" s="25">
        <v>16</v>
      </c>
      <c r="V383" s="25">
        <v>61</v>
      </c>
      <c r="W383" s="25">
        <v>9</v>
      </c>
    </row>
    <row r="384" s="34" customFormat="1" customHeight="1" spans="1:23">
      <c r="A384" s="25">
        <v>7</v>
      </c>
      <c r="B384" s="175" t="s">
        <v>164</v>
      </c>
      <c r="C384" s="175" t="s">
        <v>165</v>
      </c>
      <c r="D384" s="175" t="s">
        <v>166</v>
      </c>
      <c r="E384" s="25">
        <v>15879299279</v>
      </c>
      <c r="F384" s="175" t="s">
        <v>156</v>
      </c>
      <c r="G384" s="175" t="s">
        <v>4</v>
      </c>
      <c r="H384" s="25">
        <v>202102005</v>
      </c>
      <c r="I384" s="175" t="s">
        <v>157</v>
      </c>
      <c r="J384" s="175" t="s">
        <v>168</v>
      </c>
      <c r="K384" s="175" t="s">
        <v>169</v>
      </c>
      <c r="L384" s="175" t="s">
        <v>170</v>
      </c>
      <c r="M384" s="175" t="s">
        <v>171</v>
      </c>
      <c r="N384" s="175" t="s">
        <v>4</v>
      </c>
      <c r="O384" s="25">
        <v>0</v>
      </c>
      <c r="P384" s="26" t="str">
        <f>_xlfn.DISPIMG("ID_7D4B330FD7544FC19CF8CAA4A42A6F11",1)</f>
        <v>=DISPIMG("ID_7D4B330FD7544FC19CF8CAA4A42A6F11",1)</v>
      </c>
      <c r="Q384" s="25" t="s">
        <v>172</v>
      </c>
      <c r="R384" s="25">
        <v>3</v>
      </c>
      <c r="S384" s="40" t="s">
        <v>4689</v>
      </c>
      <c r="T384" s="18" t="s">
        <v>62</v>
      </c>
      <c r="U384" s="25">
        <v>7</v>
      </c>
      <c r="V384" s="25">
        <v>0</v>
      </c>
      <c r="W384" s="25"/>
    </row>
    <row r="385" s="34" customFormat="1" customHeight="1" spans="1:23">
      <c r="A385" s="25">
        <v>18</v>
      </c>
      <c r="B385" s="175" t="s">
        <v>4267</v>
      </c>
      <c r="C385" s="175" t="s">
        <v>165</v>
      </c>
      <c r="D385" s="175" t="s">
        <v>4268</v>
      </c>
      <c r="E385" s="25">
        <v>15979953990</v>
      </c>
      <c r="F385" s="175" t="s">
        <v>156</v>
      </c>
      <c r="G385" s="175" t="s">
        <v>4</v>
      </c>
      <c r="H385" s="25">
        <v>202102005</v>
      </c>
      <c r="I385" s="175" t="s">
        <v>279</v>
      </c>
      <c r="J385" s="175" t="s">
        <v>269</v>
      </c>
      <c r="K385" s="175" t="s">
        <v>1088</v>
      </c>
      <c r="L385" s="175" t="s">
        <v>170</v>
      </c>
      <c r="M385" s="175" t="s">
        <v>235</v>
      </c>
      <c r="N385" s="175" t="s">
        <v>4</v>
      </c>
      <c r="O385" s="25">
        <v>0</v>
      </c>
      <c r="P385" s="26" t="str">
        <f>_xlfn.DISPIMG("ID_6B663AA29D5341758E4C0EAB0E013B9E",1)</f>
        <v>=DISPIMG("ID_6B663AA29D5341758E4C0EAB0E013B9E",1)</v>
      </c>
      <c r="Q385" s="25" t="s">
        <v>4270</v>
      </c>
      <c r="R385" s="25">
        <v>546</v>
      </c>
      <c r="S385" s="40" t="s">
        <v>4711</v>
      </c>
      <c r="T385" s="18" t="s">
        <v>62</v>
      </c>
      <c r="U385" s="25">
        <v>13</v>
      </c>
      <c r="V385" s="25">
        <v>0</v>
      </c>
      <c r="W385" s="25"/>
    </row>
    <row r="386" s="34" customFormat="1" customHeight="1" spans="1:23">
      <c r="A386" s="25">
        <v>14</v>
      </c>
      <c r="B386" s="175" t="s">
        <v>3655</v>
      </c>
      <c r="C386" s="175" t="s">
        <v>153</v>
      </c>
      <c r="D386" s="175" t="s">
        <v>3656</v>
      </c>
      <c r="E386" s="25">
        <v>13177872440</v>
      </c>
      <c r="F386" s="175" t="s">
        <v>156</v>
      </c>
      <c r="G386" s="175" t="s">
        <v>4</v>
      </c>
      <c r="H386" s="25">
        <v>202102005</v>
      </c>
      <c r="I386" s="175" t="s">
        <v>157</v>
      </c>
      <c r="J386" s="175" t="s">
        <v>385</v>
      </c>
      <c r="K386" s="175" t="s">
        <v>179</v>
      </c>
      <c r="L386" s="175" t="s">
        <v>170</v>
      </c>
      <c r="M386" s="175" t="s">
        <v>368</v>
      </c>
      <c r="N386" s="175" t="s">
        <v>4</v>
      </c>
      <c r="O386" s="25">
        <v>0</v>
      </c>
      <c r="P386" s="26" t="str">
        <f>_xlfn.DISPIMG("ID_252B07FFDA0E4134A421E2449004C504",1)</f>
        <v>=DISPIMG("ID_252B07FFDA0E4134A421E2449004C504",1)</v>
      </c>
      <c r="Q386" s="25" t="s">
        <v>3658</v>
      </c>
      <c r="R386" s="25">
        <v>465</v>
      </c>
      <c r="S386" s="40" t="s">
        <v>4696</v>
      </c>
      <c r="T386" s="18" t="s">
        <v>62</v>
      </c>
      <c r="U386" s="25">
        <v>15</v>
      </c>
      <c r="V386" s="25">
        <v>0</v>
      </c>
      <c r="W386" s="25"/>
    </row>
    <row r="387" s="61" customFormat="1" hidden="1" customHeight="1" spans="1:23">
      <c r="A387" s="66">
        <v>20</v>
      </c>
      <c r="B387" s="182" t="s">
        <v>391</v>
      </c>
      <c r="C387" s="182" t="s">
        <v>165</v>
      </c>
      <c r="D387" s="182" t="s">
        <v>392</v>
      </c>
      <c r="E387" s="66">
        <v>17620119411</v>
      </c>
      <c r="F387" s="182" t="s">
        <v>156</v>
      </c>
      <c r="G387" s="182" t="s">
        <v>15</v>
      </c>
      <c r="H387" s="66">
        <v>202102007</v>
      </c>
      <c r="I387" s="182" t="s">
        <v>157</v>
      </c>
      <c r="J387" s="182" t="s">
        <v>394</v>
      </c>
      <c r="K387" s="182" t="s">
        <v>395</v>
      </c>
      <c r="L387" s="182" t="s">
        <v>160</v>
      </c>
      <c r="M387" s="182" t="s">
        <v>396</v>
      </c>
      <c r="N387" s="182" t="s">
        <v>15</v>
      </c>
      <c r="O387" s="66">
        <v>0</v>
      </c>
      <c r="P387" s="67" t="str">
        <f>_xlfn.DISPIMG("ID_EBB3EDBB16514C57957D178C829CE459",1)</f>
        <v>=DISPIMG("ID_EBB3EDBB16514C57957D178C829CE459",1)</v>
      </c>
      <c r="Q387" s="66" t="s">
        <v>397</v>
      </c>
      <c r="R387" s="66">
        <v>28</v>
      </c>
      <c r="S387" s="68" t="s">
        <v>4721</v>
      </c>
      <c r="T387" s="69" t="s">
        <v>62</v>
      </c>
      <c r="U387" s="66">
        <v>20</v>
      </c>
      <c r="V387" s="66">
        <v>75</v>
      </c>
      <c r="W387" s="66">
        <v>1</v>
      </c>
    </row>
    <row r="388" s="61" customFormat="1" hidden="1" customHeight="1" spans="1:23">
      <c r="A388" s="66">
        <v>26</v>
      </c>
      <c r="B388" s="182" t="s">
        <v>3570</v>
      </c>
      <c r="C388" s="182" t="s">
        <v>165</v>
      </c>
      <c r="D388" s="182" t="s">
        <v>3571</v>
      </c>
      <c r="E388" s="66">
        <v>13879176428</v>
      </c>
      <c r="F388" s="182" t="s">
        <v>156</v>
      </c>
      <c r="G388" s="182" t="s">
        <v>15</v>
      </c>
      <c r="H388" s="66">
        <v>202102007</v>
      </c>
      <c r="I388" s="182" t="s">
        <v>157</v>
      </c>
      <c r="J388" s="182" t="s">
        <v>233</v>
      </c>
      <c r="K388" s="182" t="s">
        <v>454</v>
      </c>
      <c r="L388" s="182" t="s">
        <v>170</v>
      </c>
      <c r="M388" s="182" t="s">
        <v>3573</v>
      </c>
      <c r="N388" s="182" t="s">
        <v>3574</v>
      </c>
      <c r="O388" s="182" t="s">
        <v>3575</v>
      </c>
      <c r="P388" s="67" t="str">
        <f>_xlfn.DISPIMG("ID_4E9B8A157E55446AAA9BAC9D6541DF67",1)</f>
        <v>=DISPIMG("ID_4E9B8A157E55446AAA9BAC9D6541DF67",1)</v>
      </c>
      <c r="Q388" s="66" t="s">
        <v>3576</v>
      </c>
      <c r="R388" s="66">
        <v>454</v>
      </c>
      <c r="S388" s="68" t="s">
        <v>4708</v>
      </c>
      <c r="T388" s="69" t="s">
        <v>62</v>
      </c>
      <c r="U388" s="66">
        <v>26</v>
      </c>
      <c r="V388" s="66">
        <v>62</v>
      </c>
      <c r="W388" s="66">
        <v>2</v>
      </c>
    </row>
    <row r="389" s="61" customFormat="1" hidden="1" customHeight="1" spans="1:23">
      <c r="A389" s="66">
        <v>21</v>
      </c>
      <c r="B389" s="182" t="s">
        <v>856</v>
      </c>
      <c r="C389" s="182" t="s">
        <v>165</v>
      </c>
      <c r="D389" s="182" t="s">
        <v>857</v>
      </c>
      <c r="E389" s="66">
        <v>18296159294</v>
      </c>
      <c r="F389" s="182" t="s">
        <v>156</v>
      </c>
      <c r="G389" s="182" t="s">
        <v>15</v>
      </c>
      <c r="H389" s="66">
        <v>202102007</v>
      </c>
      <c r="I389" s="182" t="s">
        <v>279</v>
      </c>
      <c r="J389" s="182" t="s">
        <v>178</v>
      </c>
      <c r="K389" s="182" t="s">
        <v>215</v>
      </c>
      <c r="L389" s="182" t="s">
        <v>170</v>
      </c>
      <c r="M389" s="182" t="s">
        <v>216</v>
      </c>
      <c r="N389" s="182" t="s">
        <v>859</v>
      </c>
      <c r="O389" s="182" t="s">
        <v>860</v>
      </c>
      <c r="P389" s="67" t="str">
        <f>_xlfn.DISPIMG("ID_D74EFBEA1A81482A857D7A1473663067",1)</f>
        <v>=DISPIMG("ID_D74EFBEA1A81482A857D7A1473663067",1)</v>
      </c>
      <c r="Q389" s="66" t="s">
        <v>861</v>
      </c>
      <c r="R389" s="66">
        <v>85</v>
      </c>
      <c r="S389" s="68" t="s">
        <v>4698</v>
      </c>
      <c r="T389" s="69" t="s">
        <v>62</v>
      </c>
      <c r="U389" s="66">
        <v>21</v>
      </c>
      <c r="V389" s="66">
        <v>60.5</v>
      </c>
      <c r="W389" s="66">
        <v>3</v>
      </c>
    </row>
    <row r="390" s="34" customFormat="1" hidden="1" customHeight="1" spans="1:23">
      <c r="A390" s="25">
        <v>19</v>
      </c>
      <c r="B390" s="175" t="s">
        <v>212</v>
      </c>
      <c r="C390" s="175" t="s">
        <v>165</v>
      </c>
      <c r="D390" s="175" t="s">
        <v>213</v>
      </c>
      <c r="E390" s="25">
        <v>13197911998</v>
      </c>
      <c r="F390" s="175" t="s">
        <v>156</v>
      </c>
      <c r="G390" s="175" t="s">
        <v>15</v>
      </c>
      <c r="H390" s="25">
        <v>202102007</v>
      </c>
      <c r="I390" s="175" t="s">
        <v>157</v>
      </c>
      <c r="J390" s="175" t="s">
        <v>178</v>
      </c>
      <c r="K390" s="175" t="s">
        <v>215</v>
      </c>
      <c r="L390" s="175" t="s">
        <v>170</v>
      </c>
      <c r="M390" s="175" t="s">
        <v>216</v>
      </c>
      <c r="N390" s="175" t="s">
        <v>15</v>
      </c>
      <c r="O390" s="25">
        <v>0</v>
      </c>
      <c r="P390" s="26" t="str">
        <f>_xlfn.DISPIMG("ID_A8B2B34FEB1F4C29AD364FF328B946F1",1)</f>
        <v>=DISPIMG("ID_A8B2B34FEB1F4C29AD364FF328B946F1",1)</v>
      </c>
      <c r="Q390" s="25" t="s">
        <v>217</v>
      </c>
      <c r="R390" s="25">
        <v>8</v>
      </c>
      <c r="S390" s="40" t="s">
        <v>4716</v>
      </c>
      <c r="T390" s="18" t="s">
        <v>62</v>
      </c>
      <c r="U390" s="25">
        <v>19</v>
      </c>
      <c r="V390" s="25">
        <v>52</v>
      </c>
      <c r="W390" s="25">
        <v>4</v>
      </c>
    </row>
    <row r="391" s="34" customFormat="1" hidden="1" customHeight="1" spans="1:23">
      <c r="A391" s="25">
        <v>23</v>
      </c>
      <c r="B391" s="175" t="s">
        <v>1897</v>
      </c>
      <c r="C391" s="175" t="s">
        <v>165</v>
      </c>
      <c r="D391" s="175" t="s">
        <v>1898</v>
      </c>
      <c r="E391" s="25">
        <v>13588255405</v>
      </c>
      <c r="F391" s="175" t="s">
        <v>156</v>
      </c>
      <c r="G391" s="175" t="s">
        <v>15</v>
      </c>
      <c r="H391" s="25">
        <v>202102007</v>
      </c>
      <c r="I391" s="175" t="s">
        <v>157</v>
      </c>
      <c r="J391" s="175" t="s">
        <v>1900</v>
      </c>
      <c r="K391" s="175" t="s">
        <v>179</v>
      </c>
      <c r="L391" s="175" t="s">
        <v>160</v>
      </c>
      <c r="M391" s="175" t="s">
        <v>235</v>
      </c>
      <c r="N391" s="175" t="s">
        <v>15</v>
      </c>
      <c r="O391" s="25">
        <v>0</v>
      </c>
      <c r="P391" s="26" t="str">
        <f>_xlfn.DISPIMG("ID_427E6301FF984C74BA8E87820A04494C",1)</f>
        <v>=DISPIMG("ID_427E6301FF984C74BA8E87820A04494C",1)</v>
      </c>
      <c r="Q391" s="25" t="s">
        <v>1901</v>
      </c>
      <c r="R391" s="25">
        <v>218</v>
      </c>
      <c r="S391" s="40" t="s">
        <v>4702</v>
      </c>
      <c r="T391" s="18" t="s">
        <v>62</v>
      </c>
      <c r="U391" s="25">
        <v>22</v>
      </c>
      <c r="V391" s="25">
        <v>0</v>
      </c>
      <c r="W391" s="25"/>
    </row>
    <row r="392" s="34" customFormat="1" hidden="1" customHeight="1" spans="1:23">
      <c r="A392" s="25">
        <v>27</v>
      </c>
      <c r="B392" s="175" t="s">
        <v>3579</v>
      </c>
      <c r="C392" s="175" t="s">
        <v>153</v>
      </c>
      <c r="D392" s="175" t="s">
        <v>3580</v>
      </c>
      <c r="E392" s="25">
        <v>15179270292</v>
      </c>
      <c r="F392" s="175" t="s">
        <v>156</v>
      </c>
      <c r="G392" s="175" t="s">
        <v>15</v>
      </c>
      <c r="H392" s="25">
        <v>202102007</v>
      </c>
      <c r="I392" s="175" t="s">
        <v>157</v>
      </c>
      <c r="J392" s="175" t="s">
        <v>158</v>
      </c>
      <c r="K392" s="175" t="s">
        <v>1832</v>
      </c>
      <c r="L392" s="175" t="s">
        <v>160</v>
      </c>
      <c r="M392" s="175" t="s">
        <v>368</v>
      </c>
      <c r="N392" s="175" t="s">
        <v>3582</v>
      </c>
      <c r="O392" s="25">
        <v>0</v>
      </c>
      <c r="P392" s="26" t="str">
        <f>_xlfn.DISPIMG("ID_10B7637016814F53B0B0689821F0D756",1)</f>
        <v>=DISPIMG("ID_10B7637016814F53B0B0689821F0D756",1)</v>
      </c>
      <c r="Q392" s="25" t="s">
        <v>3583</v>
      </c>
      <c r="R392" s="25">
        <v>455</v>
      </c>
      <c r="S392" s="40" t="s">
        <v>4712</v>
      </c>
      <c r="T392" s="18" t="s">
        <v>62</v>
      </c>
      <c r="U392" s="25">
        <v>24</v>
      </c>
      <c r="V392" s="25">
        <v>0</v>
      </c>
      <c r="W392" s="25"/>
    </row>
    <row r="393" s="34" customFormat="1" hidden="1" customHeight="1" spans="1:23">
      <c r="A393" s="25">
        <v>28</v>
      </c>
      <c r="B393" s="175" t="s">
        <v>3841</v>
      </c>
      <c r="C393" s="175" t="s">
        <v>165</v>
      </c>
      <c r="D393" s="175" t="s">
        <v>3842</v>
      </c>
      <c r="E393" s="25">
        <v>13177873876</v>
      </c>
      <c r="F393" s="175" t="s">
        <v>156</v>
      </c>
      <c r="G393" s="175" t="s">
        <v>15</v>
      </c>
      <c r="H393" s="25">
        <v>202102007</v>
      </c>
      <c r="I393" s="175" t="s">
        <v>157</v>
      </c>
      <c r="J393" s="175" t="s">
        <v>233</v>
      </c>
      <c r="K393" s="175" t="s">
        <v>169</v>
      </c>
      <c r="L393" s="175" t="s">
        <v>170</v>
      </c>
      <c r="M393" s="175" t="s">
        <v>3844</v>
      </c>
      <c r="N393" s="175" t="s">
        <v>3845</v>
      </c>
      <c r="O393" s="175" t="s">
        <v>3846</v>
      </c>
      <c r="P393" s="26" t="str">
        <f>_xlfn.DISPIMG("ID_0D39E07DE3FA4F1EAFE382357648332E",1)</f>
        <v>=DISPIMG("ID_0D39E07DE3FA4F1EAFE382357648332E",1)</v>
      </c>
      <c r="Q393" s="25" t="s">
        <v>3847</v>
      </c>
      <c r="R393" s="25">
        <v>490</v>
      </c>
      <c r="S393" s="40" t="s">
        <v>4713</v>
      </c>
      <c r="T393" s="18" t="s">
        <v>62</v>
      </c>
      <c r="U393" s="25">
        <v>25</v>
      </c>
      <c r="V393" s="25">
        <v>0</v>
      </c>
      <c r="W393" s="25"/>
    </row>
    <row r="394" s="34" customFormat="1" hidden="1" customHeight="1" spans="1:23">
      <c r="A394" s="25">
        <v>24</v>
      </c>
      <c r="B394" s="175" t="s">
        <v>2407</v>
      </c>
      <c r="C394" s="175" t="s">
        <v>165</v>
      </c>
      <c r="D394" s="175" t="s">
        <v>2408</v>
      </c>
      <c r="E394" s="25">
        <v>15070401093</v>
      </c>
      <c r="F394" s="175" t="s">
        <v>156</v>
      </c>
      <c r="G394" s="175" t="s">
        <v>15</v>
      </c>
      <c r="H394" s="25">
        <v>202102007</v>
      </c>
      <c r="I394" s="175" t="s">
        <v>157</v>
      </c>
      <c r="J394" s="175" t="s">
        <v>827</v>
      </c>
      <c r="K394" s="175" t="s">
        <v>2394</v>
      </c>
      <c r="L394" s="175" t="s">
        <v>160</v>
      </c>
      <c r="M394" s="175" t="s">
        <v>171</v>
      </c>
      <c r="N394" s="175" t="s">
        <v>2410</v>
      </c>
      <c r="O394" s="175" t="s">
        <v>2411</v>
      </c>
      <c r="P394" s="26" t="str">
        <f>_xlfn.DISPIMG("ID_AC752CE0DFA24D83A60721AFA892E1C6",1)</f>
        <v>=DISPIMG("ID_AC752CE0DFA24D83A60721AFA892E1C6",1)</v>
      </c>
      <c r="Q394" s="25" t="s">
        <v>2412</v>
      </c>
      <c r="R394" s="25">
        <v>286</v>
      </c>
      <c r="S394" s="40" t="s">
        <v>4703</v>
      </c>
      <c r="T394" s="18" t="s">
        <v>62</v>
      </c>
      <c r="U394" s="25">
        <v>27</v>
      </c>
      <c r="V394" s="25">
        <v>0</v>
      </c>
      <c r="W394" s="25"/>
    </row>
    <row r="395" s="61" customFormat="1" hidden="1" customHeight="1" spans="1:23">
      <c r="A395" s="66">
        <v>25</v>
      </c>
      <c r="B395" s="182" t="s">
        <v>2915</v>
      </c>
      <c r="C395" s="182" t="s">
        <v>165</v>
      </c>
      <c r="D395" s="182" t="s">
        <v>2916</v>
      </c>
      <c r="E395" s="66">
        <v>18779224246</v>
      </c>
      <c r="F395" s="182" t="s">
        <v>506</v>
      </c>
      <c r="G395" s="182" t="s">
        <v>15</v>
      </c>
      <c r="H395" s="66">
        <v>202102019</v>
      </c>
      <c r="I395" s="182" t="s">
        <v>279</v>
      </c>
      <c r="J395" s="182" t="s">
        <v>367</v>
      </c>
      <c r="K395" s="182" t="s">
        <v>348</v>
      </c>
      <c r="L395" s="182" t="s">
        <v>170</v>
      </c>
      <c r="M395" s="182" t="s">
        <v>180</v>
      </c>
      <c r="N395" s="182" t="s">
        <v>2918</v>
      </c>
      <c r="O395" s="66">
        <v>0</v>
      </c>
      <c r="P395" s="67" t="str">
        <f>_xlfn.DISPIMG("ID_0C4A3B774E384F888DCC2803C749C7F6",1)</f>
        <v>=DISPIMG("ID_0C4A3B774E384F888DCC2803C749C7F6",1)</v>
      </c>
      <c r="Q395" s="66" t="s">
        <v>2919</v>
      </c>
      <c r="R395" s="66">
        <v>355</v>
      </c>
      <c r="S395" s="68" t="s">
        <v>4707</v>
      </c>
      <c r="T395" s="69" t="s">
        <v>62</v>
      </c>
      <c r="U395" s="66">
        <v>23</v>
      </c>
      <c r="V395" s="66">
        <v>67</v>
      </c>
      <c r="W395" s="66">
        <v>1</v>
      </c>
    </row>
    <row r="396" s="34" customFormat="1" hidden="1" customHeight="1" spans="1:23">
      <c r="A396" s="25">
        <v>22</v>
      </c>
      <c r="B396" s="175" t="s">
        <v>1658</v>
      </c>
      <c r="C396" s="175" t="s">
        <v>153</v>
      </c>
      <c r="D396" s="175" t="s">
        <v>1659</v>
      </c>
      <c r="E396" s="25">
        <v>15170625945</v>
      </c>
      <c r="F396" s="175" t="s">
        <v>506</v>
      </c>
      <c r="G396" s="175" t="s">
        <v>15</v>
      </c>
      <c r="H396" s="25">
        <v>202102019</v>
      </c>
      <c r="I396" s="175" t="s">
        <v>157</v>
      </c>
      <c r="J396" s="175" t="s">
        <v>611</v>
      </c>
      <c r="K396" s="175" t="s">
        <v>454</v>
      </c>
      <c r="L396" s="175" t="s">
        <v>160</v>
      </c>
      <c r="M396" s="175" t="s">
        <v>261</v>
      </c>
      <c r="N396" s="175" t="s">
        <v>1661</v>
      </c>
      <c r="O396" s="25">
        <v>0</v>
      </c>
      <c r="P396" s="26" t="str">
        <f>_xlfn.DISPIMG("ID_40EE23CAD6BE466D8A6330DBB5734F8E",1)</f>
        <v>=DISPIMG("ID_40EE23CAD6BE466D8A6330DBB5734F8E",1)</v>
      </c>
      <c r="Q396" s="25" t="s">
        <v>1662</v>
      </c>
      <c r="R396" s="25">
        <v>187</v>
      </c>
      <c r="S396" s="40" t="s">
        <v>4699</v>
      </c>
      <c r="T396" s="18" t="s">
        <v>62</v>
      </c>
      <c r="U396" s="25">
        <v>28</v>
      </c>
      <c r="V396" s="25">
        <v>0</v>
      </c>
      <c r="W396" s="25"/>
    </row>
    <row r="397" s="61" customFormat="1" hidden="1" customHeight="1" spans="1:23">
      <c r="A397" s="66">
        <v>3</v>
      </c>
      <c r="B397" s="182" t="s">
        <v>2732</v>
      </c>
      <c r="C397" s="182" t="s">
        <v>165</v>
      </c>
      <c r="D397" s="182" t="s">
        <v>2733</v>
      </c>
      <c r="E397" s="66">
        <v>15079218024</v>
      </c>
      <c r="F397" s="182" t="s">
        <v>156</v>
      </c>
      <c r="G397" s="182" t="s">
        <v>7</v>
      </c>
      <c r="H397" s="66">
        <v>202102006</v>
      </c>
      <c r="I397" s="182" t="s">
        <v>157</v>
      </c>
      <c r="J397" s="182" t="s">
        <v>1112</v>
      </c>
      <c r="K397" s="182" t="s">
        <v>159</v>
      </c>
      <c r="L397" s="182" t="s">
        <v>160</v>
      </c>
      <c r="M397" s="182" t="s">
        <v>199</v>
      </c>
      <c r="N397" s="182" t="s">
        <v>19</v>
      </c>
      <c r="O397" s="182" t="s">
        <v>2735</v>
      </c>
      <c r="P397" s="67" t="str">
        <f>_xlfn.DISPIMG("ID_8B921756A8224507AE26B26EA7A47E29",1)</f>
        <v>=DISPIMG("ID_8B921756A8224507AE26B26EA7A47E29",1)</v>
      </c>
      <c r="Q397" s="66" t="s">
        <v>2736</v>
      </c>
      <c r="R397" s="66">
        <v>330</v>
      </c>
      <c r="S397" s="68" t="s">
        <v>4722</v>
      </c>
      <c r="T397" s="69" t="s">
        <v>66</v>
      </c>
      <c r="U397" s="66">
        <v>4</v>
      </c>
      <c r="V397" s="66">
        <v>86</v>
      </c>
      <c r="W397" s="66">
        <v>1</v>
      </c>
    </row>
    <row r="398" s="61" customFormat="1" hidden="1" customHeight="1" spans="1:23">
      <c r="A398" s="66">
        <v>5</v>
      </c>
      <c r="B398" s="182" t="s">
        <v>3263</v>
      </c>
      <c r="C398" s="182" t="s">
        <v>165</v>
      </c>
      <c r="D398" s="182" t="s">
        <v>3264</v>
      </c>
      <c r="E398" s="66">
        <v>15297923055</v>
      </c>
      <c r="F398" s="182" t="s">
        <v>156</v>
      </c>
      <c r="G398" s="182" t="s">
        <v>7</v>
      </c>
      <c r="H398" s="66">
        <v>202102006</v>
      </c>
      <c r="I398" s="182" t="s">
        <v>157</v>
      </c>
      <c r="J398" s="182" t="s">
        <v>507</v>
      </c>
      <c r="K398" s="182" t="s">
        <v>243</v>
      </c>
      <c r="L398" s="182" t="s">
        <v>160</v>
      </c>
      <c r="M398" s="182" t="s">
        <v>1089</v>
      </c>
      <c r="N398" s="182" t="s">
        <v>13</v>
      </c>
      <c r="O398" s="66">
        <v>0</v>
      </c>
      <c r="P398" s="67" t="str">
        <f>_xlfn.DISPIMG("ID_E2A16755D9294F19AC6C5724406D1776",1)</f>
        <v>=DISPIMG("ID_E2A16755D9294F19AC6C5724406D1776",1)</v>
      </c>
      <c r="Q398" s="66" t="s">
        <v>3265</v>
      </c>
      <c r="R398" s="66">
        <v>407</v>
      </c>
      <c r="S398" s="68" t="s">
        <v>4700</v>
      </c>
      <c r="T398" s="69" t="s">
        <v>66</v>
      </c>
      <c r="U398" s="66">
        <v>2</v>
      </c>
      <c r="V398" s="66">
        <v>84</v>
      </c>
      <c r="W398" s="66">
        <v>2</v>
      </c>
    </row>
    <row r="399" s="61" customFormat="1" hidden="1" customHeight="1" spans="1:23">
      <c r="A399" s="66">
        <v>1</v>
      </c>
      <c r="B399" s="182" t="s">
        <v>1671</v>
      </c>
      <c r="C399" s="182" t="s">
        <v>153</v>
      </c>
      <c r="D399" s="182" t="s">
        <v>1672</v>
      </c>
      <c r="E399" s="66">
        <v>13576944053</v>
      </c>
      <c r="F399" s="182" t="s">
        <v>156</v>
      </c>
      <c r="G399" s="182" t="s">
        <v>7</v>
      </c>
      <c r="H399" s="66">
        <v>202102006</v>
      </c>
      <c r="I399" s="182" t="s">
        <v>157</v>
      </c>
      <c r="J399" s="182" t="s">
        <v>1674</v>
      </c>
      <c r="K399" s="182" t="s">
        <v>1675</v>
      </c>
      <c r="L399" s="182" t="s">
        <v>170</v>
      </c>
      <c r="M399" s="182" t="s">
        <v>1676</v>
      </c>
      <c r="N399" s="182" t="s">
        <v>7</v>
      </c>
      <c r="O399" s="182" t="s">
        <v>1677</v>
      </c>
      <c r="P399" s="67" t="str">
        <f>_xlfn.DISPIMG("ID_834E256FE11F482DB22CD6E09A0E87FD",1)</f>
        <v>=DISPIMG("ID_834E256FE11F482DB22CD6E09A0E87FD",1)</v>
      </c>
      <c r="Q399" s="66" t="s">
        <v>1678</v>
      </c>
      <c r="R399" s="66">
        <v>189</v>
      </c>
      <c r="S399" s="68" t="s">
        <v>4717</v>
      </c>
      <c r="T399" s="69" t="s">
        <v>66</v>
      </c>
      <c r="U399" s="66">
        <v>6</v>
      </c>
      <c r="V399" s="66">
        <v>79</v>
      </c>
      <c r="W399" s="66">
        <v>3</v>
      </c>
    </row>
    <row r="400" s="61" customFormat="1" hidden="1" customHeight="1" spans="1:23">
      <c r="A400" s="66">
        <v>6</v>
      </c>
      <c r="B400" s="182" t="s">
        <v>3685</v>
      </c>
      <c r="C400" s="182" t="s">
        <v>165</v>
      </c>
      <c r="D400" s="182" t="s">
        <v>3686</v>
      </c>
      <c r="E400" s="66">
        <v>18270929326</v>
      </c>
      <c r="F400" s="182" t="s">
        <v>156</v>
      </c>
      <c r="G400" s="182" t="s">
        <v>7</v>
      </c>
      <c r="H400" s="66">
        <v>202102006</v>
      </c>
      <c r="I400" s="182" t="s">
        <v>157</v>
      </c>
      <c r="J400" s="182" t="s">
        <v>884</v>
      </c>
      <c r="K400" s="182" t="s">
        <v>454</v>
      </c>
      <c r="L400" s="182" t="s">
        <v>170</v>
      </c>
      <c r="M400" s="182" t="s">
        <v>3687</v>
      </c>
      <c r="N400" s="182" t="s">
        <v>7</v>
      </c>
      <c r="O400" s="182" t="s">
        <v>3688</v>
      </c>
      <c r="P400" s="67" t="str">
        <f>_xlfn.DISPIMG("ID_E15A59AE3AB3482DA375DB6FC21D8F4C",1)</f>
        <v>=DISPIMG("ID_E15A59AE3AB3482DA375DB6FC21D8F4C",1)</v>
      </c>
      <c r="Q400" s="66" t="s">
        <v>3689</v>
      </c>
      <c r="R400" s="66">
        <v>469</v>
      </c>
      <c r="S400" s="68" t="s">
        <v>4704</v>
      </c>
      <c r="T400" s="69" t="s">
        <v>66</v>
      </c>
      <c r="U400" s="66">
        <v>1</v>
      </c>
      <c r="V400" s="66">
        <v>76</v>
      </c>
      <c r="W400" s="66">
        <v>4</v>
      </c>
    </row>
    <row r="401" s="61" customFormat="1" hidden="1" customHeight="1" spans="1:23">
      <c r="A401" s="66">
        <v>2</v>
      </c>
      <c r="B401" s="182" t="s">
        <v>2004</v>
      </c>
      <c r="C401" s="182" t="s">
        <v>153</v>
      </c>
      <c r="D401" s="182" t="s">
        <v>2005</v>
      </c>
      <c r="E401" s="66">
        <v>18296155146</v>
      </c>
      <c r="F401" s="182" t="s">
        <v>156</v>
      </c>
      <c r="G401" s="182" t="s">
        <v>7</v>
      </c>
      <c r="H401" s="66">
        <v>202102006</v>
      </c>
      <c r="I401" s="182" t="s">
        <v>157</v>
      </c>
      <c r="J401" s="182" t="s">
        <v>1112</v>
      </c>
      <c r="K401" s="182" t="s">
        <v>159</v>
      </c>
      <c r="L401" s="182" t="s">
        <v>160</v>
      </c>
      <c r="M401" s="182" t="s">
        <v>368</v>
      </c>
      <c r="N401" s="182" t="s">
        <v>2007</v>
      </c>
      <c r="O401" s="182" t="s">
        <v>2008</v>
      </c>
      <c r="P401" s="67" t="str">
        <f>_xlfn.DISPIMG("ID_56BCD58120C9403E8AA33B4C6EF6927A",1)</f>
        <v>=DISPIMG("ID_56BCD58120C9403E8AA33B4C6EF6927A",1)</v>
      </c>
      <c r="Q401" s="66" t="s">
        <v>2009</v>
      </c>
      <c r="R401" s="66">
        <v>233</v>
      </c>
      <c r="S401" s="68" t="s">
        <v>4718</v>
      </c>
      <c r="T401" s="69" t="s">
        <v>66</v>
      </c>
      <c r="U401" s="66">
        <v>5</v>
      </c>
      <c r="V401" s="66">
        <v>73</v>
      </c>
      <c r="W401" s="66">
        <v>5</v>
      </c>
    </row>
    <row r="402" s="34" customFormat="1" hidden="1" customHeight="1" spans="1:23">
      <c r="A402" s="25">
        <v>4</v>
      </c>
      <c r="B402" s="175" t="s">
        <v>2774</v>
      </c>
      <c r="C402" s="175" t="s">
        <v>165</v>
      </c>
      <c r="D402" s="175" t="s">
        <v>2775</v>
      </c>
      <c r="E402" s="25">
        <v>18720298910</v>
      </c>
      <c r="F402" s="175" t="s">
        <v>156</v>
      </c>
      <c r="G402" s="175" t="s">
        <v>7</v>
      </c>
      <c r="H402" s="25">
        <v>202102006</v>
      </c>
      <c r="I402" s="175" t="s">
        <v>157</v>
      </c>
      <c r="J402" s="175" t="s">
        <v>158</v>
      </c>
      <c r="K402" s="175" t="s">
        <v>1639</v>
      </c>
      <c r="L402" s="175" t="s">
        <v>170</v>
      </c>
      <c r="M402" s="175" t="s">
        <v>306</v>
      </c>
      <c r="N402" s="175" t="s">
        <v>19</v>
      </c>
      <c r="O402" s="175" t="s">
        <v>2777</v>
      </c>
      <c r="P402" s="26" t="str">
        <f>_xlfn.DISPIMG("ID_DC860A7FCB384FE48AFC2F135021FF6F",1)</f>
        <v>=DISPIMG("ID_DC860A7FCB384FE48AFC2F135021FF6F",1)</v>
      </c>
      <c r="Q402" s="25" t="s">
        <v>2778</v>
      </c>
      <c r="R402" s="25">
        <v>336</v>
      </c>
      <c r="S402" s="40" t="s">
        <v>4723</v>
      </c>
      <c r="T402" s="18" t="s">
        <v>66</v>
      </c>
      <c r="U402" s="25">
        <v>3</v>
      </c>
      <c r="V402" s="25">
        <v>0</v>
      </c>
      <c r="W402" s="25"/>
    </row>
    <row r="403" s="61" customFormat="1" hidden="1" customHeight="1" spans="1:23">
      <c r="A403" s="66">
        <v>9</v>
      </c>
      <c r="B403" s="182" t="s">
        <v>1403</v>
      </c>
      <c r="C403" s="182" t="s">
        <v>153</v>
      </c>
      <c r="D403" s="182" t="s">
        <v>1404</v>
      </c>
      <c r="E403" s="66">
        <v>15779981835</v>
      </c>
      <c r="F403" s="182" t="s">
        <v>156</v>
      </c>
      <c r="G403" s="182" t="s">
        <v>9</v>
      </c>
      <c r="H403" s="66">
        <v>202102011</v>
      </c>
      <c r="I403" s="182" t="s">
        <v>157</v>
      </c>
      <c r="J403" s="182" t="s">
        <v>827</v>
      </c>
      <c r="K403" s="182" t="s">
        <v>682</v>
      </c>
      <c r="L403" s="182" t="s">
        <v>170</v>
      </c>
      <c r="M403" s="182" t="s">
        <v>261</v>
      </c>
      <c r="N403" s="182" t="s">
        <v>1406</v>
      </c>
      <c r="O403" s="66">
        <v>0</v>
      </c>
      <c r="P403" s="67" t="str">
        <f>_xlfn.DISPIMG("ID_FA69E1E4EF8743A583B1A39075AAAF21",1)</f>
        <v>=DISPIMG("ID_FA69E1E4EF8743A583B1A39075AAAF21",1)</v>
      </c>
      <c r="Q403" s="66" t="s">
        <v>1407</v>
      </c>
      <c r="R403" s="66">
        <v>154</v>
      </c>
      <c r="S403" s="68" t="s">
        <v>4710</v>
      </c>
      <c r="T403" s="69" t="s">
        <v>66</v>
      </c>
      <c r="U403" s="66">
        <v>17</v>
      </c>
      <c r="V403" s="66">
        <v>75</v>
      </c>
      <c r="W403" s="66">
        <v>1</v>
      </c>
    </row>
    <row r="404" s="61" customFormat="1" hidden="1" customHeight="1" spans="1:23">
      <c r="A404" s="66">
        <v>8</v>
      </c>
      <c r="B404" s="182" t="s">
        <v>1167</v>
      </c>
      <c r="C404" s="182" t="s">
        <v>153</v>
      </c>
      <c r="D404" s="182" t="s">
        <v>1168</v>
      </c>
      <c r="E404" s="66">
        <v>18370130888</v>
      </c>
      <c r="F404" s="182" t="s">
        <v>156</v>
      </c>
      <c r="G404" s="182" t="s">
        <v>9</v>
      </c>
      <c r="H404" s="66">
        <v>202102011</v>
      </c>
      <c r="I404" s="182" t="s">
        <v>279</v>
      </c>
      <c r="J404" s="182" t="s">
        <v>158</v>
      </c>
      <c r="K404" s="182" t="s">
        <v>682</v>
      </c>
      <c r="L404" s="182" t="s">
        <v>170</v>
      </c>
      <c r="M404" s="182" t="s">
        <v>1170</v>
      </c>
      <c r="N404" s="182" t="s">
        <v>1171</v>
      </c>
      <c r="O404" s="182" t="s">
        <v>1172</v>
      </c>
      <c r="P404" s="67" t="str">
        <f>_xlfn.DISPIMG("ID_A11E1242B6CE401EA988641535D09239",1)</f>
        <v>=DISPIMG("ID_A11E1242B6CE401EA988641535D09239",1)</v>
      </c>
      <c r="Q404" s="66" t="s">
        <v>1173</v>
      </c>
      <c r="R404" s="66">
        <v>123</v>
      </c>
      <c r="S404" s="68" t="s">
        <v>4709</v>
      </c>
      <c r="T404" s="69" t="s">
        <v>66</v>
      </c>
      <c r="U404" s="66">
        <v>8</v>
      </c>
      <c r="V404" s="66">
        <v>73.5</v>
      </c>
      <c r="W404" s="66">
        <v>2</v>
      </c>
    </row>
    <row r="405" s="61" customFormat="1" hidden="1" customHeight="1" spans="1:23">
      <c r="A405" s="66">
        <v>12</v>
      </c>
      <c r="B405" s="182" t="s">
        <v>2598</v>
      </c>
      <c r="C405" s="182" t="s">
        <v>153</v>
      </c>
      <c r="D405" s="182" t="s">
        <v>2599</v>
      </c>
      <c r="E405" s="66">
        <v>15979967100</v>
      </c>
      <c r="F405" s="182" t="s">
        <v>156</v>
      </c>
      <c r="G405" s="182" t="s">
        <v>9</v>
      </c>
      <c r="H405" s="66">
        <v>202102011</v>
      </c>
      <c r="I405" s="182" t="s">
        <v>157</v>
      </c>
      <c r="J405" s="182" t="s">
        <v>2601</v>
      </c>
      <c r="K405" s="182" t="s">
        <v>463</v>
      </c>
      <c r="L405" s="182" t="s">
        <v>160</v>
      </c>
      <c r="M405" s="182" t="s">
        <v>368</v>
      </c>
      <c r="N405" s="182" t="s">
        <v>1406</v>
      </c>
      <c r="O405" s="182" t="s">
        <v>2602</v>
      </c>
      <c r="P405" s="67" t="str">
        <f>_xlfn.DISPIMG("ID_6E5E26FD0608404987009AB35A215594",1)</f>
        <v>=DISPIMG("ID_6E5E26FD0608404987009AB35A215594",1)</v>
      </c>
      <c r="Q405" s="66" t="s">
        <v>2603</v>
      </c>
      <c r="R405" s="66">
        <v>312</v>
      </c>
      <c r="S405" s="68" t="s">
        <v>4719</v>
      </c>
      <c r="T405" s="69" t="s">
        <v>66</v>
      </c>
      <c r="U405" s="66">
        <v>10</v>
      </c>
      <c r="V405" s="66">
        <v>71</v>
      </c>
      <c r="W405" s="66">
        <v>3</v>
      </c>
    </row>
    <row r="406" s="61" customFormat="1" hidden="1" customHeight="1" spans="1:23">
      <c r="A406" s="66">
        <v>10</v>
      </c>
      <c r="B406" s="182" t="s">
        <v>1821</v>
      </c>
      <c r="C406" s="182" t="s">
        <v>153</v>
      </c>
      <c r="D406" s="182" t="s">
        <v>1822</v>
      </c>
      <c r="E406" s="66">
        <v>15083520312</v>
      </c>
      <c r="F406" s="182" t="s">
        <v>156</v>
      </c>
      <c r="G406" s="182" t="s">
        <v>9</v>
      </c>
      <c r="H406" s="66">
        <v>202102011</v>
      </c>
      <c r="I406" s="182" t="s">
        <v>157</v>
      </c>
      <c r="J406" s="182" t="s">
        <v>437</v>
      </c>
      <c r="K406" s="182" t="s">
        <v>682</v>
      </c>
      <c r="L406" s="182" t="s">
        <v>170</v>
      </c>
      <c r="M406" s="182" t="s">
        <v>455</v>
      </c>
      <c r="N406" s="182" t="s">
        <v>1824</v>
      </c>
      <c r="O406" s="66">
        <v>0</v>
      </c>
      <c r="P406" s="67" t="str">
        <f>_xlfn.DISPIMG("ID_DDBA99C80B934FEAA0E6DE75BE0B792D",1)</f>
        <v>=DISPIMG("ID_DDBA99C80B934FEAA0E6DE75BE0B792D",1)</v>
      </c>
      <c r="Q406" s="66" t="s">
        <v>1825</v>
      </c>
      <c r="R406" s="66">
        <v>208</v>
      </c>
      <c r="S406" s="68" t="s">
        <v>4714</v>
      </c>
      <c r="T406" s="69" t="s">
        <v>66</v>
      </c>
      <c r="U406" s="66">
        <v>9</v>
      </c>
      <c r="V406" s="66">
        <v>69.5</v>
      </c>
      <c r="W406" s="66">
        <v>4</v>
      </c>
    </row>
    <row r="407" s="34" customFormat="1" hidden="1" customHeight="1" spans="1:23">
      <c r="A407" s="25">
        <v>7</v>
      </c>
      <c r="B407" s="175" t="s">
        <v>459</v>
      </c>
      <c r="C407" s="175" t="s">
        <v>153</v>
      </c>
      <c r="D407" s="175" t="s">
        <v>460</v>
      </c>
      <c r="E407" s="25">
        <v>13265072773</v>
      </c>
      <c r="F407" s="175" t="s">
        <v>156</v>
      </c>
      <c r="G407" s="175" t="s">
        <v>9</v>
      </c>
      <c r="H407" s="25">
        <v>202102011</v>
      </c>
      <c r="I407" s="175" t="s">
        <v>157</v>
      </c>
      <c r="J407" s="175" t="s">
        <v>462</v>
      </c>
      <c r="K407" s="175" t="s">
        <v>463</v>
      </c>
      <c r="L407" s="175" t="s">
        <v>160</v>
      </c>
      <c r="M407" s="175" t="s">
        <v>161</v>
      </c>
      <c r="N407" s="175" t="s">
        <v>464</v>
      </c>
      <c r="O407" s="25">
        <v>0</v>
      </c>
      <c r="P407" s="26" t="str">
        <f>_xlfn.DISPIMG("ID_DCCAD4E9E505474E946107D340C03662",1)</f>
        <v>=DISPIMG("ID_DCCAD4E9E505474E946107D340C03662",1)</v>
      </c>
      <c r="Q407" s="25" t="s">
        <v>465</v>
      </c>
      <c r="R407" s="25">
        <v>36</v>
      </c>
      <c r="S407" s="40" t="s">
        <v>4705</v>
      </c>
      <c r="T407" s="18" t="s">
        <v>66</v>
      </c>
      <c r="U407" s="25">
        <v>7</v>
      </c>
      <c r="V407" s="25">
        <v>56</v>
      </c>
      <c r="W407" s="25">
        <v>5</v>
      </c>
    </row>
    <row r="408" s="34" customFormat="1" hidden="1" customHeight="1" spans="1:23">
      <c r="A408" s="25">
        <v>11</v>
      </c>
      <c r="B408" s="175" t="s">
        <v>2330</v>
      </c>
      <c r="C408" s="175" t="s">
        <v>165</v>
      </c>
      <c r="D408" s="175" t="s">
        <v>2331</v>
      </c>
      <c r="E408" s="25">
        <v>13627002257</v>
      </c>
      <c r="F408" s="175" t="s">
        <v>156</v>
      </c>
      <c r="G408" s="175" t="s">
        <v>9</v>
      </c>
      <c r="H408" s="25">
        <v>202102011</v>
      </c>
      <c r="I408" s="175" t="s">
        <v>157</v>
      </c>
      <c r="J408" s="175" t="s">
        <v>233</v>
      </c>
      <c r="K408" s="175" t="s">
        <v>2333</v>
      </c>
      <c r="L408" s="175" t="s">
        <v>160</v>
      </c>
      <c r="M408" s="175" t="s">
        <v>455</v>
      </c>
      <c r="N408" s="175" t="s">
        <v>9</v>
      </c>
      <c r="O408" s="25">
        <v>0</v>
      </c>
      <c r="P408" s="26" t="str">
        <f>_xlfn.DISPIMG("ID_1491B19669C14541B371C6C8BBB97425",1)</f>
        <v>=DISPIMG("ID_1491B19669C14541B371C6C8BBB97425",1)</v>
      </c>
      <c r="Q408" s="25" t="s">
        <v>2334</v>
      </c>
      <c r="R408" s="25">
        <v>276</v>
      </c>
      <c r="S408" s="40" t="s">
        <v>4715</v>
      </c>
      <c r="T408" s="18" t="s">
        <v>66</v>
      </c>
      <c r="U408" s="25">
        <v>16</v>
      </c>
      <c r="V408" s="25">
        <v>45</v>
      </c>
      <c r="W408" s="25">
        <v>6</v>
      </c>
    </row>
    <row r="409" s="34" customFormat="1" hidden="1" customHeight="1" spans="1:23">
      <c r="A409" s="25">
        <v>14</v>
      </c>
      <c r="B409" s="175" t="s">
        <v>3543</v>
      </c>
      <c r="C409" s="175" t="s">
        <v>153</v>
      </c>
      <c r="D409" s="175" t="s">
        <v>3544</v>
      </c>
      <c r="E409" s="25">
        <v>17683950767</v>
      </c>
      <c r="F409" s="175" t="s">
        <v>156</v>
      </c>
      <c r="G409" s="175" t="s">
        <v>9</v>
      </c>
      <c r="H409" s="25">
        <v>202102011</v>
      </c>
      <c r="I409" s="175" t="s">
        <v>157</v>
      </c>
      <c r="J409" s="175" t="s">
        <v>3518</v>
      </c>
      <c r="K409" s="175" t="s">
        <v>472</v>
      </c>
      <c r="L409" s="175" t="s">
        <v>160</v>
      </c>
      <c r="M409" s="175" t="s">
        <v>455</v>
      </c>
      <c r="N409" s="175" t="s">
        <v>3519</v>
      </c>
      <c r="O409" s="25">
        <v>0</v>
      </c>
      <c r="P409" s="26" t="str">
        <f>_xlfn.DISPIMG("ID_2D99CEE979EF4ECAAD8A877BAF74FBA6",1)</f>
        <v>=DISPIMG("ID_2D99CEE979EF4ECAAD8A877BAF74FBA6",1)</v>
      </c>
      <c r="Q409" s="25" t="s">
        <v>3546</v>
      </c>
      <c r="R409" s="25">
        <v>450</v>
      </c>
      <c r="S409" s="40" t="s">
        <v>4724</v>
      </c>
      <c r="T409" s="18" t="s">
        <v>66</v>
      </c>
      <c r="U409" s="25">
        <v>11</v>
      </c>
      <c r="V409" s="25">
        <v>0</v>
      </c>
      <c r="W409" s="25"/>
    </row>
    <row r="410" s="34" customFormat="1" hidden="1" customHeight="1" spans="1:23">
      <c r="A410" s="25">
        <v>16</v>
      </c>
      <c r="B410" s="175" t="s">
        <v>3556</v>
      </c>
      <c r="C410" s="175" t="s">
        <v>153</v>
      </c>
      <c r="D410" s="175" t="s">
        <v>3557</v>
      </c>
      <c r="E410" s="25">
        <v>17346719580</v>
      </c>
      <c r="F410" s="175" t="s">
        <v>156</v>
      </c>
      <c r="G410" s="175" t="s">
        <v>9</v>
      </c>
      <c r="H410" s="25">
        <v>202102011</v>
      </c>
      <c r="I410" s="175" t="s">
        <v>157</v>
      </c>
      <c r="J410" s="175" t="s">
        <v>3518</v>
      </c>
      <c r="K410" s="175" t="s">
        <v>3559</v>
      </c>
      <c r="L410" s="175" t="s">
        <v>160</v>
      </c>
      <c r="M410" s="175" t="s">
        <v>455</v>
      </c>
      <c r="N410" s="175" t="s">
        <v>3519</v>
      </c>
      <c r="O410" s="25">
        <v>0</v>
      </c>
      <c r="P410" s="26" t="str">
        <f>_xlfn.DISPIMG("ID_21EB11AFC3FB431C8DEC9B4C05162E66",1)</f>
        <v>=DISPIMG("ID_21EB11AFC3FB431C8DEC9B4C05162E66",1)</v>
      </c>
      <c r="Q410" s="25" t="s">
        <v>3560</v>
      </c>
      <c r="R410" s="25">
        <v>452</v>
      </c>
      <c r="S410" s="40" t="s">
        <v>4726</v>
      </c>
      <c r="T410" s="18" t="s">
        <v>66</v>
      </c>
      <c r="U410" s="25">
        <v>12</v>
      </c>
      <c r="V410" s="25">
        <v>0</v>
      </c>
      <c r="W410" s="25"/>
    </row>
    <row r="411" s="34" customFormat="1" hidden="1" customHeight="1" spans="1:23">
      <c r="A411" s="25">
        <v>17</v>
      </c>
      <c r="B411" s="175" t="s">
        <v>3563</v>
      </c>
      <c r="C411" s="175" t="s">
        <v>153</v>
      </c>
      <c r="D411" s="175" t="s">
        <v>3564</v>
      </c>
      <c r="E411" s="25">
        <v>15907977787</v>
      </c>
      <c r="F411" s="175" t="s">
        <v>156</v>
      </c>
      <c r="G411" s="175" t="s">
        <v>9</v>
      </c>
      <c r="H411" s="25">
        <v>202102011</v>
      </c>
      <c r="I411" s="175" t="s">
        <v>157</v>
      </c>
      <c r="J411" s="175" t="s">
        <v>233</v>
      </c>
      <c r="K411" s="175" t="s">
        <v>3566</v>
      </c>
      <c r="L411" s="175" t="s">
        <v>170</v>
      </c>
      <c r="M411" s="175" t="s">
        <v>261</v>
      </c>
      <c r="N411" s="175" t="s">
        <v>1579</v>
      </c>
      <c r="O411" s="25">
        <v>0</v>
      </c>
      <c r="P411" s="26" t="str">
        <f>_xlfn.DISPIMG("ID_3C6447D057EF4BF7AE9ECFE35CBC5ECF",1)</f>
        <v>=DISPIMG("ID_3C6447D057EF4BF7AE9ECFE35CBC5ECF",1)</v>
      </c>
      <c r="Q411" s="25" t="s">
        <v>3567</v>
      </c>
      <c r="R411" s="25">
        <v>453</v>
      </c>
      <c r="S411" s="40" t="s">
        <v>4730</v>
      </c>
      <c r="T411" s="18" t="s">
        <v>66</v>
      </c>
      <c r="U411" s="25">
        <v>13</v>
      </c>
      <c r="V411" s="25">
        <v>0</v>
      </c>
      <c r="W411" s="25"/>
    </row>
    <row r="412" s="34" customFormat="1" hidden="1" customHeight="1" spans="1:23">
      <c r="A412" s="25">
        <v>15</v>
      </c>
      <c r="B412" s="175" t="s">
        <v>3549</v>
      </c>
      <c r="C412" s="175" t="s">
        <v>153</v>
      </c>
      <c r="D412" s="175" t="s">
        <v>3550</v>
      </c>
      <c r="E412" s="25">
        <v>15879724111</v>
      </c>
      <c r="F412" s="175" t="s">
        <v>156</v>
      </c>
      <c r="G412" s="175" t="s">
        <v>9</v>
      </c>
      <c r="H412" s="25">
        <v>202102011</v>
      </c>
      <c r="I412" s="175" t="s">
        <v>157</v>
      </c>
      <c r="J412" s="175" t="s">
        <v>1413</v>
      </c>
      <c r="K412" s="175" t="s">
        <v>682</v>
      </c>
      <c r="L412" s="175" t="s">
        <v>170</v>
      </c>
      <c r="M412" s="175" t="s">
        <v>261</v>
      </c>
      <c r="N412" s="175" t="s">
        <v>3552</v>
      </c>
      <c r="O412" s="25">
        <v>0</v>
      </c>
      <c r="P412" s="26" t="str">
        <f>_xlfn.DISPIMG("ID_DB61A8C4A58C4CD3A7E5339498EDC8D8",1)</f>
        <v>=DISPIMG("ID_DB61A8C4A58C4CD3A7E5339498EDC8D8",1)</v>
      </c>
      <c r="Q412" s="25" t="s">
        <v>3553</v>
      </c>
      <c r="R412" s="25">
        <v>451</v>
      </c>
      <c r="S412" s="40" t="s">
        <v>4725</v>
      </c>
      <c r="T412" s="18" t="s">
        <v>66</v>
      </c>
      <c r="U412" s="25">
        <v>14</v>
      </c>
      <c r="V412" s="25">
        <v>0</v>
      </c>
      <c r="W412" s="25"/>
    </row>
    <row r="413" s="34" customFormat="1" hidden="1" customHeight="1" spans="1:23">
      <c r="A413" s="25">
        <v>13</v>
      </c>
      <c r="B413" s="175" t="s">
        <v>3538</v>
      </c>
      <c r="C413" s="175" t="s">
        <v>153</v>
      </c>
      <c r="D413" s="175" t="s">
        <v>3539</v>
      </c>
      <c r="E413" s="25">
        <v>15770899535</v>
      </c>
      <c r="F413" s="175" t="s">
        <v>156</v>
      </c>
      <c r="G413" s="175" t="s">
        <v>9</v>
      </c>
      <c r="H413" s="25">
        <v>202102011</v>
      </c>
      <c r="I413" s="175" t="s">
        <v>157</v>
      </c>
      <c r="J413" s="175" t="s">
        <v>3518</v>
      </c>
      <c r="K413" s="175" t="s">
        <v>472</v>
      </c>
      <c r="L413" s="175" t="s">
        <v>160</v>
      </c>
      <c r="M413" s="175" t="s">
        <v>455</v>
      </c>
      <c r="N413" s="175" t="s">
        <v>3519</v>
      </c>
      <c r="O413" s="175" t="s">
        <v>3519</v>
      </c>
      <c r="P413" s="26" t="str">
        <f>_xlfn.DISPIMG("ID_0BCC1778ACA14DBF957E729E6605C713",1)</f>
        <v>=DISPIMG("ID_0BCC1778ACA14DBF957E729E6605C713",1)</v>
      </c>
      <c r="Q413" s="25" t="s">
        <v>3541</v>
      </c>
      <c r="R413" s="25">
        <v>449</v>
      </c>
      <c r="S413" s="40" t="s">
        <v>4720</v>
      </c>
      <c r="T413" s="18" t="s">
        <v>66</v>
      </c>
      <c r="U413" s="25">
        <v>15</v>
      </c>
      <c r="V413" s="25">
        <v>0</v>
      </c>
      <c r="W413" s="25"/>
    </row>
    <row r="414" s="34" customFormat="1" hidden="1" customHeight="1" spans="1:23">
      <c r="A414" s="25">
        <v>18</v>
      </c>
      <c r="B414" s="175" t="s">
        <v>3248</v>
      </c>
      <c r="C414" s="175" t="s">
        <v>153</v>
      </c>
      <c r="D414" s="175" t="s">
        <v>3249</v>
      </c>
      <c r="E414" s="25">
        <v>15180608216</v>
      </c>
      <c r="F414" s="175" t="s">
        <v>156</v>
      </c>
      <c r="G414" s="175" t="s">
        <v>11</v>
      </c>
      <c r="H414" s="25">
        <v>202102013</v>
      </c>
      <c r="I414" s="175" t="s">
        <v>157</v>
      </c>
      <c r="J414" s="175" t="s">
        <v>827</v>
      </c>
      <c r="K414" s="175" t="s">
        <v>3251</v>
      </c>
      <c r="L414" s="175" t="s">
        <v>160</v>
      </c>
      <c r="M414" s="175" t="s">
        <v>161</v>
      </c>
      <c r="N414" s="175" t="s">
        <v>8</v>
      </c>
      <c r="O414" s="25">
        <v>0</v>
      </c>
      <c r="P414" s="26" t="str">
        <f>_xlfn.DISPIMG("ID_80F22CEDB358451BB7235F67F99FD33D",1)</f>
        <v>=DISPIMG("ID_80F22CEDB358451BB7235F67F99FD33D",1)</v>
      </c>
      <c r="Q414" s="25" t="s">
        <v>3252</v>
      </c>
      <c r="R414" s="25">
        <v>405</v>
      </c>
      <c r="S414" s="40" t="s">
        <v>4734</v>
      </c>
      <c r="T414" s="18" t="s">
        <v>66</v>
      </c>
      <c r="U414" s="25">
        <v>18</v>
      </c>
      <c r="V414" s="25">
        <v>0</v>
      </c>
      <c r="W414" s="25"/>
    </row>
    <row r="415" s="34" customFormat="1" hidden="1" customHeight="1" spans="1:23">
      <c r="A415" s="25">
        <v>19</v>
      </c>
      <c r="B415" s="175" t="s">
        <v>3335</v>
      </c>
      <c r="C415" s="175" t="s">
        <v>165</v>
      </c>
      <c r="D415" s="175" t="s">
        <v>3336</v>
      </c>
      <c r="E415" s="25">
        <v>15170662594</v>
      </c>
      <c r="F415" s="175" t="s">
        <v>156</v>
      </c>
      <c r="G415" s="175" t="s">
        <v>11</v>
      </c>
      <c r="H415" s="25">
        <v>202102013</v>
      </c>
      <c r="I415" s="175" t="s">
        <v>157</v>
      </c>
      <c r="J415" s="175" t="s">
        <v>3070</v>
      </c>
      <c r="K415" s="175" t="s">
        <v>1147</v>
      </c>
      <c r="L415" s="175" t="s">
        <v>170</v>
      </c>
      <c r="M415" s="175" t="s">
        <v>306</v>
      </c>
      <c r="N415" s="175" t="s">
        <v>23</v>
      </c>
      <c r="O415" s="175" t="s">
        <v>3338</v>
      </c>
      <c r="P415" s="26" t="str">
        <f>_xlfn.DISPIMG("ID_1086188647994FC4A050F44FE33ED3AF",1)</f>
        <v>=DISPIMG("ID_1086188647994FC4A050F44FE33ED3AF",1)</v>
      </c>
      <c r="Q415" s="25" t="s">
        <v>3339</v>
      </c>
      <c r="R415" s="25">
        <v>420</v>
      </c>
      <c r="S415" s="40" t="s">
        <v>4738</v>
      </c>
      <c r="T415" s="18" t="s">
        <v>66</v>
      </c>
      <c r="U415" s="25">
        <v>19</v>
      </c>
      <c r="V415" s="25">
        <v>0</v>
      </c>
      <c r="W415" s="25"/>
    </row>
    <row r="416" s="61" customFormat="1" hidden="1" customHeight="1" spans="1:23">
      <c r="A416" s="66">
        <v>25</v>
      </c>
      <c r="B416" s="182" t="s">
        <v>3219</v>
      </c>
      <c r="C416" s="182" t="s">
        <v>165</v>
      </c>
      <c r="D416" s="182" t="s">
        <v>3220</v>
      </c>
      <c r="E416" s="66">
        <v>18279832090</v>
      </c>
      <c r="F416" s="182" t="s">
        <v>384</v>
      </c>
      <c r="G416" s="182" t="s">
        <v>25</v>
      </c>
      <c r="H416" s="66">
        <v>202101007</v>
      </c>
      <c r="I416" s="182" t="s">
        <v>157</v>
      </c>
      <c r="J416" s="182" t="s">
        <v>507</v>
      </c>
      <c r="K416" s="182" t="s">
        <v>828</v>
      </c>
      <c r="L416" s="182" t="s">
        <v>170</v>
      </c>
      <c r="M416" s="182" t="s">
        <v>161</v>
      </c>
      <c r="N416" s="182" t="s">
        <v>25</v>
      </c>
      <c r="O416" s="182" t="s">
        <v>3222</v>
      </c>
      <c r="P416" s="67" t="str">
        <f>_xlfn.DISPIMG("ID_31DA0D5E67EC49E4A7DA2145DC608874",1)</f>
        <v>=DISPIMG("ID_31DA0D5E67EC49E4A7DA2145DC608874",1)</v>
      </c>
      <c r="Q416" s="66" t="s">
        <v>3223</v>
      </c>
      <c r="R416" s="66">
        <v>401</v>
      </c>
      <c r="S416" s="68" t="s">
        <v>4754</v>
      </c>
      <c r="T416" s="69" t="s">
        <v>70</v>
      </c>
      <c r="U416" s="66">
        <v>26</v>
      </c>
      <c r="V416" s="66">
        <v>84.5</v>
      </c>
      <c r="W416" s="66">
        <v>1</v>
      </c>
    </row>
    <row r="417" s="61" customFormat="1" hidden="1" customHeight="1" spans="1:23">
      <c r="A417" s="66">
        <v>5</v>
      </c>
      <c r="B417" s="182" t="s">
        <v>554</v>
      </c>
      <c r="C417" s="182" t="s">
        <v>165</v>
      </c>
      <c r="D417" s="182" t="s">
        <v>555</v>
      </c>
      <c r="E417" s="66">
        <v>15508941977</v>
      </c>
      <c r="F417" s="182" t="s">
        <v>384</v>
      </c>
      <c r="G417" s="182" t="s">
        <v>25</v>
      </c>
      <c r="H417" s="66">
        <v>202101007</v>
      </c>
      <c r="I417" s="182" t="s">
        <v>157</v>
      </c>
      <c r="J417" s="182" t="s">
        <v>557</v>
      </c>
      <c r="K417" s="182" t="s">
        <v>558</v>
      </c>
      <c r="L417" s="182" t="s">
        <v>170</v>
      </c>
      <c r="M417" s="182" t="s">
        <v>559</v>
      </c>
      <c r="N417" s="182" t="s">
        <v>560</v>
      </c>
      <c r="O417" s="182" t="s">
        <v>561</v>
      </c>
      <c r="P417" s="67" t="str">
        <f>_xlfn.DISPIMG("ID_ED037D5B8E7D49BEA8FD0DBFF3A4827B",1)</f>
        <v>=DISPIMG("ID_ED037D5B8E7D49BEA8FD0DBFF3A4827B",1)</v>
      </c>
      <c r="Q417" s="66" t="s">
        <v>562</v>
      </c>
      <c r="R417" s="66">
        <v>48</v>
      </c>
      <c r="S417" s="68" t="s">
        <v>4729</v>
      </c>
      <c r="T417" s="69" t="s">
        <v>70</v>
      </c>
      <c r="U417" s="66">
        <v>30</v>
      </c>
      <c r="V417" s="66">
        <v>83</v>
      </c>
      <c r="W417" s="66">
        <v>2</v>
      </c>
    </row>
    <row r="418" s="61" customFormat="1" hidden="1" customHeight="1" spans="1:23">
      <c r="A418" s="66">
        <v>13</v>
      </c>
      <c r="B418" s="182" t="s">
        <v>1689</v>
      </c>
      <c r="C418" s="182" t="s">
        <v>165</v>
      </c>
      <c r="D418" s="182" t="s">
        <v>1690</v>
      </c>
      <c r="E418" s="66">
        <v>13677055035</v>
      </c>
      <c r="F418" s="182" t="s">
        <v>384</v>
      </c>
      <c r="G418" s="182" t="s">
        <v>25</v>
      </c>
      <c r="H418" s="66">
        <v>202101007</v>
      </c>
      <c r="I418" s="182" t="s">
        <v>157</v>
      </c>
      <c r="J418" s="182" t="s">
        <v>1258</v>
      </c>
      <c r="K418" s="182" t="s">
        <v>179</v>
      </c>
      <c r="L418" s="182" t="s">
        <v>170</v>
      </c>
      <c r="M418" s="182" t="s">
        <v>180</v>
      </c>
      <c r="N418" s="182" t="s">
        <v>1692</v>
      </c>
      <c r="O418" s="182" t="s">
        <v>1693</v>
      </c>
      <c r="P418" s="67" t="str">
        <f>_xlfn.DISPIMG("ID_43885BD9A06C404291EA89276C573B8A",1)</f>
        <v>=DISPIMG("ID_43885BD9A06C404291EA89276C573B8A",1)</v>
      </c>
      <c r="Q418" s="66" t="s">
        <v>1694</v>
      </c>
      <c r="R418" s="66">
        <v>191</v>
      </c>
      <c r="S418" s="68" t="s">
        <v>4740</v>
      </c>
      <c r="T418" s="69" t="s">
        <v>70</v>
      </c>
      <c r="U418" s="66">
        <v>16</v>
      </c>
      <c r="V418" s="66">
        <v>81</v>
      </c>
      <c r="W418" s="66">
        <v>3</v>
      </c>
    </row>
    <row r="419" s="61" customFormat="1" hidden="1" customHeight="1" spans="1:23">
      <c r="A419" s="66">
        <v>28</v>
      </c>
      <c r="B419" s="182" t="s">
        <v>3918</v>
      </c>
      <c r="C419" s="182" t="s">
        <v>165</v>
      </c>
      <c r="D419" s="182" t="s">
        <v>3919</v>
      </c>
      <c r="E419" s="66">
        <v>18979261626</v>
      </c>
      <c r="F419" s="182" t="s">
        <v>384</v>
      </c>
      <c r="G419" s="182" t="s">
        <v>25</v>
      </c>
      <c r="H419" s="66">
        <v>202101007</v>
      </c>
      <c r="I419" s="182" t="s">
        <v>157</v>
      </c>
      <c r="J419" s="182" t="s">
        <v>178</v>
      </c>
      <c r="K419" s="182" t="s">
        <v>179</v>
      </c>
      <c r="L419" s="182" t="s">
        <v>170</v>
      </c>
      <c r="M419" s="182" t="s">
        <v>161</v>
      </c>
      <c r="N419" s="182" t="s">
        <v>952</v>
      </c>
      <c r="O419" s="182" t="s">
        <v>3920</v>
      </c>
      <c r="P419" s="67" t="str">
        <f>_xlfn.DISPIMG("ID_64C458B5785C4AE8B3EB4D932C0866CC",1)</f>
        <v>=DISPIMG("ID_64C458B5785C4AE8B3EB4D932C0866CC",1)</v>
      </c>
      <c r="Q419" s="66" t="s">
        <v>3921</v>
      </c>
      <c r="R419" s="66">
        <v>500</v>
      </c>
      <c r="S419" s="68" t="s">
        <v>4757</v>
      </c>
      <c r="T419" s="69" t="s">
        <v>70</v>
      </c>
      <c r="U419" s="66">
        <v>13</v>
      </c>
      <c r="V419" s="66">
        <v>80.5</v>
      </c>
      <c r="W419" s="66">
        <v>4</v>
      </c>
    </row>
    <row r="420" s="61" customFormat="1" hidden="1" customHeight="1" spans="1:23">
      <c r="A420" s="66">
        <v>23</v>
      </c>
      <c r="B420" s="182" t="s">
        <v>3130</v>
      </c>
      <c r="C420" s="182" t="s">
        <v>165</v>
      </c>
      <c r="D420" s="182" t="s">
        <v>3131</v>
      </c>
      <c r="E420" s="66">
        <v>13510703252</v>
      </c>
      <c r="F420" s="182" t="s">
        <v>384</v>
      </c>
      <c r="G420" s="182" t="s">
        <v>25</v>
      </c>
      <c r="H420" s="66">
        <v>202101007</v>
      </c>
      <c r="I420" s="182" t="s">
        <v>157</v>
      </c>
      <c r="J420" s="182" t="s">
        <v>1203</v>
      </c>
      <c r="K420" s="182" t="s">
        <v>223</v>
      </c>
      <c r="L420" s="182" t="s">
        <v>170</v>
      </c>
      <c r="M420" s="182" t="s">
        <v>224</v>
      </c>
      <c r="N420" s="182" t="s">
        <v>25</v>
      </c>
      <c r="O420" s="182" t="s">
        <v>3132</v>
      </c>
      <c r="P420" s="67" t="str">
        <f>_xlfn.DISPIMG("ID_DD2B22793A5D42C5A4C202130135D188",1)</f>
        <v>=DISPIMG("ID_DD2B22793A5D42C5A4C202130135D188",1)</v>
      </c>
      <c r="Q420" s="66" t="s">
        <v>3133</v>
      </c>
      <c r="R420" s="66">
        <v>387</v>
      </c>
      <c r="S420" s="68" t="s">
        <v>4752</v>
      </c>
      <c r="T420" s="69" t="s">
        <v>70</v>
      </c>
      <c r="U420" s="66">
        <v>14</v>
      </c>
      <c r="V420" s="66">
        <v>80</v>
      </c>
      <c r="W420" s="66">
        <v>5</v>
      </c>
    </row>
    <row r="421" s="61" customFormat="1" hidden="1" customHeight="1" spans="1:23">
      <c r="A421" s="66">
        <v>19</v>
      </c>
      <c r="B421" s="182" t="s">
        <v>2495</v>
      </c>
      <c r="C421" s="182" t="s">
        <v>165</v>
      </c>
      <c r="D421" s="182" t="s">
        <v>2496</v>
      </c>
      <c r="E421" s="66">
        <v>15170284980</v>
      </c>
      <c r="F421" s="182" t="s">
        <v>384</v>
      </c>
      <c r="G421" s="182" t="s">
        <v>25</v>
      </c>
      <c r="H421" s="66">
        <v>202101007</v>
      </c>
      <c r="I421" s="182" t="s">
        <v>157</v>
      </c>
      <c r="J421" s="182" t="s">
        <v>662</v>
      </c>
      <c r="K421" s="182" t="s">
        <v>179</v>
      </c>
      <c r="L421" s="182" t="s">
        <v>170</v>
      </c>
      <c r="M421" s="182" t="s">
        <v>261</v>
      </c>
      <c r="N421" s="182" t="s">
        <v>25</v>
      </c>
      <c r="O421" s="66">
        <v>0</v>
      </c>
      <c r="P421" s="67" t="str">
        <f>_xlfn.DISPIMG("ID_9517FA682BDD4A72AC67B046C0A956F9",1)</f>
        <v>=DISPIMG("ID_9517FA682BDD4A72AC67B046C0A956F9",1)</v>
      </c>
      <c r="Q421" s="66" t="s">
        <v>2498</v>
      </c>
      <c r="R421" s="66">
        <v>298</v>
      </c>
      <c r="S421" s="68" t="s">
        <v>4748</v>
      </c>
      <c r="T421" s="69" t="s">
        <v>70</v>
      </c>
      <c r="U421" s="66">
        <v>22</v>
      </c>
      <c r="V421" s="66">
        <v>79.5</v>
      </c>
      <c r="W421" s="66">
        <v>6</v>
      </c>
    </row>
    <row r="422" s="61" customFormat="1" hidden="1" customHeight="1" spans="1:23">
      <c r="A422" s="66">
        <v>26</v>
      </c>
      <c r="B422" s="182" t="s">
        <v>3386</v>
      </c>
      <c r="C422" s="182" t="s">
        <v>165</v>
      </c>
      <c r="D422" s="182" t="s">
        <v>3387</v>
      </c>
      <c r="E422" s="66">
        <v>15070657835</v>
      </c>
      <c r="F422" s="182" t="s">
        <v>384</v>
      </c>
      <c r="G422" s="182" t="s">
        <v>25</v>
      </c>
      <c r="H422" s="66">
        <v>202101007</v>
      </c>
      <c r="I422" s="182" t="s">
        <v>705</v>
      </c>
      <c r="J422" s="182" t="s">
        <v>233</v>
      </c>
      <c r="K422" s="182" t="s">
        <v>3389</v>
      </c>
      <c r="L422" s="182" t="s">
        <v>160</v>
      </c>
      <c r="M422" s="182" t="s">
        <v>261</v>
      </c>
      <c r="N422" s="182" t="s">
        <v>1506</v>
      </c>
      <c r="O422" s="66">
        <v>0</v>
      </c>
      <c r="P422" s="67" t="str">
        <f>_xlfn.DISPIMG("ID_E7900D53DC2C42DFA545534A1C33490B",1)</f>
        <v>=DISPIMG("ID_E7900D53DC2C42DFA545534A1C33490B",1)</v>
      </c>
      <c r="Q422" s="66" t="s">
        <v>3390</v>
      </c>
      <c r="R422" s="66">
        <v>427</v>
      </c>
      <c r="S422" s="68" t="s">
        <v>4755</v>
      </c>
      <c r="T422" s="69" t="s">
        <v>70</v>
      </c>
      <c r="U422" s="66">
        <v>1</v>
      </c>
      <c r="V422" s="66">
        <v>79</v>
      </c>
      <c r="W422" s="66">
        <v>7</v>
      </c>
    </row>
    <row r="423" s="61" customFormat="1" hidden="1" customHeight="1" spans="1:23">
      <c r="A423" s="66">
        <v>3</v>
      </c>
      <c r="B423" s="182" t="s">
        <v>381</v>
      </c>
      <c r="C423" s="182" t="s">
        <v>165</v>
      </c>
      <c r="D423" s="182" t="s">
        <v>382</v>
      </c>
      <c r="E423" s="66">
        <v>15180106412</v>
      </c>
      <c r="F423" s="182" t="s">
        <v>384</v>
      </c>
      <c r="G423" s="182" t="s">
        <v>25</v>
      </c>
      <c r="H423" s="66">
        <v>202101007</v>
      </c>
      <c r="I423" s="182" t="s">
        <v>157</v>
      </c>
      <c r="J423" s="182" t="s">
        <v>385</v>
      </c>
      <c r="K423" s="182" t="s">
        <v>386</v>
      </c>
      <c r="L423" s="182" t="s">
        <v>170</v>
      </c>
      <c r="M423" s="182" t="s">
        <v>216</v>
      </c>
      <c r="N423" s="182" t="s">
        <v>25</v>
      </c>
      <c r="O423" s="182" t="s">
        <v>387</v>
      </c>
      <c r="P423" s="67" t="str">
        <f>_xlfn.DISPIMG("ID_66D69597049F4F76B0A0201065CACE75",1)</f>
        <v>=DISPIMG("ID_66D69597049F4F76B0A0201065CACE75",1)</v>
      </c>
      <c r="Q423" s="66" t="s">
        <v>388</v>
      </c>
      <c r="R423" s="66">
        <v>27</v>
      </c>
      <c r="S423" s="68" t="s">
        <v>4727</v>
      </c>
      <c r="T423" s="69" t="s">
        <v>70</v>
      </c>
      <c r="U423" s="66">
        <v>18</v>
      </c>
      <c r="V423" s="66">
        <v>77.5</v>
      </c>
      <c r="W423" s="66">
        <v>8</v>
      </c>
    </row>
    <row r="424" s="61" customFormat="1" hidden="1" customHeight="1" spans="1:23">
      <c r="A424" s="66">
        <v>12</v>
      </c>
      <c r="B424" s="182" t="s">
        <v>1597</v>
      </c>
      <c r="C424" s="182" t="s">
        <v>153</v>
      </c>
      <c r="D424" s="182" t="s">
        <v>1598</v>
      </c>
      <c r="E424" s="66">
        <v>13979287846</v>
      </c>
      <c r="F424" s="182" t="s">
        <v>384</v>
      </c>
      <c r="G424" s="182" t="s">
        <v>25</v>
      </c>
      <c r="H424" s="66">
        <v>202101007</v>
      </c>
      <c r="I424" s="182" t="s">
        <v>157</v>
      </c>
      <c r="J424" s="182" t="s">
        <v>1600</v>
      </c>
      <c r="K424" s="182" t="s">
        <v>1601</v>
      </c>
      <c r="L424" s="182" t="s">
        <v>170</v>
      </c>
      <c r="M424" s="182" t="s">
        <v>252</v>
      </c>
      <c r="N424" s="182" t="s">
        <v>25</v>
      </c>
      <c r="O424" s="182" t="s">
        <v>1602</v>
      </c>
      <c r="P424" s="67" t="str">
        <f>_xlfn.DISPIMG("ID_E78F3BF41C5D43B8884910B23D8EE46A",1)</f>
        <v>=DISPIMG("ID_E78F3BF41C5D43B8884910B23D8EE46A",1)</v>
      </c>
      <c r="Q424" s="66" t="s">
        <v>1603</v>
      </c>
      <c r="R424" s="66">
        <v>179</v>
      </c>
      <c r="S424" s="68" t="s">
        <v>4739</v>
      </c>
      <c r="T424" s="69" t="s">
        <v>70</v>
      </c>
      <c r="U424" s="66">
        <v>9</v>
      </c>
      <c r="V424" s="66">
        <v>77</v>
      </c>
      <c r="W424" s="66">
        <v>9</v>
      </c>
    </row>
    <row r="425" s="61" customFormat="1" hidden="1" customHeight="1" spans="1:23">
      <c r="A425" s="66">
        <v>14</v>
      </c>
      <c r="B425" s="182" t="s">
        <v>1807</v>
      </c>
      <c r="C425" s="182" t="s">
        <v>165</v>
      </c>
      <c r="D425" s="182" t="s">
        <v>1808</v>
      </c>
      <c r="E425" s="66">
        <v>18279208598</v>
      </c>
      <c r="F425" s="182" t="s">
        <v>384</v>
      </c>
      <c r="G425" s="182" t="s">
        <v>25</v>
      </c>
      <c r="H425" s="66">
        <v>202101007</v>
      </c>
      <c r="I425" s="182" t="s">
        <v>157</v>
      </c>
      <c r="J425" s="182" t="s">
        <v>1413</v>
      </c>
      <c r="K425" s="182" t="s">
        <v>179</v>
      </c>
      <c r="L425" s="182" t="s">
        <v>170</v>
      </c>
      <c r="M425" s="182" t="s">
        <v>235</v>
      </c>
      <c r="N425" s="182" t="s">
        <v>1692</v>
      </c>
      <c r="O425" s="182" t="s">
        <v>1810</v>
      </c>
      <c r="P425" s="67" t="str">
        <f>_xlfn.DISPIMG("ID_CF289AF208E247F38051A435A278D00A",1)</f>
        <v>=DISPIMG("ID_CF289AF208E247F38051A435A278D00A",1)</v>
      </c>
      <c r="Q425" s="66" t="s">
        <v>1811</v>
      </c>
      <c r="R425" s="66">
        <v>206</v>
      </c>
      <c r="S425" s="68" t="s">
        <v>4741</v>
      </c>
      <c r="T425" s="69" t="s">
        <v>70</v>
      </c>
      <c r="U425" s="66">
        <v>21</v>
      </c>
      <c r="V425" s="66">
        <v>76.5</v>
      </c>
      <c r="W425" s="66">
        <v>10</v>
      </c>
    </row>
    <row r="426" s="61" customFormat="1" hidden="1" customHeight="1" spans="1:23">
      <c r="A426" s="66">
        <v>17</v>
      </c>
      <c r="B426" s="182" t="s">
        <v>2360</v>
      </c>
      <c r="C426" s="182" t="s">
        <v>165</v>
      </c>
      <c r="D426" s="182" t="s">
        <v>2361</v>
      </c>
      <c r="E426" s="66">
        <v>18070140896</v>
      </c>
      <c r="F426" s="182" t="s">
        <v>384</v>
      </c>
      <c r="G426" s="182" t="s">
        <v>25</v>
      </c>
      <c r="H426" s="66">
        <v>202101007</v>
      </c>
      <c r="I426" s="182" t="s">
        <v>157</v>
      </c>
      <c r="J426" s="182" t="s">
        <v>2363</v>
      </c>
      <c r="K426" s="182" t="s">
        <v>179</v>
      </c>
      <c r="L426" s="182" t="s">
        <v>170</v>
      </c>
      <c r="M426" s="182" t="s">
        <v>577</v>
      </c>
      <c r="N426" s="182" t="s">
        <v>25</v>
      </c>
      <c r="O426" s="182" t="s">
        <v>2364</v>
      </c>
      <c r="P426" s="67" t="str">
        <f>_xlfn.DISPIMG("ID_9FF2F7CED6DC40CB89E306847985BA44",1)</f>
        <v>=DISPIMG("ID_9FF2F7CED6DC40CB89E306847985BA44",1)</v>
      </c>
      <c r="Q426" s="66" t="s">
        <v>2365</v>
      </c>
      <c r="R426" s="66">
        <v>280</v>
      </c>
      <c r="S426" s="68" t="s">
        <v>4746</v>
      </c>
      <c r="T426" s="69" t="s">
        <v>70</v>
      </c>
      <c r="U426" s="66">
        <v>10</v>
      </c>
      <c r="V426" s="66">
        <v>75</v>
      </c>
      <c r="W426" s="66">
        <v>11</v>
      </c>
    </row>
    <row r="427" s="61" customFormat="1" hidden="1" customHeight="1" spans="1:23">
      <c r="A427" s="66">
        <v>4</v>
      </c>
      <c r="B427" s="182" t="s">
        <v>545</v>
      </c>
      <c r="C427" s="182" t="s">
        <v>165</v>
      </c>
      <c r="D427" s="182" t="s">
        <v>546</v>
      </c>
      <c r="E427" s="66">
        <v>13282964470</v>
      </c>
      <c r="F427" s="182" t="s">
        <v>384</v>
      </c>
      <c r="G427" s="182" t="s">
        <v>25</v>
      </c>
      <c r="H427" s="66">
        <v>202101007</v>
      </c>
      <c r="I427" s="182" t="s">
        <v>157</v>
      </c>
      <c r="J427" s="182" t="s">
        <v>158</v>
      </c>
      <c r="K427" s="182" t="s">
        <v>223</v>
      </c>
      <c r="L427" s="182" t="s">
        <v>170</v>
      </c>
      <c r="M427" s="182" t="s">
        <v>548</v>
      </c>
      <c r="N427" s="182" t="s">
        <v>549</v>
      </c>
      <c r="O427" s="182" t="s">
        <v>550</v>
      </c>
      <c r="P427" s="67" t="str">
        <f>_xlfn.DISPIMG("ID_815DB3FDB9924FE5A27318CA3E9A763D",1)</f>
        <v>=DISPIMG("ID_815DB3FDB9924FE5A27318CA3E9A763D",1)</v>
      </c>
      <c r="Q427" s="66" t="s">
        <v>551</v>
      </c>
      <c r="R427" s="66">
        <v>47</v>
      </c>
      <c r="S427" s="68" t="s">
        <v>4728</v>
      </c>
      <c r="T427" s="69" t="s">
        <v>70</v>
      </c>
      <c r="U427" s="66">
        <v>19</v>
      </c>
      <c r="V427" s="66">
        <v>74</v>
      </c>
      <c r="W427" s="66">
        <v>12</v>
      </c>
    </row>
    <row r="428" s="61" customFormat="1" hidden="1" customHeight="1" spans="1:23">
      <c r="A428" s="66">
        <v>18</v>
      </c>
      <c r="B428" s="182" t="s">
        <v>2415</v>
      </c>
      <c r="C428" s="182" t="s">
        <v>165</v>
      </c>
      <c r="D428" s="182" t="s">
        <v>2416</v>
      </c>
      <c r="E428" s="66">
        <v>18179591146</v>
      </c>
      <c r="F428" s="182" t="s">
        <v>384</v>
      </c>
      <c r="G428" s="182" t="s">
        <v>25</v>
      </c>
      <c r="H428" s="66">
        <v>202101007</v>
      </c>
      <c r="I428" s="182" t="s">
        <v>157</v>
      </c>
      <c r="J428" s="182" t="s">
        <v>1258</v>
      </c>
      <c r="K428" s="182" t="s">
        <v>828</v>
      </c>
      <c r="L428" s="182" t="s">
        <v>170</v>
      </c>
      <c r="M428" s="182" t="s">
        <v>171</v>
      </c>
      <c r="N428" s="182" t="s">
        <v>25</v>
      </c>
      <c r="O428" s="182" t="s">
        <v>2418</v>
      </c>
      <c r="P428" s="67" t="str">
        <f>_xlfn.DISPIMG("ID_CD5C977DBB8D404E885C56F791C17D27",1)</f>
        <v>=DISPIMG("ID_CD5C977DBB8D404E885C56F791C17D27",1)</v>
      </c>
      <c r="Q428" s="66" t="s">
        <v>2419</v>
      </c>
      <c r="R428" s="66">
        <v>287</v>
      </c>
      <c r="S428" s="68" t="s">
        <v>4747</v>
      </c>
      <c r="T428" s="69" t="s">
        <v>70</v>
      </c>
      <c r="U428" s="66">
        <v>15</v>
      </c>
      <c r="V428" s="66">
        <v>70</v>
      </c>
      <c r="W428" s="66">
        <v>13</v>
      </c>
    </row>
    <row r="429" s="34" customFormat="1" hidden="1" customHeight="1" spans="1:23">
      <c r="A429" s="25">
        <v>16</v>
      </c>
      <c r="B429" s="175" t="s">
        <v>2069</v>
      </c>
      <c r="C429" s="175" t="s">
        <v>165</v>
      </c>
      <c r="D429" s="175" t="s">
        <v>2070</v>
      </c>
      <c r="E429" s="25">
        <v>18970492528</v>
      </c>
      <c r="F429" s="175" t="s">
        <v>384</v>
      </c>
      <c r="G429" s="175" t="s">
        <v>25</v>
      </c>
      <c r="H429" s="25">
        <v>202101007</v>
      </c>
      <c r="I429" s="175" t="s">
        <v>157</v>
      </c>
      <c r="J429" s="175" t="s">
        <v>233</v>
      </c>
      <c r="K429" s="175" t="s">
        <v>179</v>
      </c>
      <c r="L429" s="175" t="s">
        <v>170</v>
      </c>
      <c r="M429" s="175" t="s">
        <v>1346</v>
      </c>
      <c r="N429" s="175" t="s">
        <v>25</v>
      </c>
      <c r="O429" s="175" t="s">
        <v>2072</v>
      </c>
      <c r="P429" s="26" t="str">
        <f>_xlfn.DISPIMG("ID_AE7BFEF114344F24954EA3AA4FC71BD8",1)</f>
        <v>=DISPIMG("ID_AE7BFEF114344F24954EA3AA4FC71BD8",1)</v>
      </c>
      <c r="Q429" s="25" t="s">
        <v>2073</v>
      </c>
      <c r="R429" s="25">
        <v>241</v>
      </c>
      <c r="S429" s="40" t="s">
        <v>4744</v>
      </c>
      <c r="T429" s="18" t="s">
        <v>70</v>
      </c>
      <c r="U429" s="25">
        <v>3</v>
      </c>
      <c r="V429" s="25">
        <v>0</v>
      </c>
      <c r="W429" s="25"/>
    </row>
    <row r="430" s="34" customFormat="1" hidden="1" customHeight="1" spans="1:23">
      <c r="A430" s="25">
        <v>11</v>
      </c>
      <c r="B430" s="175" t="s">
        <v>1552</v>
      </c>
      <c r="C430" s="175" t="s">
        <v>165</v>
      </c>
      <c r="D430" s="175" t="s">
        <v>1553</v>
      </c>
      <c r="E430" s="25">
        <v>18795899857</v>
      </c>
      <c r="F430" s="175" t="s">
        <v>384</v>
      </c>
      <c r="G430" s="175" t="s">
        <v>25</v>
      </c>
      <c r="H430" s="25">
        <v>202101007</v>
      </c>
      <c r="I430" s="175" t="s">
        <v>157</v>
      </c>
      <c r="J430" s="175" t="s">
        <v>385</v>
      </c>
      <c r="K430" s="175" t="s">
        <v>828</v>
      </c>
      <c r="L430" s="175" t="s">
        <v>170</v>
      </c>
      <c r="M430" s="175" t="s">
        <v>548</v>
      </c>
      <c r="N430" s="175" t="s">
        <v>25</v>
      </c>
      <c r="O430" s="175" t="s">
        <v>1555</v>
      </c>
      <c r="P430" s="26" t="str">
        <f>_xlfn.DISPIMG("ID_3244697DE8F74EF1A671D4FB148CF806",1)</f>
        <v>=DISPIMG("ID_3244697DE8F74EF1A671D4FB148CF806",1)</v>
      </c>
      <c r="Q430" s="25" t="s">
        <v>1556</v>
      </c>
      <c r="R430" s="25">
        <v>173</v>
      </c>
      <c r="S430" s="40" t="s">
        <v>4737</v>
      </c>
      <c r="T430" s="18" t="s">
        <v>70</v>
      </c>
      <c r="U430" s="25">
        <v>4</v>
      </c>
      <c r="V430" s="25">
        <v>0</v>
      </c>
      <c r="W430" s="25"/>
    </row>
    <row r="431" s="34" customFormat="1" hidden="1" customHeight="1" spans="1:23">
      <c r="A431" s="25">
        <v>6</v>
      </c>
      <c r="B431" s="175" t="s">
        <v>720</v>
      </c>
      <c r="C431" s="175" t="s">
        <v>165</v>
      </c>
      <c r="D431" s="175" t="s">
        <v>721</v>
      </c>
      <c r="E431" s="25">
        <v>18070248182</v>
      </c>
      <c r="F431" s="175" t="s">
        <v>384</v>
      </c>
      <c r="G431" s="175" t="s">
        <v>25</v>
      </c>
      <c r="H431" s="25">
        <v>202101007</v>
      </c>
      <c r="I431" s="175" t="s">
        <v>157</v>
      </c>
      <c r="J431" s="175" t="s">
        <v>723</v>
      </c>
      <c r="K431" s="175" t="s">
        <v>223</v>
      </c>
      <c r="L431" s="175" t="s">
        <v>170</v>
      </c>
      <c r="M431" s="175" t="s">
        <v>252</v>
      </c>
      <c r="N431" s="175" t="s">
        <v>724</v>
      </c>
      <c r="O431" s="175" t="s">
        <v>725</v>
      </c>
      <c r="P431" s="26" t="str">
        <f>_xlfn.DISPIMG("ID_18752421A8044E9999D06F0B98A5B3A9",1)</f>
        <v>=DISPIMG("ID_18752421A8044E9999D06F0B98A5B3A9",1)</v>
      </c>
      <c r="Q431" s="25" t="s">
        <v>726</v>
      </c>
      <c r="R431" s="25">
        <v>68</v>
      </c>
      <c r="S431" s="40" t="s">
        <v>4731</v>
      </c>
      <c r="T431" s="18" t="s">
        <v>70</v>
      </c>
      <c r="U431" s="25">
        <v>5</v>
      </c>
      <c r="V431" s="25">
        <v>0</v>
      </c>
      <c r="W431" s="25"/>
    </row>
    <row r="432" s="34" customFormat="1" hidden="1" customHeight="1" spans="1:23">
      <c r="A432" s="25">
        <v>7</v>
      </c>
      <c r="B432" s="175" t="s">
        <v>786</v>
      </c>
      <c r="C432" s="175" t="s">
        <v>165</v>
      </c>
      <c r="D432" s="175" t="s">
        <v>787</v>
      </c>
      <c r="E432" s="25">
        <v>15870883510</v>
      </c>
      <c r="F432" s="175" t="s">
        <v>384</v>
      </c>
      <c r="G432" s="175" t="s">
        <v>25</v>
      </c>
      <c r="H432" s="25">
        <v>202101007</v>
      </c>
      <c r="I432" s="175" t="s">
        <v>705</v>
      </c>
      <c r="J432" s="175" t="s">
        <v>789</v>
      </c>
      <c r="K432" s="175" t="s">
        <v>790</v>
      </c>
      <c r="L432" s="175" t="s">
        <v>160</v>
      </c>
      <c r="M432" s="175" t="s">
        <v>455</v>
      </c>
      <c r="N432" s="175" t="s">
        <v>307</v>
      </c>
      <c r="O432" s="175" t="s">
        <v>791</v>
      </c>
      <c r="P432" s="26" t="str">
        <f>_xlfn.DISPIMG("ID_81CFC0148DBF4084ADB804B82E5E7200",1)</f>
        <v>=DISPIMG("ID_81CFC0148DBF4084ADB804B82E5E7200",1)</v>
      </c>
      <c r="Q432" s="25" t="s">
        <v>792</v>
      </c>
      <c r="R432" s="25">
        <v>76</v>
      </c>
      <c r="S432" s="40" t="s">
        <v>4732</v>
      </c>
      <c r="T432" s="18" t="s">
        <v>70</v>
      </c>
      <c r="U432" s="25">
        <v>8</v>
      </c>
      <c r="V432" s="25">
        <v>0</v>
      </c>
      <c r="W432" s="25"/>
    </row>
    <row r="433" s="34" customFormat="1" hidden="1" customHeight="1" spans="1:23">
      <c r="A433" s="25">
        <v>27</v>
      </c>
      <c r="B433" s="175" t="s">
        <v>3789</v>
      </c>
      <c r="C433" s="175" t="s">
        <v>165</v>
      </c>
      <c r="D433" s="175" t="s">
        <v>3790</v>
      </c>
      <c r="E433" s="25">
        <v>15979943806</v>
      </c>
      <c r="F433" s="175" t="s">
        <v>384</v>
      </c>
      <c r="G433" s="175" t="s">
        <v>25</v>
      </c>
      <c r="H433" s="25">
        <v>202101007</v>
      </c>
      <c r="I433" s="175" t="s">
        <v>157</v>
      </c>
      <c r="J433" s="175" t="s">
        <v>2874</v>
      </c>
      <c r="K433" s="175" t="s">
        <v>3792</v>
      </c>
      <c r="L433" s="175" t="s">
        <v>170</v>
      </c>
      <c r="M433" s="175" t="s">
        <v>216</v>
      </c>
      <c r="N433" s="175" t="s">
        <v>25</v>
      </c>
      <c r="O433" s="175" t="s">
        <v>3793</v>
      </c>
      <c r="P433" s="26" t="str">
        <f>_xlfn.DISPIMG("ID_7E3A3C48C46B4922B18A5C2AD1587AC0",1)</f>
        <v>=DISPIMG("ID_7E3A3C48C46B4922B18A5C2AD1587AC0",1)</v>
      </c>
      <c r="Q433" s="25" t="s">
        <v>3794</v>
      </c>
      <c r="R433" s="25">
        <v>483</v>
      </c>
      <c r="S433" s="40" t="s">
        <v>4756</v>
      </c>
      <c r="T433" s="18" t="s">
        <v>70</v>
      </c>
      <c r="U433" s="25">
        <v>12</v>
      </c>
      <c r="V433" s="25">
        <v>0</v>
      </c>
      <c r="W433" s="25"/>
    </row>
    <row r="434" s="34" customFormat="1" hidden="1" customHeight="1" spans="1:23">
      <c r="A434" s="25">
        <v>9</v>
      </c>
      <c r="B434" s="175" t="s">
        <v>949</v>
      </c>
      <c r="C434" s="175" t="s">
        <v>165</v>
      </c>
      <c r="D434" s="175" t="s">
        <v>950</v>
      </c>
      <c r="E434" s="25">
        <v>15720934889</v>
      </c>
      <c r="F434" s="175" t="s">
        <v>384</v>
      </c>
      <c r="G434" s="175" t="s">
        <v>25</v>
      </c>
      <c r="H434" s="25">
        <v>202101007</v>
      </c>
      <c r="I434" s="175" t="s">
        <v>157</v>
      </c>
      <c r="J434" s="175" t="s">
        <v>269</v>
      </c>
      <c r="K434" s="175" t="s">
        <v>179</v>
      </c>
      <c r="L434" s="175" t="s">
        <v>170</v>
      </c>
      <c r="M434" s="175" t="s">
        <v>171</v>
      </c>
      <c r="N434" s="175" t="s">
        <v>952</v>
      </c>
      <c r="O434" s="175" t="s">
        <v>953</v>
      </c>
      <c r="P434" s="26" t="str">
        <f>_xlfn.DISPIMG("ID_7778BC47A591458DA9EA33FB1000B681",1)</f>
        <v>=DISPIMG("ID_7778BC47A591458DA9EA33FB1000B681",1)</v>
      </c>
      <c r="Q434" s="25" t="s">
        <v>954</v>
      </c>
      <c r="R434" s="25">
        <v>96</v>
      </c>
      <c r="S434" s="40" t="s">
        <v>4735</v>
      </c>
      <c r="T434" s="18" t="s">
        <v>70</v>
      </c>
      <c r="U434" s="25">
        <v>20</v>
      </c>
      <c r="V434" s="25">
        <v>0</v>
      </c>
      <c r="W434" s="25"/>
    </row>
    <row r="435" s="34" customFormat="1" hidden="1" customHeight="1" spans="1:23">
      <c r="A435" s="25">
        <v>10</v>
      </c>
      <c r="B435" s="175" t="s">
        <v>1373</v>
      </c>
      <c r="C435" s="175" t="s">
        <v>165</v>
      </c>
      <c r="D435" s="175" t="s">
        <v>1374</v>
      </c>
      <c r="E435" s="25">
        <v>15070130599</v>
      </c>
      <c r="F435" s="175" t="s">
        <v>384</v>
      </c>
      <c r="G435" s="175" t="s">
        <v>25</v>
      </c>
      <c r="H435" s="25">
        <v>202101007</v>
      </c>
      <c r="I435" s="175" t="s">
        <v>705</v>
      </c>
      <c r="J435" s="175" t="s">
        <v>1376</v>
      </c>
      <c r="K435" s="175" t="s">
        <v>790</v>
      </c>
      <c r="L435" s="175" t="s">
        <v>160</v>
      </c>
      <c r="M435" s="175" t="s">
        <v>455</v>
      </c>
      <c r="N435" s="175" t="s">
        <v>1156</v>
      </c>
      <c r="O435" s="25">
        <v>0</v>
      </c>
      <c r="P435" s="26" t="str">
        <f>_xlfn.DISPIMG("ID_ECF84772EBB248C2BC2BD56C2C168331",1)</f>
        <v>=DISPIMG("ID_ECF84772EBB248C2BC2BD56C2C168331",1)</v>
      </c>
      <c r="Q435" s="25" t="s">
        <v>1377</v>
      </c>
      <c r="R435" s="25">
        <v>150</v>
      </c>
      <c r="S435" s="40" t="s">
        <v>4736</v>
      </c>
      <c r="T435" s="18" t="s">
        <v>70</v>
      </c>
      <c r="U435" s="25">
        <v>29</v>
      </c>
      <c r="V435" s="25">
        <v>0</v>
      </c>
      <c r="W435" s="25"/>
    </row>
    <row r="436" s="64" customFormat="1" hidden="1" customHeight="1" spans="1:23">
      <c r="A436" s="66">
        <v>2</v>
      </c>
      <c r="B436" s="182" t="s">
        <v>312</v>
      </c>
      <c r="C436" s="182" t="s">
        <v>165</v>
      </c>
      <c r="D436" s="182" t="s">
        <v>313</v>
      </c>
      <c r="E436" s="66">
        <v>13479263942</v>
      </c>
      <c r="F436" s="182" t="s">
        <v>297</v>
      </c>
      <c r="G436" s="182" t="s">
        <v>25</v>
      </c>
      <c r="H436" s="66">
        <v>202101008</v>
      </c>
      <c r="I436" s="182" t="s">
        <v>157</v>
      </c>
      <c r="J436" s="182" t="s">
        <v>158</v>
      </c>
      <c r="K436" s="182" t="s">
        <v>223</v>
      </c>
      <c r="L436" s="182" t="s">
        <v>170</v>
      </c>
      <c r="M436" s="182" t="s">
        <v>306</v>
      </c>
      <c r="N436" s="182" t="s">
        <v>315</v>
      </c>
      <c r="O436" s="182" t="s">
        <v>316</v>
      </c>
      <c r="P436" s="67" t="str">
        <f>_xlfn.DISPIMG("ID_70953AC2E42945A88FA3E573D09D6D1B",1)</f>
        <v>=DISPIMG("ID_70953AC2E42945A88FA3E573D09D6D1B",1)</v>
      </c>
      <c r="Q436" s="66" t="s">
        <v>317</v>
      </c>
      <c r="R436" s="66">
        <v>19</v>
      </c>
      <c r="S436" s="68" t="s">
        <v>4745</v>
      </c>
      <c r="T436" s="69" t="s">
        <v>70</v>
      </c>
      <c r="U436" s="66">
        <v>7</v>
      </c>
      <c r="V436" s="66">
        <v>83</v>
      </c>
      <c r="W436" s="66">
        <v>1</v>
      </c>
    </row>
    <row r="437" s="61" customFormat="1" hidden="1" customHeight="1" spans="1:23">
      <c r="A437" s="66">
        <v>8</v>
      </c>
      <c r="B437" s="182" t="s">
        <v>824</v>
      </c>
      <c r="C437" s="182" t="s">
        <v>165</v>
      </c>
      <c r="D437" s="182" t="s">
        <v>825</v>
      </c>
      <c r="E437" s="66">
        <v>18870036528</v>
      </c>
      <c r="F437" s="182" t="s">
        <v>297</v>
      </c>
      <c r="G437" s="182" t="s">
        <v>25</v>
      </c>
      <c r="H437" s="66">
        <v>202101008</v>
      </c>
      <c r="I437" s="182" t="s">
        <v>157</v>
      </c>
      <c r="J437" s="182" t="s">
        <v>827</v>
      </c>
      <c r="K437" s="182" t="s">
        <v>828</v>
      </c>
      <c r="L437" s="182" t="s">
        <v>170</v>
      </c>
      <c r="M437" s="182" t="s">
        <v>396</v>
      </c>
      <c r="N437" s="182" t="s">
        <v>25</v>
      </c>
      <c r="O437" s="182" t="s">
        <v>829</v>
      </c>
      <c r="P437" s="67" t="str">
        <f>_xlfn.DISPIMG("ID_8A1A22938F334E1D900FC8311DB2BE9A",1)</f>
        <v>=DISPIMG("ID_8A1A22938F334E1D900FC8311DB2BE9A",1)</v>
      </c>
      <c r="Q437" s="66" t="s">
        <v>830</v>
      </c>
      <c r="R437" s="66">
        <v>81</v>
      </c>
      <c r="S437" s="68" t="s">
        <v>4733</v>
      </c>
      <c r="T437" s="69" t="s">
        <v>70</v>
      </c>
      <c r="U437" s="66">
        <v>17</v>
      </c>
      <c r="V437" s="66">
        <v>83</v>
      </c>
      <c r="W437" s="66">
        <v>1</v>
      </c>
    </row>
    <row r="438" s="61" customFormat="1" hidden="1" customHeight="1" spans="1:23">
      <c r="A438" s="66">
        <v>20</v>
      </c>
      <c r="B438" s="182" t="s">
        <v>2606</v>
      </c>
      <c r="C438" s="182" t="s">
        <v>165</v>
      </c>
      <c r="D438" s="182" t="s">
        <v>2607</v>
      </c>
      <c r="E438" s="66">
        <v>18720995920</v>
      </c>
      <c r="F438" s="182" t="s">
        <v>297</v>
      </c>
      <c r="G438" s="182" t="s">
        <v>25</v>
      </c>
      <c r="H438" s="66">
        <v>202101008</v>
      </c>
      <c r="I438" s="182" t="s">
        <v>157</v>
      </c>
      <c r="J438" s="182" t="s">
        <v>1654</v>
      </c>
      <c r="K438" s="182" t="s">
        <v>2609</v>
      </c>
      <c r="L438" s="182" t="s">
        <v>160</v>
      </c>
      <c r="M438" s="182" t="s">
        <v>281</v>
      </c>
      <c r="N438" s="182" t="s">
        <v>2610</v>
      </c>
      <c r="O438" s="182" t="s">
        <v>2611</v>
      </c>
      <c r="P438" s="67" t="str">
        <f>_xlfn.DISPIMG("ID_1DA33C1DACDA463582C160858194DE2A",1)</f>
        <v>=DISPIMG("ID_1DA33C1DACDA463582C160858194DE2A",1)</v>
      </c>
      <c r="Q438" s="66" t="s">
        <v>2612</v>
      </c>
      <c r="R438" s="66">
        <v>313</v>
      </c>
      <c r="S438" s="68" t="s">
        <v>4749</v>
      </c>
      <c r="T438" s="69" t="s">
        <v>70</v>
      </c>
      <c r="U438" s="66">
        <v>27</v>
      </c>
      <c r="V438" s="66">
        <v>81</v>
      </c>
      <c r="W438" s="66">
        <v>3</v>
      </c>
    </row>
    <row r="439" s="61" customFormat="1" hidden="1" customHeight="1" spans="1:23">
      <c r="A439" s="66">
        <v>1</v>
      </c>
      <c r="B439" s="182" t="s">
        <v>294</v>
      </c>
      <c r="C439" s="182" t="s">
        <v>165</v>
      </c>
      <c r="D439" s="182" t="s">
        <v>295</v>
      </c>
      <c r="E439" s="66">
        <v>18214938323</v>
      </c>
      <c r="F439" s="182" t="s">
        <v>297</v>
      </c>
      <c r="G439" s="182" t="s">
        <v>25</v>
      </c>
      <c r="H439" s="66">
        <v>202101008</v>
      </c>
      <c r="I439" s="182" t="s">
        <v>157</v>
      </c>
      <c r="J439" s="182" t="s">
        <v>178</v>
      </c>
      <c r="K439" s="182" t="s">
        <v>298</v>
      </c>
      <c r="L439" s="182" t="s">
        <v>160</v>
      </c>
      <c r="M439" s="182" t="s">
        <v>261</v>
      </c>
      <c r="N439" s="182" t="s">
        <v>25</v>
      </c>
      <c r="O439" s="66">
        <v>0</v>
      </c>
      <c r="P439" s="67" t="str">
        <f>_xlfn.DISPIMG("ID_60CDE70AF1564D1B99D89BFC637EF6FF",1)</f>
        <v>=DISPIMG("ID_60CDE70AF1564D1B99D89BFC637EF6FF",1)</v>
      </c>
      <c r="Q439" s="66" t="s">
        <v>299</v>
      </c>
      <c r="R439" s="66">
        <v>17</v>
      </c>
      <c r="S439" s="68" t="s">
        <v>4742</v>
      </c>
      <c r="T439" s="69" t="s">
        <v>70</v>
      </c>
      <c r="U439" s="66">
        <v>6</v>
      </c>
      <c r="V439" s="66">
        <v>78</v>
      </c>
      <c r="W439" s="66">
        <v>4</v>
      </c>
    </row>
    <row r="440" s="61" customFormat="1" hidden="1" customHeight="1" spans="1:23">
      <c r="A440" s="66">
        <v>21</v>
      </c>
      <c r="B440" s="182" t="s">
        <v>2674</v>
      </c>
      <c r="C440" s="182" t="s">
        <v>165</v>
      </c>
      <c r="D440" s="182" t="s">
        <v>2675</v>
      </c>
      <c r="E440" s="66">
        <v>18000227120</v>
      </c>
      <c r="F440" s="182" t="s">
        <v>297</v>
      </c>
      <c r="G440" s="182" t="s">
        <v>25</v>
      </c>
      <c r="H440" s="66">
        <v>202101008</v>
      </c>
      <c r="I440" s="182" t="s">
        <v>157</v>
      </c>
      <c r="J440" s="182" t="s">
        <v>269</v>
      </c>
      <c r="K440" s="182" t="s">
        <v>2677</v>
      </c>
      <c r="L440" s="182" t="s">
        <v>160</v>
      </c>
      <c r="M440" s="182" t="s">
        <v>224</v>
      </c>
      <c r="N440" s="182" t="s">
        <v>25</v>
      </c>
      <c r="O440" s="182" t="s">
        <v>2678</v>
      </c>
      <c r="P440" s="67" t="str">
        <f>_xlfn.DISPIMG("ID_03E1DAA8D63B4AFF99883CCD0E6E65E6",1)</f>
        <v>=DISPIMG("ID_03E1DAA8D63B4AFF99883CCD0E6E65E6",1)</v>
      </c>
      <c r="Q440" s="66" t="s">
        <v>2679</v>
      </c>
      <c r="R440" s="66">
        <v>359</v>
      </c>
      <c r="S440" s="68" t="s">
        <v>4750</v>
      </c>
      <c r="T440" s="69" t="s">
        <v>70</v>
      </c>
      <c r="U440" s="66">
        <v>2</v>
      </c>
      <c r="V440" s="66">
        <v>77</v>
      </c>
      <c r="W440" s="66">
        <v>5</v>
      </c>
    </row>
    <row r="441" s="61" customFormat="1" hidden="1" customHeight="1" spans="1:23">
      <c r="A441" s="66">
        <v>15</v>
      </c>
      <c r="B441" s="182" t="s">
        <v>1912</v>
      </c>
      <c r="C441" s="182" t="s">
        <v>165</v>
      </c>
      <c r="D441" s="182" t="s">
        <v>1913</v>
      </c>
      <c r="E441" s="66">
        <v>15079288765</v>
      </c>
      <c r="F441" s="182" t="s">
        <v>297</v>
      </c>
      <c r="G441" s="182" t="s">
        <v>25</v>
      </c>
      <c r="H441" s="66">
        <v>202101008</v>
      </c>
      <c r="I441" s="182" t="s">
        <v>157</v>
      </c>
      <c r="J441" s="182" t="s">
        <v>233</v>
      </c>
      <c r="K441" s="182" t="s">
        <v>298</v>
      </c>
      <c r="L441" s="182" t="s">
        <v>160</v>
      </c>
      <c r="M441" s="182" t="s">
        <v>587</v>
      </c>
      <c r="N441" s="182" t="s">
        <v>25</v>
      </c>
      <c r="O441" s="182" t="s">
        <v>1915</v>
      </c>
      <c r="P441" s="67" t="str">
        <f>_xlfn.DISPIMG("ID_845D85CFFC3A4B2FB996A756749DD1B9",1)</f>
        <v>=DISPIMG("ID_845D85CFFC3A4B2FB996A756749DD1B9",1)</v>
      </c>
      <c r="Q441" s="66" t="s">
        <v>1916</v>
      </c>
      <c r="R441" s="66">
        <v>220</v>
      </c>
      <c r="S441" s="68" t="s">
        <v>4743</v>
      </c>
      <c r="T441" s="69" t="s">
        <v>70</v>
      </c>
      <c r="U441" s="66">
        <v>28</v>
      </c>
      <c r="V441" s="66">
        <v>77</v>
      </c>
      <c r="W441" s="66">
        <v>5</v>
      </c>
    </row>
    <row r="442" s="61" customFormat="1" hidden="1" customHeight="1" spans="1:23">
      <c r="A442" s="66">
        <v>24</v>
      </c>
      <c r="B442" s="182" t="s">
        <v>3185</v>
      </c>
      <c r="C442" s="182" t="s">
        <v>165</v>
      </c>
      <c r="D442" s="182" t="s">
        <v>3186</v>
      </c>
      <c r="E442" s="66">
        <v>15070259733</v>
      </c>
      <c r="F442" s="182" t="s">
        <v>297</v>
      </c>
      <c r="G442" s="182" t="s">
        <v>25</v>
      </c>
      <c r="H442" s="66">
        <v>202101008</v>
      </c>
      <c r="I442" s="182" t="s">
        <v>157</v>
      </c>
      <c r="J442" s="182" t="s">
        <v>646</v>
      </c>
      <c r="K442" s="182" t="s">
        <v>179</v>
      </c>
      <c r="L442" s="182" t="s">
        <v>170</v>
      </c>
      <c r="M442" s="182" t="s">
        <v>161</v>
      </c>
      <c r="N442" s="182" t="s">
        <v>3188</v>
      </c>
      <c r="O442" s="66">
        <v>0</v>
      </c>
      <c r="P442" s="67" t="str">
        <f>_xlfn.DISPIMG("ID_76C776A08E8241118AA436F440F434C8",1)</f>
        <v>=DISPIMG("ID_76C776A08E8241118AA436F440F434C8",1)</v>
      </c>
      <c r="Q442" s="66" t="s">
        <v>3189</v>
      </c>
      <c r="R442" s="66">
        <v>396</v>
      </c>
      <c r="S442" s="68" t="s">
        <v>4753</v>
      </c>
      <c r="T442" s="69" t="s">
        <v>70</v>
      </c>
      <c r="U442" s="66">
        <v>23</v>
      </c>
      <c r="V442" s="66">
        <v>76</v>
      </c>
      <c r="W442" s="66">
        <v>7</v>
      </c>
    </row>
    <row r="443" s="61" customFormat="1" hidden="1" customHeight="1" spans="1:23">
      <c r="A443" s="66">
        <v>30</v>
      </c>
      <c r="B443" s="182" t="s">
        <v>4073</v>
      </c>
      <c r="C443" s="182" t="s">
        <v>165</v>
      </c>
      <c r="D443" s="182" t="s">
        <v>4074</v>
      </c>
      <c r="E443" s="66">
        <v>18379233389</v>
      </c>
      <c r="F443" s="182" t="s">
        <v>297</v>
      </c>
      <c r="G443" s="182" t="s">
        <v>25</v>
      </c>
      <c r="H443" s="66">
        <v>202101008</v>
      </c>
      <c r="I443" s="182" t="s">
        <v>157</v>
      </c>
      <c r="J443" s="182" t="s">
        <v>4076</v>
      </c>
      <c r="K443" s="182" t="s">
        <v>179</v>
      </c>
      <c r="L443" s="182" t="s">
        <v>160</v>
      </c>
      <c r="M443" s="182" t="s">
        <v>919</v>
      </c>
      <c r="N443" s="182" t="s">
        <v>4077</v>
      </c>
      <c r="O443" s="182" t="s">
        <v>4078</v>
      </c>
      <c r="P443" s="67" t="str">
        <f>_xlfn.DISPIMG("ID_5240EB7A8E6D4B1A8B52378BBD0117F8",1)</f>
        <v>=DISPIMG("ID_5240EB7A8E6D4B1A8B52378BBD0117F8",1)</v>
      </c>
      <c r="Q443" s="66" t="s">
        <v>4079</v>
      </c>
      <c r="R443" s="66">
        <v>521</v>
      </c>
      <c r="S443" s="68" t="s">
        <v>4759</v>
      </c>
      <c r="T443" s="69" t="s">
        <v>70</v>
      </c>
      <c r="U443" s="66">
        <v>25</v>
      </c>
      <c r="V443" s="66">
        <v>75</v>
      </c>
      <c r="W443" s="66">
        <v>8</v>
      </c>
    </row>
    <row r="444" s="34" customFormat="1" hidden="1" customHeight="1" spans="1:23">
      <c r="A444" s="25">
        <v>22</v>
      </c>
      <c r="B444" s="175" t="s">
        <v>3002</v>
      </c>
      <c r="C444" s="175" t="s">
        <v>165</v>
      </c>
      <c r="D444" s="175" t="s">
        <v>3003</v>
      </c>
      <c r="E444" s="25">
        <v>15798074733</v>
      </c>
      <c r="F444" s="175" t="s">
        <v>297</v>
      </c>
      <c r="G444" s="175" t="s">
        <v>25</v>
      </c>
      <c r="H444" s="25">
        <v>202101008</v>
      </c>
      <c r="I444" s="175" t="s">
        <v>157</v>
      </c>
      <c r="J444" s="175" t="s">
        <v>540</v>
      </c>
      <c r="K444" s="175" t="s">
        <v>179</v>
      </c>
      <c r="L444" s="175" t="s">
        <v>160</v>
      </c>
      <c r="M444" s="175" t="s">
        <v>2047</v>
      </c>
      <c r="N444" s="175" t="s">
        <v>3005</v>
      </c>
      <c r="O444" s="25">
        <v>0</v>
      </c>
      <c r="P444" s="26" t="str">
        <f>_xlfn.DISPIMG("ID_4E0EBDB804BA45EB8B4195F5A93DFBBD",1)</f>
        <v>=DISPIMG("ID_4E0EBDB804BA45EB8B4195F5A93DFBBD",1)</v>
      </c>
      <c r="Q444" s="25" t="s">
        <v>3006</v>
      </c>
      <c r="R444" s="25">
        <v>370</v>
      </c>
      <c r="S444" s="40" t="s">
        <v>4751</v>
      </c>
      <c r="T444" s="18" t="s">
        <v>70</v>
      </c>
      <c r="U444" s="25">
        <v>11</v>
      </c>
      <c r="V444" s="25">
        <v>0</v>
      </c>
      <c r="W444" s="25"/>
    </row>
    <row r="445" s="34" customFormat="1" hidden="1" customHeight="1" spans="1:23">
      <c r="A445" s="25">
        <v>29</v>
      </c>
      <c r="B445" s="175" t="s">
        <v>4006</v>
      </c>
      <c r="C445" s="175" t="s">
        <v>165</v>
      </c>
      <c r="D445" s="175" t="s">
        <v>4007</v>
      </c>
      <c r="E445" s="25">
        <v>15979112724</v>
      </c>
      <c r="F445" s="175" t="s">
        <v>297</v>
      </c>
      <c r="G445" s="175" t="s">
        <v>25</v>
      </c>
      <c r="H445" s="25">
        <v>202101008</v>
      </c>
      <c r="I445" s="175" t="s">
        <v>157</v>
      </c>
      <c r="J445" s="175" t="s">
        <v>3070</v>
      </c>
      <c r="K445" s="175" t="s">
        <v>179</v>
      </c>
      <c r="L445" s="175" t="s">
        <v>170</v>
      </c>
      <c r="M445" s="175" t="s">
        <v>306</v>
      </c>
      <c r="N445" s="175" t="s">
        <v>1692</v>
      </c>
      <c r="O445" s="175" t="s">
        <v>4009</v>
      </c>
      <c r="P445" s="26" t="str">
        <f>_xlfn.DISPIMG("ID_410BA329CDB34577BE3D2E13C6D8589F",1)</f>
        <v>=DISPIMG("ID_410BA329CDB34577BE3D2E13C6D8589F",1)</v>
      </c>
      <c r="Q445" s="25" t="s">
        <v>4010</v>
      </c>
      <c r="R445" s="25">
        <v>512</v>
      </c>
      <c r="S445" s="40" t="s">
        <v>4758</v>
      </c>
      <c r="T445" s="18" t="s">
        <v>70</v>
      </c>
      <c r="U445" s="25">
        <v>24</v>
      </c>
      <c r="V445" s="25">
        <v>0</v>
      </c>
      <c r="W445" s="25"/>
    </row>
    <row r="446" s="61" customFormat="1" hidden="1" customHeight="1" spans="1:23">
      <c r="A446" s="66">
        <v>2</v>
      </c>
      <c r="B446" s="182" t="s">
        <v>522</v>
      </c>
      <c r="C446" s="182" t="s">
        <v>165</v>
      </c>
      <c r="D446" s="182" t="s">
        <v>523</v>
      </c>
      <c r="E446" s="66">
        <v>18779278905</v>
      </c>
      <c r="F446" s="182" t="s">
        <v>268</v>
      </c>
      <c r="G446" s="182" t="s">
        <v>20</v>
      </c>
      <c r="H446" s="66">
        <v>202101004</v>
      </c>
      <c r="I446" s="182" t="s">
        <v>157</v>
      </c>
      <c r="J446" s="182" t="s">
        <v>233</v>
      </c>
      <c r="K446" s="182" t="s">
        <v>525</v>
      </c>
      <c r="L446" s="182" t="s">
        <v>170</v>
      </c>
      <c r="M446" s="182" t="s">
        <v>161</v>
      </c>
      <c r="N446" s="182" t="s">
        <v>20</v>
      </c>
      <c r="O446" s="66">
        <v>0</v>
      </c>
      <c r="P446" s="67" t="str">
        <f>_xlfn.DISPIMG("ID_71DE12F1CD59449693F0263DC215D27B",1)</f>
        <v>=DISPIMG("ID_71DE12F1CD59449693F0263DC215D27B",1)</v>
      </c>
      <c r="Q446" s="66" t="s">
        <v>526</v>
      </c>
      <c r="R446" s="66">
        <v>44</v>
      </c>
      <c r="S446" s="68" t="s">
        <v>4761</v>
      </c>
      <c r="T446" s="69" t="s">
        <v>72</v>
      </c>
      <c r="U446" s="66">
        <v>7</v>
      </c>
      <c r="V446" s="66">
        <v>84</v>
      </c>
      <c r="W446" s="66">
        <v>1</v>
      </c>
    </row>
    <row r="447" s="61" customFormat="1" hidden="1" customHeight="1" spans="1:23">
      <c r="A447" s="66">
        <v>1</v>
      </c>
      <c r="B447" s="182" t="s">
        <v>265</v>
      </c>
      <c r="C447" s="182" t="s">
        <v>153</v>
      </c>
      <c r="D447" s="182" t="s">
        <v>266</v>
      </c>
      <c r="E447" s="66">
        <v>15720975163</v>
      </c>
      <c r="F447" s="182" t="s">
        <v>268</v>
      </c>
      <c r="G447" s="182" t="s">
        <v>20</v>
      </c>
      <c r="H447" s="66">
        <v>202101004</v>
      </c>
      <c r="I447" s="182" t="s">
        <v>157</v>
      </c>
      <c r="J447" s="182" t="s">
        <v>269</v>
      </c>
      <c r="K447" s="182" t="s">
        <v>270</v>
      </c>
      <c r="L447" s="182" t="s">
        <v>170</v>
      </c>
      <c r="M447" s="182" t="s">
        <v>261</v>
      </c>
      <c r="N447" s="182" t="s">
        <v>20</v>
      </c>
      <c r="O447" s="182" t="s">
        <v>271</v>
      </c>
      <c r="P447" s="67" t="str">
        <f>_xlfn.DISPIMG("ID_E6B64D542CF24756B648DE72B52C0790",1)</f>
        <v>=DISPIMG("ID_E6B64D542CF24756B648DE72B52C0790",1)</v>
      </c>
      <c r="Q447" s="66" t="s">
        <v>272</v>
      </c>
      <c r="R447" s="66">
        <v>14</v>
      </c>
      <c r="S447" s="68" t="s">
        <v>4760</v>
      </c>
      <c r="T447" s="69" t="s">
        <v>72</v>
      </c>
      <c r="U447" s="66">
        <v>6</v>
      </c>
      <c r="V447" s="66">
        <v>76</v>
      </c>
      <c r="W447" s="66">
        <v>2</v>
      </c>
    </row>
    <row r="448" s="61" customFormat="1" hidden="1" customHeight="1" spans="1:23">
      <c r="A448" s="66">
        <v>11</v>
      </c>
      <c r="B448" s="182" t="s">
        <v>3978</v>
      </c>
      <c r="C448" s="182" t="s">
        <v>165</v>
      </c>
      <c r="D448" s="182" t="s">
        <v>3979</v>
      </c>
      <c r="E448" s="66">
        <v>15070298026</v>
      </c>
      <c r="F448" s="182" t="s">
        <v>268</v>
      </c>
      <c r="G448" s="182" t="s">
        <v>20</v>
      </c>
      <c r="H448" s="66">
        <v>202101004</v>
      </c>
      <c r="I448" s="182" t="s">
        <v>157</v>
      </c>
      <c r="J448" s="182" t="s">
        <v>178</v>
      </c>
      <c r="K448" s="182" t="s">
        <v>270</v>
      </c>
      <c r="L448" s="182" t="s">
        <v>170</v>
      </c>
      <c r="M448" s="182" t="s">
        <v>261</v>
      </c>
      <c r="N448" s="182" t="s">
        <v>20</v>
      </c>
      <c r="O448" s="66">
        <v>0</v>
      </c>
      <c r="P448" s="67" t="str">
        <f>_xlfn.DISPIMG("ID_41FDB18DF8F04859BBDC981BC12AE5F4",1)</f>
        <v>=DISPIMG("ID_41FDB18DF8F04859BBDC981BC12AE5F4",1)</v>
      </c>
      <c r="Q448" s="66" t="s">
        <v>3981</v>
      </c>
      <c r="R448" s="66">
        <v>508</v>
      </c>
      <c r="S448" s="68" t="s">
        <v>4770</v>
      </c>
      <c r="T448" s="69" t="s">
        <v>72</v>
      </c>
      <c r="U448" s="66">
        <v>1</v>
      </c>
      <c r="V448" s="66">
        <v>75.5</v>
      </c>
      <c r="W448" s="66">
        <v>3</v>
      </c>
    </row>
    <row r="449" s="10" customFormat="1" hidden="1" customHeight="1" spans="1:23">
      <c r="A449" s="14">
        <v>6</v>
      </c>
      <c r="B449" s="174" t="s">
        <v>2044</v>
      </c>
      <c r="C449" s="174" t="s">
        <v>153</v>
      </c>
      <c r="D449" s="174" t="s">
        <v>2045</v>
      </c>
      <c r="E449" s="14">
        <v>15949584388</v>
      </c>
      <c r="F449" s="174" t="s">
        <v>384</v>
      </c>
      <c r="G449" s="174" t="s">
        <v>20</v>
      </c>
      <c r="H449" s="14">
        <v>202101005</v>
      </c>
      <c r="I449" s="174" t="s">
        <v>157</v>
      </c>
      <c r="J449" s="174" t="s">
        <v>158</v>
      </c>
      <c r="K449" s="174" t="s">
        <v>270</v>
      </c>
      <c r="L449" s="174" t="s">
        <v>170</v>
      </c>
      <c r="M449" s="174" t="s">
        <v>2047</v>
      </c>
      <c r="N449" s="174" t="s">
        <v>2048</v>
      </c>
      <c r="O449" s="174" t="s">
        <v>2049</v>
      </c>
      <c r="P449" s="74" t="str">
        <f>_xlfn.DISPIMG("ID_AA05B8B9BBB64A2C8B2DEFAC2B7912C3",1)</f>
        <v>=DISPIMG("ID_AA05B8B9BBB64A2C8B2DEFAC2B7912C3",1)</v>
      </c>
      <c r="Q449" s="14" t="s">
        <v>2050</v>
      </c>
      <c r="R449" s="14">
        <v>238</v>
      </c>
      <c r="S449" s="78" t="s">
        <v>4765</v>
      </c>
      <c r="T449" s="19" t="s">
        <v>72</v>
      </c>
      <c r="U449" s="14">
        <v>9</v>
      </c>
      <c r="V449" s="14">
        <v>78</v>
      </c>
      <c r="W449" s="14">
        <v>1</v>
      </c>
    </row>
    <row r="450" s="10" customFormat="1" hidden="1" customHeight="1" spans="1:23">
      <c r="A450" s="14">
        <v>10</v>
      </c>
      <c r="B450" s="174" t="s">
        <v>3955</v>
      </c>
      <c r="C450" s="174" t="s">
        <v>153</v>
      </c>
      <c r="D450" s="174" t="s">
        <v>3956</v>
      </c>
      <c r="E450" s="14">
        <v>18379670015</v>
      </c>
      <c r="F450" s="174" t="s">
        <v>384</v>
      </c>
      <c r="G450" s="174" t="s">
        <v>20</v>
      </c>
      <c r="H450" s="14">
        <v>202101005</v>
      </c>
      <c r="I450" s="174" t="s">
        <v>157</v>
      </c>
      <c r="J450" s="174" t="s">
        <v>507</v>
      </c>
      <c r="K450" s="174" t="s">
        <v>270</v>
      </c>
      <c r="L450" s="174" t="s">
        <v>170</v>
      </c>
      <c r="M450" s="174" t="s">
        <v>235</v>
      </c>
      <c r="N450" s="174" t="s">
        <v>1322</v>
      </c>
      <c r="O450" s="174" t="s">
        <v>3958</v>
      </c>
      <c r="P450" s="74" t="str">
        <f>_xlfn.DISPIMG("ID_C25C6B154C2847C9934F6981B40FCD0C",1)</f>
        <v>=DISPIMG("ID_C25C6B154C2847C9934F6981B40FCD0C",1)</v>
      </c>
      <c r="Q450" s="14" t="s">
        <v>3959</v>
      </c>
      <c r="R450" s="14">
        <v>505</v>
      </c>
      <c r="S450" s="78" t="s">
        <v>4769</v>
      </c>
      <c r="T450" s="19" t="s">
        <v>72</v>
      </c>
      <c r="U450" s="14">
        <v>11</v>
      </c>
      <c r="V450" s="14">
        <v>75</v>
      </c>
      <c r="W450" s="14">
        <v>2</v>
      </c>
    </row>
    <row r="451" s="10" customFormat="1" hidden="1" customHeight="1" spans="1:23">
      <c r="A451" s="14">
        <v>3</v>
      </c>
      <c r="B451" s="174" t="s">
        <v>1050</v>
      </c>
      <c r="C451" s="174" t="s">
        <v>165</v>
      </c>
      <c r="D451" s="174" t="s">
        <v>1051</v>
      </c>
      <c r="E451" s="14">
        <v>15180471768</v>
      </c>
      <c r="F451" s="174" t="s">
        <v>384</v>
      </c>
      <c r="G451" s="174" t="s">
        <v>20</v>
      </c>
      <c r="H451" s="14">
        <v>202101005</v>
      </c>
      <c r="I451" s="174" t="s">
        <v>157</v>
      </c>
      <c r="J451" s="174" t="s">
        <v>178</v>
      </c>
      <c r="K451" s="174" t="s">
        <v>270</v>
      </c>
      <c r="L451" s="174" t="s">
        <v>170</v>
      </c>
      <c r="M451" s="174" t="s">
        <v>261</v>
      </c>
      <c r="N451" s="174" t="s">
        <v>20</v>
      </c>
      <c r="O451" s="14">
        <v>0</v>
      </c>
      <c r="P451" s="74" t="str">
        <f>_xlfn.DISPIMG("ID_296B75901486490E98D040532231AC8D",1)</f>
        <v>=DISPIMG("ID_296B75901486490E98D040532231AC8D",1)</v>
      </c>
      <c r="Q451" s="14" t="s">
        <v>1052</v>
      </c>
      <c r="R451" s="14">
        <v>108</v>
      </c>
      <c r="S451" s="78" t="s">
        <v>4762</v>
      </c>
      <c r="T451" s="19" t="s">
        <v>72</v>
      </c>
      <c r="U451" s="14">
        <v>5</v>
      </c>
      <c r="V451" s="14">
        <v>65</v>
      </c>
      <c r="W451" s="14">
        <v>3</v>
      </c>
    </row>
    <row r="452" s="10" customFormat="1" hidden="1" customHeight="1" spans="1:23">
      <c r="A452" s="14">
        <v>5</v>
      </c>
      <c r="B452" s="174" t="s">
        <v>1729</v>
      </c>
      <c r="C452" s="174" t="s">
        <v>153</v>
      </c>
      <c r="D452" s="174" t="s">
        <v>1730</v>
      </c>
      <c r="E452" s="14">
        <v>18720253839</v>
      </c>
      <c r="F452" s="174" t="s">
        <v>384</v>
      </c>
      <c r="G452" s="174" t="s">
        <v>20</v>
      </c>
      <c r="H452" s="14">
        <v>202101005</v>
      </c>
      <c r="I452" s="174" t="s">
        <v>157</v>
      </c>
      <c r="J452" s="174" t="s">
        <v>1258</v>
      </c>
      <c r="K452" s="174" t="s">
        <v>270</v>
      </c>
      <c r="L452" s="174" t="s">
        <v>170</v>
      </c>
      <c r="M452" s="174" t="s">
        <v>349</v>
      </c>
      <c r="N452" s="174" t="s">
        <v>1732</v>
      </c>
      <c r="O452" s="174" t="s">
        <v>1733</v>
      </c>
      <c r="P452" s="74" t="str">
        <f>_xlfn.DISPIMG("ID_677AC12F255C494892F34EE0AF9DED02",1)</f>
        <v>=DISPIMG("ID_677AC12F255C494892F34EE0AF9DED02",1)</v>
      </c>
      <c r="Q452" s="14" t="s">
        <v>1734</v>
      </c>
      <c r="R452" s="14">
        <v>196</v>
      </c>
      <c r="S452" s="78" t="s">
        <v>4764</v>
      </c>
      <c r="T452" s="19" t="s">
        <v>72</v>
      </c>
      <c r="U452" s="14">
        <v>4</v>
      </c>
      <c r="V452" s="14">
        <v>64</v>
      </c>
      <c r="W452" s="14">
        <v>4</v>
      </c>
    </row>
    <row r="453" s="34" customFormat="1" hidden="1" customHeight="1" spans="1:23">
      <c r="A453" s="25">
        <v>8</v>
      </c>
      <c r="B453" s="175" t="s">
        <v>3473</v>
      </c>
      <c r="C453" s="175" t="s">
        <v>165</v>
      </c>
      <c r="D453" s="175" t="s">
        <v>3474</v>
      </c>
      <c r="E453" s="25">
        <v>16605630524</v>
      </c>
      <c r="F453" s="175" t="s">
        <v>384</v>
      </c>
      <c r="G453" s="175" t="s">
        <v>20</v>
      </c>
      <c r="H453" s="25">
        <v>202101005</v>
      </c>
      <c r="I453" s="175" t="s">
        <v>705</v>
      </c>
      <c r="J453" s="175" t="s">
        <v>1112</v>
      </c>
      <c r="K453" s="175" t="s">
        <v>3476</v>
      </c>
      <c r="L453" s="175" t="s">
        <v>160</v>
      </c>
      <c r="M453" s="175" t="s">
        <v>455</v>
      </c>
      <c r="N453" s="175" t="s">
        <v>3477</v>
      </c>
      <c r="O453" s="25">
        <v>0</v>
      </c>
      <c r="P453" s="26" t="str">
        <f>_xlfn.DISPIMG("ID_BFF35F7767BD4AFE8B2C782755AFDE14",1)</f>
        <v>=DISPIMG("ID_BFF35F7767BD4AFE8B2C782755AFDE14",1)</v>
      </c>
      <c r="Q453" s="25" t="s">
        <v>3478</v>
      </c>
      <c r="R453" s="25">
        <v>439</v>
      </c>
      <c r="S453" s="40" t="s">
        <v>4767</v>
      </c>
      <c r="T453" s="18" t="s">
        <v>72</v>
      </c>
      <c r="U453" s="25">
        <v>10</v>
      </c>
      <c r="V453" s="25">
        <v>56</v>
      </c>
      <c r="W453" s="25">
        <v>5</v>
      </c>
    </row>
    <row r="454" s="34" customFormat="1" hidden="1" customHeight="1" spans="1:23">
      <c r="A454" s="25">
        <v>4</v>
      </c>
      <c r="B454" s="175" t="s">
        <v>1055</v>
      </c>
      <c r="C454" s="175" t="s">
        <v>165</v>
      </c>
      <c r="D454" s="175" t="s">
        <v>1056</v>
      </c>
      <c r="E454" s="25">
        <v>15279286807</v>
      </c>
      <c r="F454" s="175" t="s">
        <v>384</v>
      </c>
      <c r="G454" s="175" t="s">
        <v>20</v>
      </c>
      <c r="H454" s="25">
        <v>202101005</v>
      </c>
      <c r="I454" s="175" t="s">
        <v>157</v>
      </c>
      <c r="J454" s="175" t="s">
        <v>178</v>
      </c>
      <c r="K454" s="175" t="s">
        <v>270</v>
      </c>
      <c r="L454" s="175" t="s">
        <v>170</v>
      </c>
      <c r="M454" s="175" t="s">
        <v>261</v>
      </c>
      <c r="N454" s="175" t="s">
        <v>20</v>
      </c>
      <c r="O454" s="25">
        <v>0</v>
      </c>
      <c r="P454" s="26" t="str">
        <f>_xlfn.DISPIMG("ID_1261702926BF4B91B3BBC8CF57D7C930",1)</f>
        <v>=DISPIMG("ID_1261702926BF4B91B3BBC8CF57D7C930",1)</v>
      </c>
      <c r="Q454" s="25" t="s">
        <v>1058</v>
      </c>
      <c r="R454" s="25">
        <v>109</v>
      </c>
      <c r="S454" s="40" t="s">
        <v>4763</v>
      </c>
      <c r="T454" s="18" t="s">
        <v>72</v>
      </c>
      <c r="U454" s="25">
        <v>8</v>
      </c>
      <c r="V454" s="25">
        <v>0</v>
      </c>
      <c r="W454" s="25"/>
    </row>
    <row r="455" s="61" customFormat="1" hidden="1" customHeight="1" spans="1:23">
      <c r="A455" s="66">
        <v>9</v>
      </c>
      <c r="B455" s="182" t="s">
        <v>3661</v>
      </c>
      <c r="C455" s="182" t="s">
        <v>165</v>
      </c>
      <c r="D455" s="182" t="s">
        <v>3662</v>
      </c>
      <c r="E455" s="66">
        <v>15623206169</v>
      </c>
      <c r="F455" s="182" t="s">
        <v>297</v>
      </c>
      <c r="G455" s="182" t="s">
        <v>20</v>
      </c>
      <c r="H455" s="66">
        <v>202101006</v>
      </c>
      <c r="I455" s="182" t="s">
        <v>157</v>
      </c>
      <c r="J455" s="182" t="s">
        <v>3663</v>
      </c>
      <c r="K455" s="182" t="s">
        <v>1832</v>
      </c>
      <c r="L455" s="182" t="s">
        <v>160</v>
      </c>
      <c r="M455" s="182" t="s">
        <v>455</v>
      </c>
      <c r="N455" s="182" t="s">
        <v>20</v>
      </c>
      <c r="O455" s="66">
        <v>0</v>
      </c>
      <c r="P455" s="67" t="str">
        <f>_xlfn.DISPIMG("ID_2A9E22A9ABC949F8A9FA9AA3239D48CC",1)</f>
        <v>=DISPIMG("ID_2A9E22A9ABC949F8A9FA9AA3239D48CC",1)</v>
      </c>
      <c r="Q455" s="66" t="s">
        <v>3664</v>
      </c>
      <c r="R455" s="66">
        <v>466</v>
      </c>
      <c r="S455" s="68" t="s">
        <v>4768</v>
      </c>
      <c r="T455" s="69" t="s">
        <v>72</v>
      </c>
      <c r="U455" s="66">
        <v>2</v>
      </c>
      <c r="V455" s="66">
        <v>62</v>
      </c>
      <c r="W455" s="66">
        <v>1</v>
      </c>
    </row>
    <row r="456" s="34" customFormat="1" hidden="1" customHeight="1" spans="1:23">
      <c r="A456" s="25">
        <v>12</v>
      </c>
      <c r="B456" s="175" t="s">
        <v>4161</v>
      </c>
      <c r="C456" s="175" t="s">
        <v>165</v>
      </c>
      <c r="D456" s="175" t="s">
        <v>4162</v>
      </c>
      <c r="E456" s="25">
        <v>15999192756</v>
      </c>
      <c r="F456" s="175" t="s">
        <v>297</v>
      </c>
      <c r="G456" s="175" t="s">
        <v>20</v>
      </c>
      <c r="H456" s="25">
        <v>202101006</v>
      </c>
      <c r="I456" s="175" t="s">
        <v>157</v>
      </c>
      <c r="J456" s="175" t="s">
        <v>4164</v>
      </c>
      <c r="K456" s="175" t="s">
        <v>4165</v>
      </c>
      <c r="L456" s="175" t="s">
        <v>160</v>
      </c>
      <c r="M456" s="175" t="s">
        <v>1089</v>
      </c>
      <c r="N456" s="175" t="s">
        <v>20</v>
      </c>
      <c r="O456" s="175" t="s">
        <v>4166</v>
      </c>
      <c r="P456" s="26" t="str">
        <f>_xlfn.DISPIMG("ID_0FB1CC236BB0441E8D7B28856D597318",1)</f>
        <v>=DISPIMG("ID_0FB1CC236BB0441E8D7B28856D597318",1)</v>
      </c>
      <c r="Q456" s="25" t="s">
        <v>4167</v>
      </c>
      <c r="R456" s="25">
        <v>532</v>
      </c>
      <c r="S456" s="40" t="s">
        <v>4771</v>
      </c>
      <c r="T456" s="18" t="s">
        <v>72</v>
      </c>
      <c r="U456" s="25">
        <v>12</v>
      </c>
      <c r="V456" s="25">
        <v>39</v>
      </c>
      <c r="W456" s="25">
        <v>2</v>
      </c>
    </row>
    <row r="457" s="34" customFormat="1" hidden="1" customHeight="1" spans="1:23">
      <c r="A457" s="25">
        <v>7</v>
      </c>
      <c r="B457" s="175" t="s">
        <v>2172</v>
      </c>
      <c r="C457" s="175" t="s">
        <v>153</v>
      </c>
      <c r="D457" s="175" t="s">
        <v>2173</v>
      </c>
      <c r="E457" s="25">
        <v>18370791182</v>
      </c>
      <c r="F457" s="175" t="s">
        <v>297</v>
      </c>
      <c r="G457" s="175" t="s">
        <v>20</v>
      </c>
      <c r="H457" s="25">
        <v>202101006</v>
      </c>
      <c r="I457" s="175" t="s">
        <v>157</v>
      </c>
      <c r="J457" s="175" t="s">
        <v>1413</v>
      </c>
      <c r="K457" s="175" t="s">
        <v>243</v>
      </c>
      <c r="L457" s="175" t="s">
        <v>160</v>
      </c>
      <c r="M457" s="175" t="s">
        <v>199</v>
      </c>
      <c r="N457" s="175" t="s">
        <v>2175</v>
      </c>
      <c r="O457" s="175" t="s">
        <v>2176</v>
      </c>
      <c r="P457" s="26" t="str">
        <f>_xlfn.DISPIMG("ID_164BFB36FB944A6B8D1C179D10EFE455",1)</f>
        <v>=DISPIMG("ID_164BFB36FB944A6B8D1C179D10EFE455",1)</v>
      </c>
      <c r="Q457" s="25" t="s">
        <v>2177</v>
      </c>
      <c r="R457" s="25">
        <v>255</v>
      </c>
      <c r="S457" s="40" t="s">
        <v>4766</v>
      </c>
      <c r="T457" s="18" t="s">
        <v>72</v>
      </c>
      <c r="U457" s="25">
        <v>3</v>
      </c>
      <c r="V457" s="25">
        <v>0</v>
      </c>
      <c r="W457" s="25"/>
    </row>
    <row r="458" s="61" customFormat="1" hidden="1" customHeight="1" spans="1:23">
      <c r="A458" s="66">
        <v>16</v>
      </c>
      <c r="B458" s="182" t="s">
        <v>152</v>
      </c>
      <c r="C458" s="182" t="s">
        <v>153</v>
      </c>
      <c r="D458" s="182" t="s">
        <v>154</v>
      </c>
      <c r="E458" s="66">
        <v>18807023240</v>
      </c>
      <c r="F458" s="182" t="s">
        <v>156</v>
      </c>
      <c r="G458" s="182" t="s">
        <v>10</v>
      </c>
      <c r="H458" s="66">
        <v>202102004</v>
      </c>
      <c r="I458" s="182" t="s">
        <v>157</v>
      </c>
      <c r="J458" s="182" t="s">
        <v>158</v>
      </c>
      <c r="K458" s="182" t="s">
        <v>159</v>
      </c>
      <c r="L458" s="182" t="s">
        <v>160</v>
      </c>
      <c r="M458" s="182" t="s">
        <v>161</v>
      </c>
      <c r="N458" s="182" t="s">
        <v>10</v>
      </c>
      <c r="O458" s="66">
        <v>0</v>
      </c>
      <c r="P458" s="67" t="str">
        <f>_xlfn.DISPIMG("ID_1BBFB8252D30496F95F71593A2B76AF5",1)</f>
        <v>=DISPIMG("ID_1BBFB8252D30496F95F71593A2B76AF5",1)</v>
      </c>
      <c r="Q458" s="66" t="s">
        <v>162</v>
      </c>
      <c r="R458" s="66">
        <v>2</v>
      </c>
      <c r="S458" s="68" t="s">
        <v>4775</v>
      </c>
      <c r="T458" s="69" t="s">
        <v>72</v>
      </c>
      <c r="U458" s="66">
        <v>14</v>
      </c>
      <c r="V458" s="66">
        <v>86</v>
      </c>
      <c r="W458" s="66">
        <v>1</v>
      </c>
    </row>
    <row r="459" s="61" customFormat="1" hidden="1" customHeight="1" spans="1:23">
      <c r="A459" s="66">
        <v>17</v>
      </c>
      <c r="B459" s="182" t="s">
        <v>2940</v>
      </c>
      <c r="C459" s="182" t="s">
        <v>153</v>
      </c>
      <c r="D459" s="182" t="s">
        <v>2941</v>
      </c>
      <c r="E459" s="66">
        <v>18679635856</v>
      </c>
      <c r="F459" s="182" t="s">
        <v>156</v>
      </c>
      <c r="G459" s="182" t="s">
        <v>10</v>
      </c>
      <c r="H459" s="66">
        <v>202102004</v>
      </c>
      <c r="I459" s="182" t="s">
        <v>157</v>
      </c>
      <c r="J459" s="182" t="s">
        <v>2943</v>
      </c>
      <c r="K459" s="182" t="s">
        <v>2093</v>
      </c>
      <c r="L459" s="182" t="s">
        <v>160</v>
      </c>
      <c r="M459" s="182" t="s">
        <v>587</v>
      </c>
      <c r="N459" s="182" t="s">
        <v>10</v>
      </c>
      <c r="O459" s="66">
        <v>0</v>
      </c>
      <c r="P459" s="67" t="str">
        <f>_xlfn.DISPIMG("ID_5CF4EBD7502F4485844CA64AA4EECF8E",1)</f>
        <v>=DISPIMG("ID_5CF4EBD7502F4485844CA64AA4EECF8E",1)</v>
      </c>
      <c r="Q459" s="66" t="s">
        <v>2944</v>
      </c>
      <c r="R459" s="66">
        <v>361</v>
      </c>
      <c r="S459" s="68" t="s">
        <v>4776</v>
      </c>
      <c r="T459" s="69" t="s">
        <v>72</v>
      </c>
      <c r="U459" s="66">
        <v>13</v>
      </c>
      <c r="V459" s="66">
        <v>85</v>
      </c>
      <c r="W459" s="66">
        <v>2</v>
      </c>
    </row>
    <row r="460" s="10" customFormat="1" hidden="1" customHeight="1" spans="1:23">
      <c r="A460" s="14">
        <v>14</v>
      </c>
      <c r="B460" s="174" t="s">
        <v>1637</v>
      </c>
      <c r="C460" s="174" t="s">
        <v>165</v>
      </c>
      <c r="D460" s="174" t="s">
        <v>1638</v>
      </c>
      <c r="E460" s="14">
        <v>18279206250</v>
      </c>
      <c r="F460" s="174" t="s">
        <v>384</v>
      </c>
      <c r="G460" s="174" t="s">
        <v>19</v>
      </c>
      <c r="H460" s="14">
        <v>202101014</v>
      </c>
      <c r="I460" s="174" t="s">
        <v>157</v>
      </c>
      <c r="J460" s="174" t="s">
        <v>178</v>
      </c>
      <c r="K460" s="174" t="s">
        <v>1639</v>
      </c>
      <c r="L460" s="174" t="s">
        <v>170</v>
      </c>
      <c r="M460" s="174" t="s">
        <v>455</v>
      </c>
      <c r="N460" s="174" t="s">
        <v>19</v>
      </c>
      <c r="O460" s="14">
        <v>0</v>
      </c>
      <c r="P460" s="74" t="str">
        <f>_xlfn.DISPIMG("ID_74FDF0D5FA0548BCA212C8D2C43783F4",1)</f>
        <v>=DISPIMG("ID_74FDF0D5FA0548BCA212C8D2C43783F4",1)</v>
      </c>
      <c r="Q460" s="14" t="s">
        <v>1640</v>
      </c>
      <c r="R460" s="14">
        <v>184</v>
      </c>
      <c r="S460" s="78" t="s">
        <v>4773</v>
      </c>
      <c r="T460" s="19" t="s">
        <v>72</v>
      </c>
      <c r="U460" s="14">
        <v>16</v>
      </c>
      <c r="V460" s="14">
        <v>80</v>
      </c>
      <c r="W460" s="14">
        <v>1</v>
      </c>
    </row>
    <row r="461" s="34" customFormat="1" hidden="1" customHeight="1" spans="1:23">
      <c r="A461" s="25">
        <v>15</v>
      </c>
      <c r="B461" s="175" t="s">
        <v>2104</v>
      </c>
      <c r="C461" s="175" t="s">
        <v>165</v>
      </c>
      <c r="D461" s="175" t="s">
        <v>2105</v>
      </c>
      <c r="E461" s="25">
        <v>13817884693</v>
      </c>
      <c r="F461" s="175" t="s">
        <v>384</v>
      </c>
      <c r="G461" s="175" t="s">
        <v>19</v>
      </c>
      <c r="H461" s="25">
        <v>202101014</v>
      </c>
      <c r="I461" s="175" t="s">
        <v>705</v>
      </c>
      <c r="J461" s="175" t="s">
        <v>2063</v>
      </c>
      <c r="K461" s="175" t="s">
        <v>2107</v>
      </c>
      <c r="L461" s="175" t="s">
        <v>160</v>
      </c>
      <c r="M461" s="175" t="s">
        <v>396</v>
      </c>
      <c r="N461" s="175" t="s">
        <v>2108</v>
      </c>
      <c r="O461" s="175" t="s">
        <v>2109</v>
      </c>
      <c r="P461" s="26" t="str">
        <f>_xlfn.DISPIMG("ID_21FE4349EE994987AC614A279458E356",1)</f>
        <v>=DISPIMG("ID_21FE4349EE994987AC614A279458E356",1)</v>
      </c>
      <c r="Q461" s="25" t="s">
        <v>2110</v>
      </c>
      <c r="R461" s="25">
        <v>246</v>
      </c>
      <c r="S461" s="40" t="s">
        <v>4774</v>
      </c>
      <c r="T461" s="18" t="s">
        <v>72</v>
      </c>
      <c r="U461" s="25">
        <v>15</v>
      </c>
      <c r="V461" s="25">
        <v>0</v>
      </c>
      <c r="W461" s="25"/>
    </row>
    <row r="462" s="34" customFormat="1" hidden="1" customHeight="1" spans="1:23">
      <c r="A462" s="25">
        <v>13</v>
      </c>
      <c r="B462" s="175" t="s">
        <v>833</v>
      </c>
      <c r="C462" s="175" t="s">
        <v>165</v>
      </c>
      <c r="D462" s="175" t="s">
        <v>1302</v>
      </c>
      <c r="E462" s="25">
        <v>15770803797</v>
      </c>
      <c r="F462" s="175" t="s">
        <v>384</v>
      </c>
      <c r="G462" s="175" t="s">
        <v>19</v>
      </c>
      <c r="H462" s="25">
        <v>202101014</v>
      </c>
      <c r="I462" s="175" t="s">
        <v>705</v>
      </c>
      <c r="J462" s="175" t="s">
        <v>1304</v>
      </c>
      <c r="K462" s="175" t="s">
        <v>1305</v>
      </c>
      <c r="L462" s="175" t="s">
        <v>160</v>
      </c>
      <c r="M462" s="175" t="s">
        <v>516</v>
      </c>
      <c r="N462" s="175" t="s">
        <v>1306</v>
      </c>
      <c r="O462" s="175" t="s">
        <v>1307</v>
      </c>
      <c r="P462" s="26" t="str">
        <f>_xlfn.DISPIMG("ID_2E0E8C97ADBC44CDA9BEA81CC587B750",1)</f>
        <v>=DISPIMG("ID_2E0E8C97ADBC44CDA9BEA81CC587B750",1)</v>
      </c>
      <c r="Q462" s="25" t="s">
        <v>1308</v>
      </c>
      <c r="R462" s="25">
        <v>141</v>
      </c>
      <c r="S462" s="40" t="s">
        <v>4772</v>
      </c>
      <c r="T462" s="18" t="s">
        <v>72</v>
      </c>
      <c r="U462" s="25">
        <v>17</v>
      </c>
      <c r="V462" s="25">
        <v>0</v>
      </c>
      <c r="W462" s="25"/>
    </row>
    <row r="463" s="61" customFormat="1" hidden="1" customHeight="1" spans="1:23">
      <c r="A463" s="66">
        <v>1</v>
      </c>
      <c r="B463" s="182" t="s">
        <v>974</v>
      </c>
      <c r="C463" s="182" t="s">
        <v>153</v>
      </c>
      <c r="D463" s="182" t="s">
        <v>975</v>
      </c>
      <c r="E463" s="66">
        <v>14796380079</v>
      </c>
      <c r="F463" s="182" t="s">
        <v>268</v>
      </c>
      <c r="G463" s="182" t="s">
        <v>16</v>
      </c>
      <c r="H463" s="66">
        <v>202101011</v>
      </c>
      <c r="I463" s="182" t="s">
        <v>157</v>
      </c>
      <c r="J463" s="182" t="s">
        <v>233</v>
      </c>
      <c r="K463" s="182" t="s">
        <v>977</v>
      </c>
      <c r="L463" s="182" t="s">
        <v>170</v>
      </c>
      <c r="M463" s="182" t="s">
        <v>235</v>
      </c>
      <c r="N463" s="182" t="s">
        <v>978</v>
      </c>
      <c r="O463" s="182" t="s">
        <v>979</v>
      </c>
      <c r="P463" s="67" t="str">
        <f>_xlfn.DISPIMG("ID_9AC6BD34E9E244F89B50B29F8EA156DD",1)</f>
        <v>=DISPIMG("ID_9AC6BD34E9E244F89B50B29F8EA156DD",1)</v>
      </c>
      <c r="Q463" s="66" t="s">
        <v>980</v>
      </c>
      <c r="R463" s="66">
        <v>99</v>
      </c>
      <c r="S463" s="68" t="s">
        <v>4777</v>
      </c>
      <c r="T463" s="69" t="s">
        <v>76</v>
      </c>
      <c r="U463" s="66">
        <v>6</v>
      </c>
      <c r="V463" s="66">
        <v>75.5</v>
      </c>
      <c r="W463" s="66">
        <v>1</v>
      </c>
    </row>
    <row r="464" s="61" customFormat="1" hidden="1" customHeight="1" spans="1:23">
      <c r="A464" s="66">
        <v>8</v>
      </c>
      <c r="B464" s="182" t="s">
        <v>4111</v>
      </c>
      <c r="C464" s="182" t="s">
        <v>153</v>
      </c>
      <c r="D464" s="182" t="s">
        <v>4112</v>
      </c>
      <c r="E464" s="66">
        <v>15155149842</v>
      </c>
      <c r="F464" s="182" t="s">
        <v>268</v>
      </c>
      <c r="G464" s="182" t="s">
        <v>16</v>
      </c>
      <c r="H464" s="66">
        <v>202101011</v>
      </c>
      <c r="I464" s="182" t="s">
        <v>705</v>
      </c>
      <c r="J464" s="182" t="s">
        <v>4114</v>
      </c>
      <c r="K464" s="182" t="s">
        <v>4115</v>
      </c>
      <c r="L464" s="182" t="s">
        <v>160</v>
      </c>
      <c r="M464" s="182" t="s">
        <v>161</v>
      </c>
      <c r="N464" s="182" t="s">
        <v>16</v>
      </c>
      <c r="O464" s="182" t="s">
        <v>4116</v>
      </c>
      <c r="P464" s="67" t="str">
        <f>_xlfn.DISPIMG("ID_AB3A7CA2D44F41A18DEECB4F4C161234",1)</f>
        <v>=DISPIMG("ID_AB3A7CA2D44F41A18DEECB4F4C161234",1)</v>
      </c>
      <c r="Q464" s="66" t="s">
        <v>4117</v>
      </c>
      <c r="R464" s="66">
        <v>526</v>
      </c>
      <c r="S464" s="68" t="s">
        <v>4784</v>
      </c>
      <c r="T464" s="69" t="s">
        <v>76</v>
      </c>
      <c r="U464" s="66">
        <v>10</v>
      </c>
      <c r="V464" s="66">
        <v>68.5</v>
      </c>
      <c r="W464" s="66">
        <v>2</v>
      </c>
    </row>
    <row r="465" s="61" customFormat="1" hidden="1" customHeight="1" spans="1:23">
      <c r="A465" s="66">
        <v>3</v>
      </c>
      <c r="B465" s="182" t="s">
        <v>2961</v>
      </c>
      <c r="C465" s="182" t="s">
        <v>153</v>
      </c>
      <c r="D465" s="182" t="s">
        <v>2962</v>
      </c>
      <c r="E465" s="66">
        <v>15180672774</v>
      </c>
      <c r="F465" s="182" t="s">
        <v>268</v>
      </c>
      <c r="G465" s="182" t="s">
        <v>16</v>
      </c>
      <c r="H465" s="66">
        <v>202101011</v>
      </c>
      <c r="I465" s="182" t="s">
        <v>157</v>
      </c>
      <c r="J465" s="182" t="s">
        <v>385</v>
      </c>
      <c r="K465" s="182" t="s">
        <v>2964</v>
      </c>
      <c r="L465" s="182" t="s">
        <v>170</v>
      </c>
      <c r="M465" s="182" t="s">
        <v>161</v>
      </c>
      <c r="N465" s="182" t="s">
        <v>1156</v>
      </c>
      <c r="O465" s="182" t="s">
        <v>2965</v>
      </c>
      <c r="P465" s="67" t="str">
        <f>_xlfn.DISPIMG("ID_7E33BA02CEC345A989E0186D8EADFECF",1)</f>
        <v>=DISPIMG("ID_7E33BA02CEC345A989E0186D8EADFECF",1)</v>
      </c>
      <c r="Q465" s="66" t="s">
        <v>2966</v>
      </c>
      <c r="R465" s="66">
        <v>364</v>
      </c>
      <c r="S465" s="68" t="s">
        <v>4798</v>
      </c>
      <c r="T465" s="69" t="s">
        <v>76</v>
      </c>
      <c r="U465" s="66">
        <v>5</v>
      </c>
      <c r="V465" s="66">
        <v>64</v>
      </c>
      <c r="W465" s="66">
        <v>3</v>
      </c>
    </row>
    <row r="466" s="34" customFormat="1" hidden="1" customHeight="1" spans="1:23">
      <c r="A466" s="25">
        <v>11</v>
      </c>
      <c r="B466" s="175" t="s">
        <v>4251</v>
      </c>
      <c r="C466" s="175" t="s">
        <v>153</v>
      </c>
      <c r="D466" s="175" t="s">
        <v>4252</v>
      </c>
      <c r="E466" s="25">
        <v>13340012018</v>
      </c>
      <c r="F466" s="175" t="s">
        <v>268</v>
      </c>
      <c r="G466" s="175" t="s">
        <v>16</v>
      </c>
      <c r="H466" s="25">
        <v>202101011</v>
      </c>
      <c r="I466" s="175" t="s">
        <v>705</v>
      </c>
      <c r="J466" s="175" t="s">
        <v>233</v>
      </c>
      <c r="K466" s="175" t="s">
        <v>4254</v>
      </c>
      <c r="L466" s="175" t="s">
        <v>160</v>
      </c>
      <c r="M466" s="175" t="s">
        <v>455</v>
      </c>
      <c r="N466" s="175" t="s">
        <v>16</v>
      </c>
      <c r="O466" s="175" t="s">
        <v>4255</v>
      </c>
      <c r="P466" s="26" t="str">
        <f>_xlfn.DISPIMG("ID_7B994A5EE1894E46909466AD8B994299",1)</f>
        <v>=DISPIMG("ID_7B994A5EE1894E46909466AD8B994299",1)</v>
      </c>
      <c r="Q466" s="25" t="s">
        <v>4256</v>
      </c>
      <c r="R466" s="25">
        <v>544</v>
      </c>
      <c r="S466" s="40" t="s">
        <v>4794</v>
      </c>
      <c r="T466" s="18" t="s">
        <v>76</v>
      </c>
      <c r="U466" s="25">
        <v>1</v>
      </c>
      <c r="V466" s="25">
        <v>0</v>
      </c>
      <c r="W466" s="25"/>
    </row>
    <row r="467" s="34" customFormat="1" hidden="1" customHeight="1" spans="1:23">
      <c r="A467" s="25">
        <v>7</v>
      </c>
      <c r="B467" s="175" t="s">
        <v>3833</v>
      </c>
      <c r="C467" s="175" t="s">
        <v>153</v>
      </c>
      <c r="D467" s="175" t="s">
        <v>3834</v>
      </c>
      <c r="E467" s="25">
        <v>15970472554</v>
      </c>
      <c r="F467" s="175" t="s">
        <v>268</v>
      </c>
      <c r="G467" s="175" t="s">
        <v>16</v>
      </c>
      <c r="H467" s="25">
        <v>202101011</v>
      </c>
      <c r="I467" s="175" t="s">
        <v>705</v>
      </c>
      <c r="J467" s="175" t="s">
        <v>1654</v>
      </c>
      <c r="K467" s="175" t="s">
        <v>3836</v>
      </c>
      <c r="L467" s="175" t="s">
        <v>160</v>
      </c>
      <c r="M467" s="175" t="s">
        <v>235</v>
      </c>
      <c r="N467" s="175" t="s">
        <v>16</v>
      </c>
      <c r="O467" s="175" t="s">
        <v>3837</v>
      </c>
      <c r="P467" s="26" t="str">
        <f>_xlfn.DISPIMG("ID_34928AEB616641BE854DC3D58FC2EECD",1)</f>
        <v>=DISPIMG("ID_34928AEB616641BE854DC3D58FC2EECD",1)</v>
      </c>
      <c r="Q467" s="25" t="s">
        <v>3838</v>
      </c>
      <c r="R467" s="25">
        <v>489</v>
      </c>
      <c r="S467" s="40" t="s">
        <v>4783</v>
      </c>
      <c r="T467" s="18" t="s">
        <v>76</v>
      </c>
      <c r="U467" s="25">
        <v>3</v>
      </c>
      <c r="V467" s="25">
        <v>0</v>
      </c>
      <c r="W467" s="25"/>
    </row>
    <row r="468" s="34" customFormat="1" hidden="1" customHeight="1" spans="1:23">
      <c r="A468" s="25">
        <v>5</v>
      </c>
      <c r="B468" s="175" t="s">
        <v>3022</v>
      </c>
      <c r="C468" s="175" t="s">
        <v>165</v>
      </c>
      <c r="D468" s="175" t="s">
        <v>3023</v>
      </c>
      <c r="E468" s="25">
        <v>15870035090</v>
      </c>
      <c r="F468" s="175" t="s">
        <v>268</v>
      </c>
      <c r="G468" s="175" t="s">
        <v>16</v>
      </c>
      <c r="H468" s="25">
        <v>202101011</v>
      </c>
      <c r="I468" s="175" t="s">
        <v>157</v>
      </c>
      <c r="J468" s="175" t="s">
        <v>233</v>
      </c>
      <c r="K468" s="175" t="s">
        <v>1088</v>
      </c>
      <c r="L468" s="175" t="s">
        <v>170</v>
      </c>
      <c r="M468" s="175" t="s">
        <v>548</v>
      </c>
      <c r="N468" s="175" t="s">
        <v>1579</v>
      </c>
      <c r="O468" s="175" t="s">
        <v>3025</v>
      </c>
      <c r="P468" s="26" t="str">
        <f>_xlfn.DISPIMG("ID_B71153A1EE7A48CF8E15967732B6C043",1)</f>
        <v>=DISPIMG("ID_B71153A1EE7A48CF8E15967732B6C043",1)</v>
      </c>
      <c r="Q468" s="25" t="s">
        <v>3026</v>
      </c>
      <c r="R468" s="25">
        <v>412</v>
      </c>
      <c r="S468" s="40" t="s">
        <v>4778</v>
      </c>
      <c r="T468" s="18" t="s">
        <v>76</v>
      </c>
      <c r="U468" s="25">
        <v>4</v>
      </c>
      <c r="V468" s="25">
        <v>0</v>
      </c>
      <c r="W468" s="25"/>
    </row>
    <row r="469" s="34" customFormat="1" hidden="1" customHeight="1" spans="1:23">
      <c r="A469" s="25">
        <v>2</v>
      </c>
      <c r="B469" s="175" t="s">
        <v>2831</v>
      </c>
      <c r="C469" s="175" t="s">
        <v>165</v>
      </c>
      <c r="D469" s="175" t="s">
        <v>2832</v>
      </c>
      <c r="E469" s="25">
        <v>17794516178</v>
      </c>
      <c r="F469" s="175" t="s">
        <v>268</v>
      </c>
      <c r="G469" s="175" t="s">
        <v>16</v>
      </c>
      <c r="H469" s="25">
        <v>202101011</v>
      </c>
      <c r="I469" s="175" t="s">
        <v>705</v>
      </c>
      <c r="J469" s="175" t="s">
        <v>2834</v>
      </c>
      <c r="K469" s="175" t="s">
        <v>1397</v>
      </c>
      <c r="L469" s="175" t="s">
        <v>160</v>
      </c>
      <c r="M469" s="175" t="s">
        <v>261</v>
      </c>
      <c r="N469" s="175" t="s">
        <v>2835</v>
      </c>
      <c r="O469" s="25">
        <v>0</v>
      </c>
      <c r="P469" s="26" t="str">
        <f>_xlfn.DISPIMG("ID_012851E191D54E319B75F7300CFFD208",1)</f>
        <v>=DISPIMG("ID_012851E191D54E319B75F7300CFFD208",1)</v>
      </c>
      <c r="Q469" s="25" t="s">
        <v>2836</v>
      </c>
      <c r="R469" s="25">
        <v>344</v>
      </c>
      <c r="S469" s="40" t="s">
        <v>4793</v>
      </c>
      <c r="T469" s="18" t="s">
        <v>76</v>
      </c>
      <c r="U469" s="25">
        <v>7</v>
      </c>
      <c r="V469" s="25">
        <v>0</v>
      </c>
      <c r="W469" s="25"/>
    </row>
    <row r="470" s="34" customFormat="1" hidden="1" customHeight="1" spans="1:23">
      <c r="A470" s="25">
        <v>4</v>
      </c>
      <c r="B470" s="175" t="s">
        <v>3116</v>
      </c>
      <c r="C470" s="175" t="s">
        <v>165</v>
      </c>
      <c r="D470" s="175" t="s">
        <v>3117</v>
      </c>
      <c r="E470" s="25">
        <v>15279286337</v>
      </c>
      <c r="F470" s="175" t="s">
        <v>268</v>
      </c>
      <c r="G470" s="175" t="s">
        <v>16</v>
      </c>
      <c r="H470" s="25">
        <v>202101011</v>
      </c>
      <c r="I470" s="175" t="s">
        <v>157</v>
      </c>
      <c r="J470" s="175" t="s">
        <v>385</v>
      </c>
      <c r="K470" s="175" t="s">
        <v>3119</v>
      </c>
      <c r="L470" s="175" t="s">
        <v>170</v>
      </c>
      <c r="M470" s="175" t="s">
        <v>161</v>
      </c>
      <c r="N470" s="175" t="s">
        <v>190</v>
      </c>
      <c r="O470" s="25">
        <v>0</v>
      </c>
      <c r="P470" s="26" t="str">
        <f>_xlfn.DISPIMG("ID_BC4D6E67EBDF472A876E1598CD3DE965",1)</f>
        <v>=DISPIMG("ID_BC4D6E67EBDF472A876E1598CD3DE965",1)</v>
      </c>
      <c r="Q470" s="25" t="s">
        <v>3120</v>
      </c>
      <c r="R470" s="25">
        <v>385</v>
      </c>
      <c r="S470" s="40" t="s">
        <v>4803</v>
      </c>
      <c r="T470" s="18" t="s">
        <v>76</v>
      </c>
      <c r="U470" s="25">
        <v>8</v>
      </c>
      <c r="V470" s="25">
        <v>0</v>
      </c>
      <c r="W470" s="25"/>
    </row>
    <row r="471" s="34" customFormat="1" hidden="1" customHeight="1" spans="1:23">
      <c r="A471" s="25">
        <v>10</v>
      </c>
      <c r="B471" s="175" t="s">
        <v>4222</v>
      </c>
      <c r="C471" s="175" t="s">
        <v>165</v>
      </c>
      <c r="D471" s="175" t="s">
        <v>4223</v>
      </c>
      <c r="E471" s="25">
        <v>18170013045</v>
      </c>
      <c r="F471" s="175" t="s">
        <v>268</v>
      </c>
      <c r="G471" s="175" t="s">
        <v>16</v>
      </c>
      <c r="H471" s="25">
        <v>202101011</v>
      </c>
      <c r="I471" s="175" t="s">
        <v>157</v>
      </c>
      <c r="J471" s="175" t="s">
        <v>385</v>
      </c>
      <c r="K471" s="175" t="s">
        <v>4225</v>
      </c>
      <c r="L471" s="175" t="s">
        <v>170</v>
      </c>
      <c r="M471" s="175" t="s">
        <v>224</v>
      </c>
      <c r="N471" s="175" t="s">
        <v>16</v>
      </c>
      <c r="O471" s="175" t="s">
        <v>4226</v>
      </c>
      <c r="P471" s="26" t="str">
        <f>_xlfn.DISPIMG("ID_6A583EA485744871AED4CEE0D95D9DC4",1)</f>
        <v>=DISPIMG("ID_6A583EA485744871AED4CEE0D95D9DC4",1)</v>
      </c>
      <c r="Q471" s="25" t="s">
        <v>4227</v>
      </c>
      <c r="R471" s="25">
        <v>540</v>
      </c>
      <c r="S471" s="40" t="s">
        <v>4789</v>
      </c>
      <c r="T471" s="18" t="s">
        <v>76</v>
      </c>
      <c r="U471" s="25">
        <v>11</v>
      </c>
      <c r="V471" s="25">
        <v>0</v>
      </c>
      <c r="W471" s="25"/>
    </row>
    <row r="472" s="34" customFormat="1" hidden="1" customHeight="1" spans="1:23">
      <c r="A472" s="25">
        <v>9</v>
      </c>
      <c r="B472" s="175" t="s">
        <v>4184</v>
      </c>
      <c r="C472" s="175" t="s">
        <v>153</v>
      </c>
      <c r="D472" s="175" t="s">
        <v>4185</v>
      </c>
      <c r="E472" s="25">
        <v>15779857764</v>
      </c>
      <c r="F472" s="175" t="s">
        <v>384</v>
      </c>
      <c r="G472" s="175" t="s">
        <v>16</v>
      </c>
      <c r="H472" s="25">
        <v>202101012</v>
      </c>
      <c r="I472" s="175" t="s">
        <v>157</v>
      </c>
      <c r="J472" s="175" t="s">
        <v>507</v>
      </c>
      <c r="K472" s="175" t="s">
        <v>977</v>
      </c>
      <c r="L472" s="175" t="s">
        <v>170</v>
      </c>
      <c r="M472" s="175" t="s">
        <v>281</v>
      </c>
      <c r="N472" s="175" t="s">
        <v>16</v>
      </c>
      <c r="O472" s="175" t="s">
        <v>4187</v>
      </c>
      <c r="P472" s="26" t="str">
        <f>_xlfn.DISPIMG("ID_CB7789B563324522805F1ED9D1BFD221",1)</f>
        <v>=DISPIMG("ID_CB7789B563324522805F1ED9D1BFD221",1)</v>
      </c>
      <c r="Q472" s="25" t="s">
        <v>4188</v>
      </c>
      <c r="R472" s="25">
        <v>535</v>
      </c>
      <c r="S472" s="40" t="s">
        <v>4788</v>
      </c>
      <c r="T472" s="18" t="s">
        <v>76</v>
      </c>
      <c r="U472" s="25">
        <v>2</v>
      </c>
      <c r="V472" s="25">
        <v>0</v>
      </c>
      <c r="W472" s="25"/>
    </row>
    <row r="473" s="34" customFormat="1" hidden="1" customHeight="1" spans="1:23">
      <c r="A473" s="25">
        <v>6</v>
      </c>
      <c r="B473" s="175" t="s">
        <v>3507</v>
      </c>
      <c r="C473" s="175" t="s">
        <v>165</v>
      </c>
      <c r="D473" s="175" t="s">
        <v>3508</v>
      </c>
      <c r="E473" s="25">
        <v>15179282402</v>
      </c>
      <c r="F473" s="175" t="s">
        <v>384</v>
      </c>
      <c r="G473" s="175" t="s">
        <v>16</v>
      </c>
      <c r="H473" s="25">
        <v>202101012</v>
      </c>
      <c r="I473" s="175" t="s">
        <v>157</v>
      </c>
      <c r="J473" s="175" t="s">
        <v>158</v>
      </c>
      <c r="K473" s="175" t="s">
        <v>2742</v>
      </c>
      <c r="L473" s="175" t="s">
        <v>160</v>
      </c>
      <c r="M473" s="175" t="s">
        <v>281</v>
      </c>
      <c r="N473" s="175" t="s">
        <v>3510</v>
      </c>
      <c r="O473" s="25">
        <v>0</v>
      </c>
      <c r="P473" s="26" t="str">
        <f>_xlfn.DISPIMG("ID_F203C9D79BED4D608F3184BA9064F545",1)</f>
        <v>=DISPIMG("ID_F203C9D79BED4D608F3184BA9064F545",1)</v>
      </c>
      <c r="Q473" s="25" t="s">
        <v>3511</v>
      </c>
      <c r="R473" s="25">
        <v>445</v>
      </c>
      <c r="S473" s="40" t="s">
        <v>4779</v>
      </c>
      <c r="T473" s="18" t="s">
        <v>76</v>
      </c>
      <c r="U473" s="25">
        <v>9</v>
      </c>
      <c r="V473" s="25">
        <v>0</v>
      </c>
      <c r="W473" s="25"/>
    </row>
    <row r="474" s="61" customFormat="1" hidden="1" customHeight="1" spans="1:23">
      <c r="A474" s="66">
        <v>13</v>
      </c>
      <c r="B474" s="182" t="s">
        <v>1365</v>
      </c>
      <c r="C474" s="182" t="s">
        <v>153</v>
      </c>
      <c r="D474" s="182" t="s">
        <v>1366</v>
      </c>
      <c r="E474" s="66">
        <v>15720964071</v>
      </c>
      <c r="F474" s="182" t="s">
        <v>268</v>
      </c>
      <c r="G474" s="182" t="s">
        <v>17</v>
      </c>
      <c r="H474" s="66">
        <v>202101017</v>
      </c>
      <c r="I474" s="182" t="s">
        <v>157</v>
      </c>
      <c r="J474" s="182" t="s">
        <v>1368</v>
      </c>
      <c r="K474" s="182" t="s">
        <v>290</v>
      </c>
      <c r="L474" s="182" t="s">
        <v>170</v>
      </c>
      <c r="M474" s="182" t="s">
        <v>455</v>
      </c>
      <c r="N474" s="182" t="s">
        <v>1369</v>
      </c>
      <c r="O474" s="66">
        <v>0</v>
      </c>
      <c r="P474" s="67" t="str">
        <f>_xlfn.DISPIMG("ID_EB5AC667C054437CBFE2486B339F8A77",1)</f>
        <v>=DISPIMG("ID_EB5AC667C054437CBFE2486B339F8A77",1)</v>
      </c>
      <c r="Q474" s="66" t="s">
        <v>1370</v>
      </c>
      <c r="R474" s="66">
        <v>149</v>
      </c>
      <c r="S474" s="68" t="s">
        <v>4799</v>
      </c>
      <c r="T474" s="69" t="s">
        <v>76</v>
      </c>
      <c r="U474" s="66">
        <v>15</v>
      </c>
      <c r="V474" s="66">
        <v>71.5</v>
      </c>
      <c r="W474" s="66">
        <v>1</v>
      </c>
    </row>
    <row r="475" s="61" customFormat="1" hidden="1" customHeight="1" spans="1:23">
      <c r="A475" s="66">
        <v>12</v>
      </c>
      <c r="B475" s="182" t="s">
        <v>1061</v>
      </c>
      <c r="C475" s="182" t="s">
        <v>165</v>
      </c>
      <c r="D475" s="182" t="s">
        <v>1062</v>
      </c>
      <c r="E475" s="66">
        <v>18370272213</v>
      </c>
      <c r="F475" s="182" t="s">
        <v>268</v>
      </c>
      <c r="G475" s="182" t="s">
        <v>17</v>
      </c>
      <c r="H475" s="66">
        <v>202101017</v>
      </c>
      <c r="I475" s="182" t="s">
        <v>157</v>
      </c>
      <c r="J475" s="182" t="s">
        <v>269</v>
      </c>
      <c r="K475" s="182" t="s">
        <v>290</v>
      </c>
      <c r="L475" s="182" t="s">
        <v>170</v>
      </c>
      <c r="M475" s="182" t="s">
        <v>261</v>
      </c>
      <c r="N475" s="182" t="s">
        <v>1064</v>
      </c>
      <c r="O475" s="66">
        <v>0</v>
      </c>
      <c r="P475" s="67" t="str">
        <f>_xlfn.DISPIMG("ID_9916007E0F6C44BAA2C2DFDD815EDF7E",1)</f>
        <v>=DISPIMG("ID_9916007E0F6C44BAA2C2DFDD815EDF7E",1)</v>
      </c>
      <c r="Q475" s="66" t="s">
        <v>1065</v>
      </c>
      <c r="R475" s="66">
        <v>110</v>
      </c>
      <c r="S475" s="68" t="s">
        <v>4795</v>
      </c>
      <c r="T475" s="69" t="s">
        <v>76</v>
      </c>
      <c r="U475" s="66">
        <v>16</v>
      </c>
      <c r="V475" s="66">
        <v>65.5</v>
      </c>
      <c r="W475" s="66">
        <v>2</v>
      </c>
    </row>
    <row r="476" s="4" customFormat="1" hidden="1" customHeight="1" spans="1:23">
      <c r="A476" s="25">
        <v>14</v>
      </c>
      <c r="B476" s="176" t="s">
        <v>2805</v>
      </c>
      <c r="C476" s="176" t="s">
        <v>153</v>
      </c>
      <c r="D476" s="175" t="s">
        <v>2806</v>
      </c>
      <c r="E476" s="25">
        <v>15350253333</v>
      </c>
      <c r="F476" s="176" t="s">
        <v>268</v>
      </c>
      <c r="G476" s="176" t="s">
        <v>17</v>
      </c>
      <c r="H476" s="70">
        <v>202101007</v>
      </c>
      <c r="I476" s="175" t="s">
        <v>157</v>
      </c>
      <c r="J476" s="175" t="s">
        <v>269</v>
      </c>
      <c r="K476" s="175" t="s">
        <v>290</v>
      </c>
      <c r="L476" s="175" t="s">
        <v>170</v>
      </c>
      <c r="M476" s="175" t="s">
        <v>368</v>
      </c>
      <c r="N476" s="175" t="s">
        <v>17</v>
      </c>
      <c r="O476" s="175" t="s">
        <v>2808</v>
      </c>
      <c r="P476" s="26" t="str">
        <f>_xlfn.DISPIMG("ID_7C47A0694F0147EB860DAA1E2F9E87A3",1)</f>
        <v>=DISPIMG("ID_7C47A0694F0147EB860DAA1E2F9E87A3",1)</v>
      </c>
      <c r="Q476" s="25" t="s">
        <v>2809</v>
      </c>
      <c r="R476" s="25">
        <v>340</v>
      </c>
      <c r="S476" s="71" t="s">
        <v>4800</v>
      </c>
      <c r="T476" s="72" t="s">
        <v>76</v>
      </c>
      <c r="U476" s="70">
        <v>14</v>
      </c>
      <c r="V476" s="70">
        <v>0</v>
      </c>
      <c r="W476" s="70"/>
    </row>
    <row r="477" s="34" customFormat="1" hidden="1" customHeight="1" spans="1:23">
      <c r="A477" s="25">
        <v>16</v>
      </c>
      <c r="B477" s="175" t="s">
        <v>3192</v>
      </c>
      <c r="C477" s="175" t="s">
        <v>165</v>
      </c>
      <c r="D477" s="175" t="s">
        <v>3193</v>
      </c>
      <c r="E477" s="25">
        <v>13361729367</v>
      </c>
      <c r="F477" s="175" t="s">
        <v>268</v>
      </c>
      <c r="G477" s="175" t="s">
        <v>17</v>
      </c>
      <c r="H477" s="25">
        <v>202101017</v>
      </c>
      <c r="I477" s="175" t="s">
        <v>157</v>
      </c>
      <c r="J477" s="175" t="s">
        <v>1258</v>
      </c>
      <c r="K477" s="175" t="s">
        <v>3195</v>
      </c>
      <c r="L477" s="175" t="s">
        <v>170</v>
      </c>
      <c r="M477" s="175" t="s">
        <v>216</v>
      </c>
      <c r="N477" s="175" t="s">
        <v>17</v>
      </c>
      <c r="O477" s="175" t="s">
        <v>3196</v>
      </c>
      <c r="P477" s="26" t="str">
        <f>_xlfn.DISPIMG("ID_F0B384F7F2BD4ECB81B75D08A62A8621",1)</f>
        <v>=DISPIMG("ID_F0B384F7F2BD4ECB81B75D08A62A8621",1)</v>
      </c>
      <c r="Q477" s="25" t="s">
        <v>3197</v>
      </c>
      <c r="R477" s="25">
        <v>397</v>
      </c>
      <c r="S477" s="40" t="s">
        <v>4805</v>
      </c>
      <c r="T477" s="18" t="s">
        <v>76</v>
      </c>
      <c r="U477" s="25">
        <v>13</v>
      </c>
      <c r="V477" s="25">
        <v>0</v>
      </c>
      <c r="W477" s="25"/>
    </row>
    <row r="478" s="61" customFormat="1" hidden="1" customHeight="1" spans="1:23">
      <c r="A478" s="66">
        <v>15</v>
      </c>
      <c r="B478" s="182" t="s">
        <v>3099</v>
      </c>
      <c r="C478" s="182" t="s">
        <v>165</v>
      </c>
      <c r="D478" s="182" t="s">
        <v>3100</v>
      </c>
      <c r="E478" s="66">
        <v>15720976892</v>
      </c>
      <c r="F478" s="182" t="s">
        <v>384</v>
      </c>
      <c r="G478" s="182" t="s">
        <v>17</v>
      </c>
      <c r="H478" s="66">
        <v>202101018</v>
      </c>
      <c r="I478" s="182" t="s">
        <v>157</v>
      </c>
      <c r="J478" s="182" t="s">
        <v>385</v>
      </c>
      <c r="K478" s="182" t="s">
        <v>290</v>
      </c>
      <c r="L478" s="182" t="s">
        <v>170</v>
      </c>
      <c r="M478" s="182" t="s">
        <v>577</v>
      </c>
      <c r="N478" s="182" t="s">
        <v>3102</v>
      </c>
      <c r="O478" s="182" t="s">
        <v>3103</v>
      </c>
      <c r="P478" s="67" t="str">
        <f>_xlfn.DISPIMG("ID_FEEAA5237B6C4B708D314FC0E0560DA3",1)</f>
        <v>=DISPIMG("ID_FEEAA5237B6C4B708D314FC0E0560DA3",1)</v>
      </c>
      <c r="Q478" s="66" t="s">
        <v>3104</v>
      </c>
      <c r="R478" s="66">
        <v>383</v>
      </c>
      <c r="S478" s="68" t="s">
        <v>4804</v>
      </c>
      <c r="T478" s="69" t="s">
        <v>76</v>
      </c>
      <c r="U478" s="66">
        <v>12</v>
      </c>
      <c r="V478" s="66">
        <v>75.5</v>
      </c>
      <c r="W478" s="66">
        <v>1</v>
      </c>
    </row>
    <row r="479" s="10" customFormat="1" hidden="1" customHeight="1" spans="1:23">
      <c r="A479" s="14">
        <v>17</v>
      </c>
      <c r="B479" s="174" t="s">
        <v>1294</v>
      </c>
      <c r="C479" s="174" t="s">
        <v>165</v>
      </c>
      <c r="D479" s="174" t="s">
        <v>1295</v>
      </c>
      <c r="E479" s="14">
        <v>16607139534</v>
      </c>
      <c r="F479" s="174" t="s">
        <v>384</v>
      </c>
      <c r="G479" s="174" t="s">
        <v>18</v>
      </c>
      <c r="H479" s="14">
        <v>202101024</v>
      </c>
      <c r="I479" s="174" t="s">
        <v>705</v>
      </c>
      <c r="J479" s="174" t="s">
        <v>1297</v>
      </c>
      <c r="K479" s="174" t="s">
        <v>323</v>
      </c>
      <c r="L479" s="174" t="s">
        <v>160</v>
      </c>
      <c r="M479" s="174" t="s">
        <v>455</v>
      </c>
      <c r="N479" s="174" t="s">
        <v>18</v>
      </c>
      <c r="O479" s="174" t="s">
        <v>1298</v>
      </c>
      <c r="P479" s="74" t="str">
        <f>_xlfn.DISPIMG("ID_0467DD9C16B84F62946A6DA8763F5DB1",1)</f>
        <v>=DISPIMG("ID_0467DD9C16B84F62946A6DA8763F5DB1",1)</v>
      </c>
      <c r="Q479" s="14" t="s">
        <v>1299</v>
      </c>
      <c r="R479" s="14">
        <v>140</v>
      </c>
      <c r="S479" s="78" t="s">
        <v>4780</v>
      </c>
      <c r="T479" s="19" t="s">
        <v>76</v>
      </c>
      <c r="U479" s="14">
        <v>18</v>
      </c>
      <c r="V479" s="14">
        <v>75</v>
      </c>
      <c r="W479" s="14">
        <v>1</v>
      </c>
    </row>
    <row r="480" s="4" customFormat="1" hidden="1" customHeight="1" spans="1:23">
      <c r="A480" s="25">
        <v>18</v>
      </c>
      <c r="B480" s="176" t="s">
        <v>1387</v>
      </c>
      <c r="C480" s="176" t="s">
        <v>165</v>
      </c>
      <c r="D480" s="175" t="s">
        <v>1388</v>
      </c>
      <c r="E480" s="25">
        <v>15079175259</v>
      </c>
      <c r="F480" s="176" t="s">
        <v>156</v>
      </c>
      <c r="G480" s="176" t="s">
        <v>18</v>
      </c>
      <c r="H480" s="70">
        <v>202101012</v>
      </c>
      <c r="I480" s="175" t="s">
        <v>157</v>
      </c>
      <c r="J480" s="175" t="s">
        <v>827</v>
      </c>
      <c r="K480" s="175" t="s">
        <v>1390</v>
      </c>
      <c r="L480" s="175" t="s">
        <v>170</v>
      </c>
      <c r="M480" s="175" t="s">
        <v>261</v>
      </c>
      <c r="N480" s="175" t="s">
        <v>18</v>
      </c>
      <c r="O480" s="25">
        <v>0</v>
      </c>
      <c r="P480" s="26" t="str">
        <f>_xlfn.DISPIMG("ID_22A5305EF7CD44458C8E85EF1B5003E3",1)</f>
        <v>=DISPIMG("ID_22A5305EF7CD44458C8E85EF1B5003E3",1)</v>
      </c>
      <c r="Q480" s="25" t="s">
        <v>1391</v>
      </c>
      <c r="R480" s="25">
        <v>152</v>
      </c>
      <c r="S480" s="71" t="s">
        <v>4781</v>
      </c>
      <c r="T480" s="72" t="s">
        <v>76</v>
      </c>
      <c r="U480" s="70">
        <v>19</v>
      </c>
      <c r="V480" s="70">
        <v>72.5</v>
      </c>
      <c r="W480" s="70"/>
    </row>
    <row r="481" s="34" customFormat="1" hidden="1" customHeight="1" spans="1:23">
      <c r="A481" s="25">
        <v>19</v>
      </c>
      <c r="B481" s="175" t="s">
        <v>1789</v>
      </c>
      <c r="C481" s="175" t="s">
        <v>165</v>
      </c>
      <c r="D481" s="175" t="s">
        <v>1790</v>
      </c>
      <c r="E481" s="25">
        <v>15350130023</v>
      </c>
      <c r="F481" s="175" t="s">
        <v>384</v>
      </c>
      <c r="G481" s="175" t="s">
        <v>18</v>
      </c>
      <c r="H481" s="25">
        <v>202101023</v>
      </c>
      <c r="I481" s="175" t="s">
        <v>157</v>
      </c>
      <c r="J481" s="175" t="s">
        <v>1792</v>
      </c>
      <c r="K481" s="175" t="s">
        <v>1793</v>
      </c>
      <c r="L481" s="175" t="s">
        <v>160</v>
      </c>
      <c r="M481" s="175" t="s">
        <v>455</v>
      </c>
      <c r="N481" s="175" t="s">
        <v>1794</v>
      </c>
      <c r="O481" s="25">
        <v>0</v>
      </c>
      <c r="P481" s="26" t="str">
        <f>_xlfn.DISPIMG("ID_F2D31DD52A09466996724F8ACF5386A0",1)</f>
        <v>=DISPIMG("ID_F2D31DD52A09466996724F8ACF5386A0",1)</v>
      </c>
      <c r="Q481" s="25" t="s">
        <v>1795</v>
      </c>
      <c r="R481" s="25">
        <v>204</v>
      </c>
      <c r="S481" s="40" t="s">
        <v>4782</v>
      </c>
      <c r="T481" s="18" t="s">
        <v>76</v>
      </c>
      <c r="U481" s="25">
        <v>17</v>
      </c>
      <c r="V481" s="25">
        <v>0</v>
      </c>
      <c r="W481" s="25"/>
    </row>
    <row r="482" s="34" customFormat="1" hidden="1" customHeight="1" spans="1:23">
      <c r="A482" s="25">
        <v>20</v>
      </c>
      <c r="B482" s="175" t="s">
        <v>3051</v>
      </c>
      <c r="C482" s="175" t="s">
        <v>165</v>
      </c>
      <c r="D482" s="175" t="s">
        <v>3052</v>
      </c>
      <c r="E482" s="25">
        <v>18779104869</v>
      </c>
      <c r="F482" s="175" t="s">
        <v>384</v>
      </c>
      <c r="G482" s="175" t="s">
        <v>18</v>
      </c>
      <c r="H482" s="25">
        <v>202101024</v>
      </c>
      <c r="I482" s="175" t="s">
        <v>157</v>
      </c>
      <c r="J482" s="175" t="s">
        <v>3054</v>
      </c>
      <c r="K482" s="175" t="s">
        <v>404</v>
      </c>
      <c r="L482" s="175" t="s">
        <v>160</v>
      </c>
      <c r="M482" s="175" t="s">
        <v>455</v>
      </c>
      <c r="N482" s="175" t="s">
        <v>18</v>
      </c>
      <c r="O482" s="25">
        <v>0</v>
      </c>
      <c r="P482" s="26" t="str">
        <f>_xlfn.DISPIMG("ID_030DD5A3CEBA48E5AA84D6300BCE898E",1)</f>
        <v>=DISPIMG("ID_030DD5A3CEBA48E5AA84D6300BCE898E",1)</v>
      </c>
      <c r="Q482" s="25" t="s">
        <v>3055</v>
      </c>
      <c r="R482" s="25">
        <v>377</v>
      </c>
      <c r="S482" s="40" t="s">
        <v>4785</v>
      </c>
      <c r="T482" s="18" t="s">
        <v>76</v>
      </c>
      <c r="U482" s="25">
        <v>20</v>
      </c>
      <c r="V482" s="25">
        <v>0</v>
      </c>
      <c r="W482" s="25"/>
    </row>
    <row r="483" s="61" customFormat="1" hidden="1" customHeight="1" spans="1:23">
      <c r="A483" s="66">
        <v>5</v>
      </c>
      <c r="B483" s="182" t="s">
        <v>1566</v>
      </c>
      <c r="C483" s="182" t="s">
        <v>165</v>
      </c>
      <c r="D483" s="182" t="s">
        <v>1567</v>
      </c>
      <c r="E483" s="66">
        <v>13535561771</v>
      </c>
      <c r="F483" s="182" t="s">
        <v>268</v>
      </c>
      <c r="G483" s="182" t="s">
        <v>26</v>
      </c>
      <c r="H483" s="66">
        <v>202101001</v>
      </c>
      <c r="I483" s="182" t="s">
        <v>705</v>
      </c>
      <c r="J483" s="182" t="s">
        <v>1569</v>
      </c>
      <c r="K483" s="182" t="s">
        <v>1570</v>
      </c>
      <c r="L483" s="182" t="s">
        <v>160</v>
      </c>
      <c r="M483" s="182" t="s">
        <v>171</v>
      </c>
      <c r="N483" s="182" t="s">
        <v>1571</v>
      </c>
      <c r="O483" s="66">
        <v>0</v>
      </c>
      <c r="P483" s="67" t="str">
        <f>_xlfn.DISPIMG("ID_F9DBEEB152DD4F6D9E9954F28F8B48D4",1)</f>
        <v>=DISPIMG("ID_F9DBEEB152DD4F6D9E9954F28F8B48D4",1)</v>
      </c>
      <c r="Q483" s="66" t="s">
        <v>1572</v>
      </c>
      <c r="R483" s="66">
        <v>175</v>
      </c>
      <c r="S483" s="68" t="s">
        <v>4792</v>
      </c>
      <c r="T483" s="69" t="s">
        <v>80</v>
      </c>
      <c r="U483" s="66">
        <v>4</v>
      </c>
      <c r="V483" s="66">
        <v>80</v>
      </c>
      <c r="W483" s="66">
        <v>1</v>
      </c>
    </row>
    <row r="484" s="61" customFormat="1" hidden="1" customHeight="1" spans="1:23">
      <c r="A484" s="66">
        <v>3</v>
      </c>
      <c r="B484" s="182" t="s">
        <v>898</v>
      </c>
      <c r="C484" s="182" t="s">
        <v>165</v>
      </c>
      <c r="D484" s="182" t="s">
        <v>899</v>
      </c>
      <c r="E484" s="66">
        <v>18970287322</v>
      </c>
      <c r="F484" s="182" t="s">
        <v>268</v>
      </c>
      <c r="G484" s="182" t="s">
        <v>26</v>
      </c>
      <c r="H484" s="66">
        <v>202101001</v>
      </c>
      <c r="I484" s="182" t="s">
        <v>157</v>
      </c>
      <c r="J484" s="182" t="s">
        <v>901</v>
      </c>
      <c r="K484" s="182" t="s">
        <v>454</v>
      </c>
      <c r="L484" s="182" t="s">
        <v>170</v>
      </c>
      <c r="M484" s="182" t="s">
        <v>235</v>
      </c>
      <c r="N484" s="182" t="s">
        <v>26</v>
      </c>
      <c r="O484" s="182" t="s">
        <v>902</v>
      </c>
      <c r="P484" s="67" t="str">
        <f>_xlfn.DISPIMG("ID_1BFE84DC97BC469ABB3506659F95FD8E",1)</f>
        <v>=DISPIMG("ID_1BFE84DC97BC469ABB3506659F95FD8E",1)</v>
      </c>
      <c r="Q484" s="66" t="s">
        <v>903</v>
      </c>
      <c r="R484" s="66">
        <v>90</v>
      </c>
      <c r="S484" s="68" t="s">
        <v>4790</v>
      </c>
      <c r="T484" s="69" t="s">
        <v>80</v>
      </c>
      <c r="U484" s="66">
        <v>5</v>
      </c>
      <c r="V484" s="66">
        <v>79</v>
      </c>
      <c r="W484" s="66">
        <v>2</v>
      </c>
    </row>
    <row r="485" s="61" customFormat="1" hidden="1" customHeight="1" spans="1:23">
      <c r="A485" s="66">
        <v>9</v>
      </c>
      <c r="B485" s="182" t="s">
        <v>4127</v>
      </c>
      <c r="C485" s="182" t="s">
        <v>165</v>
      </c>
      <c r="D485" s="182" t="s">
        <v>4128</v>
      </c>
      <c r="E485" s="66">
        <v>18779230962</v>
      </c>
      <c r="F485" s="182" t="s">
        <v>268</v>
      </c>
      <c r="G485" s="182" t="s">
        <v>26</v>
      </c>
      <c r="H485" s="66">
        <v>202101001</v>
      </c>
      <c r="I485" s="182" t="s">
        <v>157</v>
      </c>
      <c r="J485" s="182" t="s">
        <v>233</v>
      </c>
      <c r="K485" s="182" t="s">
        <v>454</v>
      </c>
      <c r="L485" s="182" t="s">
        <v>170</v>
      </c>
      <c r="M485" s="182" t="s">
        <v>252</v>
      </c>
      <c r="N485" s="182" t="s">
        <v>26</v>
      </c>
      <c r="O485" s="182" t="s">
        <v>4130</v>
      </c>
      <c r="P485" s="67" t="str">
        <f>_xlfn.DISPIMG("ID_135AA7394FE044C981CB1DCD13A764A0",1)</f>
        <v>=DISPIMG("ID_135AA7394FE044C981CB1DCD13A764A0",1)</v>
      </c>
      <c r="Q485" s="66" t="s">
        <v>4131</v>
      </c>
      <c r="R485" s="66">
        <v>528</v>
      </c>
      <c r="S485" s="68" t="s">
        <v>4802</v>
      </c>
      <c r="T485" s="69" t="s">
        <v>80</v>
      </c>
      <c r="U485" s="66">
        <v>1</v>
      </c>
      <c r="V485" s="66">
        <v>70</v>
      </c>
      <c r="W485" s="66">
        <v>3</v>
      </c>
    </row>
    <row r="486" s="34" customFormat="1" hidden="1" customHeight="1" spans="1:23">
      <c r="A486" s="25">
        <v>4</v>
      </c>
      <c r="B486" s="175" t="s">
        <v>932</v>
      </c>
      <c r="C486" s="175" t="s">
        <v>165</v>
      </c>
      <c r="D486" s="175" t="s">
        <v>933</v>
      </c>
      <c r="E486" s="25">
        <v>15373854743</v>
      </c>
      <c r="F486" s="175" t="s">
        <v>268</v>
      </c>
      <c r="G486" s="175" t="s">
        <v>26</v>
      </c>
      <c r="H486" s="25">
        <v>202101001</v>
      </c>
      <c r="I486" s="175" t="s">
        <v>157</v>
      </c>
      <c r="J486" s="175" t="s">
        <v>935</v>
      </c>
      <c r="K486" s="175" t="s">
        <v>936</v>
      </c>
      <c r="L486" s="175" t="s">
        <v>170</v>
      </c>
      <c r="M486" s="175" t="s">
        <v>252</v>
      </c>
      <c r="N486" s="175" t="s">
        <v>26</v>
      </c>
      <c r="O486" s="175" t="s">
        <v>937</v>
      </c>
      <c r="P486" s="26" t="str">
        <f>_xlfn.DISPIMG("ID_B0F72DE4E87649C28924E4AA265BAF06",1)</f>
        <v>=DISPIMG("ID_B0F72DE4E87649C28924E4AA265BAF06",1)</v>
      </c>
      <c r="Q486" s="25" t="s">
        <v>938</v>
      </c>
      <c r="R486" s="25">
        <v>94</v>
      </c>
      <c r="S486" s="40" t="s">
        <v>4791</v>
      </c>
      <c r="T486" s="18" t="s">
        <v>80</v>
      </c>
      <c r="U486" s="25">
        <v>8</v>
      </c>
      <c r="V486" s="25">
        <v>0</v>
      </c>
      <c r="W486" s="25"/>
    </row>
    <row r="487" s="61" customFormat="1" hidden="1" customHeight="1" spans="1:23">
      <c r="A487" s="66">
        <v>6</v>
      </c>
      <c r="B487" s="182" t="s">
        <v>1606</v>
      </c>
      <c r="C487" s="182" t="s">
        <v>165</v>
      </c>
      <c r="D487" s="182" t="s">
        <v>1607</v>
      </c>
      <c r="E487" s="66">
        <v>15180623635</v>
      </c>
      <c r="F487" s="182" t="s">
        <v>384</v>
      </c>
      <c r="G487" s="182" t="s">
        <v>26</v>
      </c>
      <c r="H487" s="66">
        <v>202101002</v>
      </c>
      <c r="I487" s="182" t="s">
        <v>705</v>
      </c>
      <c r="J487" s="182" t="s">
        <v>1112</v>
      </c>
      <c r="K487" s="182" t="s">
        <v>1489</v>
      </c>
      <c r="L487" s="182" t="s">
        <v>170</v>
      </c>
      <c r="M487" s="182" t="s">
        <v>261</v>
      </c>
      <c r="N487" s="182" t="s">
        <v>26</v>
      </c>
      <c r="O487" s="182" t="s">
        <v>1609</v>
      </c>
      <c r="P487" s="67" t="str">
        <f>_xlfn.DISPIMG("ID_D4D81D5180FB4698ABF9FADCA15E9025",1)</f>
        <v>=DISPIMG("ID_D4D81D5180FB4698ABF9FADCA15E9025",1)</v>
      </c>
      <c r="Q487" s="66" t="s">
        <v>1610</v>
      </c>
      <c r="R487" s="66">
        <v>180</v>
      </c>
      <c r="S487" s="68" t="s">
        <v>4796</v>
      </c>
      <c r="T487" s="69" t="s">
        <v>80</v>
      </c>
      <c r="U487" s="66">
        <v>9</v>
      </c>
      <c r="V487" s="66">
        <v>81</v>
      </c>
      <c r="W487" s="66">
        <v>1</v>
      </c>
    </row>
    <row r="488" s="61" customFormat="1" hidden="1" customHeight="1" spans="1:23">
      <c r="A488" s="66">
        <v>1</v>
      </c>
      <c r="B488" s="182" t="s">
        <v>702</v>
      </c>
      <c r="C488" s="182" t="s">
        <v>165</v>
      </c>
      <c r="D488" s="182" t="s">
        <v>703</v>
      </c>
      <c r="E488" s="66">
        <v>18720956827</v>
      </c>
      <c r="F488" s="182" t="s">
        <v>384</v>
      </c>
      <c r="G488" s="182" t="s">
        <v>26</v>
      </c>
      <c r="H488" s="66">
        <v>202101002</v>
      </c>
      <c r="I488" s="182" t="s">
        <v>705</v>
      </c>
      <c r="J488" s="182" t="s">
        <v>233</v>
      </c>
      <c r="K488" s="182" t="s">
        <v>706</v>
      </c>
      <c r="L488" s="182" t="s">
        <v>170</v>
      </c>
      <c r="M488" s="182" t="s">
        <v>161</v>
      </c>
      <c r="N488" s="182" t="s">
        <v>707</v>
      </c>
      <c r="O488" s="182" t="s">
        <v>708</v>
      </c>
      <c r="P488" s="67" t="str">
        <f>_xlfn.DISPIMG("ID_0553F27943C1489A99AB032B2AD0761A",1)</f>
        <v>=DISPIMG("ID_0553F27943C1489A99AB032B2AD0761A",1)</v>
      </c>
      <c r="Q488" s="66" t="s">
        <v>709</v>
      </c>
      <c r="R488" s="66">
        <v>66</v>
      </c>
      <c r="S488" s="68" t="s">
        <v>4786</v>
      </c>
      <c r="T488" s="69" t="s">
        <v>80</v>
      </c>
      <c r="U488" s="66">
        <v>6</v>
      </c>
      <c r="V488" s="66">
        <v>71</v>
      </c>
      <c r="W488" s="66">
        <v>2</v>
      </c>
    </row>
    <row r="489" s="61" customFormat="1" hidden="1" customHeight="1" spans="1:23">
      <c r="A489" s="66">
        <v>7</v>
      </c>
      <c r="B489" s="182" t="s">
        <v>1932</v>
      </c>
      <c r="C489" s="182" t="s">
        <v>165</v>
      </c>
      <c r="D489" s="182" t="s">
        <v>1933</v>
      </c>
      <c r="E489" s="66">
        <v>13507099496</v>
      </c>
      <c r="F489" s="182" t="s">
        <v>384</v>
      </c>
      <c r="G489" s="182" t="s">
        <v>26</v>
      </c>
      <c r="H489" s="66">
        <v>202101002</v>
      </c>
      <c r="I489" s="182" t="s">
        <v>157</v>
      </c>
      <c r="J489" s="182" t="s">
        <v>827</v>
      </c>
      <c r="K489" s="182" t="s">
        <v>454</v>
      </c>
      <c r="L489" s="182" t="s">
        <v>170</v>
      </c>
      <c r="M489" s="182" t="s">
        <v>199</v>
      </c>
      <c r="N489" s="182" t="s">
        <v>324</v>
      </c>
      <c r="O489" s="182" t="s">
        <v>1935</v>
      </c>
      <c r="P489" s="67" t="str">
        <f>_xlfn.DISPIMG("ID_4ED50304A31443EC8E946100C168F137",1)</f>
        <v>=DISPIMG("ID_4ED50304A31443EC8E946100C168F137",1)</v>
      </c>
      <c r="Q489" s="66" t="s">
        <v>1936</v>
      </c>
      <c r="R489" s="66">
        <v>223</v>
      </c>
      <c r="S489" s="68" t="s">
        <v>4797</v>
      </c>
      <c r="T489" s="69" t="s">
        <v>80</v>
      </c>
      <c r="U489" s="66">
        <v>3</v>
      </c>
      <c r="V489" s="66">
        <v>60</v>
      </c>
      <c r="W489" s="66">
        <v>3</v>
      </c>
    </row>
    <row r="490" s="10" customFormat="1" hidden="1" customHeight="1" spans="1:23">
      <c r="A490" s="14">
        <v>2</v>
      </c>
      <c r="B490" s="174" t="s">
        <v>817</v>
      </c>
      <c r="C490" s="174" t="s">
        <v>165</v>
      </c>
      <c r="D490" s="174" t="s">
        <v>818</v>
      </c>
      <c r="E490" s="14">
        <v>15270286273</v>
      </c>
      <c r="F490" s="174" t="s">
        <v>297</v>
      </c>
      <c r="G490" s="174" t="s">
        <v>26</v>
      </c>
      <c r="H490" s="14">
        <v>202101003</v>
      </c>
      <c r="I490" s="174" t="s">
        <v>157</v>
      </c>
      <c r="J490" s="174" t="s">
        <v>820</v>
      </c>
      <c r="K490" s="174" t="s">
        <v>454</v>
      </c>
      <c r="L490" s="174" t="s">
        <v>160</v>
      </c>
      <c r="M490" s="174" t="s">
        <v>252</v>
      </c>
      <c r="N490" s="174" t="s">
        <v>26</v>
      </c>
      <c r="O490" s="14">
        <v>0</v>
      </c>
      <c r="P490" s="74" t="str">
        <f>_xlfn.DISPIMG("ID_D94148DE170D425EB66AE2DFFF655A13",1)</f>
        <v>=DISPIMG("ID_D94148DE170D425EB66AE2DFFF655A13",1)</v>
      </c>
      <c r="Q490" s="14" t="s">
        <v>821</v>
      </c>
      <c r="R490" s="14">
        <v>80</v>
      </c>
      <c r="S490" s="78" t="s">
        <v>4787</v>
      </c>
      <c r="T490" s="19" t="s">
        <v>80</v>
      </c>
      <c r="U490" s="14">
        <v>7</v>
      </c>
      <c r="V490" s="14">
        <v>68</v>
      </c>
      <c r="W490" s="14">
        <v>1</v>
      </c>
    </row>
    <row r="491" s="10" customFormat="1" hidden="1" customHeight="1" spans="1:23">
      <c r="A491" s="14">
        <v>8</v>
      </c>
      <c r="B491" s="174" t="s">
        <v>3359</v>
      </c>
      <c r="C491" s="174" t="s">
        <v>165</v>
      </c>
      <c r="D491" s="174" t="s">
        <v>3360</v>
      </c>
      <c r="E491" s="14">
        <v>18970285935</v>
      </c>
      <c r="F491" s="174" t="s">
        <v>297</v>
      </c>
      <c r="G491" s="174" t="s">
        <v>26</v>
      </c>
      <c r="H491" s="14">
        <v>202101003</v>
      </c>
      <c r="I491" s="174" t="s">
        <v>157</v>
      </c>
      <c r="J491" s="174" t="s">
        <v>1213</v>
      </c>
      <c r="K491" s="174" t="s">
        <v>3362</v>
      </c>
      <c r="L491" s="174" t="s">
        <v>160</v>
      </c>
      <c r="M491" s="174" t="s">
        <v>224</v>
      </c>
      <c r="N491" s="174" t="s">
        <v>26</v>
      </c>
      <c r="O491" s="14">
        <v>0</v>
      </c>
      <c r="P491" s="74" t="str">
        <f>_xlfn.DISPIMG("ID_8997E37C597A4A678DEC3DE2B773630A",1)</f>
        <v>=DISPIMG("ID_8997E37C597A4A678DEC3DE2B773630A",1)</v>
      </c>
      <c r="Q491" s="14" t="s">
        <v>3363</v>
      </c>
      <c r="R491" s="14">
        <v>423</v>
      </c>
      <c r="S491" s="78" t="s">
        <v>4801</v>
      </c>
      <c r="T491" s="19" t="s">
        <v>80</v>
      </c>
      <c r="U491" s="14">
        <v>2</v>
      </c>
      <c r="V491" s="14">
        <v>67</v>
      </c>
      <c r="W491" s="14">
        <v>2</v>
      </c>
    </row>
    <row r="492" s="61" customFormat="1" hidden="1" customHeight="1" spans="1:23">
      <c r="A492" s="66">
        <v>13</v>
      </c>
      <c r="B492" s="182" t="s">
        <v>1421</v>
      </c>
      <c r="C492" s="182" t="s">
        <v>165</v>
      </c>
      <c r="D492" s="182" t="s">
        <v>1422</v>
      </c>
      <c r="E492" s="66">
        <v>15179266183</v>
      </c>
      <c r="F492" s="182" t="s">
        <v>156</v>
      </c>
      <c r="G492" s="182" t="s">
        <v>3</v>
      </c>
      <c r="H492" s="66">
        <v>202102009</v>
      </c>
      <c r="I492" s="182" t="s">
        <v>157</v>
      </c>
      <c r="J492" s="182" t="s">
        <v>1424</v>
      </c>
      <c r="K492" s="182" t="s">
        <v>298</v>
      </c>
      <c r="L492" s="182" t="s">
        <v>160</v>
      </c>
      <c r="M492" s="182" t="s">
        <v>252</v>
      </c>
      <c r="N492" s="182" t="s">
        <v>1425</v>
      </c>
      <c r="O492" s="66">
        <v>0</v>
      </c>
      <c r="P492" s="67" t="str">
        <f>_xlfn.DISPIMG("ID_9A5193B60E294BCB8EBBC32356364290",1)</f>
        <v>=DISPIMG("ID_9A5193B60E294BCB8EBBC32356364290",1)</v>
      </c>
      <c r="Q492" s="66" t="s">
        <v>1426</v>
      </c>
      <c r="R492" s="66">
        <v>157</v>
      </c>
      <c r="S492" s="68" t="s">
        <v>4809</v>
      </c>
      <c r="T492" s="69" t="s">
        <v>80</v>
      </c>
      <c r="U492" s="66">
        <v>14</v>
      </c>
      <c r="V492" s="66">
        <v>87</v>
      </c>
      <c r="W492" s="66">
        <v>1</v>
      </c>
    </row>
    <row r="493" s="61" customFormat="1" hidden="1" customHeight="1" spans="1:23">
      <c r="A493" s="66">
        <v>15</v>
      </c>
      <c r="B493" s="182" t="s">
        <v>3301</v>
      </c>
      <c r="C493" s="182" t="s">
        <v>165</v>
      </c>
      <c r="D493" s="182" t="s">
        <v>3302</v>
      </c>
      <c r="E493" s="66">
        <v>13870479934</v>
      </c>
      <c r="F493" s="182" t="s">
        <v>156</v>
      </c>
      <c r="G493" s="182" t="s">
        <v>3</v>
      </c>
      <c r="H493" s="66">
        <v>202102009</v>
      </c>
      <c r="I493" s="182" t="s">
        <v>157</v>
      </c>
      <c r="J493" s="182" t="s">
        <v>178</v>
      </c>
      <c r="K493" s="182" t="s">
        <v>454</v>
      </c>
      <c r="L493" s="182" t="s">
        <v>170</v>
      </c>
      <c r="M493" s="182" t="s">
        <v>261</v>
      </c>
      <c r="N493" s="182" t="s">
        <v>1425</v>
      </c>
      <c r="O493" s="66">
        <v>0</v>
      </c>
      <c r="P493" s="67" t="str">
        <f>_xlfn.DISPIMG("ID_DD8D706699DA435AABD3242B003A06E3",1)</f>
        <v>=DISPIMG("ID_DD8D706699DA435AABD3242B003A06E3",1)</v>
      </c>
      <c r="Q493" s="66" t="s">
        <v>3304</v>
      </c>
      <c r="R493" s="66">
        <v>414</v>
      </c>
      <c r="S493" s="68" t="s">
        <v>4813</v>
      </c>
      <c r="T493" s="69" t="s">
        <v>80</v>
      </c>
      <c r="U493" s="66">
        <v>13</v>
      </c>
      <c r="V493" s="66">
        <v>84</v>
      </c>
      <c r="W493" s="66">
        <v>2</v>
      </c>
    </row>
    <row r="494" s="61" customFormat="1" hidden="1" customHeight="1" spans="1:23">
      <c r="A494" s="66">
        <v>10</v>
      </c>
      <c r="B494" s="182" t="s">
        <v>329</v>
      </c>
      <c r="C494" s="182" t="s">
        <v>165</v>
      </c>
      <c r="D494" s="182" t="s">
        <v>330</v>
      </c>
      <c r="E494" s="66">
        <v>13635987780</v>
      </c>
      <c r="F494" s="182" t="s">
        <v>156</v>
      </c>
      <c r="G494" s="182" t="s">
        <v>3</v>
      </c>
      <c r="H494" s="66">
        <v>202102009</v>
      </c>
      <c r="I494" s="182" t="s">
        <v>157</v>
      </c>
      <c r="J494" s="182" t="s">
        <v>332</v>
      </c>
      <c r="K494" s="182" t="s">
        <v>333</v>
      </c>
      <c r="L494" s="182" t="s">
        <v>160</v>
      </c>
      <c r="M494" s="182" t="s">
        <v>199</v>
      </c>
      <c r="N494" s="182" t="s">
        <v>3</v>
      </c>
      <c r="O494" s="66">
        <v>0</v>
      </c>
      <c r="P494" s="67" t="str">
        <f>_xlfn.DISPIMG("ID_66E2A8C103C040BCBC4789F49E6E9C74",1)</f>
        <v>=DISPIMG("ID_66E2A8C103C040BCBC4789F49E6E9C74",1)</v>
      </c>
      <c r="Q494" s="66" t="s">
        <v>334</v>
      </c>
      <c r="R494" s="66">
        <v>21</v>
      </c>
      <c r="S494" s="68" t="s">
        <v>4806</v>
      </c>
      <c r="T494" s="69" t="s">
        <v>80</v>
      </c>
      <c r="U494" s="66">
        <v>10</v>
      </c>
      <c r="V494" s="66">
        <v>81</v>
      </c>
      <c r="W494" s="66">
        <v>3</v>
      </c>
    </row>
    <row r="495" s="34" customFormat="1" hidden="1" customHeight="1" spans="1:23">
      <c r="A495" s="25">
        <v>12</v>
      </c>
      <c r="B495" s="175" t="s">
        <v>1161</v>
      </c>
      <c r="C495" s="175" t="s">
        <v>165</v>
      </c>
      <c r="D495" s="175" t="s">
        <v>1162</v>
      </c>
      <c r="E495" s="25">
        <v>15879899835</v>
      </c>
      <c r="F495" s="175" t="s">
        <v>156</v>
      </c>
      <c r="G495" s="175" t="s">
        <v>3</v>
      </c>
      <c r="H495" s="25">
        <v>202102009</v>
      </c>
      <c r="I495" s="175" t="s">
        <v>157</v>
      </c>
      <c r="J495" s="175" t="s">
        <v>1146</v>
      </c>
      <c r="K495" s="175" t="s">
        <v>1164</v>
      </c>
      <c r="L495" s="175" t="s">
        <v>160</v>
      </c>
      <c r="M495" s="175" t="s">
        <v>252</v>
      </c>
      <c r="N495" s="175" t="s">
        <v>3</v>
      </c>
      <c r="O495" s="25">
        <v>0</v>
      </c>
      <c r="P495" s="26" t="str">
        <f>_xlfn.DISPIMG("ID_AF5F9594083C4D63A9C12F6DBB9E6CAE",1)</f>
        <v>=DISPIMG("ID_AF5F9594083C4D63A9C12F6DBB9E6CAE",1)</v>
      </c>
      <c r="Q495" s="25" t="s">
        <v>1165</v>
      </c>
      <c r="R495" s="25">
        <v>122</v>
      </c>
      <c r="S495" s="40" t="s">
        <v>4808</v>
      </c>
      <c r="T495" s="18" t="s">
        <v>80</v>
      </c>
      <c r="U495" s="25">
        <v>11</v>
      </c>
      <c r="V495" s="25">
        <v>0</v>
      </c>
      <c r="W495" s="25"/>
    </row>
    <row r="496" s="34" customFormat="1" hidden="1" customHeight="1" spans="1:23">
      <c r="A496" s="25">
        <v>14</v>
      </c>
      <c r="B496" s="175" t="s">
        <v>2871</v>
      </c>
      <c r="C496" s="175" t="s">
        <v>165</v>
      </c>
      <c r="D496" s="175" t="s">
        <v>2872</v>
      </c>
      <c r="E496" s="25">
        <v>15135136743</v>
      </c>
      <c r="F496" s="175" t="s">
        <v>156</v>
      </c>
      <c r="G496" s="175" t="s">
        <v>3</v>
      </c>
      <c r="H496" s="25">
        <v>202102009</v>
      </c>
      <c r="I496" s="175" t="s">
        <v>157</v>
      </c>
      <c r="J496" s="175" t="s">
        <v>2874</v>
      </c>
      <c r="K496" s="175" t="s">
        <v>169</v>
      </c>
      <c r="L496" s="175" t="s">
        <v>170</v>
      </c>
      <c r="M496" s="175" t="s">
        <v>171</v>
      </c>
      <c r="N496" s="175" t="s">
        <v>1425</v>
      </c>
      <c r="O496" s="25">
        <v>0</v>
      </c>
      <c r="P496" s="26" t="str">
        <f>_xlfn.DISPIMG("ID_16C7080DFBEB4260AD8944B9B8A16C63",1)</f>
        <v>=DISPIMG("ID_16C7080DFBEB4260AD8944B9B8A16C63",1)</v>
      </c>
      <c r="Q496" s="25" t="s">
        <v>2875</v>
      </c>
      <c r="R496" s="25">
        <v>349</v>
      </c>
      <c r="S496" s="40" t="s">
        <v>4812</v>
      </c>
      <c r="T496" s="18" t="s">
        <v>80</v>
      </c>
      <c r="U496" s="25">
        <v>12</v>
      </c>
      <c r="V496" s="25">
        <v>0</v>
      </c>
      <c r="W496" s="25"/>
    </row>
    <row r="497" s="34" customFormat="1" hidden="1" customHeight="1" spans="1:23">
      <c r="A497" s="25">
        <v>11</v>
      </c>
      <c r="B497" s="175" t="s">
        <v>965</v>
      </c>
      <c r="C497" s="175" t="s">
        <v>165</v>
      </c>
      <c r="D497" s="175" t="s">
        <v>966</v>
      </c>
      <c r="E497" s="25">
        <v>18379223080</v>
      </c>
      <c r="F497" s="175" t="s">
        <v>156</v>
      </c>
      <c r="G497" s="175" t="s">
        <v>3</v>
      </c>
      <c r="H497" s="25">
        <v>202102009</v>
      </c>
      <c r="I497" s="175" t="s">
        <v>157</v>
      </c>
      <c r="J497" s="175" t="s">
        <v>158</v>
      </c>
      <c r="K497" s="175" t="s">
        <v>968</v>
      </c>
      <c r="L497" s="175" t="s">
        <v>160</v>
      </c>
      <c r="M497" s="175" t="s">
        <v>368</v>
      </c>
      <c r="N497" s="175" t="s">
        <v>969</v>
      </c>
      <c r="O497" s="175" t="s">
        <v>970</v>
      </c>
      <c r="P497" s="26" t="str">
        <f>_xlfn.DISPIMG("ID_25A1371DB5D24E7E87AED819AD313075",1)</f>
        <v>=DISPIMG("ID_25A1371DB5D24E7E87AED819AD313075",1)</v>
      </c>
      <c r="Q497" s="25" t="s">
        <v>971</v>
      </c>
      <c r="R497" s="25">
        <v>98</v>
      </c>
      <c r="S497" s="40" t="s">
        <v>4807</v>
      </c>
      <c r="T497" s="18" t="s">
        <v>80</v>
      </c>
      <c r="U497" s="25">
        <v>15</v>
      </c>
      <c r="V497" s="25">
        <v>0</v>
      </c>
      <c r="W497" s="25"/>
    </row>
    <row r="498" s="61" customFormat="1" hidden="1" customHeight="1" spans="1:23">
      <c r="A498" s="66">
        <v>16</v>
      </c>
      <c r="B498" s="182" t="s">
        <v>1410</v>
      </c>
      <c r="C498" s="182" t="s">
        <v>165</v>
      </c>
      <c r="D498" s="182" t="s">
        <v>1411</v>
      </c>
      <c r="E498" s="66">
        <v>19979027323</v>
      </c>
      <c r="F498" s="182" t="s">
        <v>268</v>
      </c>
      <c r="G498" s="182" t="s">
        <v>22</v>
      </c>
      <c r="H498" s="66">
        <v>202101009</v>
      </c>
      <c r="I498" s="182" t="s">
        <v>157</v>
      </c>
      <c r="J498" s="182" t="s">
        <v>1413</v>
      </c>
      <c r="K498" s="182" t="s">
        <v>944</v>
      </c>
      <c r="L498" s="182" t="s">
        <v>170</v>
      </c>
      <c r="M498" s="182" t="s">
        <v>396</v>
      </c>
      <c r="N498" s="182" t="s">
        <v>1414</v>
      </c>
      <c r="O498" s="182" t="s">
        <v>1415</v>
      </c>
      <c r="P498" s="67" t="str">
        <f>_xlfn.DISPIMG("ID_7AA3981AEA4B4044958F80E226B55196",1)</f>
        <v>=DISPIMG("ID_7AA3981AEA4B4044958F80E226B55196",1)</v>
      </c>
      <c r="Q498" s="66" t="s">
        <v>1416</v>
      </c>
      <c r="R498" s="66">
        <v>155</v>
      </c>
      <c r="S498" s="68" t="s">
        <v>4816</v>
      </c>
      <c r="T498" s="69" t="s">
        <v>80</v>
      </c>
      <c r="U498" s="66">
        <v>16</v>
      </c>
      <c r="V498" s="66">
        <v>91</v>
      </c>
      <c r="W498" s="66">
        <v>1</v>
      </c>
    </row>
    <row r="499" s="10" customFormat="1" hidden="1" customHeight="1" spans="1:23">
      <c r="A499" s="14">
        <v>2</v>
      </c>
      <c r="B499" s="174" t="s">
        <v>1584</v>
      </c>
      <c r="C499" s="174" t="s">
        <v>153</v>
      </c>
      <c r="D499" s="174" t="s">
        <v>1585</v>
      </c>
      <c r="E499" s="14">
        <v>18460003044</v>
      </c>
      <c r="F499" s="174" t="s">
        <v>268</v>
      </c>
      <c r="G499" s="174" t="s">
        <v>21</v>
      </c>
      <c r="H499" s="14">
        <v>202101022</v>
      </c>
      <c r="I499" s="174" t="s">
        <v>157</v>
      </c>
      <c r="J499" s="174" t="s">
        <v>827</v>
      </c>
      <c r="K499" s="174" t="s">
        <v>682</v>
      </c>
      <c r="L499" s="174" t="s">
        <v>170</v>
      </c>
      <c r="M499" s="174" t="s">
        <v>455</v>
      </c>
      <c r="N499" s="174" t="s">
        <v>1587</v>
      </c>
      <c r="O499" s="14">
        <v>0</v>
      </c>
      <c r="P499" s="74" t="str">
        <f>_xlfn.DISPIMG("ID_E364C79C5CB74A97A356C87CFF697310",1)</f>
        <v>=DISPIMG("ID_E364C79C5CB74A97A356C87CFF697310",1)</v>
      </c>
      <c r="Q499" s="14" t="s">
        <v>1588</v>
      </c>
      <c r="R499" s="14">
        <v>177</v>
      </c>
      <c r="S499" s="78" t="s">
        <v>4819</v>
      </c>
      <c r="T499" s="19" t="s">
        <v>84</v>
      </c>
      <c r="U499" s="14">
        <v>7</v>
      </c>
      <c r="V499" s="14">
        <v>65.5</v>
      </c>
      <c r="W499" s="14">
        <v>1</v>
      </c>
    </row>
    <row r="500" s="10" customFormat="1" hidden="1" customHeight="1" spans="1:23">
      <c r="A500" s="14">
        <v>9</v>
      </c>
      <c r="B500" s="174" t="s">
        <v>3159</v>
      </c>
      <c r="C500" s="174" t="s">
        <v>153</v>
      </c>
      <c r="D500" s="174" t="s">
        <v>3160</v>
      </c>
      <c r="E500" s="14">
        <v>15070024256</v>
      </c>
      <c r="F500" s="174" t="s">
        <v>268</v>
      </c>
      <c r="G500" s="174" t="s">
        <v>21</v>
      </c>
      <c r="H500" s="14">
        <v>202101022</v>
      </c>
      <c r="I500" s="174" t="s">
        <v>157</v>
      </c>
      <c r="J500" s="174" t="s">
        <v>827</v>
      </c>
      <c r="K500" s="174" t="s">
        <v>682</v>
      </c>
      <c r="L500" s="174" t="s">
        <v>170</v>
      </c>
      <c r="M500" s="174" t="s">
        <v>281</v>
      </c>
      <c r="N500" s="174" t="s">
        <v>2244</v>
      </c>
      <c r="O500" s="174" t="s">
        <v>3162</v>
      </c>
      <c r="P500" s="74" t="str">
        <f>_xlfn.DISPIMG("ID_2F448B7CE8524D1AA48554771DC3D4AB",1)</f>
        <v>=DISPIMG("ID_2F448B7CE8524D1AA48554771DC3D4AB",1)</v>
      </c>
      <c r="Q500" s="14" t="s">
        <v>3163</v>
      </c>
      <c r="R500" s="14">
        <v>392</v>
      </c>
      <c r="S500" s="78" t="s">
        <v>4824</v>
      </c>
      <c r="T500" s="19" t="s">
        <v>84</v>
      </c>
      <c r="U500" s="14">
        <v>2</v>
      </c>
      <c r="V500" s="14">
        <v>63</v>
      </c>
      <c r="W500" s="14">
        <v>2</v>
      </c>
    </row>
    <row r="501" s="34" customFormat="1" hidden="1" customHeight="1" spans="1:23">
      <c r="A501" s="25">
        <v>5</v>
      </c>
      <c r="B501" s="175" t="s">
        <v>2524</v>
      </c>
      <c r="C501" s="175" t="s">
        <v>153</v>
      </c>
      <c r="D501" s="175" t="s">
        <v>2525</v>
      </c>
      <c r="E501" s="25">
        <v>13133668154</v>
      </c>
      <c r="F501" s="175" t="s">
        <v>268</v>
      </c>
      <c r="G501" s="175" t="s">
        <v>21</v>
      </c>
      <c r="H501" s="25">
        <v>202101022</v>
      </c>
      <c r="I501" s="175" t="s">
        <v>157</v>
      </c>
      <c r="J501" s="175" t="s">
        <v>876</v>
      </c>
      <c r="K501" s="175" t="s">
        <v>682</v>
      </c>
      <c r="L501" s="175" t="s">
        <v>170</v>
      </c>
      <c r="M501" s="175" t="s">
        <v>180</v>
      </c>
      <c r="N501" s="175" t="s">
        <v>2527</v>
      </c>
      <c r="O501" s="175" t="s">
        <v>2528</v>
      </c>
      <c r="P501" s="26" t="str">
        <f>_xlfn.DISPIMG("ID_C8BB1148198145FCA2837FAC9D925FDE",1)</f>
        <v>=DISPIMG("ID_C8BB1148198145FCA2837FAC9D925FDE",1)</v>
      </c>
      <c r="Q501" s="25" t="s">
        <v>2529</v>
      </c>
      <c r="R501" s="25">
        <v>302</v>
      </c>
      <c r="S501" s="40" t="s">
        <v>4823</v>
      </c>
      <c r="T501" s="18" t="s">
        <v>84</v>
      </c>
      <c r="U501" s="25">
        <v>4</v>
      </c>
      <c r="V501" s="25">
        <v>55</v>
      </c>
      <c r="W501" s="25"/>
    </row>
    <row r="502" s="34" customFormat="1" hidden="1" customHeight="1" spans="1:23">
      <c r="A502" s="25">
        <v>3</v>
      </c>
      <c r="B502" s="175" t="s">
        <v>1590</v>
      </c>
      <c r="C502" s="175" t="s">
        <v>153</v>
      </c>
      <c r="D502" s="175" t="s">
        <v>1591</v>
      </c>
      <c r="E502" s="25">
        <v>19165078910</v>
      </c>
      <c r="F502" s="175" t="s">
        <v>268</v>
      </c>
      <c r="G502" s="175" t="s">
        <v>21</v>
      </c>
      <c r="H502" s="25">
        <v>202101022</v>
      </c>
      <c r="I502" s="175" t="s">
        <v>157</v>
      </c>
      <c r="J502" s="175" t="s">
        <v>827</v>
      </c>
      <c r="K502" s="175" t="s">
        <v>682</v>
      </c>
      <c r="L502" s="175" t="s">
        <v>170</v>
      </c>
      <c r="M502" s="175" t="s">
        <v>455</v>
      </c>
      <c r="N502" s="175" t="s">
        <v>1593</v>
      </c>
      <c r="O502" s="25">
        <v>0</v>
      </c>
      <c r="P502" s="26" t="str">
        <f>_xlfn.DISPIMG("ID_A40AE5361B8D44C884FA7CDADC74343E",1)</f>
        <v>=DISPIMG("ID_A40AE5361B8D44C884FA7CDADC74343E",1)</v>
      </c>
      <c r="Q502" s="25" t="s">
        <v>1594</v>
      </c>
      <c r="R502" s="25">
        <v>178</v>
      </c>
      <c r="S502" s="40" t="s">
        <v>4820</v>
      </c>
      <c r="T502" s="18" t="s">
        <v>84</v>
      </c>
      <c r="U502" s="25">
        <v>5</v>
      </c>
      <c r="V502" s="25">
        <v>44</v>
      </c>
      <c r="W502" s="25"/>
    </row>
    <row r="503" s="34" customFormat="1" hidden="1" customHeight="1" spans="1:23">
      <c r="A503" s="25">
        <v>7</v>
      </c>
      <c r="B503" s="175" t="s">
        <v>2969</v>
      </c>
      <c r="C503" s="175" t="s">
        <v>153</v>
      </c>
      <c r="D503" s="175" t="s">
        <v>2970</v>
      </c>
      <c r="E503" s="25">
        <v>18579193689</v>
      </c>
      <c r="F503" s="175" t="s">
        <v>268</v>
      </c>
      <c r="G503" s="175" t="s">
        <v>21</v>
      </c>
      <c r="H503" s="25">
        <v>202101022</v>
      </c>
      <c r="I503" s="175" t="s">
        <v>157</v>
      </c>
      <c r="J503" s="175" t="s">
        <v>827</v>
      </c>
      <c r="K503" s="175" t="s">
        <v>682</v>
      </c>
      <c r="L503" s="175" t="s">
        <v>170</v>
      </c>
      <c r="M503" s="175" t="s">
        <v>252</v>
      </c>
      <c r="N503" s="175" t="s">
        <v>2972</v>
      </c>
      <c r="O503" s="25">
        <v>0</v>
      </c>
      <c r="P503" s="26" t="str">
        <f>_xlfn.DISPIMG("ID_99E38CC0E4B2437A8E74F9D976F948B9",1)</f>
        <v>=DISPIMG("ID_99E38CC0E4B2437A8E74F9D976F948B9",1)</v>
      </c>
      <c r="Q503" s="25" t="s">
        <v>2973</v>
      </c>
      <c r="R503" s="25">
        <v>365</v>
      </c>
      <c r="S503" s="40" t="s">
        <v>4818</v>
      </c>
      <c r="T503" s="18" t="s">
        <v>84</v>
      </c>
      <c r="U503" s="25">
        <v>3</v>
      </c>
      <c r="V503" s="25">
        <v>0</v>
      </c>
      <c r="W503" s="25"/>
    </row>
    <row r="504" s="61" customFormat="1" hidden="1" customHeight="1" spans="1:23">
      <c r="A504" s="66">
        <v>14</v>
      </c>
      <c r="B504" s="182" t="s">
        <v>3751</v>
      </c>
      <c r="C504" s="182" t="s">
        <v>153</v>
      </c>
      <c r="D504" s="182" t="s">
        <v>3752</v>
      </c>
      <c r="E504" s="66">
        <v>15180696881</v>
      </c>
      <c r="F504" s="182" t="s">
        <v>384</v>
      </c>
      <c r="G504" s="182" t="s">
        <v>21</v>
      </c>
      <c r="H504" s="66">
        <v>202101023</v>
      </c>
      <c r="I504" s="182" t="s">
        <v>157</v>
      </c>
      <c r="J504" s="182" t="s">
        <v>827</v>
      </c>
      <c r="K504" s="182" t="s">
        <v>682</v>
      </c>
      <c r="L504" s="182" t="s">
        <v>170</v>
      </c>
      <c r="M504" s="182" t="s">
        <v>161</v>
      </c>
      <c r="N504" s="182" t="s">
        <v>3754</v>
      </c>
      <c r="O504" s="66">
        <v>0</v>
      </c>
      <c r="P504" s="67" t="str">
        <f>_xlfn.DISPIMG("ID_0C4C873C986C4E8A8DE913748576F208",1)</f>
        <v>=DISPIMG("ID_0C4C873C986C4E8A8DE913748576F208",1)</v>
      </c>
      <c r="Q504" s="66" t="s">
        <v>3755</v>
      </c>
      <c r="R504" s="66">
        <v>478</v>
      </c>
      <c r="S504" s="68" t="s">
        <v>4814</v>
      </c>
      <c r="T504" s="69" t="s">
        <v>84</v>
      </c>
      <c r="U504" s="66">
        <v>13</v>
      </c>
      <c r="V504" s="66">
        <v>77</v>
      </c>
      <c r="W504" s="66">
        <v>1</v>
      </c>
    </row>
    <row r="505" s="61" customFormat="1" hidden="1" customHeight="1" spans="1:23">
      <c r="A505" s="66">
        <v>13</v>
      </c>
      <c r="B505" s="182" t="s">
        <v>3699</v>
      </c>
      <c r="C505" s="182" t="s">
        <v>153</v>
      </c>
      <c r="D505" s="182" t="s">
        <v>3700</v>
      </c>
      <c r="E505" s="66">
        <v>18046710217</v>
      </c>
      <c r="F505" s="182" t="s">
        <v>384</v>
      </c>
      <c r="G505" s="182" t="s">
        <v>21</v>
      </c>
      <c r="H505" s="66">
        <v>202101023</v>
      </c>
      <c r="I505" s="182" t="s">
        <v>157</v>
      </c>
      <c r="J505" s="182" t="s">
        <v>233</v>
      </c>
      <c r="K505" s="182" t="s">
        <v>682</v>
      </c>
      <c r="L505" s="182" t="s">
        <v>170</v>
      </c>
      <c r="M505" s="182" t="s">
        <v>306</v>
      </c>
      <c r="N505" s="182" t="s">
        <v>1579</v>
      </c>
      <c r="O505" s="182" t="s">
        <v>3702</v>
      </c>
      <c r="P505" s="67" t="str">
        <f>_xlfn.DISPIMG("ID_E2F022B7DBF04DECBE980BB970833FC7",1)</f>
        <v>=DISPIMG("ID_E2F022B7DBF04DECBE980BB970833FC7",1)</v>
      </c>
      <c r="Q505" s="66" t="s">
        <v>3703</v>
      </c>
      <c r="R505" s="66">
        <v>471</v>
      </c>
      <c r="S505" s="68" t="s">
        <v>4811</v>
      </c>
      <c r="T505" s="69" t="s">
        <v>84</v>
      </c>
      <c r="U505" s="66">
        <v>12</v>
      </c>
      <c r="V505" s="66">
        <v>74.5</v>
      </c>
      <c r="W505" s="66">
        <v>2</v>
      </c>
    </row>
    <row r="506" s="61" customFormat="1" hidden="1" customHeight="1" spans="1:23">
      <c r="A506" s="66">
        <v>8</v>
      </c>
      <c r="B506" s="182" t="s">
        <v>3107</v>
      </c>
      <c r="C506" s="182" t="s">
        <v>165</v>
      </c>
      <c r="D506" s="182" t="s">
        <v>3108</v>
      </c>
      <c r="E506" s="66">
        <v>15070251262</v>
      </c>
      <c r="F506" s="182" t="s">
        <v>384</v>
      </c>
      <c r="G506" s="182" t="s">
        <v>21</v>
      </c>
      <c r="H506" s="66">
        <v>202101023</v>
      </c>
      <c r="I506" s="182" t="s">
        <v>157</v>
      </c>
      <c r="J506" s="182" t="s">
        <v>1203</v>
      </c>
      <c r="K506" s="182" t="s">
        <v>682</v>
      </c>
      <c r="L506" s="182" t="s">
        <v>170</v>
      </c>
      <c r="M506" s="182" t="s">
        <v>3110</v>
      </c>
      <c r="N506" s="182" t="s">
        <v>3111</v>
      </c>
      <c r="O506" s="182" t="s">
        <v>3112</v>
      </c>
      <c r="P506" s="67" t="str">
        <f>_xlfn.DISPIMG("ID_865FFCD2F6414202A972206BA39BAB94",1)</f>
        <v>=DISPIMG("ID_865FFCD2F6414202A972206BA39BAB94",1)</v>
      </c>
      <c r="Q506" s="66" t="s">
        <v>3113</v>
      </c>
      <c r="R506" s="66">
        <v>384</v>
      </c>
      <c r="S506" s="68" t="s">
        <v>4821</v>
      </c>
      <c r="T506" s="69" t="s">
        <v>84</v>
      </c>
      <c r="U506" s="66">
        <v>10</v>
      </c>
      <c r="V506" s="66">
        <v>70</v>
      </c>
      <c r="W506" s="66">
        <v>3</v>
      </c>
    </row>
    <row r="507" s="61" customFormat="1" hidden="1" customHeight="1" spans="1:23">
      <c r="A507" s="66">
        <v>6</v>
      </c>
      <c r="B507" s="182" t="s">
        <v>2539</v>
      </c>
      <c r="C507" s="182" t="s">
        <v>153</v>
      </c>
      <c r="D507" s="182" t="s">
        <v>2540</v>
      </c>
      <c r="E507" s="66">
        <v>18507928899</v>
      </c>
      <c r="F507" s="182" t="s">
        <v>384</v>
      </c>
      <c r="G507" s="182" t="s">
        <v>21</v>
      </c>
      <c r="H507" s="66">
        <v>202101023</v>
      </c>
      <c r="I507" s="182" t="s">
        <v>157</v>
      </c>
      <c r="J507" s="182" t="s">
        <v>876</v>
      </c>
      <c r="K507" s="182" t="s">
        <v>682</v>
      </c>
      <c r="L507" s="182" t="s">
        <v>170</v>
      </c>
      <c r="M507" s="182" t="s">
        <v>180</v>
      </c>
      <c r="N507" s="182" t="s">
        <v>2542</v>
      </c>
      <c r="O507" s="182" t="s">
        <v>2543</v>
      </c>
      <c r="P507" s="67" t="str">
        <f>_xlfn.DISPIMG("ID_718ACAD550894B0696EED0DE65C7554F",1)</f>
        <v>=DISPIMG("ID_718ACAD550894B0696EED0DE65C7554F",1)</v>
      </c>
      <c r="Q507" s="66" t="s">
        <v>2544</v>
      </c>
      <c r="R507" s="66">
        <v>304</v>
      </c>
      <c r="S507" s="68" t="s">
        <v>4825</v>
      </c>
      <c r="T507" s="69" t="s">
        <v>84</v>
      </c>
      <c r="U507" s="66">
        <v>9</v>
      </c>
      <c r="V507" s="66">
        <v>66</v>
      </c>
      <c r="W507" s="66">
        <v>4</v>
      </c>
    </row>
    <row r="508" s="34" customFormat="1" hidden="1" customHeight="1" spans="1:23">
      <c r="A508" s="25">
        <v>10</v>
      </c>
      <c r="B508" s="175" t="s">
        <v>3178</v>
      </c>
      <c r="C508" s="175" t="s">
        <v>153</v>
      </c>
      <c r="D508" s="175" t="s">
        <v>3179</v>
      </c>
      <c r="E508" s="25">
        <v>15257934004</v>
      </c>
      <c r="F508" s="175" t="s">
        <v>384</v>
      </c>
      <c r="G508" s="175" t="s">
        <v>21</v>
      </c>
      <c r="H508" s="25">
        <v>202101023</v>
      </c>
      <c r="I508" s="175" t="s">
        <v>157</v>
      </c>
      <c r="J508" s="175" t="s">
        <v>1258</v>
      </c>
      <c r="K508" s="175" t="s">
        <v>682</v>
      </c>
      <c r="L508" s="175" t="s">
        <v>170</v>
      </c>
      <c r="M508" s="175" t="s">
        <v>587</v>
      </c>
      <c r="N508" s="175" t="s">
        <v>1824</v>
      </c>
      <c r="O508" s="175" t="s">
        <v>3181</v>
      </c>
      <c r="P508" s="26" t="str">
        <f>_xlfn.DISPIMG("ID_D70CF13D201844A6B6408BAB9F88D034",1)</f>
        <v>=DISPIMG("ID_D70CF13D201844A6B6408BAB9F88D034",1)</v>
      </c>
      <c r="Q508" s="25" t="s">
        <v>3182</v>
      </c>
      <c r="R508" s="25">
        <v>395</v>
      </c>
      <c r="S508" s="40" t="s">
        <v>4826</v>
      </c>
      <c r="T508" s="18" t="s">
        <v>84</v>
      </c>
      <c r="U508" s="25">
        <v>11</v>
      </c>
      <c r="V508" s="25">
        <v>38</v>
      </c>
      <c r="W508" s="25">
        <v>5</v>
      </c>
    </row>
    <row r="509" s="34" customFormat="1" hidden="1" customHeight="1" spans="1:23">
      <c r="A509" s="25">
        <v>12</v>
      </c>
      <c r="B509" s="175" t="s">
        <v>3531</v>
      </c>
      <c r="C509" s="175" t="s">
        <v>153</v>
      </c>
      <c r="D509" s="175" t="s">
        <v>3532</v>
      </c>
      <c r="E509" s="25">
        <v>17687910769</v>
      </c>
      <c r="F509" s="175" t="s">
        <v>384</v>
      </c>
      <c r="G509" s="175" t="s">
        <v>21</v>
      </c>
      <c r="H509" s="25">
        <v>202101023</v>
      </c>
      <c r="I509" s="175" t="s">
        <v>157</v>
      </c>
      <c r="J509" s="175" t="s">
        <v>3518</v>
      </c>
      <c r="K509" s="175" t="s">
        <v>3534</v>
      </c>
      <c r="L509" s="175" t="s">
        <v>160</v>
      </c>
      <c r="M509" s="175" t="s">
        <v>455</v>
      </c>
      <c r="N509" s="175" t="s">
        <v>2462</v>
      </c>
      <c r="O509" s="25">
        <v>0</v>
      </c>
      <c r="P509" s="26" t="str">
        <f>_xlfn.DISPIMG("ID_B9B540B424394A6290A83DEC0AB8F385",1)</f>
        <v>=DISPIMG("ID_B9B540B424394A6290A83DEC0AB8F385",1)</v>
      </c>
      <c r="Q509" s="25" t="s">
        <v>3535</v>
      </c>
      <c r="R509" s="25">
        <v>448</v>
      </c>
      <c r="S509" s="40" t="s">
        <v>4810</v>
      </c>
      <c r="T509" s="18" t="s">
        <v>84</v>
      </c>
      <c r="U509" s="25">
        <v>1</v>
      </c>
      <c r="V509" s="25">
        <v>0</v>
      </c>
      <c r="W509" s="25"/>
    </row>
    <row r="510" s="34" customFormat="1" hidden="1" customHeight="1" spans="1:23">
      <c r="A510" s="25">
        <v>1</v>
      </c>
      <c r="B510" s="175" t="s">
        <v>679</v>
      </c>
      <c r="C510" s="175" t="s">
        <v>165</v>
      </c>
      <c r="D510" s="175" t="s">
        <v>680</v>
      </c>
      <c r="E510" s="25">
        <v>15079252278</v>
      </c>
      <c r="F510" s="175" t="s">
        <v>384</v>
      </c>
      <c r="G510" s="175" t="s">
        <v>21</v>
      </c>
      <c r="H510" s="25">
        <v>202101023</v>
      </c>
      <c r="I510" s="175" t="s">
        <v>157</v>
      </c>
      <c r="J510" s="175" t="s">
        <v>233</v>
      </c>
      <c r="K510" s="175" t="s">
        <v>682</v>
      </c>
      <c r="L510" s="175" t="s">
        <v>170</v>
      </c>
      <c r="M510" s="175" t="s">
        <v>261</v>
      </c>
      <c r="N510" s="175" t="s">
        <v>683</v>
      </c>
      <c r="O510" s="25">
        <v>0</v>
      </c>
      <c r="P510" s="26" t="str">
        <f>_xlfn.DISPIMG("ID_6F0A1E5B97CE4F0C8967B602A8189E7F",1)</f>
        <v>=DISPIMG("ID_6F0A1E5B97CE4F0C8967B602A8189E7F",1)</v>
      </c>
      <c r="Q510" s="25" t="s">
        <v>684</v>
      </c>
      <c r="R510" s="25">
        <v>63</v>
      </c>
      <c r="S510" s="40" t="s">
        <v>4817</v>
      </c>
      <c r="T510" s="18" t="s">
        <v>84</v>
      </c>
      <c r="U510" s="25">
        <v>6</v>
      </c>
      <c r="V510" s="25">
        <v>0</v>
      </c>
      <c r="W510" s="25"/>
    </row>
    <row r="511" s="34" customFormat="1" hidden="1" customHeight="1" spans="1:23">
      <c r="A511" s="25">
        <v>4</v>
      </c>
      <c r="B511" s="175" t="s">
        <v>1737</v>
      </c>
      <c r="C511" s="175" t="s">
        <v>153</v>
      </c>
      <c r="D511" s="175" t="s">
        <v>1738</v>
      </c>
      <c r="E511" s="25">
        <v>19815092923</v>
      </c>
      <c r="F511" s="175" t="s">
        <v>384</v>
      </c>
      <c r="G511" s="175" t="s">
        <v>21</v>
      </c>
      <c r="H511" s="25">
        <v>202101023</v>
      </c>
      <c r="I511" s="175" t="s">
        <v>157</v>
      </c>
      <c r="J511" s="175" t="s">
        <v>1740</v>
      </c>
      <c r="K511" s="175" t="s">
        <v>682</v>
      </c>
      <c r="L511" s="175" t="s">
        <v>170</v>
      </c>
      <c r="M511" s="175" t="s">
        <v>281</v>
      </c>
      <c r="N511" s="175" t="s">
        <v>21</v>
      </c>
      <c r="O511" s="25">
        <v>0</v>
      </c>
      <c r="P511" s="26" t="str">
        <f>_xlfn.DISPIMG("ID_5626D0773278487D84DF299D01619D61",1)</f>
        <v>=DISPIMG("ID_5626D0773278487D84DF299D01619D61",1)</v>
      </c>
      <c r="Q511" s="25" t="s">
        <v>1741</v>
      </c>
      <c r="R511" s="25">
        <v>197</v>
      </c>
      <c r="S511" s="40" t="s">
        <v>4822</v>
      </c>
      <c r="T511" s="18" t="s">
        <v>84</v>
      </c>
      <c r="U511" s="25">
        <v>8</v>
      </c>
      <c r="V511" s="25">
        <v>0</v>
      </c>
      <c r="W511" s="25"/>
    </row>
    <row r="512" s="34" customFormat="1" hidden="1" customHeight="1" spans="1:23">
      <c r="A512" s="25">
        <v>11</v>
      </c>
      <c r="B512" s="175" t="s">
        <v>2831</v>
      </c>
      <c r="C512" s="175" t="s">
        <v>165</v>
      </c>
      <c r="D512" s="175" t="s">
        <v>3200</v>
      </c>
      <c r="E512" s="25">
        <v>15079253920</v>
      </c>
      <c r="F512" s="175" t="s">
        <v>384</v>
      </c>
      <c r="G512" s="175" t="s">
        <v>21</v>
      </c>
      <c r="H512" s="25">
        <v>202101023</v>
      </c>
      <c r="I512" s="175" t="s">
        <v>157</v>
      </c>
      <c r="J512" s="175" t="s">
        <v>1413</v>
      </c>
      <c r="K512" s="175" t="s">
        <v>682</v>
      </c>
      <c r="L512" s="175" t="s">
        <v>170</v>
      </c>
      <c r="M512" s="175" t="s">
        <v>261</v>
      </c>
      <c r="N512" s="175" t="s">
        <v>1824</v>
      </c>
      <c r="O512" s="25">
        <v>0</v>
      </c>
      <c r="P512" s="26" t="str">
        <f>_xlfn.DISPIMG("ID_6FA15DDD4AA745CAA44305EB8A7C29E0",1)</f>
        <v>=DISPIMG("ID_6FA15DDD4AA745CAA44305EB8A7C29E0",1)</v>
      </c>
      <c r="Q512" s="25" t="s">
        <v>4312</v>
      </c>
      <c r="R512" s="25">
        <v>398</v>
      </c>
      <c r="S512" s="40" t="s">
        <v>4827</v>
      </c>
      <c r="T512" s="18" t="s">
        <v>84</v>
      </c>
      <c r="U512" s="25">
        <v>14</v>
      </c>
      <c r="V512" s="25">
        <v>0</v>
      </c>
      <c r="W512" s="25"/>
    </row>
    <row r="513" s="61" customFormat="1" hidden="1" customHeight="1" spans="1:23">
      <c r="A513" s="66">
        <v>18</v>
      </c>
      <c r="B513" s="182" t="s">
        <v>4051</v>
      </c>
      <c r="C513" s="182" t="s">
        <v>153</v>
      </c>
      <c r="D513" s="182" t="s">
        <v>4052</v>
      </c>
      <c r="E513" s="66">
        <v>15170932237</v>
      </c>
      <c r="F513" s="182" t="s">
        <v>384</v>
      </c>
      <c r="G513" s="182" t="s">
        <v>23</v>
      </c>
      <c r="H513" s="66">
        <v>202101025</v>
      </c>
      <c r="I513" s="182" t="s">
        <v>157</v>
      </c>
      <c r="J513" s="182" t="s">
        <v>269</v>
      </c>
      <c r="K513" s="182" t="s">
        <v>1147</v>
      </c>
      <c r="L513" s="182" t="s">
        <v>170</v>
      </c>
      <c r="M513" s="182" t="s">
        <v>235</v>
      </c>
      <c r="N513" s="182" t="s">
        <v>4053</v>
      </c>
      <c r="O513" s="182" t="s">
        <v>4054</v>
      </c>
      <c r="P513" s="67" t="str">
        <f>_xlfn.DISPIMG("ID_D924765B597248FDA57FB5DFF006BD17",1)</f>
        <v>=DISPIMG("ID_D924765B597248FDA57FB5DFF006BD17",1)</v>
      </c>
      <c r="Q513" s="66" t="s">
        <v>4055</v>
      </c>
      <c r="R513" s="66">
        <v>518</v>
      </c>
      <c r="S513" s="68" t="s">
        <v>4830</v>
      </c>
      <c r="T513" s="69" t="s">
        <v>84</v>
      </c>
      <c r="U513" s="66">
        <v>15</v>
      </c>
      <c r="V513" s="66">
        <v>63</v>
      </c>
      <c r="W513" s="66">
        <v>1</v>
      </c>
    </row>
    <row r="514" s="34" customFormat="1" hidden="1" customHeight="1" spans="1:23">
      <c r="A514" s="25">
        <v>17</v>
      </c>
      <c r="B514" s="175" t="s">
        <v>4028</v>
      </c>
      <c r="C514" s="175" t="s">
        <v>165</v>
      </c>
      <c r="D514" s="175" t="s">
        <v>4029</v>
      </c>
      <c r="E514" s="25">
        <v>13820505031</v>
      </c>
      <c r="F514" s="175" t="s">
        <v>384</v>
      </c>
      <c r="G514" s="175" t="s">
        <v>23</v>
      </c>
      <c r="H514" s="25">
        <v>202101025</v>
      </c>
      <c r="I514" s="175" t="s">
        <v>157</v>
      </c>
      <c r="J514" s="175" t="s">
        <v>3737</v>
      </c>
      <c r="K514" s="175" t="s">
        <v>1616</v>
      </c>
      <c r="L514" s="175" t="s">
        <v>170</v>
      </c>
      <c r="M514" s="175" t="s">
        <v>235</v>
      </c>
      <c r="N514" s="175" t="s">
        <v>4031</v>
      </c>
      <c r="O514" s="175" t="s">
        <v>4032</v>
      </c>
      <c r="P514" s="26" t="str">
        <f>_xlfn.DISPIMG("ID_4D845800D3864A2B99D106DDD9FD3F5D",1)</f>
        <v>=DISPIMG("ID_4D845800D3864A2B99D106DDD9FD3F5D",1)</v>
      </c>
      <c r="Q514" s="25" t="s">
        <v>4033</v>
      </c>
      <c r="R514" s="25">
        <v>515</v>
      </c>
      <c r="S514" s="40" t="s">
        <v>4829</v>
      </c>
      <c r="T514" s="18" t="s">
        <v>84</v>
      </c>
      <c r="U514" s="25">
        <v>16</v>
      </c>
      <c r="V514" s="25">
        <v>0</v>
      </c>
      <c r="W514" s="25"/>
    </row>
    <row r="515" s="34" customFormat="1" hidden="1" customHeight="1" spans="1:23">
      <c r="A515" s="25">
        <v>15</v>
      </c>
      <c r="B515" s="175" t="s">
        <v>1143</v>
      </c>
      <c r="C515" s="175" t="s">
        <v>165</v>
      </c>
      <c r="D515" s="175" t="s">
        <v>1144</v>
      </c>
      <c r="E515" s="25">
        <v>15777198130</v>
      </c>
      <c r="F515" s="175" t="s">
        <v>384</v>
      </c>
      <c r="G515" s="175" t="s">
        <v>23</v>
      </c>
      <c r="H515" s="25">
        <v>202101025</v>
      </c>
      <c r="I515" s="175" t="s">
        <v>157</v>
      </c>
      <c r="J515" s="175" t="s">
        <v>1146</v>
      </c>
      <c r="K515" s="175" t="s">
        <v>1147</v>
      </c>
      <c r="L515" s="175" t="s">
        <v>170</v>
      </c>
      <c r="M515" s="175" t="s">
        <v>455</v>
      </c>
      <c r="N515" s="175" t="s">
        <v>1148</v>
      </c>
      <c r="O515" s="175" t="s">
        <v>1149</v>
      </c>
      <c r="P515" s="26" t="str">
        <f>_xlfn.DISPIMG("ID_0415E10C85C94C988A22FA5D4842DE09",1)</f>
        <v>=DISPIMG("ID_0415E10C85C94C988A22FA5D4842DE09",1)</v>
      </c>
      <c r="Q515" s="25" t="s">
        <v>1150</v>
      </c>
      <c r="R515" s="25">
        <v>120</v>
      </c>
      <c r="S515" s="40" t="s">
        <v>4815</v>
      </c>
      <c r="T515" s="18" t="s">
        <v>84</v>
      </c>
      <c r="U515" s="25">
        <v>18</v>
      </c>
      <c r="V515" s="25">
        <v>0</v>
      </c>
      <c r="W515" s="25"/>
    </row>
    <row r="516" s="63" customFormat="1" hidden="1" customHeight="1" spans="1:23">
      <c r="A516" s="66">
        <v>16</v>
      </c>
      <c r="B516" s="184" t="s">
        <v>2036</v>
      </c>
      <c r="C516" s="184" t="s">
        <v>165</v>
      </c>
      <c r="D516" s="182" t="s">
        <v>2037</v>
      </c>
      <c r="E516" s="66">
        <v>17770040821</v>
      </c>
      <c r="F516" s="184" t="s">
        <v>297</v>
      </c>
      <c r="G516" s="184" t="s">
        <v>23</v>
      </c>
      <c r="H516" s="77">
        <v>202101031</v>
      </c>
      <c r="I516" s="182" t="s">
        <v>157</v>
      </c>
      <c r="J516" s="182" t="s">
        <v>2039</v>
      </c>
      <c r="K516" s="182" t="s">
        <v>1147</v>
      </c>
      <c r="L516" s="182" t="s">
        <v>170</v>
      </c>
      <c r="M516" s="182" t="s">
        <v>368</v>
      </c>
      <c r="N516" s="182" t="s">
        <v>23</v>
      </c>
      <c r="O516" s="182" t="s">
        <v>2040</v>
      </c>
      <c r="P516" s="67" t="str">
        <f>_xlfn.DISPIMG("ID_99E16B0934D843998C9152B322CD2339",1)</f>
        <v>=DISPIMG("ID_99E16B0934D843998C9152B322CD2339",1)</v>
      </c>
      <c r="Q516" s="66" t="s">
        <v>2041</v>
      </c>
      <c r="R516" s="66">
        <v>237</v>
      </c>
      <c r="S516" s="79" t="s">
        <v>4828</v>
      </c>
      <c r="T516" s="80" t="s">
        <v>84</v>
      </c>
      <c r="U516" s="77">
        <v>17</v>
      </c>
      <c r="V516" s="77">
        <v>83</v>
      </c>
      <c r="W516" s="77">
        <v>1</v>
      </c>
    </row>
    <row r="517" s="34" customFormat="1" hidden="1" customHeight="1" spans="1:23">
      <c r="A517" s="25">
        <v>19</v>
      </c>
      <c r="B517" s="175" t="s">
        <v>4142</v>
      </c>
      <c r="C517" s="175" t="s">
        <v>153</v>
      </c>
      <c r="D517" s="175" t="s">
        <v>4143</v>
      </c>
      <c r="E517" s="25">
        <v>13330123354</v>
      </c>
      <c r="F517" s="175" t="s">
        <v>297</v>
      </c>
      <c r="G517" s="167" t="s">
        <v>30</v>
      </c>
      <c r="H517" s="25">
        <v>202101032</v>
      </c>
      <c r="I517" s="175" t="s">
        <v>705</v>
      </c>
      <c r="J517" s="175" t="s">
        <v>4145</v>
      </c>
      <c r="K517" s="175" t="s">
        <v>4146</v>
      </c>
      <c r="L517" s="175" t="s">
        <v>160</v>
      </c>
      <c r="M517" s="175" t="s">
        <v>235</v>
      </c>
      <c r="N517" s="175" t="s">
        <v>4147</v>
      </c>
      <c r="O517" s="175" t="s">
        <v>4148</v>
      </c>
      <c r="P517" s="26" t="str">
        <f>_xlfn.DISPIMG("ID_28A32B60C96343E48DA79AC0817DB8B2",1)</f>
        <v>=DISPIMG("ID_28A32B60C96343E48DA79AC0817DB8B2",1)</v>
      </c>
      <c r="Q517" s="25" t="s">
        <v>4149</v>
      </c>
      <c r="R517" s="25">
        <v>530</v>
      </c>
      <c r="S517" s="40" t="s">
        <v>4831</v>
      </c>
      <c r="T517" s="18" t="s">
        <v>84</v>
      </c>
      <c r="U517" s="25">
        <v>19</v>
      </c>
      <c r="V517" s="25">
        <v>0</v>
      </c>
      <c r="W517" s="25"/>
    </row>
  </sheetData>
  <sheetProtection formatCells="0" insertHyperlinks="0" autoFilter="0"/>
  <autoFilter ref="A2:XFD517">
    <filterColumn colId="6">
      <customFilters>
        <customFilter operator="equal" val="初中化学"/>
      </customFilters>
    </filterColumn>
    <extLst/>
  </autoFilter>
  <sortState ref="A513:XFC516">
    <sortCondition ref="H513:H516"/>
  </sortState>
  <mergeCells count="1">
    <mergeCell ref="A1:V1"/>
  </mergeCells>
  <printOptions horizontalCentered="1"/>
  <pageMargins left="0.554861111111111" right="0.554861111111111" top="0.802777777777778" bottom="0.802777777777778" header="0.5" footer="0.5"/>
  <pageSetup paperSize="9" orientation="portrait" horizontalDpi="600"/>
  <headerFooter>
    <oddFooter>&amp;C登分人签字：</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2"/>
  <sheetViews>
    <sheetView tabSelected="1" workbookViewId="0">
      <pane xSplit="1" ySplit="3" topLeftCell="B4" activePane="bottomRight" state="frozen"/>
      <selection/>
      <selection pane="topRight"/>
      <selection pane="bottomLeft"/>
      <selection pane="bottomRight" activeCell="J9" sqref="J9"/>
    </sheetView>
  </sheetViews>
  <sheetFormatPr defaultColWidth="9" defaultRowHeight="22.5" customHeight="1" outlineLevelCol="6"/>
  <cols>
    <col min="1" max="1" width="5.87962962962963" style="43" hidden="1" customWidth="1"/>
    <col min="2" max="2" width="20.8888888888889" style="43" customWidth="1"/>
    <col min="3" max="3" width="15.2222222222222" style="43" customWidth="1"/>
    <col min="4" max="4" width="20.2222222222222" style="43" customWidth="1"/>
    <col min="5" max="5" width="16.8888888888889" style="43" customWidth="1"/>
    <col min="6" max="16346" width="9" style="43" customWidth="1"/>
    <col min="16347" max="16384" width="9" style="44"/>
  </cols>
  <sheetData>
    <row r="1" customHeight="1" spans="2:5">
      <c r="B1" s="45" t="s">
        <v>4860</v>
      </c>
      <c r="C1" s="45"/>
      <c r="D1" s="45"/>
      <c r="E1" s="45"/>
    </row>
    <row r="2" ht="30" customHeight="1" spans="2:7">
      <c r="B2" s="46" t="s">
        <v>4861</v>
      </c>
      <c r="C2" s="46"/>
      <c r="D2" s="46"/>
      <c r="E2" s="46"/>
      <c r="F2" s="46"/>
      <c r="G2" s="46"/>
    </row>
    <row r="3" s="41" customFormat="1" ht="32" customHeight="1" spans="1:7">
      <c r="A3" s="47" t="s">
        <v>116</v>
      </c>
      <c r="B3" s="47" t="s">
        <v>138</v>
      </c>
      <c r="C3" s="47" t="s">
        <v>1</v>
      </c>
      <c r="D3" s="47" t="s">
        <v>4862</v>
      </c>
      <c r="E3" s="48" t="s">
        <v>4863</v>
      </c>
      <c r="F3" s="48" t="s">
        <v>4864</v>
      </c>
      <c r="G3" s="49" t="s">
        <v>4865</v>
      </c>
    </row>
    <row r="4" s="41" customFormat="1" customHeight="1" spans="1:7">
      <c r="A4" s="50">
        <v>22</v>
      </c>
      <c r="B4" s="185" t="s">
        <v>376</v>
      </c>
      <c r="C4" s="185" t="s">
        <v>586</v>
      </c>
      <c r="D4" s="51" t="s">
        <v>4866</v>
      </c>
      <c r="E4" s="52">
        <v>88.9</v>
      </c>
      <c r="F4" s="53">
        <v>1.022</v>
      </c>
      <c r="G4" s="54">
        <f t="shared" ref="G4:G67" si="0">E4*F4</f>
        <v>90.8558</v>
      </c>
    </row>
    <row r="5" s="41" customFormat="1" customHeight="1" spans="1:7">
      <c r="A5" s="50">
        <v>15</v>
      </c>
      <c r="B5" s="185" t="s">
        <v>376</v>
      </c>
      <c r="C5" s="185" t="s">
        <v>586</v>
      </c>
      <c r="D5" s="51" t="s">
        <v>4867</v>
      </c>
      <c r="E5" s="55">
        <v>87.4</v>
      </c>
      <c r="F5" s="53">
        <v>1.022</v>
      </c>
      <c r="G5" s="54">
        <f t="shared" si="0"/>
        <v>89.3228</v>
      </c>
    </row>
    <row r="6" s="41" customFormat="1" customHeight="1" spans="1:7">
      <c r="A6" s="50">
        <v>30</v>
      </c>
      <c r="B6" s="185" t="s">
        <v>376</v>
      </c>
      <c r="C6" s="185" t="s">
        <v>586</v>
      </c>
      <c r="D6" s="51" t="s">
        <v>4868</v>
      </c>
      <c r="E6" s="55">
        <v>88.4</v>
      </c>
      <c r="F6" s="53">
        <v>1.022</v>
      </c>
      <c r="G6" s="54">
        <f t="shared" si="0"/>
        <v>90.3448</v>
      </c>
    </row>
    <row r="7" s="41" customFormat="1" customHeight="1" spans="1:7">
      <c r="A7" s="50">
        <v>3</v>
      </c>
      <c r="B7" s="185" t="s">
        <v>376</v>
      </c>
      <c r="C7" s="185" t="s">
        <v>586</v>
      </c>
      <c r="D7" s="51" t="s">
        <v>4869</v>
      </c>
      <c r="E7" s="55">
        <v>85.4</v>
      </c>
      <c r="F7" s="53">
        <v>1.022</v>
      </c>
      <c r="G7" s="54">
        <f t="shared" si="0"/>
        <v>87.2788</v>
      </c>
    </row>
    <row r="8" s="41" customFormat="1" customHeight="1" spans="1:7">
      <c r="A8" s="50">
        <v>5</v>
      </c>
      <c r="B8" s="185" t="s">
        <v>376</v>
      </c>
      <c r="C8" s="185" t="s">
        <v>586</v>
      </c>
      <c r="D8" s="51" t="s">
        <v>4870</v>
      </c>
      <c r="E8" s="55">
        <v>88</v>
      </c>
      <c r="F8" s="53">
        <v>1.022</v>
      </c>
      <c r="G8" s="56">
        <f t="shared" si="0"/>
        <v>89.936</v>
      </c>
    </row>
    <row r="9" s="41" customFormat="1" customHeight="1" spans="1:7">
      <c r="A9" s="50">
        <v>5</v>
      </c>
      <c r="B9" s="185" t="s">
        <v>376</v>
      </c>
      <c r="C9" s="185" t="s">
        <v>586</v>
      </c>
      <c r="D9" s="51" t="s">
        <v>4871</v>
      </c>
      <c r="E9" s="55">
        <v>86.7</v>
      </c>
      <c r="F9" s="53">
        <v>1.022</v>
      </c>
      <c r="G9" s="56">
        <f t="shared" si="0"/>
        <v>88.6074</v>
      </c>
    </row>
    <row r="10" s="41" customFormat="1" customHeight="1" spans="1:7">
      <c r="A10" s="50">
        <v>19</v>
      </c>
      <c r="B10" s="185" t="s">
        <v>376</v>
      </c>
      <c r="C10" s="185" t="s">
        <v>586</v>
      </c>
      <c r="D10" s="51" t="s">
        <v>4872</v>
      </c>
      <c r="E10" s="55">
        <v>82.4</v>
      </c>
      <c r="F10" s="53">
        <v>1.022</v>
      </c>
      <c r="G10" s="54">
        <f t="shared" si="0"/>
        <v>84.2128</v>
      </c>
    </row>
    <row r="11" s="41" customFormat="1" customHeight="1" spans="1:7">
      <c r="A11" s="50">
        <v>3</v>
      </c>
      <c r="B11" s="185" t="s">
        <v>376</v>
      </c>
      <c r="C11" s="185" t="s">
        <v>586</v>
      </c>
      <c r="D11" s="51" t="s">
        <v>4873</v>
      </c>
      <c r="E11" s="55">
        <v>87.5</v>
      </c>
      <c r="F11" s="53">
        <v>1.022</v>
      </c>
      <c r="G11" s="54">
        <f t="shared" si="0"/>
        <v>89.425</v>
      </c>
    </row>
    <row r="12" s="41" customFormat="1" customHeight="1" spans="1:7">
      <c r="A12" s="50">
        <v>2</v>
      </c>
      <c r="B12" s="185" t="s">
        <v>376</v>
      </c>
      <c r="C12" s="185" t="s">
        <v>586</v>
      </c>
      <c r="D12" s="51" t="s">
        <v>4874</v>
      </c>
      <c r="E12" s="55">
        <v>91.56</v>
      </c>
      <c r="F12" s="53">
        <v>0.999</v>
      </c>
      <c r="G12" s="54">
        <f t="shared" si="0"/>
        <v>91.46844</v>
      </c>
    </row>
    <row r="13" s="41" customFormat="1" customHeight="1" spans="1:7">
      <c r="A13" s="50">
        <v>14</v>
      </c>
      <c r="B13" s="185" t="s">
        <v>376</v>
      </c>
      <c r="C13" s="185" t="s">
        <v>586</v>
      </c>
      <c r="D13" s="51" t="s">
        <v>4875</v>
      </c>
      <c r="E13" s="55">
        <v>84.88</v>
      </c>
      <c r="F13" s="53">
        <v>1.022</v>
      </c>
      <c r="G13" s="54">
        <f t="shared" si="0"/>
        <v>86.74736</v>
      </c>
    </row>
    <row r="14" s="41" customFormat="1" customHeight="1" spans="1:7">
      <c r="A14" s="50">
        <v>18</v>
      </c>
      <c r="B14" s="185" t="s">
        <v>376</v>
      </c>
      <c r="C14" s="185" t="s">
        <v>586</v>
      </c>
      <c r="D14" s="51" t="s">
        <v>4876</v>
      </c>
      <c r="E14" s="55">
        <v>89.26</v>
      </c>
      <c r="F14" s="53">
        <v>0.999</v>
      </c>
      <c r="G14" s="54">
        <f t="shared" si="0"/>
        <v>89.17074</v>
      </c>
    </row>
    <row r="15" s="41" customFormat="1" customHeight="1" spans="1:7">
      <c r="A15" s="50">
        <v>5</v>
      </c>
      <c r="B15" s="185" t="s">
        <v>376</v>
      </c>
      <c r="C15" s="185" t="s">
        <v>586</v>
      </c>
      <c r="D15" s="51" t="s">
        <v>4877</v>
      </c>
      <c r="E15" s="55">
        <v>92.9</v>
      </c>
      <c r="F15" s="53">
        <v>0.986</v>
      </c>
      <c r="G15" s="54">
        <f t="shared" si="0"/>
        <v>91.5994</v>
      </c>
    </row>
    <row r="16" s="41" customFormat="1" customHeight="1" spans="1:7">
      <c r="A16" s="50">
        <v>24</v>
      </c>
      <c r="B16" s="185" t="s">
        <v>376</v>
      </c>
      <c r="C16" s="185" t="s">
        <v>586</v>
      </c>
      <c r="D16" s="51" t="s">
        <v>4878</v>
      </c>
      <c r="E16" s="55">
        <v>85.64</v>
      </c>
      <c r="F16" s="53">
        <v>1.022</v>
      </c>
      <c r="G16" s="54">
        <f t="shared" si="0"/>
        <v>87.52408</v>
      </c>
    </row>
    <row r="17" s="41" customFormat="1" customHeight="1" spans="1:7">
      <c r="A17" s="50">
        <v>3</v>
      </c>
      <c r="B17" s="185" t="s">
        <v>376</v>
      </c>
      <c r="C17" s="185" t="s">
        <v>586</v>
      </c>
      <c r="D17" s="51" t="s">
        <v>4879</v>
      </c>
      <c r="E17" s="55">
        <v>84.46</v>
      </c>
      <c r="F17" s="53">
        <v>1.022</v>
      </c>
      <c r="G17" s="54">
        <f t="shared" si="0"/>
        <v>86.31812</v>
      </c>
    </row>
    <row r="18" s="41" customFormat="1" customHeight="1" spans="1:7">
      <c r="A18" s="50">
        <v>17</v>
      </c>
      <c r="B18" s="185" t="s">
        <v>376</v>
      </c>
      <c r="C18" s="185" t="s">
        <v>586</v>
      </c>
      <c r="D18" s="51" t="s">
        <v>4880</v>
      </c>
      <c r="E18" s="55">
        <v>86.2</v>
      </c>
      <c r="F18" s="53">
        <v>1.022</v>
      </c>
      <c r="G18" s="54">
        <f t="shared" si="0"/>
        <v>88.0964</v>
      </c>
    </row>
    <row r="19" s="41" customFormat="1" customHeight="1" spans="1:7">
      <c r="A19" s="50">
        <v>3</v>
      </c>
      <c r="B19" s="185" t="s">
        <v>376</v>
      </c>
      <c r="C19" s="185" t="s">
        <v>586</v>
      </c>
      <c r="D19" s="51" t="s">
        <v>4881</v>
      </c>
      <c r="E19" s="55">
        <v>93</v>
      </c>
      <c r="F19" s="53">
        <v>0.986</v>
      </c>
      <c r="G19" s="54">
        <f t="shared" si="0"/>
        <v>91.698</v>
      </c>
    </row>
    <row r="20" s="41" customFormat="1" customHeight="1" spans="1:7">
      <c r="A20" s="50">
        <v>24</v>
      </c>
      <c r="B20" s="185" t="s">
        <v>376</v>
      </c>
      <c r="C20" s="185" t="s">
        <v>586</v>
      </c>
      <c r="D20" s="51" t="s">
        <v>4882</v>
      </c>
      <c r="E20" s="55">
        <v>88.86</v>
      </c>
      <c r="F20" s="53">
        <v>0.999</v>
      </c>
      <c r="G20" s="54">
        <f t="shared" si="0"/>
        <v>88.77114</v>
      </c>
    </row>
    <row r="21" s="41" customFormat="1" customHeight="1" spans="1:7">
      <c r="A21" s="50">
        <v>14</v>
      </c>
      <c r="B21" s="185" t="s">
        <v>376</v>
      </c>
      <c r="C21" s="185" t="s">
        <v>586</v>
      </c>
      <c r="D21" s="51" t="s">
        <v>4883</v>
      </c>
      <c r="E21" s="55">
        <v>90.28</v>
      </c>
      <c r="F21" s="53">
        <v>0.999</v>
      </c>
      <c r="G21" s="54">
        <f t="shared" si="0"/>
        <v>90.18972</v>
      </c>
    </row>
    <row r="22" s="41" customFormat="1" customHeight="1" spans="1:7">
      <c r="A22" s="50">
        <v>19</v>
      </c>
      <c r="B22" s="185" t="s">
        <v>376</v>
      </c>
      <c r="C22" s="185" t="s">
        <v>586</v>
      </c>
      <c r="D22" s="51" t="s">
        <v>4884</v>
      </c>
      <c r="E22" s="55">
        <v>89.8</v>
      </c>
      <c r="F22" s="53">
        <v>0.999</v>
      </c>
      <c r="G22" s="54">
        <f t="shared" si="0"/>
        <v>89.7102</v>
      </c>
    </row>
    <row r="23" s="41" customFormat="1" customHeight="1" spans="1:7">
      <c r="A23" s="50">
        <v>17</v>
      </c>
      <c r="B23" s="185" t="s">
        <v>376</v>
      </c>
      <c r="C23" s="185" t="s">
        <v>586</v>
      </c>
      <c r="D23" s="51" t="s">
        <v>4885</v>
      </c>
      <c r="E23" s="55">
        <v>84</v>
      </c>
      <c r="F23" s="53">
        <v>1.022</v>
      </c>
      <c r="G23" s="54">
        <f t="shared" si="0"/>
        <v>85.848</v>
      </c>
    </row>
    <row r="24" s="41" customFormat="1" customHeight="1" spans="1:7">
      <c r="A24" s="50">
        <v>6</v>
      </c>
      <c r="B24" s="185" t="s">
        <v>376</v>
      </c>
      <c r="C24" s="185" t="s">
        <v>586</v>
      </c>
      <c r="D24" s="51" t="s">
        <v>4886</v>
      </c>
      <c r="E24" s="55">
        <v>88.8</v>
      </c>
      <c r="F24" s="53">
        <v>0.999</v>
      </c>
      <c r="G24" s="54">
        <f t="shared" si="0"/>
        <v>88.7112</v>
      </c>
    </row>
    <row r="25" s="41" customFormat="1" customHeight="1" spans="1:7">
      <c r="A25" s="50">
        <v>2</v>
      </c>
      <c r="B25" s="185" t="s">
        <v>376</v>
      </c>
      <c r="C25" s="185" t="s">
        <v>586</v>
      </c>
      <c r="D25" s="51" t="s">
        <v>4887</v>
      </c>
      <c r="E25" s="55">
        <v>88.52</v>
      </c>
      <c r="F25" s="53">
        <v>0.999</v>
      </c>
      <c r="G25" s="54">
        <f t="shared" si="0"/>
        <v>88.43148</v>
      </c>
    </row>
    <row r="26" s="41" customFormat="1" customHeight="1" spans="1:7">
      <c r="A26" s="50">
        <v>1</v>
      </c>
      <c r="B26" s="185" t="s">
        <v>376</v>
      </c>
      <c r="C26" s="185" t="s">
        <v>586</v>
      </c>
      <c r="D26" s="51" t="s">
        <v>4888</v>
      </c>
      <c r="E26" s="55">
        <v>88.76</v>
      </c>
      <c r="F26" s="53">
        <v>0.999</v>
      </c>
      <c r="G26" s="54">
        <f t="shared" si="0"/>
        <v>88.67124</v>
      </c>
    </row>
    <row r="27" s="41" customFormat="1" customHeight="1" spans="1:7">
      <c r="A27" s="50">
        <v>21</v>
      </c>
      <c r="B27" s="185" t="s">
        <v>376</v>
      </c>
      <c r="C27" s="185" t="s">
        <v>586</v>
      </c>
      <c r="D27" s="51" t="s">
        <v>4889</v>
      </c>
      <c r="E27" s="55">
        <v>91.9</v>
      </c>
      <c r="F27" s="53">
        <v>0.986</v>
      </c>
      <c r="G27" s="54">
        <f t="shared" si="0"/>
        <v>90.6134</v>
      </c>
    </row>
    <row r="28" s="41" customFormat="1" customHeight="1" spans="1:7">
      <c r="A28" s="50">
        <v>7</v>
      </c>
      <c r="B28" s="185" t="s">
        <v>376</v>
      </c>
      <c r="C28" s="185" t="s">
        <v>586</v>
      </c>
      <c r="D28" s="51" t="s">
        <v>4890</v>
      </c>
      <c r="E28" s="55">
        <v>91.2</v>
      </c>
      <c r="F28" s="53">
        <v>0.986</v>
      </c>
      <c r="G28" s="54">
        <f t="shared" si="0"/>
        <v>89.9232</v>
      </c>
    </row>
    <row r="29" s="41" customFormat="1" customHeight="1" spans="1:7">
      <c r="A29" s="50">
        <v>9</v>
      </c>
      <c r="B29" s="185" t="s">
        <v>376</v>
      </c>
      <c r="C29" s="185" t="s">
        <v>586</v>
      </c>
      <c r="D29" s="51" t="s">
        <v>4891</v>
      </c>
      <c r="E29" s="55">
        <v>84.28</v>
      </c>
      <c r="F29" s="53">
        <v>1.022</v>
      </c>
      <c r="G29" s="54">
        <f t="shared" si="0"/>
        <v>86.13416</v>
      </c>
    </row>
    <row r="30" s="41" customFormat="1" customHeight="1" spans="1:7">
      <c r="A30" s="50">
        <v>25</v>
      </c>
      <c r="B30" s="185" t="s">
        <v>376</v>
      </c>
      <c r="C30" s="185" t="s">
        <v>586</v>
      </c>
      <c r="D30" s="51" t="s">
        <v>4892</v>
      </c>
      <c r="E30" s="55">
        <v>91.56</v>
      </c>
      <c r="F30" s="57">
        <v>0.986</v>
      </c>
      <c r="G30" s="54">
        <f t="shared" si="0"/>
        <v>90.27816</v>
      </c>
    </row>
    <row r="31" s="41" customFormat="1" customHeight="1" spans="1:7">
      <c r="A31" s="50">
        <v>13</v>
      </c>
      <c r="B31" s="185" t="s">
        <v>376</v>
      </c>
      <c r="C31" s="185" t="s">
        <v>586</v>
      </c>
      <c r="D31" s="51" t="s">
        <v>4893</v>
      </c>
      <c r="E31" s="55">
        <v>90.6</v>
      </c>
      <c r="F31" s="57">
        <v>0.986</v>
      </c>
      <c r="G31" s="54">
        <f t="shared" si="0"/>
        <v>89.3316</v>
      </c>
    </row>
    <row r="32" s="41" customFormat="1" customHeight="1" spans="1:7">
      <c r="A32" s="50">
        <v>11</v>
      </c>
      <c r="B32" s="185" t="s">
        <v>376</v>
      </c>
      <c r="C32" s="185" t="s">
        <v>586</v>
      </c>
      <c r="D32" s="51" t="s">
        <v>4894</v>
      </c>
      <c r="E32" s="55">
        <v>81</v>
      </c>
      <c r="F32" s="57">
        <v>1.022</v>
      </c>
      <c r="G32" s="54">
        <f t="shared" si="0"/>
        <v>82.782</v>
      </c>
    </row>
    <row r="33" s="41" customFormat="1" customHeight="1" spans="1:7">
      <c r="A33" s="50">
        <v>5</v>
      </c>
      <c r="B33" s="185" t="s">
        <v>376</v>
      </c>
      <c r="C33" s="185" t="s">
        <v>586</v>
      </c>
      <c r="D33" s="51" t="s">
        <v>4895</v>
      </c>
      <c r="E33" s="55">
        <v>87.24</v>
      </c>
      <c r="F33" s="57">
        <v>0.999</v>
      </c>
      <c r="G33" s="54">
        <f t="shared" si="0"/>
        <v>87.15276</v>
      </c>
    </row>
    <row r="34" s="41" customFormat="1" customHeight="1" spans="1:7">
      <c r="A34" s="50">
        <v>28</v>
      </c>
      <c r="B34" s="185" t="s">
        <v>376</v>
      </c>
      <c r="C34" s="185" t="s">
        <v>586</v>
      </c>
      <c r="D34" s="51" t="s">
        <v>4896</v>
      </c>
      <c r="E34" s="55">
        <v>82.26</v>
      </c>
      <c r="F34" s="57">
        <v>1.022</v>
      </c>
      <c r="G34" s="54">
        <f t="shared" si="0"/>
        <v>84.06972</v>
      </c>
    </row>
    <row r="35" s="41" customFormat="1" customHeight="1" spans="1:7">
      <c r="A35" s="50">
        <v>15</v>
      </c>
      <c r="B35" s="185" t="s">
        <v>376</v>
      </c>
      <c r="C35" s="185" t="s">
        <v>586</v>
      </c>
      <c r="D35" s="51" t="s">
        <v>4897</v>
      </c>
      <c r="E35" s="55">
        <v>83.06</v>
      </c>
      <c r="F35" s="57">
        <v>1.022</v>
      </c>
      <c r="G35" s="54">
        <f t="shared" si="0"/>
        <v>84.88732</v>
      </c>
    </row>
    <row r="36" s="41" customFormat="1" customHeight="1" spans="1:7">
      <c r="A36" s="50">
        <v>10</v>
      </c>
      <c r="B36" s="185" t="s">
        <v>376</v>
      </c>
      <c r="C36" s="185" t="s">
        <v>586</v>
      </c>
      <c r="D36" s="51" t="s">
        <v>4898</v>
      </c>
      <c r="E36" s="55">
        <v>90.7</v>
      </c>
      <c r="F36" s="57">
        <v>0.997</v>
      </c>
      <c r="G36" s="54">
        <f t="shared" si="0"/>
        <v>90.4279</v>
      </c>
    </row>
    <row r="37" s="41" customFormat="1" customHeight="1" spans="1:7">
      <c r="A37" s="50">
        <v>10</v>
      </c>
      <c r="B37" s="185" t="s">
        <v>376</v>
      </c>
      <c r="C37" s="185" t="s">
        <v>586</v>
      </c>
      <c r="D37" s="51" t="s">
        <v>4899</v>
      </c>
      <c r="E37" s="55">
        <v>81.7</v>
      </c>
      <c r="F37" s="57">
        <v>1.022</v>
      </c>
      <c r="G37" s="54">
        <f t="shared" si="0"/>
        <v>83.4974</v>
      </c>
    </row>
    <row r="38" s="41" customFormat="1" customHeight="1" spans="1:7">
      <c r="A38" s="50">
        <v>4</v>
      </c>
      <c r="B38" s="185" t="s">
        <v>376</v>
      </c>
      <c r="C38" s="185" t="s">
        <v>586</v>
      </c>
      <c r="D38" s="51" t="s">
        <v>4900</v>
      </c>
      <c r="E38" s="55">
        <v>90.7</v>
      </c>
      <c r="F38" s="57">
        <v>0.986</v>
      </c>
      <c r="G38" s="54">
        <f t="shared" si="0"/>
        <v>89.4302</v>
      </c>
    </row>
    <row r="39" s="41" customFormat="1" customHeight="1" spans="1:7">
      <c r="A39" s="50">
        <v>3</v>
      </c>
      <c r="B39" s="185" t="s">
        <v>376</v>
      </c>
      <c r="C39" s="185" t="s">
        <v>586</v>
      </c>
      <c r="D39" s="51" t="s">
        <v>4901</v>
      </c>
      <c r="E39" s="55">
        <v>81.98</v>
      </c>
      <c r="F39" s="57">
        <v>1.022</v>
      </c>
      <c r="G39" s="54">
        <f t="shared" si="0"/>
        <v>83.78356</v>
      </c>
    </row>
    <row r="40" s="41" customFormat="1" customHeight="1" spans="1:7">
      <c r="A40" s="50">
        <v>5</v>
      </c>
      <c r="B40" s="185" t="s">
        <v>376</v>
      </c>
      <c r="C40" s="185" t="s">
        <v>586</v>
      </c>
      <c r="D40" s="51" t="s">
        <v>4902</v>
      </c>
      <c r="E40" s="55">
        <v>82.1</v>
      </c>
      <c r="F40" s="57">
        <v>1.022</v>
      </c>
      <c r="G40" s="54">
        <f t="shared" si="0"/>
        <v>83.9062</v>
      </c>
    </row>
    <row r="41" s="41" customFormat="1" customHeight="1" spans="1:7">
      <c r="A41" s="50">
        <v>9</v>
      </c>
      <c r="B41" s="185" t="s">
        <v>376</v>
      </c>
      <c r="C41" s="185" t="s">
        <v>586</v>
      </c>
      <c r="D41" s="51" t="s">
        <v>4903</v>
      </c>
      <c r="E41" s="55">
        <v>81.7</v>
      </c>
      <c r="F41" s="57">
        <v>1.022</v>
      </c>
      <c r="G41" s="54">
        <f t="shared" si="0"/>
        <v>83.4974</v>
      </c>
    </row>
    <row r="42" s="41" customFormat="1" customHeight="1" spans="1:7">
      <c r="A42" s="50">
        <v>7</v>
      </c>
      <c r="B42" s="185" t="s">
        <v>376</v>
      </c>
      <c r="C42" s="185" t="s">
        <v>586</v>
      </c>
      <c r="D42" s="51" t="s">
        <v>4904</v>
      </c>
      <c r="E42" s="55">
        <v>81.34</v>
      </c>
      <c r="F42" s="57">
        <v>1.022</v>
      </c>
      <c r="G42" s="54">
        <f t="shared" si="0"/>
        <v>83.12948</v>
      </c>
    </row>
    <row r="43" s="41" customFormat="1" customHeight="1" spans="1:7">
      <c r="A43" s="50">
        <v>6</v>
      </c>
      <c r="B43" s="185" t="s">
        <v>376</v>
      </c>
      <c r="C43" s="185" t="s">
        <v>586</v>
      </c>
      <c r="D43" s="51" t="s">
        <v>4905</v>
      </c>
      <c r="E43" s="55">
        <v>86.98</v>
      </c>
      <c r="F43" s="57">
        <v>0.999</v>
      </c>
      <c r="G43" s="54">
        <f t="shared" si="0"/>
        <v>86.89302</v>
      </c>
    </row>
    <row r="44" s="41" customFormat="1" customHeight="1" spans="1:7">
      <c r="A44" s="50">
        <v>1</v>
      </c>
      <c r="B44" s="185" t="s">
        <v>376</v>
      </c>
      <c r="C44" s="185" t="s">
        <v>586</v>
      </c>
      <c r="D44" s="51" t="s">
        <v>4906</v>
      </c>
      <c r="E44" s="55">
        <v>91.92</v>
      </c>
      <c r="F44" s="57">
        <v>0.997</v>
      </c>
      <c r="G44" s="54">
        <f t="shared" si="0"/>
        <v>91.64424</v>
      </c>
    </row>
    <row r="45" s="41" customFormat="1" customHeight="1" spans="1:7">
      <c r="A45" s="50">
        <v>2</v>
      </c>
      <c r="B45" s="185" t="s">
        <v>376</v>
      </c>
      <c r="C45" s="185" t="s">
        <v>586</v>
      </c>
      <c r="D45" s="51" t="s">
        <v>4907</v>
      </c>
      <c r="E45" s="55">
        <v>88.6</v>
      </c>
      <c r="F45" s="57">
        <v>0.986</v>
      </c>
      <c r="G45" s="56">
        <f t="shared" si="0"/>
        <v>87.3596</v>
      </c>
    </row>
    <row r="46" s="41" customFormat="1" customHeight="1" spans="1:7">
      <c r="A46" s="50">
        <v>8</v>
      </c>
      <c r="B46" s="185" t="s">
        <v>376</v>
      </c>
      <c r="C46" s="185" t="s">
        <v>586</v>
      </c>
      <c r="D46" s="51" t="s">
        <v>4908</v>
      </c>
      <c r="E46" s="55">
        <v>85</v>
      </c>
      <c r="F46" s="57">
        <v>0.999</v>
      </c>
      <c r="G46" s="56">
        <f t="shared" si="0"/>
        <v>84.915</v>
      </c>
    </row>
    <row r="47" s="41" customFormat="1" customHeight="1" spans="1:7">
      <c r="A47" s="50">
        <v>4</v>
      </c>
      <c r="B47" s="185" t="s">
        <v>376</v>
      </c>
      <c r="C47" s="185" t="s">
        <v>586</v>
      </c>
      <c r="D47" s="51" t="s">
        <v>4909</v>
      </c>
      <c r="E47" s="55">
        <v>84.78</v>
      </c>
      <c r="F47" s="57">
        <v>0.999</v>
      </c>
      <c r="G47" s="56">
        <f t="shared" si="0"/>
        <v>84.69522</v>
      </c>
    </row>
    <row r="48" s="41" customFormat="1" customHeight="1" spans="1:7">
      <c r="A48" s="50">
        <v>7</v>
      </c>
      <c r="B48" s="185" t="s">
        <v>376</v>
      </c>
      <c r="C48" s="185" t="s">
        <v>586</v>
      </c>
      <c r="D48" s="51" t="s">
        <v>4910</v>
      </c>
      <c r="E48" s="55">
        <v>85.6</v>
      </c>
      <c r="F48" s="57">
        <v>0.999</v>
      </c>
      <c r="G48" s="54">
        <f t="shared" si="0"/>
        <v>85.5144</v>
      </c>
    </row>
    <row r="49" s="41" customFormat="1" customHeight="1" spans="1:7">
      <c r="A49" s="50">
        <v>13</v>
      </c>
      <c r="B49" s="185" t="s">
        <v>376</v>
      </c>
      <c r="C49" s="185" t="s">
        <v>586</v>
      </c>
      <c r="D49" s="51" t="s">
        <v>4911</v>
      </c>
      <c r="E49" s="55">
        <v>90</v>
      </c>
      <c r="F49" s="57">
        <v>0.997</v>
      </c>
      <c r="G49" s="56">
        <f t="shared" si="0"/>
        <v>89.73</v>
      </c>
    </row>
    <row r="50" s="41" customFormat="1" customHeight="1" spans="1:7">
      <c r="A50" s="50">
        <v>1</v>
      </c>
      <c r="B50" s="185" t="s">
        <v>376</v>
      </c>
      <c r="C50" s="185" t="s">
        <v>586</v>
      </c>
      <c r="D50" s="51" t="s">
        <v>4912</v>
      </c>
      <c r="E50" s="55">
        <v>86.26</v>
      </c>
      <c r="F50" s="57">
        <v>0.999</v>
      </c>
      <c r="G50" s="56">
        <f t="shared" si="0"/>
        <v>86.17374</v>
      </c>
    </row>
    <row r="51" s="41" customFormat="1" customHeight="1" spans="1:7">
      <c r="A51" s="50">
        <v>16</v>
      </c>
      <c r="B51" s="185" t="s">
        <v>376</v>
      </c>
      <c r="C51" s="185" t="s">
        <v>586</v>
      </c>
      <c r="D51" s="51" t="s">
        <v>4913</v>
      </c>
      <c r="E51" s="55">
        <v>85.46</v>
      </c>
      <c r="F51" s="57">
        <v>0.999</v>
      </c>
      <c r="G51" s="54">
        <f t="shared" si="0"/>
        <v>85.37454</v>
      </c>
    </row>
    <row r="52" s="41" customFormat="1" customHeight="1" spans="1:7">
      <c r="A52" s="50">
        <v>9</v>
      </c>
      <c r="B52" s="185" t="s">
        <v>376</v>
      </c>
      <c r="C52" s="185" t="s">
        <v>586</v>
      </c>
      <c r="D52" s="51" t="s">
        <v>4914</v>
      </c>
      <c r="E52" s="55">
        <v>85.1</v>
      </c>
      <c r="F52" s="57">
        <v>0.999</v>
      </c>
      <c r="G52" s="54">
        <f t="shared" si="0"/>
        <v>85.0149</v>
      </c>
    </row>
    <row r="53" s="41" customFormat="1" customHeight="1" spans="1:7">
      <c r="A53" s="50">
        <v>15</v>
      </c>
      <c r="B53" s="185" t="s">
        <v>376</v>
      </c>
      <c r="C53" s="185" t="s">
        <v>586</v>
      </c>
      <c r="D53" s="51" t="s">
        <v>4915</v>
      </c>
      <c r="E53" s="55">
        <v>93.18</v>
      </c>
      <c r="F53" s="57">
        <v>0.993</v>
      </c>
      <c r="G53" s="56">
        <f t="shared" si="0"/>
        <v>92.52774</v>
      </c>
    </row>
    <row r="54" s="41" customFormat="1" customHeight="1" spans="1:7">
      <c r="A54" s="50">
        <v>21</v>
      </c>
      <c r="B54" s="185" t="s">
        <v>376</v>
      </c>
      <c r="C54" s="185" t="s">
        <v>586</v>
      </c>
      <c r="D54" s="51" t="s">
        <v>4916</v>
      </c>
      <c r="E54" s="55">
        <v>89.1</v>
      </c>
      <c r="F54" s="57">
        <v>0.986</v>
      </c>
      <c r="G54" s="56">
        <f t="shared" si="0"/>
        <v>87.8526</v>
      </c>
    </row>
    <row r="55" s="41" customFormat="1" customHeight="1" spans="1:7">
      <c r="A55" s="50">
        <v>2</v>
      </c>
      <c r="B55" s="185" t="s">
        <v>376</v>
      </c>
      <c r="C55" s="185" t="s">
        <v>586</v>
      </c>
      <c r="D55" s="51" t="s">
        <v>4917</v>
      </c>
      <c r="E55" s="55">
        <v>85.28</v>
      </c>
      <c r="F55" s="57">
        <v>0.999</v>
      </c>
      <c r="G55" s="56">
        <f t="shared" si="0"/>
        <v>85.19472</v>
      </c>
    </row>
    <row r="56" s="41" customFormat="1" customHeight="1" spans="1:7">
      <c r="A56" s="50">
        <v>8</v>
      </c>
      <c r="B56" s="185" t="s">
        <v>376</v>
      </c>
      <c r="C56" s="185" t="s">
        <v>586</v>
      </c>
      <c r="D56" s="51" t="s">
        <v>4918</v>
      </c>
      <c r="E56" s="55">
        <v>84.68</v>
      </c>
      <c r="F56" s="57">
        <v>0.999</v>
      </c>
      <c r="G56" s="54">
        <f t="shared" si="0"/>
        <v>84.59532</v>
      </c>
    </row>
    <row r="57" s="41" customFormat="1" customHeight="1" spans="1:7">
      <c r="A57" s="50">
        <v>27</v>
      </c>
      <c r="B57" s="185" t="s">
        <v>376</v>
      </c>
      <c r="C57" s="185" t="s">
        <v>586</v>
      </c>
      <c r="D57" s="51" t="s">
        <v>4919</v>
      </c>
      <c r="E57" s="55">
        <v>88.6</v>
      </c>
      <c r="F57" s="57">
        <v>0.997</v>
      </c>
      <c r="G57" s="54">
        <f t="shared" si="0"/>
        <v>88.3342</v>
      </c>
    </row>
    <row r="58" s="41" customFormat="1" customHeight="1" spans="1:7">
      <c r="A58" s="50">
        <v>24</v>
      </c>
      <c r="B58" s="185" t="s">
        <v>376</v>
      </c>
      <c r="C58" s="185" t="s">
        <v>586</v>
      </c>
      <c r="D58" s="51" t="s">
        <v>4920</v>
      </c>
      <c r="E58" s="55">
        <v>89.3</v>
      </c>
      <c r="F58" s="57">
        <v>0.986</v>
      </c>
      <c r="G58" s="54">
        <f t="shared" si="0"/>
        <v>88.0498</v>
      </c>
    </row>
    <row r="59" s="41" customFormat="1" customHeight="1" spans="1:7">
      <c r="A59" s="50">
        <v>17</v>
      </c>
      <c r="B59" s="185" t="s">
        <v>376</v>
      </c>
      <c r="C59" s="185" t="s">
        <v>586</v>
      </c>
      <c r="D59" s="51" t="s">
        <v>4921</v>
      </c>
      <c r="E59" s="55">
        <v>90.16</v>
      </c>
      <c r="F59" s="57">
        <v>0.997</v>
      </c>
      <c r="G59" s="54">
        <f t="shared" si="0"/>
        <v>89.88952</v>
      </c>
    </row>
    <row r="60" s="41" customFormat="1" customHeight="1" spans="1:7">
      <c r="A60" s="50">
        <v>30</v>
      </c>
      <c r="B60" s="185" t="s">
        <v>376</v>
      </c>
      <c r="C60" s="185" t="s">
        <v>586</v>
      </c>
      <c r="D60" s="51" t="s">
        <v>4922</v>
      </c>
      <c r="E60" s="55">
        <v>86.8</v>
      </c>
      <c r="F60" s="57">
        <v>0.986</v>
      </c>
      <c r="G60" s="54">
        <f t="shared" si="0"/>
        <v>85.5848</v>
      </c>
    </row>
    <row r="61" s="41" customFormat="1" customHeight="1" spans="1:7">
      <c r="A61" s="50">
        <v>19</v>
      </c>
      <c r="B61" s="185" t="s">
        <v>376</v>
      </c>
      <c r="C61" s="185" t="s">
        <v>586</v>
      </c>
      <c r="D61" s="51" t="s">
        <v>4923</v>
      </c>
      <c r="E61" s="55">
        <v>87.2</v>
      </c>
      <c r="F61" s="57">
        <v>0.986</v>
      </c>
      <c r="G61" s="54">
        <f t="shared" si="0"/>
        <v>85.9792</v>
      </c>
    </row>
    <row r="62" s="41" customFormat="1" customHeight="1" spans="1:7">
      <c r="A62" s="50">
        <v>24</v>
      </c>
      <c r="B62" s="185" t="s">
        <v>376</v>
      </c>
      <c r="C62" s="185" t="s">
        <v>586</v>
      </c>
      <c r="D62" s="51" t="s">
        <v>4924</v>
      </c>
      <c r="E62" s="55">
        <v>83.26</v>
      </c>
      <c r="F62" s="57">
        <v>0.999</v>
      </c>
      <c r="G62" s="54">
        <f t="shared" si="0"/>
        <v>83.17674</v>
      </c>
    </row>
    <row r="63" s="41" customFormat="1" customHeight="1" spans="1:7">
      <c r="A63" s="50">
        <v>8</v>
      </c>
      <c r="B63" s="185" t="s">
        <v>376</v>
      </c>
      <c r="C63" s="185" t="s">
        <v>586</v>
      </c>
      <c r="D63" s="51" t="s">
        <v>4925</v>
      </c>
      <c r="E63" s="55">
        <v>91.54</v>
      </c>
      <c r="F63" s="57">
        <v>0.993</v>
      </c>
      <c r="G63" s="54">
        <f t="shared" si="0"/>
        <v>90.89922</v>
      </c>
    </row>
    <row r="64" s="41" customFormat="1" customHeight="1" spans="1:7">
      <c r="A64" s="50">
        <v>2</v>
      </c>
      <c r="B64" s="185" t="s">
        <v>376</v>
      </c>
      <c r="C64" s="185" t="s">
        <v>586</v>
      </c>
      <c r="D64" s="51" t="s">
        <v>4926</v>
      </c>
      <c r="E64" s="55">
        <v>83.96</v>
      </c>
      <c r="F64" s="57">
        <v>0.999</v>
      </c>
      <c r="G64" s="54">
        <f t="shared" si="0"/>
        <v>83.87604</v>
      </c>
    </row>
    <row r="65" s="41" customFormat="1" customHeight="1" spans="1:7">
      <c r="A65" s="50">
        <v>5</v>
      </c>
      <c r="B65" s="185" t="s">
        <v>376</v>
      </c>
      <c r="C65" s="185" t="s">
        <v>586</v>
      </c>
      <c r="D65" s="51" t="s">
        <v>4927</v>
      </c>
      <c r="E65" s="55">
        <v>87.7</v>
      </c>
      <c r="F65" s="57">
        <v>0.986</v>
      </c>
      <c r="G65" s="54">
        <f t="shared" si="0"/>
        <v>86.4722</v>
      </c>
    </row>
    <row r="66" s="41" customFormat="1" customHeight="1" spans="1:7">
      <c r="A66" s="50">
        <v>2</v>
      </c>
      <c r="B66" s="185" t="s">
        <v>376</v>
      </c>
      <c r="C66" s="185" t="s">
        <v>586</v>
      </c>
      <c r="D66" s="51" t="s">
        <v>4928</v>
      </c>
      <c r="E66" s="55">
        <v>83.2</v>
      </c>
      <c r="F66" s="57">
        <v>0.999</v>
      </c>
      <c r="G66" s="54">
        <f t="shared" si="0"/>
        <v>83.1168</v>
      </c>
    </row>
    <row r="67" s="41" customFormat="1" customHeight="1" spans="1:7">
      <c r="A67" s="50">
        <v>1</v>
      </c>
      <c r="B67" s="185" t="s">
        <v>376</v>
      </c>
      <c r="C67" s="185" t="s">
        <v>586</v>
      </c>
      <c r="D67" s="51" t="s">
        <v>4929</v>
      </c>
      <c r="E67" s="55">
        <v>88.2</v>
      </c>
      <c r="F67" s="57">
        <v>0.997</v>
      </c>
      <c r="G67" s="54">
        <f t="shared" si="0"/>
        <v>87.9354</v>
      </c>
    </row>
    <row r="68" s="41" customFormat="1" customHeight="1" spans="1:7">
      <c r="A68" s="50">
        <v>11</v>
      </c>
      <c r="B68" s="185" t="s">
        <v>376</v>
      </c>
      <c r="C68" s="185" t="s">
        <v>586</v>
      </c>
      <c r="D68" s="51" t="s">
        <v>4930</v>
      </c>
      <c r="E68" s="55">
        <v>91.48</v>
      </c>
      <c r="F68" s="57">
        <v>0.993</v>
      </c>
      <c r="G68" s="54">
        <f t="shared" ref="G68:G131" si="1">E68*F68</f>
        <v>90.83964</v>
      </c>
    </row>
    <row r="69" s="41" customFormat="1" customHeight="1" spans="1:7">
      <c r="A69" s="50">
        <v>10</v>
      </c>
      <c r="B69" s="185" t="s">
        <v>376</v>
      </c>
      <c r="C69" s="185" t="s">
        <v>586</v>
      </c>
      <c r="D69" s="51" t="s">
        <v>4931</v>
      </c>
      <c r="E69" s="55">
        <v>88.8</v>
      </c>
      <c r="F69" s="57">
        <v>0.997</v>
      </c>
      <c r="G69" s="56">
        <f t="shared" si="1"/>
        <v>88.5336</v>
      </c>
    </row>
    <row r="70" s="41" customFormat="1" customHeight="1" spans="1:7">
      <c r="A70" s="50">
        <v>6</v>
      </c>
      <c r="B70" s="185" t="s">
        <v>376</v>
      </c>
      <c r="C70" s="185" t="s">
        <v>586</v>
      </c>
      <c r="D70" s="51" t="s">
        <v>4932</v>
      </c>
      <c r="E70" s="55">
        <v>85.06</v>
      </c>
      <c r="F70" s="57">
        <v>0.986</v>
      </c>
      <c r="G70" s="56">
        <f t="shared" si="1"/>
        <v>83.86916</v>
      </c>
    </row>
    <row r="71" s="41" customFormat="1" customHeight="1" spans="1:7">
      <c r="A71" s="50">
        <v>5</v>
      </c>
      <c r="B71" s="185" t="s">
        <v>376</v>
      </c>
      <c r="C71" s="185" t="s">
        <v>586</v>
      </c>
      <c r="D71" s="51" t="s">
        <v>4933</v>
      </c>
      <c r="E71" s="55">
        <v>83.88</v>
      </c>
      <c r="F71" s="57">
        <v>0.999</v>
      </c>
      <c r="G71" s="56">
        <f t="shared" si="1"/>
        <v>83.79612</v>
      </c>
    </row>
    <row r="72" s="41" customFormat="1" customHeight="1" spans="1:7">
      <c r="A72" s="50">
        <v>3</v>
      </c>
      <c r="B72" s="185" t="s">
        <v>376</v>
      </c>
      <c r="C72" s="185" t="s">
        <v>586</v>
      </c>
      <c r="D72" s="51" t="s">
        <v>4934</v>
      </c>
      <c r="E72" s="55">
        <v>79.6</v>
      </c>
      <c r="F72" s="57">
        <v>1.022</v>
      </c>
      <c r="G72" s="56">
        <f t="shared" si="1"/>
        <v>81.3512</v>
      </c>
    </row>
    <row r="73" s="41" customFormat="1" customHeight="1" spans="1:7">
      <c r="A73" s="50">
        <v>9</v>
      </c>
      <c r="B73" s="185" t="s">
        <v>376</v>
      </c>
      <c r="C73" s="185" t="s">
        <v>586</v>
      </c>
      <c r="D73" s="51" t="s">
        <v>4935</v>
      </c>
      <c r="E73" s="55">
        <v>78.8</v>
      </c>
      <c r="F73" s="57">
        <v>1.022</v>
      </c>
      <c r="G73" s="54">
        <f t="shared" si="1"/>
        <v>80.5336</v>
      </c>
    </row>
    <row r="74" s="41" customFormat="1" customHeight="1" spans="1:7">
      <c r="A74" s="50">
        <v>5</v>
      </c>
      <c r="B74" s="185" t="s">
        <v>376</v>
      </c>
      <c r="C74" s="185" t="s">
        <v>586</v>
      </c>
      <c r="D74" s="51" t="s">
        <v>4936</v>
      </c>
      <c r="E74" s="55">
        <v>86.4</v>
      </c>
      <c r="F74" s="57">
        <v>0.986</v>
      </c>
      <c r="G74" s="54">
        <f t="shared" si="1"/>
        <v>85.1904</v>
      </c>
    </row>
    <row r="75" s="41" customFormat="1" customHeight="1" spans="1:7">
      <c r="A75" s="50">
        <v>13</v>
      </c>
      <c r="B75" s="185" t="s">
        <v>376</v>
      </c>
      <c r="C75" s="185" t="s">
        <v>586</v>
      </c>
      <c r="D75" s="51" t="s">
        <v>4937</v>
      </c>
      <c r="E75" s="55">
        <v>85.7</v>
      </c>
      <c r="F75" s="57">
        <v>0.986</v>
      </c>
      <c r="G75" s="54">
        <f t="shared" si="1"/>
        <v>84.5002</v>
      </c>
    </row>
    <row r="76" s="41" customFormat="1" customHeight="1" spans="1:7">
      <c r="A76" s="50">
        <v>28</v>
      </c>
      <c r="B76" s="185" t="s">
        <v>376</v>
      </c>
      <c r="C76" s="185" t="s">
        <v>586</v>
      </c>
      <c r="D76" s="51" t="s">
        <v>4938</v>
      </c>
      <c r="E76" s="55">
        <v>89</v>
      </c>
      <c r="F76" s="57">
        <v>0.997</v>
      </c>
      <c r="G76" s="54">
        <f t="shared" si="1"/>
        <v>88.733</v>
      </c>
    </row>
    <row r="77" s="41" customFormat="1" customHeight="1" spans="1:7">
      <c r="A77" s="50">
        <v>23</v>
      </c>
      <c r="B77" s="185" t="s">
        <v>376</v>
      </c>
      <c r="C77" s="185" t="s">
        <v>586</v>
      </c>
      <c r="D77" s="51" t="s">
        <v>4939</v>
      </c>
      <c r="E77" s="55">
        <v>87.6</v>
      </c>
      <c r="F77" s="57">
        <v>0.997</v>
      </c>
      <c r="G77" s="54">
        <f t="shared" si="1"/>
        <v>87.3372</v>
      </c>
    </row>
    <row r="78" s="41" customFormat="1" customHeight="1" spans="1:7">
      <c r="A78" s="50">
        <v>3</v>
      </c>
      <c r="B78" s="185" t="s">
        <v>376</v>
      </c>
      <c r="C78" s="185" t="s">
        <v>586</v>
      </c>
      <c r="D78" s="51" t="s">
        <v>4940</v>
      </c>
      <c r="E78" s="55">
        <v>86.2</v>
      </c>
      <c r="F78" s="57">
        <v>0.997</v>
      </c>
      <c r="G78" s="54">
        <f t="shared" si="1"/>
        <v>85.9414</v>
      </c>
    </row>
    <row r="79" s="41" customFormat="1" customHeight="1" spans="1:7">
      <c r="A79" s="50">
        <v>4</v>
      </c>
      <c r="B79" s="185" t="s">
        <v>376</v>
      </c>
      <c r="C79" s="185" t="s">
        <v>586</v>
      </c>
      <c r="D79" s="51" t="s">
        <v>4941</v>
      </c>
      <c r="E79" s="55">
        <v>90.22</v>
      </c>
      <c r="F79" s="57">
        <v>0.993</v>
      </c>
      <c r="G79" s="54">
        <f t="shared" si="1"/>
        <v>89.58846</v>
      </c>
    </row>
    <row r="80" s="41" customFormat="1" customHeight="1" spans="1:7">
      <c r="A80" s="50">
        <v>19</v>
      </c>
      <c r="B80" s="185" t="s">
        <v>376</v>
      </c>
      <c r="C80" s="185" t="s">
        <v>586</v>
      </c>
      <c r="D80" s="51" t="s">
        <v>4942</v>
      </c>
      <c r="E80" s="55">
        <v>86.3</v>
      </c>
      <c r="F80" s="57">
        <v>0.986</v>
      </c>
      <c r="G80" s="54">
        <f t="shared" si="1"/>
        <v>85.0918</v>
      </c>
    </row>
    <row r="81" s="41" customFormat="1" customHeight="1" spans="1:7">
      <c r="A81" s="50">
        <v>25</v>
      </c>
      <c r="B81" s="185" t="s">
        <v>376</v>
      </c>
      <c r="C81" s="185" t="s">
        <v>586</v>
      </c>
      <c r="D81" s="51" t="s">
        <v>4943</v>
      </c>
      <c r="E81" s="55">
        <v>84.8</v>
      </c>
      <c r="F81" s="57">
        <v>0.986</v>
      </c>
      <c r="G81" s="54">
        <f t="shared" si="1"/>
        <v>83.6128</v>
      </c>
    </row>
    <row r="82" s="41" customFormat="1" customHeight="1" spans="1:7">
      <c r="A82" s="50">
        <v>26</v>
      </c>
      <c r="B82" s="185" t="s">
        <v>376</v>
      </c>
      <c r="C82" s="185" t="s">
        <v>586</v>
      </c>
      <c r="D82" s="51" t="s">
        <v>4944</v>
      </c>
      <c r="E82" s="55">
        <v>85.2</v>
      </c>
      <c r="F82" s="57">
        <v>0.986</v>
      </c>
      <c r="G82" s="54">
        <f t="shared" si="1"/>
        <v>84.0072</v>
      </c>
    </row>
    <row r="83" s="41" customFormat="1" customHeight="1" spans="1:7">
      <c r="A83" s="50">
        <v>12</v>
      </c>
      <c r="B83" s="185" t="s">
        <v>376</v>
      </c>
      <c r="C83" s="185" t="s">
        <v>586</v>
      </c>
      <c r="D83" s="51" t="s">
        <v>4945</v>
      </c>
      <c r="E83" s="55">
        <v>85.8</v>
      </c>
      <c r="F83" s="57">
        <v>0.986</v>
      </c>
      <c r="G83" s="54">
        <f t="shared" si="1"/>
        <v>84.5988</v>
      </c>
    </row>
    <row r="84" s="41" customFormat="1" customHeight="1" spans="1:7">
      <c r="A84" s="50">
        <v>14</v>
      </c>
      <c r="B84" s="185" t="s">
        <v>376</v>
      </c>
      <c r="C84" s="185" t="s">
        <v>586</v>
      </c>
      <c r="D84" s="51" t="s">
        <v>4946</v>
      </c>
      <c r="E84" s="55">
        <v>89.62</v>
      </c>
      <c r="F84" s="57">
        <v>0.993</v>
      </c>
      <c r="G84" s="54">
        <f t="shared" si="1"/>
        <v>88.99266</v>
      </c>
    </row>
    <row r="85" s="41" customFormat="1" customHeight="1" spans="1:7">
      <c r="A85" s="50">
        <v>17</v>
      </c>
      <c r="B85" s="185" t="s">
        <v>376</v>
      </c>
      <c r="C85" s="185" t="s">
        <v>586</v>
      </c>
      <c r="D85" s="51" t="s">
        <v>4947</v>
      </c>
      <c r="E85" s="58">
        <v>85.4</v>
      </c>
      <c r="F85" s="59">
        <v>0.997</v>
      </c>
      <c r="G85" s="56">
        <f t="shared" si="1"/>
        <v>85.1438</v>
      </c>
    </row>
    <row r="86" s="41" customFormat="1" customHeight="1" spans="1:7">
      <c r="A86" s="50">
        <v>18</v>
      </c>
      <c r="B86" s="185" t="s">
        <v>376</v>
      </c>
      <c r="C86" s="185" t="s">
        <v>586</v>
      </c>
      <c r="D86" s="51" t="s">
        <v>4948</v>
      </c>
      <c r="E86" s="58">
        <v>85.4</v>
      </c>
      <c r="F86" s="59">
        <v>0.997</v>
      </c>
      <c r="G86" s="56">
        <f t="shared" si="1"/>
        <v>85.1438</v>
      </c>
    </row>
    <row r="87" s="41" customFormat="1" customHeight="1" spans="1:7">
      <c r="A87" s="50">
        <v>8</v>
      </c>
      <c r="B87" s="185" t="s">
        <v>376</v>
      </c>
      <c r="C87" s="185" t="s">
        <v>586</v>
      </c>
      <c r="D87" s="51" t="s">
        <v>4949</v>
      </c>
      <c r="E87" s="55">
        <v>87.8</v>
      </c>
      <c r="F87" s="57">
        <v>0.997</v>
      </c>
      <c r="G87" s="54">
        <f t="shared" si="1"/>
        <v>87.5366</v>
      </c>
    </row>
    <row r="88" s="41" customFormat="1" customHeight="1" spans="1:7">
      <c r="A88" s="50">
        <v>20</v>
      </c>
      <c r="B88" s="185" t="s">
        <v>376</v>
      </c>
      <c r="C88" s="185" t="s">
        <v>586</v>
      </c>
      <c r="D88" s="51" t="s">
        <v>4950</v>
      </c>
      <c r="E88" s="55">
        <v>86.4</v>
      </c>
      <c r="F88" s="57">
        <v>0.997</v>
      </c>
      <c r="G88" s="54">
        <f t="shared" si="1"/>
        <v>86.1408</v>
      </c>
    </row>
    <row r="89" s="42" customFormat="1" customHeight="1" spans="1:7">
      <c r="A89" s="50">
        <v>2</v>
      </c>
      <c r="B89" s="185" t="s">
        <v>376</v>
      </c>
      <c r="C89" s="185" t="s">
        <v>586</v>
      </c>
      <c r="D89" s="51" t="s">
        <v>4951</v>
      </c>
      <c r="E89" s="55">
        <v>81</v>
      </c>
      <c r="F89" s="57">
        <v>0.999</v>
      </c>
      <c r="G89" s="54">
        <f t="shared" si="1"/>
        <v>80.919</v>
      </c>
    </row>
    <row r="90" s="41" customFormat="1" customHeight="1" spans="1:7">
      <c r="A90" s="50">
        <v>1</v>
      </c>
      <c r="B90" s="185" t="s">
        <v>376</v>
      </c>
      <c r="C90" s="185" t="s">
        <v>586</v>
      </c>
      <c r="D90" s="51" t="s">
        <v>4952</v>
      </c>
      <c r="E90" s="55">
        <v>83.1</v>
      </c>
      <c r="F90" s="57">
        <v>0.986</v>
      </c>
      <c r="G90" s="54">
        <f t="shared" si="1"/>
        <v>81.9366</v>
      </c>
    </row>
    <row r="91" s="41" customFormat="1" customHeight="1" spans="1:7">
      <c r="A91" s="50">
        <v>30</v>
      </c>
      <c r="B91" s="185" t="s">
        <v>376</v>
      </c>
      <c r="C91" s="185" t="s">
        <v>586</v>
      </c>
      <c r="D91" s="51" t="s">
        <v>4953</v>
      </c>
      <c r="E91" s="55">
        <v>83.8</v>
      </c>
      <c r="F91" s="57">
        <v>0.997</v>
      </c>
      <c r="G91" s="54">
        <f t="shared" si="1"/>
        <v>83.5486</v>
      </c>
    </row>
    <row r="92" s="41" customFormat="1" customHeight="1" spans="1:7">
      <c r="A92" s="50">
        <v>21</v>
      </c>
      <c r="B92" s="185" t="s">
        <v>376</v>
      </c>
      <c r="C92" s="185" t="s">
        <v>586</v>
      </c>
      <c r="D92" s="51" t="s">
        <v>4954</v>
      </c>
      <c r="E92" s="55">
        <v>84</v>
      </c>
      <c r="F92" s="57">
        <v>0.986</v>
      </c>
      <c r="G92" s="54">
        <f t="shared" si="1"/>
        <v>82.824</v>
      </c>
    </row>
    <row r="93" s="41" customFormat="1" customHeight="1" spans="1:7">
      <c r="A93" s="50">
        <v>15</v>
      </c>
      <c r="B93" s="185" t="s">
        <v>376</v>
      </c>
      <c r="C93" s="185" t="s">
        <v>586</v>
      </c>
      <c r="D93" s="51" t="s">
        <v>4955</v>
      </c>
      <c r="E93" s="55">
        <v>84.6</v>
      </c>
      <c r="F93" s="57">
        <v>0.997</v>
      </c>
      <c r="G93" s="54">
        <f t="shared" si="1"/>
        <v>84.3462</v>
      </c>
    </row>
    <row r="94" s="41" customFormat="1" customHeight="1" spans="1:7">
      <c r="A94" s="50">
        <v>24</v>
      </c>
      <c r="B94" s="185" t="s">
        <v>376</v>
      </c>
      <c r="C94" s="185" t="s">
        <v>586</v>
      </c>
      <c r="D94" s="51" t="s">
        <v>4956</v>
      </c>
      <c r="E94" s="55">
        <v>87.78</v>
      </c>
      <c r="F94" s="57">
        <v>0.993</v>
      </c>
      <c r="G94" s="54">
        <f t="shared" si="1"/>
        <v>87.16554</v>
      </c>
    </row>
    <row r="95" s="41" customFormat="1" customHeight="1" spans="1:7">
      <c r="A95" s="50">
        <v>1</v>
      </c>
      <c r="B95" s="185" t="s">
        <v>376</v>
      </c>
      <c r="C95" s="185" t="s">
        <v>586</v>
      </c>
      <c r="D95" s="51" t="s">
        <v>4957</v>
      </c>
      <c r="E95" s="55">
        <v>85.2</v>
      </c>
      <c r="F95" s="57">
        <v>0.997</v>
      </c>
      <c r="G95" s="54">
        <f t="shared" si="1"/>
        <v>84.9444</v>
      </c>
    </row>
    <row r="96" s="41" customFormat="1" customHeight="1" spans="1:7">
      <c r="A96" s="50">
        <v>1</v>
      </c>
      <c r="B96" s="185" t="s">
        <v>376</v>
      </c>
      <c r="C96" s="185" t="s">
        <v>586</v>
      </c>
      <c r="D96" s="51" t="s">
        <v>4958</v>
      </c>
      <c r="E96" s="55">
        <v>87.36</v>
      </c>
      <c r="F96" s="57">
        <v>0.993</v>
      </c>
      <c r="G96" s="54">
        <f t="shared" si="1"/>
        <v>86.74848</v>
      </c>
    </row>
    <row r="97" s="41" customFormat="1" customHeight="1" spans="1:7">
      <c r="A97" s="50">
        <v>10</v>
      </c>
      <c r="B97" s="185" t="s">
        <v>376</v>
      </c>
      <c r="C97" s="185" t="s">
        <v>586</v>
      </c>
      <c r="D97" s="51" t="s">
        <v>4959</v>
      </c>
      <c r="E97" s="55">
        <v>80.14</v>
      </c>
      <c r="F97" s="57">
        <v>0.999</v>
      </c>
      <c r="G97" s="54">
        <f t="shared" si="1"/>
        <v>80.05986</v>
      </c>
    </row>
    <row r="98" s="41" customFormat="1" customHeight="1" spans="1:7">
      <c r="A98" s="50">
        <v>5</v>
      </c>
      <c r="B98" s="185" t="s">
        <v>376</v>
      </c>
      <c r="C98" s="185" t="s">
        <v>586</v>
      </c>
      <c r="D98" s="51" t="s">
        <v>4960</v>
      </c>
      <c r="E98" s="55">
        <v>83.4</v>
      </c>
      <c r="F98" s="57">
        <v>0.986</v>
      </c>
      <c r="G98" s="54">
        <f t="shared" si="1"/>
        <v>82.2324</v>
      </c>
    </row>
    <row r="99" s="41" customFormat="1" customHeight="1" spans="1:7">
      <c r="A99" s="50">
        <v>3</v>
      </c>
      <c r="B99" s="185" t="s">
        <v>376</v>
      </c>
      <c r="C99" s="185" t="s">
        <v>586</v>
      </c>
      <c r="D99" s="51" t="s">
        <v>4961</v>
      </c>
      <c r="E99" s="55">
        <v>87.24</v>
      </c>
      <c r="F99" s="57">
        <v>0.993</v>
      </c>
      <c r="G99" s="54">
        <f t="shared" si="1"/>
        <v>86.62932</v>
      </c>
    </row>
    <row r="100" s="41" customFormat="1" customHeight="1" spans="1:7">
      <c r="A100" s="50">
        <v>11</v>
      </c>
      <c r="B100" s="185" t="s">
        <v>376</v>
      </c>
      <c r="C100" s="185" t="s">
        <v>586</v>
      </c>
      <c r="D100" s="51" t="s">
        <v>4962</v>
      </c>
      <c r="E100" s="55">
        <v>82.2</v>
      </c>
      <c r="F100" s="57">
        <v>0.986</v>
      </c>
      <c r="G100" s="54">
        <f t="shared" si="1"/>
        <v>81.0492</v>
      </c>
    </row>
    <row r="101" s="41" customFormat="1" customHeight="1" spans="1:7">
      <c r="A101" s="50">
        <v>21</v>
      </c>
      <c r="B101" s="185" t="s">
        <v>376</v>
      </c>
      <c r="C101" s="185" t="s">
        <v>586</v>
      </c>
      <c r="D101" s="51" t="s">
        <v>4963</v>
      </c>
      <c r="E101" s="55">
        <v>86.84</v>
      </c>
      <c r="F101" s="57">
        <v>0.993</v>
      </c>
      <c r="G101" s="54">
        <f t="shared" si="1"/>
        <v>86.23212</v>
      </c>
    </row>
    <row r="102" s="41" customFormat="1" customHeight="1" spans="1:7">
      <c r="A102" s="50">
        <v>10</v>
      </c>
      <c r="B102" s="185" t="s">
        <v>376</v>
      </c>
      <c r="C102" s="185" t="s">
        <v>586</v>
      </c>
      <c r="D102" s="51" t="s">
        <v>4964</v>
      </c>
      <c r="E102" s="55">
        <v>86.56</v>
      </c>
      <c r="F102" s="57">
        <v>0.993</v>
      </c>
      <c r="G102" s="54">
        <f t="shared" si="1"/>
        <v>85.95408</v>
      </c>
    </row>
    <row r="103" s="41" customFormat="1" customHeight="1" spans="1:7">
      <c r="A103" s="50">
        <v>4</v>
      </c>
      <c r="B103" s="185" t="s">
        <v>376</v>
      </c>
      <c r="C103" s="185" t="s">
        <v>586</v>
      </c>
      <c r="D103" s="51" t="s">
        <v>4965</v>
      </c>
      <c r="E103" s="55">
        <v>84.2</v>
      </c>
      <c r="F103" s="57">
        <v>0.997</v>
      </c>
      <c r="G103" s="54">
        <f t="shared" si="1"/>
        <v>83.9474</v>
      </c>
    </row>
    <row r="104" s="41" customFormat="1" customHeight="1" spans="1:7">
      <c r="A104" s="50">
        <v>20</v>
      </c>
      <c r="B104" s="185" t="s">
        <v>376</v>
      </c>
      <c r="C104" s="185" t="s">
        <v>586</v>
      </c>
      <c r="D104" s="51" t="s">
        <v>4966</v>
      </c>
      <c r="E104" s="55">
        <v>86.26</v>
      </c>
      <c r="F104" s="57">
        <v>0.993</v>
      </c>
      <c r="G104" s="54">
        <f t="shared" si="1"/>
        <v>85.65618</v>
      </c>
    </row>
    <row r="105" s="41" customFormat="1" customHeight="1" spans="1:7">
      <c r="A105" s="50">
        <v>9</v>
      </c>
      <c r="B105" s="185" t="s">
        <v>376</v>
      </c>
      <c r="C105" s="185" t="s">
        <v>586</v>
      </c>
      <c r="D105" s="51" t="s">
        <v>4967</v>
      </c>
      <c r="E105" s="55">
        <v>86.86</v>
      </c>
      <c r="F105" s="57">
        <v>0.993</v>
      </c>
      <c r="G105" s="54">
        <f t="shared" si="1"/>
        <v>86.25198</v>
      </c>
    </row>
    <row r="106" s="41" customFormat="1" customHeight="1" spans="1:7">
      <c r="A106" s="50">
        <v>11</v>
      </c>
      <c r="B106" s="185" t="s">
        <v>376</v>
      </c>
      <c r="C106" s="185" t="s">
        <v>586</v>
      </c>
      <c r="D106" s="51" t="s">
        <v>4968</v>
      </c>
      <c r="E106" s="55">
        <v>85.74</v>
      </c>
      <c r="F106" s="57">
        <v>0.993</v>
      </c>
      <c r="G106" s="54">
        <f t="shared" si="1"/>
        <v>85.13982</v>
      </c>
    </row>
    <row r="107" s="41" customFormat="1" customHeight="1" spans="1:7">
      <c r="A107" s="50">
        <v>28</v>
      </c>
      <c r="B107" s="185" t="s">
        <v>376</v>
      </c>
      <c r="C107" s="185" t="s">
        <v>586</v>
      </c>
      <c r="D107" s="51" t="s">
        <v>4969</v>
      </c>
      <c r="E107" s="55">
        <v>82.9</v>
      </c>
      <c r="F107" s="57">
        <v>0.997</v>
      </c>
      <c r="G107" s="54">
        <f t="shared" si="1"/>
        <v>82.6513</v>
      </c>
    </row>
    <row r="108" s="41" customFormat="1" customHeight="1" spans="1:7">
      <c r="A108" s="50">
        <v>25</v>
      </c>
      <c r="B108" s="185" t="s">
        <v>376</v>
      </c>
      <c r="C108" s="185" t="s">
        <v>586</v>
      </c>
      <c r="D108" s="51" t="s">
        <v>4970</v>
      </c>
      <c r="E108" s="55">
        <v>80</v>
      </c>
      <c r="F108" s="57">
        <v>0.986</v>
      </c>
      <c r="G108" s="54">
        <f t="shared" si="1"/>
        <v>78.88</v>
      </c>
    </row>
    <row r="109" s="41" customFormat="1" customHeight="1" spans="1:7">
      <c r="A109" s="50">
        <v>27</v>
      </c>
      <c r="B109" s="185" t="s">
        <v>376</v>
      </c>
      <c r="C109" s="185" t="s">
        <v>586</v>
      </c>
      <c r="D109" s="51" t="s">
        <v>4971</v>
      </c>
      <c r="E109" s="55">
        <v>85.54</v>
      </c>
      <c r="F109" s="57">
        <v>0.993</v>
      </c>
      <c r="G109" s="54">
        <f t="shared" si="1"/>
        <v>84.94122</v>
      </c>
    </row>
    <row r="110" s="41" customFormat="1" customHeight="1" spans="1:7">
      <c r="A110" s="50">
        <v>18</v>
      </c>
      <c r="B110" s="185" t="s">
        <v>376</v>
      </c>
      <c r="C110" s="185" t="s">
        <v>586</v>
      </c>
      <c r="D110" s="51" t="s">
        <v>4972</v>
      </c>
      <c r="E110" s="55">
        <v>85.28</v>
      </c>
      <c r="F110" s="57">
        <v>0.993</v>
      </c>
      <c r="G110" s="54">
        <f t="shared" si="1"/>
        <v>84.68304</v>
      </c>
    </row>
    <row r="111" s="41" customFormat="1" customHeight="1" spans="1:7">
      <c r="A111" s="50">
        <v>22</v>
      </c>
      <c r="B111" s="185" t="s">
        <v>376</v>
      </c>
      <c r="C111" s="185" t="s">
        <v>586</v>
      </c>
      <c r="D111" s="51" t="s">
        <v>4973</v>
      </c>
      <c r="E111" s="55">
        <v>75.98</v>
      </c>
      <c r="F111" s="57">
        <v>0.999</v>
      </c>
      <c r="G111" s="54">
        <f t="shared" si="1"/>
        <v>75.90402</v>
      </c>
    </row>
    <row r="112" s="41" customFormat="1" customHeight="1" spans="1:7">
      <c r="A112" s="50">
        <v>23</v>
      </c>
      <c r="B112" s="185" t="s">
        <v>376</v>
      </c>
      <c r="C112" s="185" t="s">
        <v>586</v>
      </c>
      <c r="D112" s="51" t="s">
        <v>4974</v>
      </c>
      <c r="E112" s="55">
        <v>81.9</v>
      </c>
      <c r="F112" s="57">
        <v>0.997</v>
      </c>
      <c r="G112" s="54">
        <f t="shared" si="1"/>
        <v>81.6543</v>
      </c>
    </row>
    <row r="113" s="41" customFormat="1" customHeight="1" spans="1:7">
      <c r="A113" s="50">
        <v>17</v>
      </c>
      <c r="B113" s="185" t="s">
        <v>376</v>
      </c>
      <c r="C113" s="185" t="s">
        <v>586</v>
      </c>
      <c r="D113" s="51" t="s">
        <v>4975</v>
      </c>
      <c r="E113" s="55">
        <v>84</v>
      </c>
      <c r="F113" s="57">
        <v>0.993</v>
      </c>
      <c r="G113" s="54">
        <f t="shared" si="1"/>
        <v>83.412</v>
      </c>
    </row>
    <row r="114" s="41" customFormat="1" customHeight="1" spans="1:7">
      <c r="A114" s="50">
        <v>20</v>
      </c>
      <c r="B114" s="185" t="s">
        <v>376</v>
      </c>
      <c r="C114" s="185" t="s">
        <v>586</v>
      </c>
      <c r="D114" s="51" t="s">
        <v>4976</v>
      </c>
      <c r="E114" s="55">
        <v>80.4</v>
      </c>
      <c r="F114" s="57">
        <v>0.986</v>
      </c>
      <c r="G114" s="54">
        <f t="shared" si="1"/>
        <v>79.2744</v>
      </c>
    </row>
    <row r="115" s="41" customFormat="1" customHeight="1" spans="1:7">
      <c r="A115" s="50">
        <v>21</v>
      </c>
      <c r="B115" s="185" t="s">
        <v>376</v>
      </c>
      <c r="C115" s="185" t="s">
        <v>586</v>
      </c>
      <c r="D115" s="51" t="s">
        <v>4977</v>
      </c>
      <c r="E115" s="55">
        <v>83.88</v>
      </c>
      <c r="F115" s="57">
        <v>0.993</v>
      </c>
      <c r="G115" s="54">
        <f t="shared" si="1"/>
        <v>83.29284</v>
      </c>
    </row>
    <row r="116" s="41" customFormat="1" customHeight="1" spans="1:7">
      <c r="A116" s="50">
        <v>16</v>
      </c>
      <c r="B116" s="185" t="s">
        <v>376</v>
      </c>
      <c r="C116" s="185" t="s">
        <v>586</v>
      </c>
      <c r="D116" s="51" t="s">
        <v>4978</v>
      </c>
      <c r="E116" s="55">
        <v>82.4</v>
      </c>
      <c r="F116" s="57">
        <v>0.993</v>
      </c>
      <c r="G116" s="54">
        <f t="shared" si="1"/>
        <v>81.8232</v>
      </c>
    </row>
    <row r="117" s="41" customFormat="1" customHeight="1" spans="1:7">
      <c r="A117" s="50">
        <v>19</v>
      </c>
      <c r="B117" s="185" t="s">
        <v>376</v>
      </c>
      <c r="C117" s="185" t="s">
        <v>586</v>
      </c>
      <c r="D117" s="51" t="s">
        <v>4979</v>
      </c>
      <c r="E117" s="55">
        <v>83.4</v>
      </c>
      <c r="F117" s="57">
        <v>0.993</v>
      </c>
      <c r="G117" s="54">
        <f t="shared" si="1"/>
        <v>82.8162</v>
      </c>
    </row>
    <row r="118" s="41" customFormat="1" customHeight="1" spans="1:7">
      <c r="A118" s="50">
        <v>20</v>
      </c>
      <c r="B118" s="185" t="s">
        <v>376</v>
      </c>
      <c r="C118" s="185" t="s">
        <v>586</v>
      </c>
      <c r="D118" s="51" t="s">
        <v>4980</v>
      </c>
      <c r="E118" s="55">
        <v>81.3</v>
      </c>
      <c r="F118" s="57">
        <v>0.997</v>
      </c>
      <c r="G118" s="54">
        <f t="shared" si="1"/>
        <v>81.0561</v>
      </c>
    </row>
    <row r="119" s="41" customFormat="1" customHeight="1" spans="1:7">
      <c r="A119" s="50">
        <v>26</v>
      </c>
      <c r="B119" s="185" t="s">
        <v>376</v>
      </c>
      <c r="C119" s="185" t="s">
        <v>586</v>
      </c>
      <c r="D119" s="51" t="s">
        <v>4981</v>
      </c>
      <c r="E119" s="55">
        <v>81</v>
      </c>
      <c r="F119" s="57">
        <v>0.997</v>
      </c>
      <c r="G119" s="54">
        <f t="shared" si="1"/>
        <v>80.757</v>
      </c>
    </row>
    <row r="120" s="41" customFormat="1" customHeight="1" spans="1:7">
      <c r="A120" s="50">
        <v>21</v>
      </c>
      <c r="B120" s="185" t="s">
        <v>376</v>
      </c>
      <c r="C120" s="185" t="s">
        <v>586</v>
      </c>
      <c r="D120" s="51" t="s">
        <v>4982</v>
      </c>
      <c r="E120" s="55">
        <v>80</v>
      </c>
      <c r="F120" s="57">
        <v>0.997</v>
      </c>
      <c r="G120" s="54">
        <f t="shared" si="1"/>
        <v>79.76</v>
      </c>
    </row>
    <row r="121" s="41" customFormat="1" customHeight="1" spans="1:7">
      <c r="A121" s="50">
        <v>25</v>
      </c>
      <c r="B121" s="185" t="s">
        <v>376</v>
      </c>
      <c r="C121" s="185" t="s">
        <v>586</v>
      </c>
      <c r="D121" s="51" t="s">
        <v>4983</v>
      </c>
      <c r="E121" s="55">
        <v>81.7</v>
      </c>
      <c r="F121" s="57">
        <v>0.993</v>
      </c>
      <c r="G121" s="54">
        <f t="shared" si="1"/>
        <v>81.1281</v>
      </c>
    </row>
    <row r="122" s="41" customFormat="1" customHeight="1" spans="1:7">
      <c r="A122" s="50">
        <v>13</v>
      </c>
      <c r="B122" s="185" t="s">
        <v>376</v>
      </c>
      <c r="C122" s="185" t="s">
        <v>586</v>
      </c>
      <c r="D122" s="51" t="s">
        <v>4984</v>
      </c>
      <c r="E122" s="55">
        <v>80</v>
      </c>
      <c r="F122" s="57">
        <v>0.993</v>
      </c>
      <c r="G122" s="54">
        <f t="shared" si="1"/>
        <v>79.44</v>
      </c>
    </row>
    <row r="123" s="41" customFormat="1" customHeight="1" spans="1:7">
      <c r="A123" s="50">
        <v>12</v>
      </c>
      <c r="B123" s="185" t="s">
        <v>376</v>
      </c>
      <c r="C123" s="185" t="s">
        <v>586</v>
      </c>
      <c r="D123" s="51" t="s">
        <v>4985</v>
      </c>
      <c r="E123" s="55">
        <v>0</v>
      </c>
      <c r="F123" s="57">
        <v>1.022</v>
      </c>
      <c r="G123" s="54">
        <f t="shared" si="1"/>
        <v>0</v>
      </c>
    </row>
    <row r="124" s="41" customFormat="1" customHeight="1" spans="1:7">
      <c r="A124" s="50">
        <v>15</v>
      </c>
      <c r="B124" s="185" t="s">
        <v>376</v>
      </c>
      <c r="C124" s="185" t="s">
        <v>586</v>
      </c>
      <c r="D124" s="51" t="s">
        <v>4986</v>
      </c>
      <c r="E124" s="55">
        <v>0</v>
      </c>
      <c r="F124" s="57">
        <v>1.022</v>
      </c>
      <c r="G124" s="54">
        <f t="shared" si="1"/>
        <v>0</v>
      </c>
    </row>
    <row r="125" s="41" customFormat="1" customHeight="1" spans="1:7">
      <c r="A125" s="50">
        <v>13</v>
      </c>
      <c r="B125" s="185" t="s">
        <v>376</v>
      </c>
      <c r="C125" s="185" t="s">
        <v>586</v>
      </c>
      <c r="D125" s="51" t="s">
        <v>4987</v>
      </c>
      <c r="E125" s="55">
        <v>0</v>
      </c>
      <c r="F125" s="57">
        <v>0.999</v>
      </c>
      <c r="G125" s="54">
        <f t="shared" si="1"/>
        <v>0</v>
      </c>
    </row>
    <row r="126" s="41" customFormat="1" customHeight="1" spans="1:7">
      <c r="A126" s="50">
        <v>10</v>
      </c>
      <c r="B126" s="185" t="s">
        <v>376</v>
      </c>
      <c r="C126" s="185" t="s">
        <v>586</v>
      </c>
      <c r="D126" s="51" t="s">
        <v>4988</v>
      </c>
      <c r="E126" s="55">
        <v>0</v>
      </c>
      <c r="F126" s="57">
        <v>0.997</v>
      </c>
      <c r="G126" s="54">
        <f t="shared" si="1"/>
        <v>0</v>
      </c>
    </row>
    <row r="127" s="41" customFormat="1" customHeight="1" spans="1:7">
      <c r="A127" s="50">
        <v>15</v>
      </c>
      <c r="B127" s="185" t="s">
        <v>376</v>
      </c>
      <c r="C127" s="185" t="s">
        <v>586</v>
      </c>
      <c r="D127" s="51" t="s">
        <v>4989</v>
      </c>
      <c r="E127" s="55">
        <v>0</v>
      </c>
      <c r="F127" s="57">
        <v>0.997</v>
      </c>
      <c r="G127" s="54">
        <f t="shared" si="1"/>
        <v>0</v>
      </c>
    </row>
    <row r="128" s="41" customFormat="1" customHeight="1" spans="1:7">
      <c r="A128" s="50">
        <v>9</v>
      </c>
      <c r="B128" s="185" t="s">
        <v>376</v>
      </c>
      <c r="C128" s="185" t="s">
        <v>586</v>
      </c>
      <c r="D128" s="51" t="s">
        <v>4990</v>
      </c>
      <c r="E128" s="55">
        <v>0</v>
      </c>
      <c r="F128" s="57">
        <v>0.997</v>
      </c>
      <c r="G128" s="54">
        <f t="shared" si="1"/>
        <v>0</v>
      </c>
    </row>
    <row r="129" s="41" customFormat="1" customHeight="1" spans="1:7">
      <c r="A129" s="50">
        <v>10</v>
      </c>
      <c r="B129" s="185" t="s">
        <v>376</v>
      </c>
      <c r="C129" s="185" t="s">
        <v>586</v>
      </c>
      <c r="D129" s="51" t="s">
        <v>4991</v>
      </c>
      <c r="E129" s="55">
        <v>0</v>
      </c>
      <c r="F129" s="57">
        <v>0.993</v>
      </c>
      <c r="G129" s="54">
        <f t="shared" si="1"/>
        <v>0</v>
      </c>
    </row>
    <row r="130" s="41" customFormat="1" customHeight="1" spans="1:7">
      <c r="A130" s="50">
        <v>16</v>
      </c>
      <c r="B130" s="185" t="s">
        <v>376</v>
      </c>
      <c r="C130" s="185" t="s">
        <v>586</v>
      </c>
      <c r="D130" s="51" t="s">
        <v>4992</v>
      </c>
      <c r="E130" s="55">
        <v>0</v>
      </c>
      <c r="F130" s="57">
        <v>0.993</v>
      </c>
      <c r="G130" s="54">
        <f t="shared" si="1"/>
        <v>0</v>
      </c>
    </row>
    <row r="131" s="41" customFormat="1" customHeight="1" spans="1:7">
      <c r="A131" s="50">
        <v>11</v>
      </c>
      <c r="B131" s="185" t="s">
        <v>376</v>
      </c>
      <c r="C131" s="185" t="s">
        <v>586</v>
      </c>
      <c r="D131" s="51" t="s">
        <v>4993</v>
      </c>
      <c r="E131" s="55">
        <v>0</v>
      </c>
      <c r="F131" s="57">
        <v>0.993</v>
      </c>
      <c r="G131" s="54">
        <f t="shared" si="1"/>
        <v>0</v>
      </c>
    </row>
    <row r="132" s="41" customFormat="1" customHeight="1" spans="1:7">
      <c r="A132" s="50">
        <v>8</v>
      </c>
      <c r="B132" s="185" t="s">
        <v>376</v>
      </c>
      <c r="C132" s="185" t="s">
        <v>586</v>
      </c>
      <c r="D132" s="51" t="s">
        <v>4994</v>
      </c>
      <c r="E132" s="55">
        <v>0</v>
      </c>
      <c r="F132" s="57">
        <v>0.993</v>
      </c>
      <c r="G132" s="54">
        <f>E132*F132</f>
        <v>0</v>
      </c>
    </row>
    <row r="133" s="41" customFormat="1" customHeight="1" spans="1:7">
      <c r="A133" s="50">
        <v>17</v>
      </c>
      <c r="B133" s="185" t="s">
        <v>376</v>
      </c>
      <c r="C133" s="185" t="s">
        <v>586</v>
      </c>
      <c r="D133" s="51" t="s">
        <v>4995</v>
      </c>
      <c r="E133" s="55">
        <v>0</v>
      </c>
      <c r="F133" s="57">
        <v>0.993</v>
      </c>
      <c r="G133" s="54">
        <f>E133*F133</f>
        <v>0</v>
      </c>
    </row>
    <row r="134" s="41" customFormat="1" customHeight="1" spans="1:7">
      <c r="A134" s="50">
        <v>3</v>
      </c>
      <c r="B134" s="185" t="s">
        <v>4996</v>
      </c>
      <c r="C134" s="185" t="s">
        <v>4997</v>
      </c>
      <c r="D134" s="51" t="s">
        <v>4998</v>
      </c>
      <c r="E134" s="55">
        <v>86.76</v>
      </c>
      <c r="F134" s="60"/>
      <c r="G134" s="60"/>
    </row>
    <row r="135" s="41" customFormat="1" customHeight="1" spans="1:7">
      <c r="A135" s="50">
        <v>5</v>
      </c>
      <c r="B135" s="185" t="s">
        <v>4996</v>
      </c>
      <c r="C135" s="185" t="s">
        <v>4997</v>
      </c>
      <c r="D135" s="51" t="s">
        <v>4999</v>
      </c>
      <c r="E135" s="55">
        <v>84.34</v>
      </c>
      <c r="F135" s="60"/>
      <c r="G135" s="60"/>
    </row>
    <row r="136" s="41" customFormat="1" customHeight="1" spans="1:7">
      <c r="A136" s="50">
        <v>1</v>
      </c>
      <c r="B136" s="185" t="s">
        <v>4996</v>
      </c>
      <c r="C136" s="185" t="s">
        <v>4997</v>
      </c>
      <c r="D136" s="51" t="s">
        <v>5000</v>
      </c>
      <c r="E136" s="55">
        <v>86.44</v>
      </c>
      <c r="F136" s="60"/>
      <c r="G136" s="60"/>
    </row>
    <row r="137" s="41" customFormat="1" customHeight="1" spans="1:7">
      <c r="A137" s="50">
        <v>6</v>
      </c>
      <c r="B137" s="185" t="s">
        <v>4996</v>
      </c>
      <c r="C137" s="185" t="s">
        <v>4997</v>
      </c>
      <c r="D137" s="51" t="s">
        <v>5001</v>
      </c>
      <c r="E137" s="55">
        <v>85.2</v>
      </c>
      <c r="F137" s="60"/>
      <c r="G137" s="60"/>
    </row>
    <row r="138" s="41" customFormat="1" customHeight="1" spans="1:7">
      <c r="A138" s="50">
        <v>2</v>
      </c>
      <c r="B138" s="185" t="s">
        <v>5002</v>
      </c>
      <c r="C138" s="185" t="s">
        <v>14</v>
      </c>
      <c r="D138" s="51" t="s">
        <v>5003</v>
      </c>
      <c r="E138" s="55">
        <v>85</v>
      </c>
      <c r="F138" s="60"/>
      <c r="G138" s="60"/>
    </row>
    <row r="139" s="41" customFormat="1" customHeight="1" spans="1:7">
      <c r="A139" s="50">
        <v>16</v>
      </c>
      <c r="B139" s="185" t="s">
        <v>5002</v>
      </c>
      <c r="C139" s="185" t="s">
        <v>14</v>
      </c>
      <c r="D139" s="51" t="s">
        <v>5004</v>
      </c>
      <c r="E139" s="55">
        <v>88.2</v>
      </c>
      <c r="F139" s="60"/>
      <c r="G139" s="60"/>
    </row>
    <row r="140" s="41" customFormat="1" customHeight="1" spans="1:7">
      <c r="A140" s="50">
        <v>17</v>
      </c>
      <c r="B140" s="185" t="s">
        <v>5002</v>
      </c>
      <c r="C140" s="185" t="s">
        <v>14</v>
      </c>
      <c r="D140" s="51" t="s">
        <v>5005</v>
      </c>
      <c r="E140" s="55">
        <v>87.4</v>
      </c>
      <c r="F140" s="60"/>
      <c r="G140" s="60"/>
    </row>
    <row r="141" s="41" customFormat="1" customHeight="1" spans="1:7">
      <c r="A141" s="50">
        <v>14</v>
      </c>
      <c r="B141" s="185" t="s">
        <v>5002</v>
      </c>
      <c r="C141" s="185" t="s">
        <v>14</v>
      </c>
      <c r="D141" s="51" t="s">
        <v>5006</v>
      </c>
      <c r="E141" s="55">
        <v>79.8</v>
      </c>
      <c r="F141" s="60"/>
      <c r="G141" s="60"/>
    </row>
    <row r="142" s="41" customFormat="1" customHeight="1" spans="1:7">
      <c r="A142" s="50">
        <v>1</v>
      </c>
      <c r="B142" s="185" t="s">
        <v>5002</v>
      </c>
      <c r="C142" s="185" t="s">
        <v>9</v>
      </c>
      <c r="D142" s="51" t="s">
        <v>5007</v>
      </c>
      <c r="E142" s="55">
        <v>92.8</v>
      </c>
      <c r="F142" s="60"/>
      <c r="G142" s="60"/>
    </row>
    <row r="143" s="41" customFormat="1" customHeight="1" spans="1:7">
      <c r="A143" s="50">
        <v>8</v>
      </c>
      <c r="B143" s="185" t="s">
        <v>5002</v>
      </c>
      <c r="C143" s="185" t="s">
        <v>9</v>
      </c>
      <c r="D143" s="51" t="s">
        <v>5008</v>
      </c>
      <c r="E143" s="55">
        <v>86.6</v>
      </c>
      <c r="F143" s="60"/>
      <c r="G143" s="60"/>
    </row>
    <row r="144" s="41" customFormat="1" customHeight="1" spans="1:7">
      <c r="A144" s="50">
        <v>3</v>
      </c>
      <c r="B144" s="185" t="s">
        <v>5002</v>
      </c>
      <c r="C144" s="185" t="s">
        <v>9</v>
      </c>
      <c r="D144" s="51" t="s">
        <v>5009</v>
      </c>
      <c r="E144" s="55">
        <v>84.8</v>
      </c>
      <c r="F144" s="60"/>
      <c r="G144" s="60"/>
    </row>
    <row r="145" s="41" customFormat="1" customHeight="1" spans="1:7">
      <c r="A145" s="50">
        <v>16</v>
      </c>
      <c r="B145" s="185" t="s">
        <v>5002</v>
      </c>
      <c r="C145" s="185" t="s">
        <v>9</v>
      </c>
      <c r="D145" s="51" t="s">
        <v>5010</v>
      </c>
      <c r="E145" s="55">
        <v>81.4</v>
      </c>
      <c r="F145" s="60"/>
      <c r="G145" s="60"/>
    </row>
    <row r="146" s="41" customFormat="1" customHeight="1" spans="1:7">
      <c r="A146" s="50">
        <v>18</v>
      </c>
      <c r="B146" s="185" t="s">
        <v>5002</v>
      </c>
      <c r="C146" s="185" t="s">
        <v>8</v>
      </c>
      <c r="D146" s="51" t="s">
        <v>5011</v>
      </c>
      <c r="E146" s="55">
        <v>85.8</v>
      </c>
      <c r="F146" s="60"/>
      <c r="G146" s="60"/>
    </row>
    <row r="147" s="41" customFormat="1" customHeight="1" spans="1:7">
      <c r="A147" s="50">
        <v>16</v>
      </c>
      <c r="B147" s="185" t="s">
        <v>5002</v>
      </c>
      <c r="C147" s="185" t="s">
        <v>8</v>
      </c>
      <c r="D147" s="51" t="s">
        <v>5012</v>
      </c>
      <c r="E147" s="55">
        <v>87.6</v>
      </c>
      <c r="F147" s="60"/>
      <c r="G147" s="60"/>
    </row>
    <row r="148" s="41" customFormat="1" customHeight="1" spans="1:7">
      <c r="A148" s="50">
        <v>9</v>
      </c>
      <c r="B148" s="185" t="s">
        <v>5002</v>
      </c>
      <c r="C148" s="185" t="s">
        <v>8</v>
      </c>
      <c r="D148" s="51" t="s">
        <v>5013</v>
      </c>
      <c r="E148" s="55">
        <v>84.22</v>
      </c>
      <c r="F148" s="60"/>
      <c r="G148" s="60"/>
    </row>
    <row r="149" s="41" customFormat="1" customHeight="1" spans="1:7">
      <c r="A149" s="50">
        <v>10</v>
      </c>
      <c r="B149" s="185" t="s">
        <v>5002</v>
      </c>
      <c r="C149" s="185" t="s">
        <v>8</v>
      </c>
      <c r="D149" s="51" t="s">
        <v>5014</v>
      </c>
      <c r="E149" s="55">
        <v>85.16</v>
      </c>
      <c r="F149" s="60"/>
      <c r="G149" s="60"/>
    </row>
    <row r="150" s="41" customFormat="1" customHeight="1" spans="1:7">
      <c r="A150" s="50">
        <v>13</v>
      </c>
      <c r="B150" s="185" t="s">
        <v>5002</v>
      </c>
      <c r="C150" s="185" t="s">
        <v>12</v>
      </c>
      <c r="D150" s="51" t="s">
        <v>5015</v>
      </c>
      <c r="E150" s="55">
        <v>90.38</v>
      </c>
      <c r="F150" s="60"/>
      <c r="G150" s="60"/>
    </row>
    <row r="151" s="41" customFormat="1" customHeight="1" spans="1:7">
      <c r="A151" s="50">
        <v>7</v>
      </c>
      <c r="B151" s="185" t="s">
        <v>5002</v>
      </c>
      <c r="C151" s="185" t="s">
        <v>12</v>
      </c>
      <c r="D151" s="51" t="s">
        <v>5016</v>
      </c>
      <c r="E151" s="55">
        <v>82</v>
      </c>
      <c r="F151" s="60"/>
      <c r="G151" s="60"/>
    </row>
    <row r="152" s="41" customFormat="1" customHeight="1" spans="1:7">
      <c r="A152" s="50">
        <v>27</v>
      </c>
      <c r="B152" s="185" t="s">
        <v>5002</v>
      </c>
      <c r="C152" s="185" t="s">
        <v>13</v>
      </c>
      <c r="D152" s="51" t="s">
        <v>5017</v>
      </c>
      <c r="E152" s="55">
        <v>91.4</v>
      </c>
      <c r="F152" s="60"/>
      <c r="G152" s="60"/>
    </row>
    <row r="153" s="41" customFormat="1" customHeight="1" spans="1:7">
      <c r="A153" s="50">
        <v>17</v>
      </c>
      <c r="B153" s="185" t="s">
        <v>5002</v>
      </c>
      <c r="C153" s="185" t="s">
        <v>13</v>
      </c>
      <c r="D153" s="51" t="s">
        <v>5018</v>
      </c>
      <c r="E153" s="55">
        <v>92.8</v>
      </c>
      <c r="F153" s="60"/>
      <c r="G153" s="60"/>
    </row>
    <row r="154" s="41" customFormat="1" customHeight="1" spans="1:7">
      <c r="A154" s="50">
        <v>10</v>
      </c>
      <c r="B154" s="185" t="s">
        <v>5002</v>
      </c>
      <c r="C154" s="185" t="s">
        <v>13</v>
      </c>
      <c r="D154" s="51" t="s">
        <v>5019</v>
      </c>
      <c r="E154" s="55">
        <v>88.4</v>
      </c>
      <c r="F154" s="60"/>
      <c r="G154" s="60"/>
    </row>
    <row r="155" s="41" customFormat="1" customHeight="1" spans="1:7">
      <c r="A155" s="50">
        <v>16</v>
      </c>
      <c r="B155" s="185" t="s">
        <v>5002</v>
      </c>
      <c r="C155" s="185" t="s">
        <v>13</v>
      </c>
      <c r="D155" s="51" t="s">
        <v>5020</v>
      </c>
      <c r="E155" s="55">
        <v>83.4</v>
      </c>
      <c r="F155" s="60"/>
      <c r="G155" s="60"/>
    </row>
    <row r="156" s="41" customFormat="1" customHeight="1" spans="1:7">
      <c r="A156" s="50">
        <v>13</v>
      </c>
      <c r="B156" s="185" t="s">
        <v>5002</v>
      </c>
      <c r="C156" s="185" t="s">
        <v>15</v>
      </c>
      <c r="D156" s="51" t="s">
        <v>5021</v>
      </c>
      <c r="E156" s="55">
        <v>90.2</v>
      </c>
      <c r="F156" s="60"/>
      <c r="G156" s="60"/>
    </row>
    <row r="157" s="41" customFormat="1" customHeight="1" spans="1:7">
      <c r="A157" s="50">
        <v>26</v>
      </c>
      <c r="B157" s="185" t="s">
        <v>5002</v>
      </c>
      <c r="C157" s="185" t="s">
        <v>15</v>
      </c>
      <c r="D157" s="51" t="s">
        <v>5022</v>
      </c>
      <c r="E157" s="55">
        <v>91.8</v>
      </c>
      <c r="F157" s="60"/>
      <c r="G157" s="60"/>
    </row>
    <row r="158" s="41" customFormat="1" customHeight="1" spans="1:7">
      <c r="A158" s="50">
        <v>14</v>
      </c>
      <c r="B158" s="185" t="s">
        <v>5002</v>
      </c>
      <c r="C158" s="185" t="s">
        <v>15</v>
      </c>
      <c r="D158" s="51" t="s">
        <v>5023</v>
      </c>
      <c r="E158" s="55">
        <v>92.2</v>
      </c>
      <c r="F158" s="60"/>
      <c r="G158" s="60"/>
    </row>
    <row r="159" s="41" customFormat="1" customHeight="1" spans="1:7">
      <c r="A159" s="50">
        <v>12</v>
      </c>
      <c r="B159" s="185" t="s">
        <v>5002</v>
      </c>
      <c r="C159" s="185" t="s">
        <v>15</v>
      </c>
      <c r="D159" s="51" t="s">
        <v>5024</v>
      </c>
      <c r="E159" s="55">
        <v>89.8</v>
      </c>
      <c r="F159" s="60"/>
      <c r="G159" s="60"/>
    </row>
    <row r="160" s="41" customFormat="1" customHeight="1" spans="1:7">
      <c r="A160" s="50">
        <v>10</v>
      </c>
      <c r="B160" s="185" t="s">
        <v>5002</v>
      </c>
      <c r="C160" s="185" t="s">
        <v>15</v>
      </c>
      <c r="D160" s="51" t="s">
        <v>5025</v>
      </c>
      <c r="E160" s="55">
        <v>89.2</v>
      </c>
      <c r="F160" s="60"/>
      <c r="G160" s="60"/>
    </row>
    <row r="161" s="41" customFormat="1" customHeight="1" spans="1:7">
      <c r="A161" s="50">
        <v>8</v>
      </c>
      <c r="B161" s="185" t="s">
        <v>5002</v>
      </c>
      <c r="C161" s="185" t="s">
        <v>15</v>
      </c>
      <c r="D161" s="51" t="s">
        <v>5026</v>
      </c>
      <c r="E161" s="55">
        <v>89.8</v>
      </c>
      <c r="F161" s="60"/>
      <c r="G161" s="60"/>
    </row>
    <row r="162" s="41" customFormat="1" customHeight="1" spans="1:7">
      <c r="A162" s="50">
        <v>9</v>
      </c>
      <c r="B162" s="185" t="s">
        <v>5002</v>
      </c>
      <c r="C162" s="185" t="s">
        <v>5</v>
      </c>
      <c r="D162" s="51" t="s">
        <v>5027</v>
      </c>
      <c r="E162" s="55">
        <v>93.4</v>
      </c>
      <c r="F162" s="60"/>
      <c r="G162" s="60"/>
    </row>
    <row r="163" s="41" customFormat="1" customHeight="1" spans="1:7">
      <c r="A163" s="50">
        <v>17</v>
      </c>
      <c r="B163" s="185" t="s">
        <v>5002</v>
      </c>
      <c r="C163" s="185" t="s">
        <v>5</v>
      </c>
      <c r="D163" s="51" t="s">
        <v>5028</v>
      </c>
      <c r="E163" s="55">
        <v>93.4</v>
      </c>
      <c r="F163" s="60"/>
      <c r="G163" s="60"/>
    </row>
    <row r="164" s="41" customFormat="1" customHeight="1" spans="1:7">
      <c r="A164" s="50">
        <v>9</v>
      </c>
      <c r="B164" s="185" t="s">
        <v>5002</v>
      </c>
      <c r="C164" s="185" t="s">
        <v>5</v>
      </c>
      <c r="D164" s="51" t="s">
        <v>5029</v>
      </c>
      <c r="E164" s="55">
        <v>87.2</v>
      </c>
      <c r="F164" s="60"/>
      <c r="G164" s="60"/>
    </row>
    <row r="165" s="41" customFormat="1" customHeight="1" spans="1:7">
      <c r="A165" s="50">
        <v>2</v>
      </c>
      <c r="B165" s="185" t="s">
        <v>5002</v>
      </c>
      <c r="C165" s="185" t="s">
        <v>5</v>
      </c>
      <c r="D165" s="51" t="s">
        <v>5030</v>
      </c>
      <c r="E165" s="55">
        <v>87.8</v>
      </c>
      <c r="F165" s="60"/>
      <c r="G165" s="60"/>
    </row>
    <row r="166" s="41" customFormat="1" customHeight="1" spans="1:7">
      <c r="A166" s="50">
        <v>14</v>
      </c>
      <c r="B166" s="185" t="s">
        <v>5002</v>
      </c>
      <c r="C166" s="185" t="s">
        <v>3</v>
      </c>
      <c r="D166" s="51" t="s">
        <v>5031</v>
      </c>
      <c r="E166" s="55">
        <v>88.2</v>
      </c>
      <c r="F166" s="60"/>
      <c r="G166" s="60"/>
    </row>
    <row r="167" s="41" customFormat="1" customHeight="1" spans="1:7">
      <c r="A167" s="50">
        <v>8</v>
      </c>
      <c r="B167" s="185" t="s">
        <v>5002</v>
      </c>
      <c r="C167" s="185" t="s">
        <v>3</v>
      </c>
      <c r="D167" s="51" t="s">
        <v>5032</v>
      </c>
      <c r="E167" s="55">
        <v>87.8</v>
      </c>
      <c r="F167" s="60"/>
      <c r="G167" s="60"/>
    </row>
    <row r="168" customHeight="1" spans="2:7">
      <c r="B168" s="185" t="s">
        <v>5002</v>
      </c>
      <c r="C168" s="185" t="s">
        <v>3</v>
      </c>
      <c r="D168" s="51" t="s">
        <v>5033</v>
      </c>
      <c r="E168" s="55">
        <v>88</v>
      </c>
      <c r="F168" s="60"/>
      <c r="G168" s="60"/>
    </row>
    <row r="169" customHeight="1" spans="2:7">
      <c r="B169" s="185" t="s">
        <v>5002</v>
      </c>
      <c r="C169" s="185" t="s">
        <v>3</v>
      </c>
      <c r="D169" s="51" t="s">
        <v>5034</v>
      </c>
      <c r="E169" s="55">
        <v>86.2</v>
      </c>
      <c r="F169" s="60"/>
      <c r="G169" s="60"/>
    </row>
    <row r="170" customHeight="1" spans="2:7">
      <c r="B170" s="185" t="s">
        <v>5002</v>
      </c>
      <c r="C170" s="185" t="s">
        <v>10</v>
      </c>
      <c r="D170" s="51" t="s">
        <v>5035</v>
      </c>
      <c r="E170" s="55">
        <v>92.6</v>
      </c>
      <c r="F170" s="60"/>
      <c r="G170" s="60"/>
    </row>
    <row r="171" customHeight="1" spans="2:7">
      <c r="B171" s="185" t="s">
        <v>5002</v>
      </c>
      <c r="C171" s="185" t="s">
        <v>10</v>
      </c>
      <c r="D171" s="51" t="s">
        <v>5036</v>
      </c>
      <c r="E171" s="55">
        <v>90.4</v>
      </c>
      <c r="F171" s="60"/>
      <c r="G171" s="60"/>
    </row>
    <row r="172" customHeight="1" spans="2:7">
      <c r="B172" s="185" t="s">
        <v>5002</v>
      </c>
      <c r="C172" s="185" t="s">
        <v>10</v>
      </c>
      <c r="D172" s="51" t="s">
        <v>5037</v>
      </c>
      <c r="E172" s="55">
        <v>86.4</v>
      </c>
      <c r="F172" s="60"/>
      <c r="G172" s="60"/>
    </row>
    <row r="173" customHeight="1" spans="2:7">
      <c r="B173" s="185" t="s">
        <v>5002</v>
      </c>
      <c r="C173" s="185" t="s">
        <v>10</v>
      </c>
      <c r="D173" s="51" t="s">
        <v>5038</v>
      </c>
      <c r="E173" s="55">
        <v>0</v>
      </c>
      <c r="F173" s="60"/>
      <c r="G173" s="60"/>
    </row>
    <row r="174" customHeight="1" spans="2:7">
      <c r="B174" s="185" t="s">
        <v>5002</v>
      </c>
      <c r="C174" s="185" t="s">
        <v>4</v>
      </c>
      <c r="D174" s="51" t="s">
        <v>5039</v>
      </c>
      <c r="E174" s="55">
        <v>92.2</v>
      </c>
      <c r="F174" s="60"/>
      <c r="G174" s="60"/>
    </row>
    <row r="175" customHeight="1" spans="2:7">
      <c r="B175" s="185" t="s">
        <v>5002</v>
      </c>
      <c r="C175" s="185" t="s">
        <v>4</v>
      </c>
      <c r="D175" s="51" t="s">
        <v>5040</v>
      </c>
      <c r="E175" s="55">
        <v>88.6</v>
      </c>
      <c r="F175" s="60"/>
      <c r="G175" s="60"/>
    </row>
    <row r="176" customHeight="1" spans="2:7">
      <c r="B176" s="185" t="s">
        <v>5002</v>
      </c>
      <c r="C176" s="185" t="s">
        <v>4</v>
      </c>
      <c r="D176" s="51" t="s">
        <v>5041</v>
      </c>
      <c r="E176" s="55">
        <v>89.2</v>
      </c>
      <c r="F176" s="60"/>
      <c r="G176" s="60"/>
    </row>
    <row r="177" customHeight="1" spans="2:7">
      <c r="B177" s="185" t="s">
        <v>5002</v>
      </c>
      <c r="C177" s="185" t="s">
        <v>4</v>
      </c>
      <c r="D177" s="51" t="s">
        <v>5042</v>
      </c>
      <c r="E177" s="55">
        <v>87.4</v>
      </c>
      <c r="F177" s="60"/>
      <c r="G177" s="60"/>
    </row>
    <row r="178" customHeight="1" spans="2:7">
      <c r="B178" s="185" t="s">
        <v>5002</v>
      </c>
      <c r="C178" s="185" t="s">
        <v>4</v>
      </c>
      <c r="D178" s="51" t="s">
        <v>5043</v>
      </c>
      <c r="E178" s="55">
        <v>0</v>
      </c>
      <c r="F178" s="60"/>
      <c r="G178" s="60"/>
    </row>
    <row r="179" customHeight="1" spans="2:7">
      <c r="B179" s="185" t="s">
        <v>5002</v>
      </c>
      <c r="C179" s="185" t="s">
        <v>7</v>
      </c>
      <c r="D179" s="51" t="s">
        <v>5044</v>
      </c>
      <c r="E179" s="55">
        <v>88.4</v>
      </c>
      <c r="F179" s="60"/>
      <c r="G179" s="60"/>
    </row>
    <row r="180" customHeight="1" spans="2:7">
      <c r="B180" s="185" t="s">
        <v>5002</v>
      </c>
      <c r="C180" s="185" t="s">
        <v>7</v>
      </c>
      <c r="D180" s="51" t="s">
        <v>5045</v>
      </c>
      <c r="E180" s="55">
        <v>0</v>
      </c>
      <c r="F180" s="60"/>
      <c r="G180" s="60"/>
    </row>
    <row r="181" customHeight="1" spans="2:7">
      <c r="B181" s="185" t="s">
        <v>5002</v>
      </c>
      <c r="C181" s="185" t="s">
        <v>6</v>
      </c>
      <c r="D181" s="51" t="s">
        <v>5046</v>
      </c>
      <c r="E181" s="55">
        <v>91.8</v>
      </c>
      <c r="F181" s="60"/>
      <c r="G181" s="60"/>
    </row>
    <row r="182" customHeight="1" spans="2:7">
      <c r="B182" s="185" t="s">
        <v>5002</v>
      </c>
      <c r="C182" s="185" t="s">
        <v>6</v>
      </c>
      <c r="D182" s="51" t="s">
        <v>5047</v>
      </c>
      <c r="E182" s="55">
        <v>89.6</v>
      </c>
      <c r="F182" s="60"/>
      <c r="G182" s="60"/>
    </row>
    <row r="183" customHeight="1" spans="2:7">
      <c r="B183" s="185" t="s">
        <v>5048</v>
      </c>
      <c r="C183" s="185" t="s">
        <v>26</v>
      </c>
      <c r="D183" s="51" t="s">
        <v>5049</v>
      </c>
      <c r="E183" s="55">
        <v>85</v>
      </c>
      <c r="F183" s="60"/>
      <c r="G183" s="60"/>
    </row>
    <row r="184" customHeight="1" spans="2:7">
      <c r="B184" s="185" t="s">
        <v>5048</v>
      </c>
      <c r="C184" s="185" t="s">
        <v>26</v>
      </c>
      <c r="D184" s="51" t="s">
        <v>5050</v>
      </c>
      <c r="E184" s="55">
        <v>83.8</v>
      </c>
      <c r="F184" s="60"/>
      <c r="G184" s="60"/>
    </row>
    <row r="185" customHeight="1" spans="2:7">
      <c r="B185" s="185" t="s">
        <v>5048</v>
      </c>
      <c r="C185" s="185" t="s">
        <v>26</v>
      </c>
      <c r="D185" s="51" t="s">
        <v>5051</v>
      </c>
      <c r="E185" s="55">
        <v>84.4</v>
      </c>
      <c r="F185" s="60"/>
      <c r="G185" s="60"/>
    </row>
    <row r="186" customHeight="1" spans="2:7">
      <c r="B186" s="185" t="s">
        <v>5048</v>
      </c>
      <c r="C186" s="185" t="s">
        <v>26</v>
      </c>
      <c r="D186" s="51" t="s">
        <v>5052</v>
      </c>
      <c r="E186" s="55">
        <v>83</v>
      </c>
      <c r="F186" s="60"/>
      <c r="G186" s="60"/>
    </row>
    <row r="187" customHeight="1" spans="2:7">
      <c r="B187" s="185" t="s">
        <v>5048</v>
      </c>
      <c r="C187" s="185" t="s">
        <v>26</v>
      </c>
      <c r="D187" s="51" t="s">
        <v>5053</v>
      </c>
      <c r="E187" s="55">
        <v>83.4</v>
      </c>
      <c r="F187" s="60"/>
      <c r="G187" s="60"/>
    </row>
    <row r="188" customHeight="1" spans="2:7">
      <c r="B188" s="185" t="s">
        <v>5048</v>
      </c>
      <c r="C188" s="185" t="s">
        <v>26</v>
      </c>
      <c r="D188" s="51" t="s">
        <v>5054</v>
      </c>
      <c r="E188" s="55">
        <v>78.2</v>
      </c>
      <c r="F188" s="60"/>
      <c r="G188" s="60"/>
    </row>
    <row r="189" customHeight="1" spans="2:7">
      <c r="B189" s="185" t="s">
        <v>5048</v>
      </c>
      <c r="C189" s="185" t="s">
        <v>26</v>
      </c>
      <c r="D189" s="51" t="s">
        <v>5055</v>
      </c>
      <c r="E189" s="55">
        <v>83.2</v>
      </c>
      <c r="F189" s="60"/>
      <c r="G189" s="60"/>
    </row>
    <row r="190" customHeight="1" spans="2:7">
      <c r="B190" s="185" t="s">
        <v>297</v>
      </c>
      <c r="C190" s="185" t="s">
        <v>26</v>
      </c>
      <c r="D190" s="51" t="s">
        <v>5056</v>
      </c>
      <c r="E190" s="55">
        <v>84.4</v>
      </c>
      <c r="F190" s="60"/>
      <c r="G190" s="60"/>
    </row>
    <row r="191" customHeight="1" spans="2:7">
      <c r="B191" s="185" t="s">
        <v>297</v>
      </c>
      <c r="C191" s="185" t="s">
        <v>26</v>
      </c>
      <c r="D191" s="51" t="s">
        <v>5057</v>
      </c>
      <c r="E191" s="55">
        <v>87.4</v>
      </c>
      <c r="F191" s="60"/>
      <c r="G191" s="60"/>
    </row>
    <row r="192" customHeight="1" spans="2:7">
      <c r="B192" s="185" t="s">
        <v>297</v>
      </c>
      <c r="C192" s="185" t="s">
        <v>26</v>
      </c>
      <c r="D192" s="51" t="s">
        <v>5058</v>
      </c>
      <c r="E192" s="55">
        <v>85</v>
      </c>
      <c r="F192" s="60"/>
      <c r="G192" s="60"/>
    </row>
    <row r="193" customHeight="1" spans="2:7">
      <c r="B193" s="185" t="s">
        <v>297</v>
      </c>
      <c r="C193" s="185" t="s">
        <v>26</v>
      </c>
      <c r="D193" s="51" t="s">
        <v>5059</v>
      </c>
      <c r="E193" s="55">
        <v>82.4</v>
      </c>
      <c r="F193" s="60"/>
      <c r="G193" s="60"/>
    </row>
    <row r="194" customHeight="1" spans="2:7">
      <c r="B194" s="185" t="s">
        <v>297</v>
      </c>
      <c r="C194" s="185" t="s">
        <v>26</v>
      </c>
      <c r="D194" s="51" t="s">
        <v>5060</v>
      </c>
      <c r="E194" s="55">
        <v>84</v>
      </c>
      <c r="F194" s="60"/>
      <c r="G194" s="60"/>
    </row>
    <row r="195" customHeight="1" spans="2:7">
      <c r="B195" s="185" t="s">
        <v>297</v>
      </c>
      <c r="C195" s="185" t="s">
        <v>26</v>
      </c>
      <c r="D195" s="51" t="s">
        <v>5061</v>
      </c>
      <c r="E195" s="55">
        <v>83.2</v>
      </c>
      <c r="F195" s="60"/>
      <c r="G195" s="60"/>
    </row>
    <row r="196" customHeight="1" spans="2:7">
      <c r="B196" s="185" t="s">
        <v>297</v>
      </c>
      <c r="C196" s="185" t="s">
        <v>26</v>
      </c>
      <c r="D196" s="51" t="s">
        <v>5062</v>
      </c>
      <c r="E196" s="55">
        <v>81.8</v>
      </c>
      <c r="F196" s="60"/>
      <c r="G196" s="60"/>
    </row>
    <row r="197" customHeight="1" spans="2:7">
      <c r="B197" s="185" t="s">
        <v>297</v>
      </c>
      <c r="C197" s="185" t="s">
        <v>26</v>
      </c>
      <c r="D197" s="51" t="s">
        <v>5063</v>
      </c>
      <c r="E197" s="55">
        <v>82.2</v>
      </c>
      <c r="F197" s="60"/>
      <c r="G197" s="60"/>
    </row>
    <row r="198" customHeight="1" spans="2:7">
      <c r="B198" s="185" t="s">
        <v>5048</v>
      </c>
      <c r="C198" s="185" t="s">
        <v>5064</v>
      </c>
      <c r="D198" s="51" t="s">
        <v>5065</v>
      </c>
      <c r="E198" s="55">
        <v>94.4</v>
      </c>
      <c r="F198" s="60"/>
      <c r="G198" s="60"/>
    </row>
    <row r="199" customHeight="1" spans="2:7">
      <c r="B199" s="185" t="s">
        <v>5048</v>
      </c>
      <c r="C199" s="185" t="s">
        <v>25</v>
      </c>
      <c r="D199" s="51" t="s">
        <v>5066</v>
      </c>
      <c r="E199" s="55">
        <v>90.72</v>
      </c>
      <c r="F199" s="60"/>
      <c r="G199" s="60"/>
    </row>
    <row r="200" customHeight="1" spans="2:7">
      <c r="B200" s="185" t="s">
        <v>5048</v>
      </c>
      <c r="C200" s="185" t="s">
        <v>25</v>
      </c>
      <c r="D200" s="51" t="s">
        <v>5067</v>
      </c>
      <c r="E200" s="55">
        <v>90.28</v>
      </c>
      <c r="F200" s="60"/>
      <c r="G200" s="60"/>
    </row>
    <row r="201" customHeight="1" spans="2:7">
      <c r="B201" s="185" t="s">
        <v>5048</v>
      </c>
      <c r="C201" s="185" t="s">
        <v>25</v>
      </c>
      <c r="D201" s="51" t="s">
        <v>5068</v>
      </c>
      <c r="E201" s="55">
        <v>88.84</v>
      </c>
      <c r="F201" s="60"/>
      <c r="G201" s="60"/>
    </row>
    <row r="202" customHeight="1" spans="2:7">
      <c r="B202" s="185" t="s">
        <v>5048</v>
      </c>
      <c r="C202" s="185" t="s">
        <v>25</v>
      </c>
      <c r="D202" s="51" t="s">
        <v>5069</v>
      </c>
      <c r="E202" s="55">
        <v>87.06</v>
      </c>
      <c r="F202" s="60"/>
      <c r="G202" s="60"/>
    </row>
    <row r="203" customHeight="1" spans="2:7">
      <c r="B203" s="185" t="s">
        <v>268</v>
      </c>
      <c r="C203" s="185" t="s">
        <v>25</v>
      </c>
      <c r="D203" s="51" t="s">
        <v>5070</v>
      </c>
      <c r="E203" s="55">
        <v>91.96</v>
      </c>
      <c r="F203" s="60"/>
      <c r="G203" s="60"/>
    </row>
    <row r="204" customHeight="1" spans="2:7">
      <c r="B204" s="185" t="s">
        <v>268</v>
      </c>
      <c r="C204" s="185" t="s">
        <v>25</v>
      </c>
      <c r="D204" s="51" t="s">
        <v>5071</v>
      </c>
      <c r="E204" s="55">
        <v>90.28</v>
      </c>
      <c r="F204" s="60"/>
      <c r="G204" s="60"/>
    </row>
    <row r="205" customHeight="1" spans="2:7">
      <c r="B205" s="185" t="s">
        <v>268</v>
      </c>
      <c r="C205" s="185" t="s">
        <v>25</v>
      </c>
      <c r="D205" s="51" t="s">
        <v>5072</v>
      </c>
      <c r="E205" s="55">
        <v>90.46</v>
      </c>
      <c r="F205" s="60"/>
      <c r="G205" s="60"/>
    </row>
    <row r="206" customHeight="1" spans="2:7">
      <c r="B206" s="185" t="s">
        <v>268</v>
      </c>
      <c r="C206" s="185" t="s">
        <v>25</v>
      </c>
      <c r="D206" s="51" t="s">
        <v>5073</v>
      </c>
      <c r="E206" s="55">
        <v>89.24</v>
      </c>
      <c r="F206" s="60"/>
      <c r="G206" s="60"/>
    </row>
    <row r="207" customHeight="1" spans="2:7">
      <c r="B207" s="185" t="s">
        <v>268</v>
      </c>
      <c r="C207" s="185" t="s">
        <v>25</v>
      </c>
      <c r="D207" s="51" t="s">
        <v>5074</v>
      </c>
      <c r="E207" s="55">
        <v>87.88</v>
      </c>
      <c r="F207" s="60"/>
      <c r="G207" s="60"/>
    </row>
    <row r="208" customHeight="1" spans="2:7">
      <c r="B208" s="185" t="s">
        <v>268</v>
      </c>
      <c r="C208" s="185" t="s">
        <v>25</v>
      </c>
      <c r="D208" s="51" t="s">
        <v>5075</v>
      </c>
      <c r="E208" s="55">
        <v>83.2</v>
      </c>
      <c r="F208" s="60"/>
      <c r="G208" s="60"/>
    </row>
    <row r="209" customHeight="1" spans="2:7">
      <c r="B209" s="185" t="s">
        <v>297</v>
      </c>
      <c r="C209" s="185" t="s">
        <v>25</v>
      </c>
      <c r="D209" s="51" t="s">
        <v>5076</v>
      </c>
      <c r="E209" s="55">
        <v>91.4</v>
      </c>
      <c r="F209" s="60"/>
      <c r="G209" s="60"/>
    </row>
    <row r="210" customHeight="1" spans="2:7">
      <c r="B210" s="185" t="s">
        <v>297</v>
      </c>
      <c r="C210" s="185" t="s">
        <v>25</v>
      </c>
      <c r="D210" s="51" t="s">
        <v>5077</v>
      </c>
      <c r="E210" s="55">
        <v>85.64</v>
      </c>
      <c r="F210" s="60"/>
      <c r="G210" s="60"/>
    </row>
    <row r="211" customHeight="1" spans="2:7">
      <c r="B211" s="185" t="s">
        <v>5048</v>
      </c>
      <c r="C211" s="185" t="s">
        <v>20</v>
      </c>
      <c r="D211" s="51" t="s">
        <v>5078</v>
      </c>
      <c r="E211" s="55">
        <v>88.3</v>
      </c>
      <c r="F211" s="60"/>
      <c r="G211" s="60"/>
    </row>
    <row r="212" customHeight="1" spans="2:7">
      <c r="B212" s="185" t="s">
        <v>5048</v>
      </c>
      <c r="C212" s="185" t="s">
        <v>20</v>
      </c>
      <c r="D212" s="51" t="s">
        <v>5079</v>
      </c>
      <c r="E212" s="55">
        <v>88</v>
      </c>
      <c r="F212" s="60"/>
      <c r="G212" s="60"/>
    </row>
    <row r="213" customHeight="1" spans="2:7">
      <c r="B213" s="185" t="s">
        <v>5048</v>
      </c>
      <c r="C213" s="185" t="s">
        <v>20</v>
      </c>
      <c r="D213" s="51" t="s">
        <v>5080</v>
      </c>
      <c r="E213" s="55">
        <v>83.88</v>
      </c>
      <c r="F213" s="60"/>
      <c r="G213" s="60"/>
    </row>
    <row r="214" customHeight="1" spans="2:7">
      <c r="B214" s="185" t="s">
        <v>268</v>
      </c>
      <c r="C214" s="185" t="s">
        <v>20</v>
      </c>
      <c r="D214" s="51" t="s">
        <v>5081</v>
      </c>
      <c r="E214" s="55">
        <v>84.88</v>
      </c>
      <c r="F214" s="60"/>
      <c r="G214" s="60"/>
    </row>
    <row r="215" customHeight="1" spans="2:7">
      <c r="B215" s="185" t="s">
        <v>268</v>
      </c>
      <c r="C215" s="185" t="s">
        <v>20</v>
      </c>
      <c r="D215" s="51" t="s">
        <v>5082</v>
      </c>
      <c r="E215" s="55">
        <v>84.34</v>
      </c>
      <c r="F215" s="60"/>
      <c r="G215" s="60"/>
    </row>
    <row r="216" customHeight="1" spans="2:7">
      <c r="B216" s="185" t="s">
        <v>297</v>
      </c>
      <c r="C216" s="185" t="s">
        <v>20</v>
      </c>
      <c r="D216" s="51" t="s">
        <v>5083</v>
      </c>
      <c r="E216" s="55">
        <v>89.4</v>
      </c>
      <c r="F216" s="60"/>
      <c r="G216" s="60"/>
    </row>
    <row r="217" customHeight="1" spans="2:7">
      <c r="B217" s="185" t="s">
        <v>297</v>
      </c>
      <c r="C217" s="185" t="s">
        <v>20</v>
      </c>
      <c r="D217" s="51" t="s">
        <v>5084</v>
      </c>
      <c r="E217" s="55">
        <v>84.5</v>
      </c>
      <c r="F217" s="60"/>
      <c r="G217" s="60"/>
    </row>
    <row r="218" customHeight="1" spans="2:7">
      <c r="B218" s="185" t="s">
        <v>297</v>
      </c>
      <c r="C218" s="185" t="s">
        <v>20</v>
      </c>
      <c r="D218" s="51" t="s">
        <v>5085</v>
      </c>
      <c r="E218" s="55">
        <v>84.1</v>
      </c>
      <c r="F218" s="60"/>
      <c r="G218" s="60"/>
    </row>
    <row r="219" customHeight="1" spans="2:7">
      <c r="B219" s="185" t="s">
        <v>297</v>
      </c>
      <c r="C219" s="185" t="s">
        <v>20</v>
      </c>
      <c r="D219" s="51" t="s">
        <v>5086</v>
      </c>
      <c r="E219" s="55">
        <v>86.7</v>
      </c>
      <c r="F219" s="60"/>
      <c r="G219" s="60"/>
    </row>
    <row r="220" customHeight="1" spans="2:7">
      <c r="B220" s="185" t="s">
        <v>297</v>
      </c>
      <c r="C220" s="185" t="s">
        <v>20</v>
      </c>
      <c r="D220" s="51" t="s">
        <v>5087</v>
      </c>
      <c r="E220" s="55">
        <v>80.5</v>
      </c>
      <c r="F220" s="60"/>
      <c r="G220" s="60"/>
    </row>
    <row r="221" customHeight="1" spans="2:7">
      <c r="B221" s="185" t="s">
        <v>297</v>
      </c>
      <c r="C221" s="185" t="s">
        <v>20</v>
      </c>
      <c r="D221" s="51" t="s">
        <v>5088</v>
      </c>
      <c r="E221" s="55">
        <v>0</v>
      </c>
      <c r="F221" s="60"/>
      <c r="G221" s="60"/>
    </row>
    <row r="222" customHeight="1" spans="2:7">
      <c r="B222" s="185" t="s">
        <v>297</v>
      </c>
      <c r="C222" s="185" t="s">
        <v>20</v>
      </c>
      <c r="D222" s="51" t="s">
        <v>5089</v>
      </c>
      <c r="E222" s="55">
        <v>0</v>
      </c>
      <c r="F222" s="60"/>
      <c r="G222" s="60"/>
    </row>
    <row r="223" customHeight="1" spans="2:7">
      <c r="B223" s="185" t="s">
        <v>5048</v>
      </c>
      <c r="C223" s="185" t="s">
        <v>27</v>
      </c>
      <c r="D223" s="51" t="s">
        <v>5090</v>
      </c>
      <c r="E223" s="55">
        <v>91.6</v>
      </c>
      <c r="F223" s="60"/>
      <c r="G223" s="60"/>
    </row>
    <row r="224" customHeight="1" spans="2:7">
      <c r="B224" s="185" t="s">
        <v>268</v>
      </c>
      <c r="C224" s="185" t="s">
        <v>27</v>
      </c>
      <c r="D224" s="51" t="s">
        <v>5091</v>
      </c>
      <c r="E224" s="55">
        <v>88.8</v>
      </c>
      <c r="F224" s="60"/>
      <c r="G224" s="60"/>
    </row>
    <row r="225" customHeight="1" spans="2:7">
      <c r="B225" s="185" t="s">
        <v>297</v>
      </c>
      <c r="C225" s="185" t="s">
        <v>27</v>
      </c>
      <c r="D225" s="51" t="s">
        <v>5092</v>
      </c>
      <c r="E225" s="55">
        <v>86.4</v>
      </c>
      <c r="F225" s="60"/>
      <c r="G225" s="60"/>
    </row>
    <row r="226" customHeight="1" spans="2:7">
      <c r="B226" s="185" t="s">
        <v>297</v>
      </c>
      <c r="C226" s="185" t="s">
        <v>27</v>
      </c>
      <c r="D226" s="51" t="s">
        <v>5093</v>
      </c>
      <c r="E226" s="55">
        <v>84.6</v>
      </c>
      <c r="F226" s="60"/>
      <c r="G226" s="60"/>
    </row>
    <row r="227" customHeight="1" spans="2:7">
      <c r="B227" s="185" t="s">
        <v>268</v>
      </c>
      <c r="C227" s="185" t="s">
        <v>22</v>
      </c>
      <c r="D227" s="51" t="s">
        <v>5094</v>
      </c>
      <c r="E227" s="55">
        <v>90.2</v>
      </c>
      <c r="F227" s="60"/>
      <c r="G227" s="60"/>
    </row>
    <row r="228" customHeight="1" spans="2:7">
      <c r="B228" s="185" t="s">
        <v>268</v>
      </c>
      <c r="C228" s="185" t="s">
        <v>22</v>
      </c>
      <c r="D228" s="51" t="s">
        <v>5095</v>
      </c>
      <c r="E228" s="55">
        <v>85.2</v>
      </c>
      <c r="F228" s="60"/>
      <c r="G228" s="60"/>
    </row>
    <row r="229" customHeight="1" spans="2:7">
      <c r="B229" s="185" t="s">
        <v>5048</v>
      </c>
      <c r="C229" s="185" t="s">
        <v>21</v>
      </c>
      <c r="D229" s="51" t="s">
        <v>5096</v>
      </c>
      <c r="E229" s="55">
        <v>87.4</v>
      </c>
      <c r="F229" s="60"/>
      <c r="G229" s="60"/>
    </row>
    <row r="230" customHeight="1" spans="2:7">
      <c r="B230" s="185" t="s">
        <v>5048</v>
      </c>
      <c r="C230" s="185" t="s">
        <v>21</v>
      </c>
      <c r="D230" s="51" t="s">
        <v>5097</v>
      </c>
      <c r="E230" s="55">
        <v>90.38</v>
      </c>
      <c r="F230" s="60"/>
      <c r="G230" s="60"/>
    </row>
    <row r="231" customHeight="1" spans="2:7">
      <c r="B231" s="185" t="s">
        <v>5048</v>
      </c>
      <c r="C231" s="185" t="s">
        <v>21</v>
      </c>
      <c r="D231" s="51" t="s">
        <v>5098</v>
      </c>
      <c r="E231" s="55">
        <v>89.8</v>
      </c>
      <c r="F231" s="60"/>
      <c r="G231" s="60"/>
    </row>
    <row r="232" customHeight="1" spans="2:7">
      <c r="B232" s="185" t="s">
        <v>5048</v>
      </c>
      <c r="C232" s="185" t="s">
        <v>21</v>
      </c>
      <c r="D232" s="51" t="s">
        <v>5099</v>
      </c>
      <c r="E232" s="55">
        <v>0</v>
      </c>
      <c r="F232" s="60"/>
      <c r="G232" s="60"/>
    </row>
    <row r="233" customHeight="1" spans="2:7">
      <c r="B233" s="185" t="s">
        <v>268</v>
      </c>
      <c r="C233" s="185" t="s">
        <v>21</v>
      </c>
      <c r="D233" s="51" t="s">
        <v>5100</v>
      </c>
      <c r="E233" s="55">
        <v>85.92</v>
      </c>
      <c r="F233" s="60"/>
      <c r="G233" s="60"/>
    </row>
    <row r="234" customHeight="1" spans="2:7">
      <c r="B234" s="185" t="s">
        <v>268</v>
      </c>
      <c r="C234" s="185" t="s">
        <v>21</v>
      </c>
      <c r="D234" s="51" t="s">
        <v>5101</v>
      </c>
      <c r="E234" s="55">
        <v>85.26</v>
      </c>
      <c r="F234" s="60"/>
      <c r="G234" s="60"/>
    </row>
    <row r="235" customHeight="1" spans="2:7">
      <c r="B235" s="185" t="s">
        <v>5048</v>
      </c>
      <c r="C235" s="185" t="s">
        <v>23</v>
      </c>
      <c r="D235" s="51" t="s">
        <v>5102</v>
      </c>
      <c r="E235" s="55">
        <v>92</v>
      </c>
      <c r="F235" s="60"/>
      <c r="G235" s="60"/>
    </row>
    <row r="236" customHeight="1" spans="2:7">
      <c r="B236" s="185" t="s">
        <v>5048</v>
      </c>
      <c r="C236" s="185" t="s">
        <v>23</v>
      </c>
      <c r="D236" s="51" t="s">
        <v>5103</v>
      </c>
      <c r="E236" s="55">
        <v>89.2</v>
      </c>
      <c r="F236" s="60"/>
      <c r="G236" s="60"/>
    </row>
    <row r="237" customHeight="1" spans="2:7">
      <c r="B237" s="185" t="s">
        <v>297</v>
      </c>
      <c r="C237" s="185" t="s">
        <v>23</v>
      </c>
      <c r="D237" s="51" t="s">
        <v>5104</v>
      </c>
      <c r="E237" s="55">
        <v>88.6</v>
      </c>
      <c r="F237" s="60"/>
      <c r="G237" s="60"/>
    </row>
    <row r="238" customHeight="1" spans="2:7">
      <c r="B238" s="185" t="s">
        <v>297</v>
      </c>
      <c r="C238" s="185" t="s">
        <v>23</v>
      </c>
      <c r="D238" s="51" t="s">
        <v>5105</v>
      </c>
      <c r="E238" s="55">
        <v>92.1</v>
      </c>
      <c r="F238" s="60"/>
      <c r="G238" s="60"/>
    </row>
    <row r="239" customHeight="1" spans="2:7">
      <c r="B239" s="185" t="s">
        <v>297</v>
      </c>
      <c r="C239" s="185" t="s">
        <v>23</v>
      </c>
      <c r="D239" s="51" t="s">
        <v>5106</v>
      </c>
      <c r="E239" s="55">
        <v>88.8</v>
      </c>
      <c r="F239" s="60"/>
      <c r="G239" s="60"/>
    </row>
    <row r="240" customHeight="1" spans="2:7">
      <c r="B240" s="185" t="s">
        <v>297</v>
      </c>
      <c r="C240" s="185" t="s">
        <v>23</v>
      </c>
      <c r="D240" s="51" t="s">
        <v>5107</v>
      </c>
      <c r="E240" s="55">
        <v>91</v>
      </c>
      <c r="F240" s="60"/>
      <c r="G240" s="60"/>
    </row>
    <row r="241" customHeight="1" spans="2:7">
      <c r="B241" s="185" t="s">
        <v>297</v>
      </c>
      <c r="C241" s="185" t="s">
        <v>23</v>
      </c>
      <c r="D241" s="51" t="s">
        <v>5108</v>
      </c>
      <c r="E241" s="55">
        <v>91.8</v>
      </c>
      <c r="F241" s="60"/>
      <c r="G241" s="60"/>
    </row>
    <row r="242" customHeight="1" spans="2:7">
      <c r="B242" s="185" t="s">
        <v>297</v>
      </c>
      <c r="C242" s="185" t="s">
        <v>23</v>
      </c>
      <c r="D242" s="51" t="s">
        <v>5109</v>
      </c>
      <c r="E242" s="55">
        <v>86</v>
      </c>
      <c r="F242" s="60"/>
      <c r="G242" s="60"/>
    </row>
    <row r="243" customHeight="1" spans="2:7">
      <c r="B243" s="185" t="s">
        <v>5048</v>
      </c>
      <c r="C243" s="185" t="s">
        <v>19</v>
      </c>
      <c r="D243" s="51" t="s">
        <v>5110</v>
      </c>
      <c r="E243" s="55">
        <v>86.4</v>
      </c>
      <c r="F243" s="60"/>
      <c r="G243" s="60"/>
    </row>
    <row r="244" customHeight="1" spans="2:7">
      <c r="B244" s="185" t="s">
        <v>5048</v>
      </c>
      <c r="C244" s="185" t="s">
        <v>19</v>
      </c>
      <c r="D244" s="51" t="s">
        <v>5111</v>
      </c>
      <c r="E244" s="55">
        <v>85.6</v>
      </c>
      <c r="F244" s="60"/>
      <c r="G244" s="60"/>
    </row>
    <row r="245" customHeight="1" spans="2:7">
      <c r="B245" s="185" t="s">
        <v>268</v>
      </c>
      <c r="C245" s="185" t="s">
        <v>16</v>
      </c>
      <c r="D245" s="51" t="s">
        <v>5112</v>
      </c>
      <c r="E245" s="55">
        <v>86.6</v>
      </c>
      <c r="F245" s="60"/>
      <c r="G245" s="60"/>
    </row>
    <row r="246" customHeight="1" spans="2:7">
      <c r="B246" s="185" t="s">
        <v>268</v>
      </c>
      <c r="C246" s="185" t="s">
        <v>16</v>
      </c>
      <c r="D246" s="51" t="s">
        <v>5113</v>
      </c>
      <c r="E246" s="55">
        <v>90.2</v>
      </c>
      <c r="F246" s="60"/>
      <c r="G246" s="60"/>
    </row>
    <row r="247" customHeight="1" spans="2:7">
      <c r="B247" s="185" t="s">
        <v>5048</v>
      </c>
      <c r="C247" s="185" t="s">
        <v>24</v>
      </c>
      <c r="D247" s="51" t="s">
        <v>5114</v>
      </c>
      <c r="E247" s="55">
        <v>86.8</v>
      </c>
      <c r="F247" s="60"/>
      <c r="G247" s="60"/>
    </row>
    <row r="248" customHeight="1" spans="2:7">
      <c r="B248" s="185" t="s">
        <v>297</v>
      </c>
      <c r="C248" s="185" t="s">
        <v>5115</v>
      </c>
      <c r="D248" s="51" t="s">
        <v>5116</v>
      </c>
      <c r="E248" s="55">
        <v>90</v>
      </c>
      <c r="F248" s="60"/>
      <c r="G248" s="60"/>
    </row>
    <row r="249" customHeight="1" spans="2:7">
      <c r="B249" s="185" t="s">
        <v>297</v>
      </c>
      <c r="C249" s="185" t="s">
        <v>5117</v>
      </c>
      <c r="D249" s="51" t="s">
        <v>5118</v>
      </c>
      <c r="E249" s="55">
        <v>90.4</v>
      </c>
      <c r="F249" s="60"/>
      <c r="G249" s="60"/>
    </row>
    <row r="250" customHeight="1" spans="2:7">
      <c r="B250" s="185" t="s">
        <v>297</v>
      </c>
      <c r="C250" s="185" t="s">
        <v>5119</v>
      </c>
      <c r="D250" s="51" t="s">
        <v>5120</v>
      </c>
      <c r="E250" s="55">
        <v>89</v>
      </c>
      <c r="F250" s="60"/>
      <c r="G250" s="60"/>
    </row>
    <row r="251" customHeight="1" spans="2:7">
      <c r="B251" s="185" t="s">
        <v>297</v>
      </c>
      <c r="C251" s="185" t="s">
        <v>5121</v>
      </c>
      <c r="D251" s="51" t="s">
        <v>5122</v>
      </c>
      <c r="E251" s="55">
        <v>92</v>
      </c>
      <c r="F251" s="60"/>
      <c r="G251" s="60"/>
    </row>
    <row r="252" customHeight="1" spans="2:7">
      <c r="B252" s="185" t="s">
        <v>297</v>
      </c>
      <c r="C252" s="185" t="s">
        <v>5121</v>
      </c>
      <c r="D252" s="51" t="s">
        <v>5123</v>
      </c>
      <c r="E252" s="55">
        <v>86.2</v>
      </c>
      <c r="F252" s="60"/>
      <c r="G252" s="60"/>
    </row>
  </sheetData>
  <mergeCells count="2">
    <mergeCell ref="B1:E1"/>
    <mergeCell ref="B2:G2"/>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18"/>
  <sheetViews>
    <sheetView workbookViewId="0">
      <pane xSplit="1" ySplit="3" topLeftCell="B247" activePane="bottomRight" state="frozen"/>
      <selection/>
      <selection pane="topRight"/>
      <selection pane="bottomLeft"/>
      <selection pane="bottomRight" activeCell="J277" sqref="J277"/>
    </sheetView>
  </sheetViews>
  <sheetFormatPr defaultColWidth="9" defaultRowHeight="16" customHeight="1" outlineLevelCol="1"/>
  <cols>
    <col min="1" max="1" width="38" style="36" customWidth="1"/>
    <col min="2" max="2" width="40.8796296296296" style="36" customWidth="1"/>
    <col min="3" max="16363" width="9" style="36" customWidth="1"/>
    <col min="16364" max="16384" width="9" style="36"/>
  </cols>
  <sheetData>
    <row r="1" ht="23" customHeight="1" spans="1:1">
      <c r="A1" s="37" t="s">
        <v>5124</v>
      </c>
    </row>
    <row r="2" ht="30" customHeight="1" spans="1:2">
      <c r="A2" s="38" t="s">
        <v>5125</v>
      </c>
      <c r="B2" s="38"/>
    </row>
    <row r="3" s="34" customFormat="1" ht="19" customHeight="1" spans="1:2">
      <c r="A3" s="39" t="s">
        <v>5126</v>
      </c>
      <c r="B3" s="39" t="s">
        <v>4858</v>
      </c>
    </row>
    <row r="4" s="34" customFormat="1" customHeight="1" spans="1:2">
      <c r="A4" s="40" t="s">
        <v>4315</v>
      </c>
      <c r="B4" s="25">
        <v>62</v>
      </c>
    </row>
    <row r="5" s="34" customFormat="1" customHeight="1" spans="1:2">
      <c r="A5" s="40" t="s">
        <v>4316</v>
      </c>
      <c r="B5" s="25">
        <v>0</v>
      </c>
    </row>
    <row r="6" s="34" customFormat="1" customHeight="1" spans="1:2">
      <c r="A6" s="40" t="s">
        <v>4317</v>
      </c>
      <c r="B6" s="25">
        <v>82.5</v>
      </c>
    </row>
    <row r="7" s="34" customFormat="1" customHeight="1" spans="1:2">
      <c r="A7" s="40" t="s">
        <v>4318</v>
      </c>
      <c r="B7" s="25">
        <v>48</v>
      </c>
    </row>
    <row r="8" s="34" customFormat="1" customHeight="1" spans="1:2">
      <c r="A8" s="40" t="s">
        <v>4319</v>
      </c>
      <c r="B8" s="25">
        <v>82</v>
      </c>
    </row>
    <row r="9" s="34" customFormat="1" customHeight="1" spans="1:2">
      <c r="A9" s="40" t="s">
        <v>4320</v>
      </c>
      <c r="B9" s="25">
        <v>74.5</v>
      </c>
    </row>
    <row r="10" s="34" customFormat="1" customHeight="1" spans="1:2">
      <c r="A10" s="40" t="s">
        <v>4321</v>
      </c>
      <c r="B10" s="25">
        <v>60</v>
      </c>
    </row>
    <row r="11" s="34" customFormat="1" customHeight="1" spans="1:2">
      <c r="A11" s="40" t="s">
        <v>4322</v>
      </c>
      <c r="B11" s="25">
        <v>72</v>
      </c>
    </row>
    <row r="12" s="34" customFormat="1" customHeight="1" spans="1:2">
      <c r="A12" s="40" t="s">
        <v>4323</v>
      </c>
      <c r="B12" s="25">
        <v>54</v>
      </c>
    </row>
    <row r="13" s="34" customFormat="1" customHeight="1" spans="1:2">
      <c r="A13" s="40" t="s">
        <v>4324</v>
      </c>
      <c r="B13" s="25">
        <v>0</v>
      </c>
    </row>
    <row r="14" s="34" customFormat="1" customHeight="1" spans="1:2">
      <c r="A14" s="40" t="s">
        <v>4325</v>
      </c>
      <c r="B14" s="25">
        <v>63</v>
      </c>
    </row>
    <row r="15" s="34" customFormat="1" customHeight="1" spans="1:2">
      <c r="A15" s="40" t="s">
        <v>4326</v>
      </c>
      <c r="B15" s="25">
        <v>70.5</v>
      </c>
    </row>
    <row r="16" s="34" customFormat="1" customHeight="1" spans="1:2">
      <c r="A16" s="40" t="s">
        <v>4327</v>
      </c>
      <c r="B16" s="25">
        <v>76.5</v>
      </c>
    </row>
    <row r="17" s="34" customFormat="1" customHeight="1" spans="1:2">
      <c r="A17" s="40" t="s">
        <v>4328</v>
      </c>
      <c r="B17" s="25">
        <v>81</v>
      </c>
    </row>
    <row r="18" s="34" customFormat="1" customHeight="1" spans="1:2">
      <c r="A18" s="40" t="s">
        <v>4329</v>
      </c>
      <c r="B18" s="25">
        <v>55</v>
      </c>
    </row>
    <row r="19" s="34" customFormat="1" customHeight="1" spans="1:2">
      <c r="A19" s="40" t="s">
        <v>4330</v>
      </c>
      <c r="B19" s="25">
        <v>75</v>
      </c>
    </row>
    <row r="20" s="34" customFormat="1" customHeight="1" spans="1:2">
      <c r="A20" s="40" t="s">
        <v>4331</v>
      </c>
      <c r="B20" s="25">
        <v>0</v>
      </c>
    </row>
    <row r="21" s="34" customFormat="1" customHeight="1" spans="1:2">
      <c r="A21" s="40" t="s">
        <v>4332</v>
      </c>
      <c r="B21" s="25">
        <v>61</v>
      </c>
    </row>
    <row r="22" s="34" customFormat="1" customHeight="1" spans="1:2">
      <c r="A22" s="40" t="s">
        <v>4333</v>
      </c>
      <c r="B22" s="25">
        <v>89</v>
      </c>
    </row>
    <row r="23" s="34" customFormat="1" customHeight="1" spans="1:2">
      <c r="A23" s="40" t="s">
        <v>4334</v>
      </c>
      <c r="B23" s="25">
        <v>64</v>
      </c>
    </row>
    <row r="24" s="34" customFormat="1" customHeight="1" spans="1:2">
      <c r="A24" s="40" t="s">
        <v>4335</v>
      </c>
      <c r="B24" s="25">
        <v>77.5</v>
      </c>
    </row>
    <row r="25" s="34" customFormat="1" customHeight="1" spans="1:2">
      <c r="A25" s="40" t="s">
        <v>4336</v>
      </c>
      <c r="B25" s="25">
        <v>0</v>
      </c>
    </row>
    <row r="26" s="34" customFormat="1" customHeight="1" spans="1:2">
      <c r="A26" s="40" t="s">
        <v>4337</v>
      </c>
      <c r="B26" s="25">
        <v>61</v>
      </c>
    </row>
    <row r="27" s="34" customFormat="1" customHeight="1" spans="1:2">
      <c r="A27" s="40" t="s">
        <v>4338</v>
      </c>
      <c r="B27" s="25">
        <v>62</v>
      </c>
    </row>
    <row r="28" s="34" customFormat="1" customHeight="1" spans="1:2">
      <c r="A28" s="40" t="s">
        <v>4339</v>
      </c>
      <c r="B28" s="25">
        <v>74</v>
      </c>
    </row>
    <row r="29" s="34" customFormat="1" customHeight="1" spans="1:2">
      <c r="A29" s="40" t="s">
        <v>4340</v>
      </c>
      <c r="B29" s="25">
        <v>68.5</v>
      </c>
    </row>
    <row r="30" s="34" customFormat="1" customHeight="1" spans="1:2">
      <c r="A30" s="40" t="s">
        <v>4341</v>
      </c>
      <c r="B30" s="25">
        <v>72</v>
      </c>
    </row>
    <row r="31" s="34" customFormat="1" customHeight="1" spans="1:2">
      <c r="A31" s="40" t="s">
        <v>4342</v>
      </c>
      <c r="B31" s="25">
        <v>77.5</v>
      </c>
    </row>
    <row r="32" s="34" customFormat="1" customHeight="1" spans="1:2">
      <c r="A32" s="40" t="s">
        <v>4343</v>
      </c>
      <c r="B32" s="25">
        <v>75.5</v>
      </c>
    </row>
    <row r="33" s="34" customFormat="1" customHeight="1" spans="1:2">
      <c r="A33" s="40" t="s">
        <v>4344</v>
      </c>
      <c r="B33" s="25">
        <v>0</v>
      </c>
    </row>
    <row r="34" s="34" customFormat="1" customHeight="1" spans="1:2">
      <c r="A34" s="40" t="s">
        <v>4345</v>
      </c>
      <c r="B34" s="25">
        <v>0</v>
      </c>
    </row>
    <row r="35" s="34" customFormat="1" customHeight="1" spans="1:2">
      <c r="A35" s="40" t="s">
        <v>4346</v>
      </c>
      <c r="B35" s="25">
        <v>0</v>
      </c>
    </row>
    <row r="36" s="34" customFormat="1" customHeight="1" spans="1:2">
      <c r="A36" s="40" t="s">
        <v>4347</v>
      </c>
      <c r="B36" s="25">
        <v>0</v>
      </c>
    </row>
    <row r="37" s="34" customFormat="1" customHeight="1" spans="1:2">
      <c r="A37" s="40" t="s">
        <v>4348</v>
      </c>
      <c r="B37" s="25">
        <v>0</v>
      </c>
    </row>
    <row r="38" s="34" customFormat="1" customHeight="1" spans="1:2">
      <c r="A38" s="40" t="s">
        <v>4349</v>
      </c>
      <c r="B38" s="25">
        <v>83.5</v>
      </c>
    </row>
    <row r="39" s="34" customFormat="1" customHeight="1" spans="1:2">
      <c r="A39" s="40" t="s">
        <v>4350</v>
      </c>
      <c r="B39" s="25">
        <v>0</v>
      </c>
    </row>
    <row r="40" s="34" customFormat="1" customHeight="1" spans="1:2">
      <c r="A40" s="40" t="s">
        <v>4351</v>
      </c>
      <c r="B40" s="25">
        <v>78</v>
      </c>
    </row>
    <row r="41" s="34" customFormat="1" customHeight="1" spans="1:2">
      <c r="A41" s="40" t="s">
        <v>4352</v>
      </c>
      <c r="B41" s="25">
        <v>0</v>
      </c>
    </row>
    <row r="42" s="34" customFormat="1" customHeight="1" spans="1:2">
      <c r="A42" s="40" t="s">
        <v>4353</v>
      </c>
      <c r="B42" s="25">
        <v>80.5</v>
      </c>
    </row>
    <row r="43" s="34" customFormat="1" customHeight="1" spans="1:2">
      <c r="A43" s="40" t="s">
        <v>4354</v>
      </c>
      <c r="B43" s="25">
        <v>0</v>
      </c>
    </row>
    <row r="44" s="34" customFormat="1" customHeight="1" spans="1:2">
      <c r="A44" s="40" t="s">
        <v>4355</v>
      </c>
      <c r="B44" s="25">
        <v>70</v>
      </c>
    </row>
    <row r="45" s="34" customFormat="1" customHeight="1" spans="1:2">
      <c r="A45" s="40" t="s">
        <v>4356</v>
      </c>
      <c r="B45" s="25">
        <v>0</v>
      </c>
    </row>
    <row r="46" s="34" customFormat="1" customHeight="1" spans="1:2">
      <c r="A46" s="40" t="s">
        <v>4357</v>
      </c>
      <c r="B46" s="25">
        <v>0</v>
      </c>
    </row>
    <row r="47" s="34" customFormat="1" customHeight="1" spans="1:2">
      <c r="A47" s="40" t="s">
        <v>4358</v>
      </c>
      <c r="B47" s="25">
        <v>69</v>
      </c>
    </row>
    <row r="48" s="34" customFormat="1" customHeight="1" spans="1:2">
      <c r="A48" s="40" t="s">
        <v>4359</v>
      </c>
      <c r="B48" s="25">
        <v>82</v>
      </c>
    </row>
    <row r="49" s="34" customFormat="1" customHeight="1" spans="1:2">
      <c r="A49" s="40" t="s">
        <v>4360</v>
      </c>
      <c r="B49" s="25">
        <v>60</v>
      </c>
    </row>
    <row r="50" s="34" customFormat="1" customHeight="1" spans="1:2">
      <c r="A50" s="40" t="s">
        <v>4361</v>
      </c>
      <c r="B50" s="25">
        <v>0</v>
      </c>
    </row>
    <row r="51" s="34" customFormat="1" customHeight="1" spans="1:2">
      <c r="A51" s="40" t="s">
        <v>4362</v>
      </c>
      <c r="B51" s="25">
        <v>83</v>
      </c>
    </row>
    <row r="52" s="34" customFormat="1" customHeight="1" spans="1:2">
      <c r="A52" s="40" t="s">
        <v>4363</v>
      </c>
      <c r="B52" s="25">
        <v>77</v>
      </c>
    </row>
    <row r="53" s="34" customFormat="1" customHeight="1" spans="1:2">
      <c r="A53" s="40" t="s">
        <v>4364</v>
      </c>
      <c r="B53" s="25">
        <v>67</v>
      </c>
    </row>
    <row r="54" s="34" customFormat="1" customHeight="1" spans="1:2">
      <c r="A54" s="40" t="s">
        <v>4365</v>
      </c>
      <c r="B54" s="25">
        <v>0</v>
      </c>
    </row>
    <row r="55" s="34" customFormat="1" customHeight="1" spans="1:2">
      <c r="A55" s="40" t="s">
        <v>4366</v>
      </c>
      <c r="B55" s="25">
        <v>90.5</v>
      </c>
    </row>
    <row r="56" s="34" customFormat="1" customHeight="1" spans="1:2">
      <c r="A56" s="40" t="s">
        <v>4367</v>
      </c>
      <c r="B56" s="25">
        <v>72.5</v>
      </c>
    </row>
    <row r="57" s="34" customFormat="1" customHeight="1" spans="1:2">
      <c r="A57" s="40" t="s">
        <v>4368</v>
      </c>
      <c r="B57" s="25">
        <v>72.5</v>
      </c>
    </row>
    <row r="58" s="34" customFormat="1" customHeight="1" spans="1:2">
      <c r="A58" s="40" t="s">
        <v>4369</v>
      </c>
      <c r="B58" s="25">
        <v>69.5</v>
      </c>
    </row>
    <row r="59" s="34" customFormat="1" customHeight="1" spans="1:2">
      <c r="A59" s="40" t="s">
        <v>4370</v>
      </c>
      <c r="B59" s="25">
        <v>61.5</v>
      </c>
    </row>
    <row r="60" s="34" customFormat="1" customHeight="1" spans="1:2">
      <c r="A60" s="40" t="s">
        <v>4371</v>
      </c>
      <c r="B60" s="25">
        <v>68.5</v>
      </c>
    </row>
    <row r="61" s="34" customFormat="1" customHeight="1" spans="1:2">
      <c r="A61" s="40" t="s">
        <v>4372</v>
      </c>
      <c r="B61" s="25">
        <v>76</v>
      </c>
    </row>
    <row r="62" s="34" customFormat="1" customHeight="1" spans="1:2">
      <c r="A62" s="40" t="s">
        <v>4373</v>
      </c>
      <c r="B62" s="25">
        <v>71.5</v>
      </c>
    </row>
    <row r="63" s="34" customFormat="1" customHeight="1" spans="1:2">
      <c r="A63" s="40" t="s">
        <v>4374</v>
      </c>
      <c r="B63" s="25">
        <v>81.5</v>
      </c>
    </row>
    <row r="64" s="34" customFormat="1" customHeight="1" spans="1:2">
      <c r="A64" s="40" t="s">
        <v>4375</v>
      </c>
      <c r="B64" s="25">
        <v>80</v>
      </c>
    </row>
    <row r="65" s="34" customFormat="1" customHeight="1" spans="1:2">
      <c r="A65" s="40" t="s">
        <v>4376</v>
      </c>
      <c r="B65" s="25">
        <v>0</v>
      </c>
    </row>
    <row r="66" s="34" customFormat="1" customHeight="1" spans="1:2">
      <c r="A66" s="40" t="s">
        <v>4377</v>
      </c>
      <c r="B66" s="25">
        <v>84</v>
      </c>
    </row>
    <row r="67" s="34" customFormat="1" customHeight="1" spans="1:2">
      <c r="A67" s="40" t="s">
        <v>4378</v>
      </c>
      <c r="B67" s="25">
        <v>69.5</v>
      </c>
    </row>
    <row r="68" s="34" customFormat="1" customHeight="1" spans="1:2">
      <c r="A68" s="40" t="s">
        <v>4379</v>
      </c>
      <c r="B68" s="25">
        <v>85</v>
      </c>
    </row>
    <row r="69" s="34" customFormat="1" customHeight="1" spans="1:2">
      <c r="A69" s="40" t="s">
        <v>4380</v>
      </c>
      <c r="B69" s="25">
        <v>66</v>
      </c>
    </row>
    <row r="70" s="34" customFormat="1" customHeight="1" spans="1:2">
      <c r="A70" s="40" t="s">
        <v>4381</v>
      </c>
      <c r="B70" s="25">
        <v>66.5</v>
      </c>
    </row>
    <row r="71" s="34" customFormat="1" customHeight="1" spans="1:2">
      <c r="A71" s="40" t="s">
        <v>4382</v>
      </c>
      <c r="B71" s="25">
        <v>0</v>
      </c>
    </row>
    <row r="72" s="34" customFormat="1" customHeight="1" spans="1:2">
      <c r="A72" s="40" t="s">
        <v>4383</v>
      </c>
      <c r="B72" s="25">
        <v>70</v>
      </c>
    </row>
    <row r="73" s="34" customFormat="1" customHeight="1" spans="1:2">
      <c r="A73" s="40" t="s">
        <v>4384</v>
      </c>
      <c r="B73" s="25">
        <v>0</v>
      </c>
    </row>
    <row r="74" s="34" customFormat="1" customHeight="1" spans="1:2">
      <c r="A74" s="40" t="s">
        <v>4385</v>
      </c>
      <c r="B74" s="25">
        <v>68</v>
      </c>
    </row>
    <row r="75" s="34" customFormat="1" customHeight="1" spans="1:2">
      <c r="A75" s="40" t="s">
        <v>4386</v>
      </c>
      <c r="B75" s="25">
        <v>47</v>
      </c>
    </row>
    <row r="76" s="34" customFormat="1" customHeight="1" spans="1:2">
      <c r="A76" s="40" t="s">
        <v>4387</v>
      </c>
      <c r="B76" s="25">
        <v>71</v>
      </c>
    </row>
    <row r="77" s="34" customFormat="1" customHeight="1" spans="1:2">
      <c r="A77" s="40" t="s">
        <v>4388</v>
      </c>
      <c r="B77" s="25">
        <v>72</v>
      </c>
    </row>
    <row r="78" s="34" customFormat="1" customHeight="1" spans="1:2">
      <c r="A78" s="40" t="s">
        <v>4389</v>
      </c>
      <c r="B78" s="25">
        <v>0</v>
      </c>
    </row>
    <row r="79" s="34" customFormat="1" customHeight="1" spans="1:2">
      <c r="A79" s="40" t="s">
        <v>4390</v>
      </c>
      <c r="B79" s="25">
        <v>0</v>
      </c>
    </row>
    <row r="80" s="34" customFormat="1" customHeight="1" spans="1:2">
      <c r="A80" s="40" t="s">
        <v>4391</v>
      </c>
      <c r="B80" s="25">
        <v>81</v>
      </c>
    </row>
    <row r="81" s="34" customFormat="1" customHeight="1" spans="1:2">
      <c r="A81" s="40" t="s">
        <v>4392</v>
      </c>
      <c r="B81" s="25">
        <v>64.5</v>
      </c>
    </row>
    <row r="82" s="34" customFormat="1" customHeight="1" spans="1:2">
      <c r="A82" s="40" t="s">
        <v>4393</v>
      </c>
      <c r="B82" s="25">
        <v>0</v>
      </c>
    </row>
    <row r="83" s="34" customFormat="1" customHeight="1" spans="1:2">
      <c r="A83" s="40" t="s">
        <v>4394</v>
      </c>
      <c r="B83" s="25">
        <v>38</v>
      </c>
    </row>
    <row r="84" s="34" customFormat="1" customHeight="1" spans="1:2">
      <c r="A84" s="40" t="s">
        <v>4395</v>
      </c>
      <c r="B84" s="25">
        <v>65</v>
      </c>
    </row>
    <row r="85" s="34" customFormat="1" customHeight="1" spans="1:2">
      <c r="A85" s="40" t="s">
        <v>4396</v>
      </c>
      <c r="B85" s="25">
        <v>0</v>
      </c>
    </row>
    <row r="86" s="34" customFormat="1" customHeight="1" spans="1:2">
      <c r="A86" s="40" t="s">
        <v>4397</v>
      </c>
      <c r="B86" s="25">
        <v>71</v>
      </c>
    </row>
    <row r="87" s="34" customFormat="1" customHeight="1" spans="1:2">
      <c r="A87" s="40" t="s">
        <v>4398</v>
      </c>
      <c r="B87" s="25">
        <v>82</v>
      </c>
    </row>
    <row r="88" s="34" customFormat="1" customHeight="1" spans="1:2">
      <c r="A88" s="40" t="s">
        <v>4399</v>
      </c>
      <c r="B88" s="25">
        <v>60</v>
      </c>
    </row>
    <row r="89" s="34" customFormat="1" customHeight="1" spans="1:2">
      <c r="A89" s="40" t="s">
        <v>4400</v>
      </c>
      <c r="B89" s="25">
        <v>75</v>
      </c>
    </row>
    <row r="90" s="34" customFormat="1" customHeight="1" spans="1:2">
      <c r="A90" s="40" t="s">
        <v>4401</v>
      </c>
      <c r="B90" s="25">
        <v>64</v>
      </c>
    </row>
    <row r="91" s="34" customFormat="1" customHeight="1" spans="1:2">
      <c r="A91" s="40" t="s">
        <v>4402</v>
      </c>
      <c r="B91" s="25">
        <v>74</v>
      </c>
    </row>
    <row r="92" s="34" customFormat="1" customHeight="1" spans="1:2">
      <c r="A92" s="40" t="s">
        <v>4403</v>
      </c>
      <c r="B92" s="25">
        <v>0</v>
      </c>
    </row>
    <row r="93" s="34" customFormat="1" customHeight="1" spans="1:2">
      <c r="A93" s="40" t="s">
        <v>4404</v>
      </c>
      <c r="B93" s="25">
        <v>0</v>
      </c>
    </row>
    <row r="94" s="34" customFormat="1" customHeight="1" spans="1:2">
      <c r="A94" s="40" t="s">
        <v>4405</v>
      </c>
      <c r="B94" s="25">
        <v>55.5</v>
      </c>
    </row>
    <row r="95" s="34" customFormat="1" customHeight="1" spans="1:2">
      <c r="A95" s="40" t="s">
        <v>4406</v>
      </c>
      <c r="B95" s="25">
        <v>84.5</v>
      </c>
    </row>
    <row r="96" s="34" customFormat="1" customHeight="1" spans="1:2">
      <c r="A96" s="40" t="s">
        <v>4411</v>
      </c>
      <c r="B96" s="25">
        <v>87</v>
      </c>
    </row>
    <row r="97" s="34" customFormat="1" customHeight="1" spans="1:2">
      <c r="A97" s="40" t="s">
        <v>4412</v>
      </c>
      <c r="B97" s="25">
        <v>60.5</v>
      </c>
    </row>
    <row r="98" s="34" customFormat="1" customHeight="1" spans="1:2">
      <c r="A98" s="40" t="s">
        <v>4415</v>
      </c>
      <c r="B98" s="25">
        <v>54.5</v>
      </c>
    </row>
    <row r="99" s="34" customFormat="1" customHeight="1" spans="1:2">
      <c r="A99" s="40" t="s">
        <v>4416</v>
      </c>
      <c r="B99" s="25">
        <v>0</v>
      </c>
    </row>
    <row r="100" s="34" customFormat="1" customHeight="1" spans="1:2">
      <c r="A100" s="40" t="s">
        <v>4418</v>
      </c>
      <c r="B100" s="25">
        <v>0</v>
      </c>
    </row>
    <row r="101" s="34" customFormat="1" customHeight="1" spans="1:2">
      <c r="A101" s="40" t="s">
        <v>4419</v>
      </c>
      <c r="B101" s="25">
        <v>0</v>
      </c>
    </row>
    <row r="102" s="34" customFormat="1" customHeight="1" spans="1:2">
      <c r="A102" s="40" t="s">
        <v>4421</v>
      </c>
      <c r="B102" s="25">
        <v>0</v>
      </c>
    </row>
    <row r="103" s="34" customFormat="1" customHeight="1" spans="1:2">
      <c r="A103" s="40" t="s">
        <v>4422</v>
      </c>
      <c r="B103" s="25">
        <v>82</v>
      </c>
    </row>
    <row r="104" s="34" customFormat="1" customHeight="1" spans="1:2">
      <c r="A104" s="40" t="s">
        <v>4424</v>
      </c>
      <c r="B104" s="25">
        <v>78</v>
      </c>
    </row>
    <row r="105" s="34" customFormat="1" customHeight="1" spans="1:2">
      <c r="A105" s="40" t="s">
        <v>4425</v>
      </c>
      <c r="B105" s="25">
        <v>81</v>
      </c>
    </row>
    <row r="106" s="34" customFormat="1" customHeight="1" spans="1:2">
      <c r="A106" s="40" t="s">
        <v>4407</v>
      </c>
      <c r="B106" s="25">
        <v>88</v>
      </c>
    </row>
    <row r="107" s="34" customFormat="1" customHeight="1" spans="1:2">
      <c r="A107" s="40" t="s">
        <v>4408</v>
      </c>
      <c r="B107" s="25">
        <v>0</v>
      </c>
    </row>
    <row r="108" s="34" customFormat="1" customHeight="1" spans="1:2">
      <c r="A108" s="40" t="s">
        <v>4413</v>
      </c>
      <c r="B108" s="25">
        <v>0</v>
      </c>
    </row>
    <row r="109" s="34" customFormat="1" customHeight="1" spans="1:2">
      <c r="A109" s="40" t="s">
        <v>4414</v>
      </c>
      <c r="B109" s="25">
        <v>0</v>
      </c>
    </row>
    <row r="110" s="34" customFormat="1" customHeight="1" spans="1:2">
      <c r="A110" s="40" t="s">
        <v>4417</v>
      </c>
      <c r="B110" s="25">
        <v>81</v>
      </c>
    </row>
    <row r="111" s="34" customFormat="1" customHeight="1" spans="1:2">
      <c r="A111" s="40" t="s">
        <v>4420</v>
      </c>
      <c r="B111" s="25">
        <v>74</v>
      </c>
    </row>
    <row r="112" s="34" customFormat="1" customHeight="1" spans="1:2">
      <c r="A112" s="40" t="s">
        <v>4423</v>
      </c>
      <c r="B112" s="25">
        <v>54</v>
      </c>
    </row>
    <row r="113" s="34" customFormat="1" customHeight="1" spans="1:2">
      <c r="A113" s="40" t="s">
        <v>4426</v>
      </c>
      <c r="B113" s="25">
        <v>87</v>
      </c>
    </row>
    <row r="114" s="34" customFormat="1" customHeight="1" spans="1:2">
      <c r="A114" s="40" t="s">
        <v>4427</v>
      </c>
      <c r="B114" s="25">
        <v>82</v>
      </c>
    </row>
    <row r="115" s="34" customFormat="1" customHeight="1" spans="1:2">
      <c r="A115" s="40" t="s">
        <v>4428</v>
      </c>
      <c r="B115" s="25">
        <v>0</v>
      </c>
    </row>
    <row r="116" s="34" customFormat="1" customHeight="1" spans="1:2">
      <c r="A116" s="40" t="s">
        <v>4429</v>
      </c>
      <c r="B116" s="25">
        <v>85</v>
      </c>
    </row>
    <row r="117" s="34" customFormat="1" customHeight="1" spans="1:2">
      <c r="A117" s="40" t="s">
        <v>4430</v>
      </c>
      <c r="B117" s="25">
        <v>0</v>
      </c>
    </row>
    <row r="118" s="34" customFormat="1" customHeight="1" spans="1:2">
      <c r="A118" s="40" t="s">
        <v>4431</v>
      </c>
      <c r="B118" s="25">
        <v>88</v>
      </c>
    </row>
    <row r="119" s="34" customFormat="1" customHeight="1" spans="1:2">
      <c r="A119" s="40" t="s">
        <v>4432</v>
      </c>
      <c r="B119" s="25">
        <v>0</v>
      </c>
    </row>
    <row r="120" s="34" customFormat="1" customHeight="1" spans="1:2">
      <c r="A120" s="40" t="s">
        <v>4433</v>
      </c>
      <c r="B120" s="25">
        <v>0</v>
      </c>
    </row>
    <row r="121" s="34" customFormat="1" customHeight="1" spans="1:2">
      <c r="A121" s="40" t="s">
        <v>4434</v>
      </c>
      <c r="B121" s="25">
        <v>87</v>
      </c>
    </row>
    <row r="122" s="34" customFormat="1" customHeight="1" spans="1:2">
      <c r="A122" s="40" t="s">
        <v>4435</v>
      </c>
      <c r="B122" s="25">
        <v>0</v>
      </c>
    </row>
    <row r="123" s="34" customFormat="1" customHeight="1" spans="1:2">
      <c r="A123" s="40" t="s">
        <v>4436</v>
      </c>
      <c r="B123" s="25">
        <v>77</v>
      </c>
    </row>
    <row r="124" s="34" customFormat="1" customHeight="1" spans="1:2">
      <c r="A124" s="40" t="s">
        <v>4437</v>
      </c>
      <c r="B124" s="25">
        <v>84</v>
      </c>
    </row>
    <row r="125" s="34" customFormat="1" customHeight="1" spans="1:2">
      <c r="A125" s="40" t="s">
        <v>4438</v>
      </c>
      <c r="B125" s="25">
        <v>0</v>
      </c>
    </row>
    <row r="126" s="34" customFormat="1" customHeight="1" spans="1:2">
      <c r="A126" s="40" t="s">
        <v>4439</v>
      </c>
      <c r="B126" s="25">
        <v>87</v>
      </c>
    </row>
    <row r="127" s="34" customFormat="1" customHeight="1" spans="1:2">
      <c r="A127" s="40" t="s">
        <v>4440</v>
      </c>
      <c r="B127" s="25">
        <v>0</v>
      </c>
    </row>
    <row r="128" s="34" customFormat="1" customHeight="1" spans="1:2">
      <c r="A128" s="40" t="s">
        <v>4441</v>
      </c>
      <c r="B128" s="25">
        <v>85</v>
      </c>
    </row>
    <row r="129" s="34" customFormat="1" customHeight="1" spans="1:2">
      <c r="A129" s="40" t="s">
        <v>4442</v>
      </c>
      <c r="B129" s="25">
        <v>0</v>
      </c>
    </row>
    <row r="130" s="34" customFormat="1" customHeight="1" spans="1:2">
      <c r="A130" s="40" t="s">
        <v>4443</v>
      </c>
      <c r="B130" s="25">
        <v>0</v>
      </c>
    </row>
    <row r="131" s="34" customFormat="1" customHeight="1" spans="1:2">
      <c r="A131" s="40" t="s">
        <v>4444</v>
      </c>
      <c r="B131" s="25">
        <v>86</v>
      </c>
    </row>
    <row r="132" s="34" customFormat="1" customHeight="1" spans="1:2">
      <c r="A132" s="40" t="s">
        <v>4445</v>
      </c>
      <c r="B132" s="25">
        <v>81</v>
      </c>
    </row>
    <row r="133" s="34" customFormat="1" customHeight="1" spans="1:2">
      <c r="A133" s="40" t="s">
        <v>4446</v>
      </c>
      <c r="B133" s="25">
        <v>63</v>
      </c>
    </row>
    <row r="134" s="34" customFormat="1" customHeight="1" spans="1:2">
      <c r="A134" s="40" t="s">
        <v>4447</v>
      </c>
      <c r="B134" s="25">
        <v>0</v>
      </c>
    </row>
    <row r="135" s="34" customFormat="1" customHeight="1" spans="1:2">
      <c r="A135" s="40" t="s">
        <v>4448</v>
      </c>
      <c r="B135" s="25">
        <v>0</v>
      </c>
    </row>
    <row r="136" s="34" customFormat="1" customHeight="1" spans="1:2">
      <c r="A136" s="40" t="s">
        <v>4449</v>
      </c>
      <c r="B136" s="25">
        <v>0</v>
      </c>
    </row>
    <row r="137" s="34" customFormat="1" customHeight="1" spans="1:2">
      <c r="A137" s="40" t="s">
        <v>4450</v>
      </c>
      <c r="B137" s="25">
        <v>0</v>
      </c>
    </row>
    <row r="138" s="34" customFormat="1" customHeight="1" spans="1:2">
      <c r="A138" s="40" t="s">
        <v>4451</v>
      </c>
      <c r="B138" s="25">
        <v>82</v>
      </c>
    </row>
    <row r="139" s="34" customFormat="1" customHeight="1" spans="1:2">
      <c r="A139" s="40" t="s">
        <v>4452</v>
      </c>
      <c r="B139" s="25">
        <v>88</v>
      </c>
    </row>
    <row r="140" s="34" customFormat="1" customHeight="1" spans="1:2">
      <c r="A140" s="40" t="s">
        <v>4453</v>
      </c>
      <c r="B140" s="25">
        <v>93</v>
      </c>
    </row>
    <row r="141" s="34" customFormat="1" customHeight="1" spans="1:2">
      <c r="A141" s="40" t="s">
        <v>4454</v>
      </c>
      <c r="B141" s="25">
        <v>71</v>
      </c>
    </row>
    <row r="142" s="34" customFormat="1" customHeight="1" spans="1:2">
      <c r="A142" s="40" t="s">
        <v>4455</v>
      </c>
      <c r="B142" s="25">
        <v>85</v>
      </c>
    </row>
    <row r="143" s="34" customFormat="1" customHeight="1" spans="1:2">
      <c r="A143" s="40" t="s">
        <v>4456</v>
      </c>
      <c r="B143" s="25">
        <v>0</v>
      </c>
    </row>
    <row r="144" s="34" customFormat="1" customHeight="1" spans="1:2">
      <c r="A144" s="40" t="s">
        <v>4457</v>
      </c>
      <c r="B144" s="25">
        <v>67</v>
      </c>
    </row>
    <row r="145" s="34" customFormat="1" customHeight="1" spans="1:2">
      <c r="A145" s="40" t="s">
        <v>4458</v>
      </c>
      <c r="B145" s="25">
        <v>0</v>
      </c>
    </row>
    <row r="146" s="34" customFormat="1" customHeight="1" spans="1:2">
      <c r="A146" s="40" t="s">
        <v>4459</v>
      </c>
      <c r="B146" s="25">
        <v>80</v>
      </c>
    </row>
    <row r="147" s="34" customFormat="1" customHeight="1" spans="1:2">
      <c r="A147" s="40" t="s">
        <v>4460</v>
      </c>
      <c r="B147" s="25">
        <v>82</v>
      </c>
    </row>
    <row r="148" s="34" customFormat="1" customHeight="1" spans="1:2">
      <c r="A148" s="40" t="s">
        <v>4461</v>
      </c>
      <c r="B148" s="25">
        <v>78</v>
      </c>
    </row>
    <row r="149" s="34" customFormat="1" customHeight="1" spans="1:2">
      <c r="A149" s="40" t="s">
        <v>4462</v>
      </c>
      <c r="B149" s="25">
        <v>71</v>
      </c>
    </row>
    <row r="150" s="34" customFormat="1" customHeight="1" spans="1:2">
      <c r="A150" s="40" t="s">
        <v>4463</v>
      </c>
      <c r="B150" s="25">
        <v>0</v>
      </c>
    </row>
    <row r="151" s="34" customFormat="1" customHeight="1" spans="1:2">
      <c r="A151" s="40" t="s">
        <v>4464</v>
      </c>
      <c r="B151" s="25">
        <v>75</v>
      </c>
    </row>
    <row r="152" s="34" customFormat="1" customHeight="1" spans="1:2">
      <c r="A152" s="40" t="s">
        <v>4465</v>
      </c>
      <c r="B152" s="25">
        <v>83</v>
      </c>
    </row>
    <row r="153" s="34" customFormat="1" customHeight="1" spans="1:2">
      <c r="A153" s="40" t="s">
        <v>4466</v>
      </c>
      <c r="B153" s="25">
        <v>0</v>
      </c>
    </row>
    <row r="154" s="34" customFormat="1" customHeight="1" spans="1:2">
      <c r="A154" s="40" t="s">
        <v>4467</v>
      </c>
      <c r="B154" s="25">
        <v>69</v>
      </c>
    </row>
    <row r="155" s="34" customFormat="1" customHeight="1" spans="1:2">
      <c r="A155" s="40" t="s">
        <v>4468</v>
      </c>
      <c r="B155" s="25">
        <v>0</v>
      </c>
    </row>
    <row r="156" s="34" customFormat="1" customHeight="1" spans="1:2">
      <c r="A156" s="40" t="s">
        <v>4469</v>
      </c>
      <c r="B156" s="25">
        <v>0</v>
      </c>
    </row>
    <row r="157" s="34" customFormat="1" customHeight="1" spans="1:2">
      <c r="A157" s="40" t="s">
        <v>4470</v>
      </c>
      <c r="B157" s="25">
        <v>81</v>
      </c>
    </row>
    <row r="158" s="34" customFormat="1" customHeight="1" spans="1:2">
      <c r="A158" s="40" t="s">
        <v>4471</v>
      </c>
      <c r="B158" s="25">
        <v>0</v>
      </c>
    </row>
    <row r="159" s="34" customFormat="1" customHeight="1" spans="1:2">
      <c r="A159" s="40" t="s">
        <v>4472</v>
      </c>
      <c r="B159" s="25">
        <v>0</v>
      </c>
    </row>
    <row r="160" s="34" customFormat="1" customHeight="1" spans="1:2">
      <c r="A160" s="40" t="s">
        <v>4473</v>
      </c>
      <c r="B160" s="25">
        <v>0</v>
      </c>
    </row>
    <row r="161" s="34" customFormat="1" customHeight="1" spans="1:2">
      <c r="A161" s="40" t="s">
        <v>4474</v>
      </c>
      <c r="B161" s="25">
        <v>0</v>
      </c>
    </row>
    <row r="162" s="34" customFormat="1" customHeight="1" spans="1:2">
      <c r="A162" s="40" t="s">
        <v>4475</v>
      </c>
      <c r="B162" s="25">
        <v>84</v>
      </c>
    </row>
    <row r="163" s="34" customFormat="1" customHeight="1" spans="1:2">
      <c r="A163" s="40" t="s">
        <v>4476</v>
      </c>
      <c r="B163" s="25">
        <v>0</v>
      </c>
    </row>
    <row r="164" s="34" customFormat="1" customHeight="1" spans="1:2">
      <c r="A164" s="40" t="s">
        <v>4477</v>
      </c>
      <c r="B164" s="25">
        <v>0</v>
      </c>
    </row>
    <row r="165" s="34" customFormat="1" customHeight="1" spans="1:2">
      <c r="A165" s="40" t="s">
        <v>4478</v>
      </c>
      <c r="B165" s="25">
        <v>84</v>
      </c>
    </row>
    <row r="166" s="34" customFormat="1" customHeight="1" spans="1:2">
      <c r="A166" s="40" t="s">
        <v>4479</v>
      </c>
      <c r="B166" s="25">
        <v>0</v>
      </c>
    </row>
    <row r="167" s="34" customFormat="1" customHeight="1" spans="1:2">
      <c r="A167" s="40" t="s">
        <v>4480</v>
      </c>
      <c r="B167" s="25">
        <v>79</v>
      </c>
    </row>
    <row r="168" s="34" customFormat="1" customHeight="1" spans="1:2">
      <c r="A168" s="40" t="s">
        <v>4481</v>
      </c>
      <c r="B168" s="25">
        <v>0</v>
      </c>
    </row>
    <row r="169" s="34" customFormat="1" customHeight="1" spans="1:2">
      <c r="A169" s="40" t="s">
        <v>4482</v>
      </c>
      <c r="B169" s="25">
        <v>88</v>
      </c>
    </row>
    <row r="170" s="34" customFormat="1" customHeight="1" spans="1:2">
      <c r="A170" s="40" t="s">
        <v>4483</v>
      </c>
      <c r="B170" s="25">
        <v>66</v>
      </c>
    </row>
    <row r="171" s="34" customFormat="1" customHeight="1" spans="1:2">
      <c r="A171" s="40" t="s">
        <v>4484</v>
      </c>
      <c r="B171" s="25">
        <v>0</v>
      </c>
    </row>
    <row r="172" s="34" customFormat="1" customHeight="1" spans="1:2">
      <c r="A172" s="40" t="s">
        <v>4485</v>
      </c>
      <c r="B172" s="25">
        <v>80</v>
      </c>
    </row>
    <row r="173" s="34" customFormat="1" customHeight="1" spans="1:2">
      <c r="A173" s="40" t="s">
        <v>4486</v>
      </c>
      <c r="B173" s="25">
        <v>75.5</v>
      </c>
    </row>
    <row r="174" s="34" customFormat="1" customHeight="1" spans="1:2">
      <c r="A174" s="40" t="s">
        <v>4487</v>
      </c>
      <c r="B174" s="25">
        <v>0</v>
      </c>
    </row>
    <row r="175" s="34" customFormat="1" customHeight="1" spans="1:2">
      <c r="A175" s="40" t="s">
        <v>4488</v>
      </c>
      <c r="B175" s="25">
        <v>88.5</v>
      </c>
    </row>
    <row r="176" s="34" customFormat="1" customHeight="1" spans="1:2">
      <c r="A176" s="40" t="s">
        <v>4489</v>
      </c>
      <c r="B176" s="25">
        <v>78</v>
      </c>
    </row>
    <row r="177" s="34" customFormat="1" customHeight="1" spans="1:2">
      <c r="A177" s="40" t="s">
        <v>4490</v>
      </c>
      <c r="B177" s="25">
        <v>0</v>
      </c>
    </row>
    <row r="178" s="34" customFormat="1" customHeight="1" spans="1:2">
      <c r="A178" s="40" t="s">
        <v>4491</v>
      </c>
      <c r="B178" s="25">
        <v>0</v>
      </c>
    </row>
    <row r="179" s="34" customFormat="1" customHeight="1" spans="1:2">
      <c r="A179" s="40" t="s">
        <v>4492</v>
      </c>
      <c r="B179" s="25">
        <v>81</v>
      </c>
    </row>
    <row r="180" s="34" customFormat="1" customHeight="1" spans="1:2">
      <c r="A180" s="40" t="s">
        <v>4493</v>
      </c>
      <c r="B180" s="25">
        <v>92</v>
      </c>
    </row>
    <row r="181" s="34" customFormat="1" customHeight="1" spans="1:2">
      <c r="A181" s="40" t="s">
        <v>4494</v>
      </c>
      <c r="B181" s="25">
        <v>84.5</v>
      </c>
    </row>
    <row r="182" s="34" customFormat="1" customHeight="1" spans="1:2">
      <c r="A182" s="40" t="s">
        <v>4495</v>
      </c>
      <c r="B182" s="25">
        <v>94</v>
      </c>
    </row>
    <row r="183" s="34" customFormat="1" customHeight="1" spans="1:2">
      <c r="A183" s="40" t="s">
        <v>4496</v>
      </c>
      <c r="B183" s="25">
        <v>0</v>
      </c>
    </row>
    <row r="184" s="34" customFormat="1" customHeight="1" spans="1:2">
      <c r="A184" s="40" t="s">
        <v>4497</v>
      </c>
      <c r="B184" s="25">
        <v>87</v>
      </c>
    </row>
    <row r="185" s="34" customFormat="1" customHeight="1" spans="1:2">
      <c r="A185" s="40" t="s">
        <v>4498</v>
      </c>
      <c r="B185" s="25">
        <v>51</v>
      </c>
    </row>
    <row r="186" s="34" customFormat="1" customHeight="1" spans="1:2">
      <c r="A186" s="40" t="s">
        <v>4499</v>
      </c>
      <c r="B186" s="25">
        <v>90.5</v>
      </c>
    </row>
    <row r="187" s="34" customFormat="1" customHeight="1" spans="1:2">
      <c r="A187" s="40" t="s">
        <v>4500</v>
      </c>
      <c r="B187" s="25">
        <v>0</v>
      </c>
    </row>
    <row r="188" s="34" customFormat="1" customHeight="1" spans="1:2">
      <c r="A188" s="40" t="s">
        <v>4501</v>
      </c>
      <c r="B188" s="25">
        <v>0</v>
      </c>
    </row>
    <row r="189" s="34" customFormat="1" customHeight="1" spans="1:2">
      <c r="A189" s="40" t="s">
        <v>4502</v>
      </c>
      <c r="B189" s="25">
        <v>82</v>
      </c>
    </row>
    <row r="190" s="34" customFormat="1" customHeight="1" spans="1:2">
      <c r="A190" s="40" t="s">
        <v>4503</v>
      </c>
      <c r="B190" s="25">
        <v>0</v>
      </c>
    </row>
    <row r="191" s="34" customFormat="1" customHeight="1" spans="1:2">
      <c r="A191" s="40" t="s">
        <v>4504</v>
      </c>
      <c r="B191" s="25">
        <v>89</v>
      </c>
    </row>
    <row r="192" s="34" customFormat="1" customHeight="1" spans="1:2">
      <c r="A192" s="40" t="s">
        <v>4505</v>
      </c>
      <c r="B192" s="25">
        <v>0</v>
      </c>
    </row>
    <row r="193" s="34" customFormat="1" customHeight="1" spans="1:2">
      <c r="A193" s="40" t="s">
        <v>4506</v>
      </c>
      <c r="B193" s="25">
        <v>63.5</v>
      </c>
    </row>
    <row r="194" s="34" customFormat="1" customHeight="1" spans="1:2">
      <c r="A194" s="40" t="s">
        <v>4507</v>
      </c>
      <c r="B194" s="25">
        <v>91</v>
      </c>
    </row>
    <row r="195" s="34" customFormat="1" customHeight="1" spans="1:2">
      <c r="A195" s="40" t="s">
        <v>4508</v>
      </c>
      <c r="B195" s="25">
        <v>0</v>
      </c>
    </row>
    <row r="196" s="34" customFormat="1" customHeight="1" spans="1:2">
      <c r="A196" s="40" t="s">
        <v>4509</v>
      </c>
      <c r="B196" s="25">
        <v>79</v>
      </c>
    </row>
    <row r="197" s="34" customFormat="1" customHeight="1" spans="1:2">
      <c r="A197" s="40" t="s">
        <v>4510</v>
      </c>
      <c r="B197" s="25">
        <v>90</v>
      </c>
    </row>
    <row r="198" s="34" customFormat="1" customHeight="1" spans="1:2">
      <c r="A198" s="40" t="s">
        <v>4511</v>
      </c>
      <c r="B198" s="25">
        <v>95</v>
      </c>
    </row>
    <row r="199" s="34" customFormat="1" customHeight="1" spans="1:2">
      <c r="A199" s="40" t="s">
        <v>4512</v>
      </c>
      <c r="B199" s="25">
        <v>87.5</v>
      </c>
    </row>
    <row r="200" s="34" customFormat="1" customHeight="1" spans="1:2">
      <c r="A200" s="40" t="s">
        <v>4513</v>
      </c>
      <c r="B200" s="25">
        <v>85</v>
      </c>
    </row>
    <row r="201" s="34" customFormat="1" customHeight="1" spans="1:2">
      <c r="A201" s="40" t="s">
        <v>4514</v>
      </c>
      <c r="B201" s="25">
        <v>98</v>
      </c>
    </row>
    <row r="202" s="34" customFormat="1" customHeight="1" spans="1:2">
      <c r="A202" s="40" t="s">
        <v>4515</v>
      </c>
      <c r="B202" s="25">
        <v>74</v>
      </c>
    </row>
    <row r="203" s="34" customFormat="1" customHeight="1" spans="1:2">
      <c r="A203" s="40" t="s">
        <v>4516</v>
      </c>
      <c r="B203" s="25">
        <v>75</v>
      </c>
    </row>
    <row r="204" s="34" customFormat="1" customHeight="1" spans="1:2">
      <c r="A204" s="40" t="s">
        <v>4517</v>
      </c>
      <c r="B204" s="25">
        <v>97</v>
      </c>
    </row>
    <row r="205" s="34" customFormat="1" customHeight="1" spans="1:2">
      <c r="A205" s="40" t="s">
        <v>4518</v>
      </c>
      <c r="B205" s="25">
        <v>93</v>
      </c>
    </row>
    <row r="206" s="34" customFormat="1" customHeight="1" spans="1:2">
      <c r="A206" s="40" t="s">
        <v>4519</v>
      </c>
      <c r="B206" s="25">
        <v>91.5</v>
      </c>
    </row>
    <row r="207" s="34" customFormat="1" customHeight="1" spans="1:2">
      <c r="A207" s="40" t="s">
        <v>4520</v>
      </c>
      <c r="B207" s="25">
        <v>0</v>
      </c>
    </row>
    <row r="208" s="34" customFormat="1" customHeight="1" spans="1:2">
      <c r="A208" s="40" t="s">
        <v>4522</v>
      </c>
      <c r="B208" s="25">
        <v>0</v>
      </c>
    </row>
    <row r="209" s="34" customFormat="1" customHeight="1" spans="1:2">
      <c r="A209" s="40" t="s">
        <v>4523</v>
      </c>
      <c r="B209" s="25">
        <v>0</v>
      </c>
    </row>
    <row r="210" s="34" customFormat="1" customHeight="1" spans="1:2">
      <c r="A210" s="40" t="s">
        <v>4524</v>
      </c>
      <c r="B210" s="25">
        <v>0</v>
      </c>
    </row>
    <row r="211" s="34" customFormat="1" customHeight="1" spans="1:2">
      <c r="A211" s="40" t="s">
        <v>4525</v>
      </c>
      <c r="B211" s="25">
        <v>0</v>
      </c>
    </row>
    <row r="212" s="34" customFormat="1" customHeight="1" spans="1:2">
      <c r="A212" s="40" t="s">
        <v>4527</v>
      </c>
      <c r="B212" s="25">
        <v>0</v>
      </c>
    </row>
    <row r="213" s="34" customFormat="1" customHeight="1" spans="1:2">
      <c r="A213" s="40" t="s">
        <v>4528</v>
      </c>
      <c r="B213" s="25">
        <v>93.5</v>
      </c>
    </row>
    <row r="214" s="34" customFormat="1" customHeight="1" spans="1:2">
      <c r="A214" s="40" t="s">
        <v>4529</v>
      </c>
      <c r="B214" s="25">
        <v>0</v>
      </c>
    </row>
    <row r="215" s="34" customFormat="1" customHeight="1" spans="1:2">
      <c r="A215" s="40" t="s">
        <v>4530</v>
      </c>
      <c r="B215" s="25">
        <v>78.5</v>
      </c>
    </row>
    <row r="216" s="34" customFormat="1" customHeight="1" spans="1:2">
      <c r="A216" s="40" t="s">
        <v>4532</v>
      </c>
      <c r="B216" s="25">
        <v>0</v>
      </c>
    </row>
    <row r="217" s="34" customFormat="1" customHeight="1" spans="1:2">
      <c r="A217" s="40" t="s">
        <v>4533</v>
      </c>
      <c r="B217" s="25">
        <v>0</v>
      </c>
    </row>
    <row r="218" s="34" customFormat="1" customHeight="1" spans="1:2">
      <c r="A218" s="40" t="s">
        <v>4534</v>
      </c>
      <c r="B218" s="25">
        <v>89.5</v>
      </c>
    </row>
    <row r="219" s="34" customFormat="1" customHeight="1" spans="1:2">
      <c r="A219" s="40" t="s">
        <v>4535</v>
      </c>
      <c r="B219" s="25">
        <v>0</v>
      </c>
    </row>
    <row r="220" s="34" customFormat="1" customHeight="1" spans="1:2">
      <c r="A220" s="40" t="s">
        <v>4536</v>
      </c>
      <c r="B220" s="25">
        <v>84</v>
      </c>
    </row>
    <row r="221" s="34" customFormat="1" customHeight="1" spans="1:2">
      <c r="A221" s="40" t="s">
        <v>4537</v>
      </c>
      <c r="B221" s="25">
        <v>96</v>
      </c>
    </row>
    <row r="222" s="34" customFormat="1" customHeight="1" spans="1:2">
      <c r="A222" s="40" t="s">
        <v>4538</v>
      </c>
      <c r="B222" s="25">
        <v>0</v>
      </c>
    </row>
    <row r="223" s="34" customFormat="1" customHeight="1" spans="1:2">
      <c r="A223" s="40" t="s">
        <v>4531</v>
      </c>
      <c r="B223" s="25">
        <v>0</v>
      </c>
    </row>
    <row r="224" s="34" customFormat="1" customHeight="1" spans="1:2">
      <c r="A224" s="40" t="s">
        <v>4540</v>
      </c>
      <c r="B224" s="25">
        <v>73</v>
      </c>
    </row>
    <row r="225" s="34" customFormat="1" customHeight="1" spans="1:2">
      <c r="A225" s="40" t="s">
        <v>4541</v>
      </c>
      <c r="B225" s="25">
        <v>0</v>
      </c>
    </row>
    <row r="226" s="34" customFormat="1" customHeight="1" spans="1:2">
      <c r="A226" s="40" t="s">
        <v>4542</v>
      </c>
      <c r="B226" s="25">
        <v>63</v>
      </c>
    </row>
    <row r="227" s="34" customFormat="1" customHeight="1" spans="1:2">
      <c r="A227" s="40" t="s">
        <v>4543</v>
      </c>
      <c r="B227" s="25">
        <v>92.5</v>
      </c>
    </row>
    <row r="228" s="34" customFormat="1" customHeight="1" spans="1:2">
      <c r="A228" s="40" t="s">
        <v>4526</v>
      </c>
      <c r="B228" s="25">
        <v>85.5</v>
      </c>
    </row>
    <row r="229" s="34" customFormat="1" customHeight="1" spans="1:2">
      <c r="A229" s="40" t="s">
        <v>4545</v>
      </c>
      <c r="B229" s="25">
        <v>86.5</v>
      </c>
    </row>
    <row r="230" s="34" customFormat="1" customHeight="1" spans="1:2">
      <c r="A230" s="40" t="s">
        <v>4546</v>
      </c>
      <c r="B230" s="25">
        <v>89.5</v>
      </c>
    </row>
    <row r="231" s="34" customFormat="1" customHeight="1" spans="1:2">
      <c r="A231" s="40" t="s">
        <v>4539</v>
      </c>
      <c r="B231" s="25">
        <v>86</v>
      </c>
    </row>
    <row r="232" s="34" customFormat="1" customHeight="1" spans="1:2">
      <c r="A232" s="40" t="s">
        <v>4544</v>
      </c>
      <c r="B232" s="25">
        <v>89</v>
      </c>
    </row>
    <row r="233" s="34" customFormat="1" customHeight="1" spans="1:2">
      <c r="A233" s="40" t="s">
        <v>4521</v>
      </c>
      <c r="B233" s="25">
        <v>86.5</v>
      </c>
    </row>
    <row r="234" s="34" customFormat="1" customHeight="1" spans="1:2">
      <c r="A234" s="40" t="s">
        <v>4547</v>
      </c>
      <c r="B234" s="25">
        <v>0</v>
      </c>
    </row>
    <row r="235" s="34" customFormat="1" customHeight="1" spans="1:2">
      <c r="A235" s="40" t="s">
        <v>4548</v>
      </c>
      <c r="B235" s="25">
        <v>83.5</v>
      </c>
    </row>
    <row r="236" s="34" customFormat="1" customHeight="1" spans="1:2">
      <c r="A236" s="40" t="s">
        <v>4549</v>
      </c>
      <c r="B236" s="25">
        <v>89</v>
      </c>
    </row>
    <row r="237" s="34" customFormat="1" customHeight="1" spans="1:2">
      <c r="A237" s="40" t="s">
        <v>4550</v>
      </c>
      <c r="B237" s="25">
        <v>79.5</v>
      </c>
    </row>
    <row r="238" s="34" customFormat="1" customHeight="1" spans="1:2">
      <c r="A238" s="40" t="s">
        <v>4551</v>
      </c>
      <c r="B238" s="25">
        <v>86.5</v>
      </c>
    </row>
    <row r="239" s="34" customFormat="1" customHeight="1" spans="1:2">
      <c r="A239" s="40" t="s">
        <v>4552</v>
      </c>
      <c r="B239" s="25">
        <v>83</v>
      </c>
    </row>
    <row r="240" s="34" customFormat="1" customHeight="1" spans="1:2">
      <c r="A240" s="40" t="s">
        <v>4553</v>
      </c>
      <c r="B240" s="25">
        <v>0</v>
      </c>
    </row>
    <row r="241" s="34" customFormat="1" customHeight="1" spans="1:2">
      <c r="A241" s="40" t="s">
        <v>4554</v>
      </c>
      <c r="B241" s="25">
        <v>83</v>
      </c>
    </row>
    <row r="242" s="34" customFormat="1" customHeight="1" spans="1:2">
      <c r="A242" s="40" t="s">
        <v>4555</v>
      </c>
      <c r="B242" s="25">
        <v>85.5</v>
      </c>
    </row>
    <row r="243" s="34" customFormat="1" customHeight="1" spans="1:2">
      <c r="A243" s="40" t="s">
        <v>4556</v>
      </c>
      <c r="B243" s="25">
        <v>0</v>
      </c>
    </row>
    <row r="244" s="34" customFormat="1" customHeight="1" spans="1:2">
      <c r="A244" s="40" t="s">
        <v>4557</v>
      </c>
      <c r="B244" s="25">
        <v>87.5</v>
      </c>
    </row>
    <row r="245" s="34" customFormat="1" customHeight="1" spans="1:2">
      <c r="A245" s="40" t="s">
        <v>4558</v>
      </c>
      <c r="B245" s="25">
        <v>76</v>
      </c>
    </row>
    <row r="246" s="34" customFormat="1" customHeight="1" spans="1:2">
      <c r="A246" s="40" t="s">
        <v>4559</v>
      </c>
      <c r="B246" s="25">
        <v>90.5</v>
      </c>
    </row>
    <row r="247" s="34" customFormat="1" customHeight="1" spans="1:2">
      <c r="A247" s="40" t="s">
        <v>4560</v>
      </c>
      <c r="B247" s="25">
        <v>90.5</v>
      </c>
    </row>
    <row r="248" s="34" customFormat="1" customHeight="1" spans="1:2">
      <c r="A248" s="40" t="s">
        <v>4561</v>
      </c>
      <c r="B248" s="25">
        <v>87.5</v>
      </c>
    </row>
    <row r="249" s="34" customFormat="1" customHeight="1" spans="1:2">
      <c r="A249" s="40" t="s">
        <v>4562</v>
      </c>
      <c r="B249" s="25">
        <v>75</v>
      </c>
    </row>
    <row r="250" s="34" customFormat="1" customHeight="1" spans="1:2">
      <c r="A250" s="40" t="s">
        <v>4563</v>
      </c>
      <c r="B250" s="25">
        <v>84.5</v>
      </c>
    </row>
    <row r="251" s="34" customFormat="1" customHeight="1" spans="1:2">
      <c r="A251" s="40" t="s">
        <v>4564</v>
      </c>
      <c r="B251" s="25">
        <v>0</v>
      </c>
    </row>
    <row r="252" s="34" customFormat="1" customHeight="1" spans="1:2">
      <c r="A252" s="40" t="s">
        <v>4565</v>
      </c>
      <c r="B252" s="25">
        <v>89</v>
      </c>
    </row>
    <row r="253" s="34" customFormat="1" customHeight="1" spans="1:2">
      <c r="A253" s="40" t="s">
        <v>4566</v>
      </c>
      <c r="B253" s="25">
        <v>0</v>
      </c>
    </row>
    <row r="254" s="34" customFormat="1" customHeight="1" spans="1:2">
      <c r="A254" s="40" t="s">
        <v>4567</v>
      </c>
      <c r="B254" s="25">
        <v>86.5</v>
      </c>
    </row>
    <row r="255" s="34" customFormat="1" customHeight="1" spans="1:2">
      <c r="A255" s="40" t="s">
        <v>4568</v>
      </c>
      <c r="B255" s="25">
        <v>0</v>
      </c>
    </row>
    <row r="256" s="34" customFormat="1" customHeight="1" spans="1:2">
      <c r="A256" s="40" t="s">
        <v>4569</v>
      </c>
      <c r="B256" s="25">
        <v>84.5</v>
      </c>
    </row>
    <row r="257" s="34" customFormat="1" customHeight="1" spans="1:2">
      <c r="A257" s="40" t="s">
        <v>4570</v>
      </c>
      <c r="B257" s="25">
        <v>89.5</v>
      </c>
    </row>
    <row r="258" s="34" customFormat="1" customHeight="1" spans="1:2">
      <c r="A258" s="40" t="s">
        <v>4571</v>
      </c>
      <c r="B258" s="25">
        <v>0</v>
      </c>
    </row>
    <row r="259" s="34" customFormat="1" customHeight="1" spans="1:2">
      <c r="A259" s="40" t="s">
        <v>4572</v>
      </c>
      <c r="B259" s="25">
        <v>87</v>
      </c>
    </row>
    <row r="260" s="34" customFormat="1" customHeight="1" spans="1:2">
      <c r="A260" s="40" t="s">
        <v>4573</v>
      </c>
      <c r="B260" s="25">
        <v>91</v>
      </c>
    </row>
    <row r="261" s="34" customFormat="1" customHeight="1" spans="1:2">
      <c r="A261" s="40" t="s">
        <v>4574</v>
      </c>
      <c r="B261" s="25">
        <v>82</v>
      </c>
    </row>
    <row r="262" s="34" customFormat="1" customHeight="1" spans="1:2">
      <c r="A262" s="40" t="s">
        <v>4575</v>
      </c>
      <c r="B262" s="25">
        <v>83</v>
      </c>
    </row>
    <row r="263" s="34" customFormat="1" customHeight="1" spans="1:2">
      <c r="A263" s="40" t="s">
        <v>4576</v>
      </c>
      <c r="B263" s="25">
        <v>0</v>
      </c>
    </row>
    <row r="264" s="34" customFormat="1" customHeight="1" spans="1:2">
      <c r="A264" s="40" t="s">
        <v>4577</v>
      </c>
      <c r="B264" s="25">
        <v>0</v>
      </c>
    </row>
    <row r="265" s="34" customFormat="1" customHeight="1" spans="1:2">
      <c r="A265" s="40" t="s">
        <v>4578</v>
      </c>
      <c r="B265" s="25">
        <v>0</v>
      </c>
    </row>
    <row r="266" s="34" customFormat="1" customHeight="1" spans="1:2">
      <c r="A266" s="40" t="s">
        <v>4579</v>
      </c>
      <c r="B266" s="25">
        <v>93.5</v>
      </c>
    </row>
    <row r="267" s="34" customFormat="1" customHeight="1" spans="1:2">
      <c r="A267" s="40" t="s">
        <v>4580</v>
      </c>
      <c r="B267" s="25">
        <v>84</v>
      </c>
    </row>
    <row r="268" s="34" customFormat="1" customHeight="1" spans="1:2">
      <c r="A268" s="40" t="s">
        <v>4581</v>
      </c>
      <c r="B268" s="25">
        <v>83.5</v>
      </c>
    </row>
    <row r="269" s="34" customFormat="1" customHeight="1" spans="1:2">
      <c r="A269" s="40" t="s">
        <v>4582</v>
      </c>
      <c r="B269" s="25">
        <v>86</v>
      </c>
    </row>
    <row r="270" s="34" customFormat="1" customHeight="1" spans="1:2">
      <c r="A270" s="40" t="s">
        <v>4583</v>
      </c>
      <c r="B270" s="25">
        <v>0</v>
      </c>
    </row>
    <row r="271" s="34" customFormat="1" customHeight="1" spans="1:2">
      <c r="A271" s="40" t="s">
        <v>4584</v>
      </c>
      <c r="B271" s="25">
        <v>78</v>
      </c>
    </row>
    <row r="272" s="34" customFormat="1" customHeight="1" spans="1:2">
      <c r="A272" s="40" t="s">
        <v>4585</v>
      </c>
      <c r="B272" s="25">
        <v>87</v>
      </c>
    </row>
    <row r="273" s="34" customFormat="1" customHeight="1" spans="1:2">
      <c r="A273" s="40" t="s">
        <v>4586</v>
      </c>
      <c r="B273" s="25">
        <v>85</v>
      </c>
    </row>
    <row r="274" s="34" customFormat="1" customHeight="1" spans="1:2">
      <c r="A274" s="40" t="s">
        <v>4587</v>
      </c>
      <c r="B274" s="25">
        <v>0</v>
      </c>
    </row>
    <row r="275" s="34" customFormat="1" customHeight="1" spans="1:2">
      <c r="A275" s="40" t="s">
        <v>4588</v>
      </c>
      <c r="B275" s="25">
        <v>87</v>
      </c>
    </row>
    <row r="276" s="34" customFormat="1" customHeight="1" spans="1:2">
      <c r="A276" s="40" t="s">
        <v>4589</v>
      </c>
      <c r="B276" s="25">
        <v>0</v>
      </c>
    </row>
    <row r="277" s="34" customFormat="1" customHeight="1" spans="1:2">
      <c r="A277" s="40" t="s">
        <v>4590</v>
      </c>
      <c r="B277" s="25">
        <v>0</v>
      </c>
    </row>
    <row r="278" s="34" customFormat="1" customHeight="1" spans="1:2">
      <c r="A278" s="40" t="s">
        <v>4591</v>
      </c>
      <c r="B278" s="25">
        <v>0</v>
      </c>
    </row>
    <row r="279" s="34" customFormat="1" customHeight="1" spans="1:2">
      <c r="A279" s="40" t="s">
        <v>4592</v>
      </c>
      <c r="B279" s="25">
        <v>88</v>
      </c>
    </row>
    <row r="280" s="34" customFormat="1" customHeight="1" spans="1:2">
      <c r="A280" s="40" t="s">
        <v>4593</v>
      </c>
      <c r="B280" s="25">
        <v>0</v>
      </c>
    </row>
    <row r="281" s="34" customFormat="1" customHeight="1" spans="1:2">
      <c r="A281" s="40" t="s">
        <v>4594</v>
      </c>
      <c r="B281" s="25">
        <v>77.5</v>
      </c>
    </row>
    <row r="282" s="34" customFormat="1" customHeight="1" spans="1:2">
      <c r="A282" s="40" t="s">
        <v>4595</v>
      </c>
      <c r="B282" s="25">
        <v>0</v>
      </c>
    </row>
    <row r="283" s="34" customFormat="1" customHeight="1" spans="1:2">
      <c r="A283" s="40" t="s">
        <v>4596</v>
      </c>
      <c r="B283" s="25">
        <v>86.5</v>
      </c>
    </row>
    <row r="284" s="34" customFormat="1" customHeight="1" spans="1:2">
      <c r="A284" s="40" t="s">
        <v>4597</v>
      </c>
      <c r="B284" s="25">
        <v>82.5</v>
      </c>
    </row>
    <row r="285" s="34" customFormat="1" customHeight="1" spans="1:2">
      <c r="A285" s="40" t="s">
        <v>4598</v>
      </c>
      <c r="B285" s="25">
        <v>83</v>
      </c>
    </row>
    <row r="286" s="34" customFormat="1" customHeight="1" spans="1:2">
      <c r="A286" s="40" t="s">
        <v>4599</v>
      </c>
      <c r="B286" s="25">
        <v>89.5</v>
      </c>
    </row>
    <row r="287" s="34" customFormat="1" customHeight="1" spans="1:2">
      <c r="A287" s="40" t="s">
        <v>4600</v>
      </c>
      <c r="B287" s="25">
        <v>93</v>
      </c>
    </row>
    <row r="288" s="34" customFormat="1" customHeight="1" spans="1:2">
      <c r="A288" s="40" t="s">
        <v>4601</v>
      </c>
      <c r="B288" s="25">
        <v>88.5</v>
      </c>
    </row>
    <row r="289" s="34" customFormat="1" customHeight="1" spans="1:2">
      <c r="A289" s="40" t="s">
        <v>4602</v>
      </c>
      <c r="B289" s="25">
        <v>91</v>
      </c>
    </row>
    <row r="290" s="34" customFormat="1" customHeight="1" spans="1:2">
      <c r="A290" s="40" t="s">
        <v>4603</v>
      </c>
      <c r="B290" s="25">
        <v>87</v>
      </c>
    </row>
    <row r="291" s="34" customFormat="1" customHeight="1" spans="1:2">
      <c r="A291" s="40" t="s">
        <v>4604</v>
      </c>
      <c r="B291" s="25">
        <v>92.5</v>
      </c>
    </row>
    <row r="292" s="34" customFormat="1" customHeight="1" spans="1:2">
      <c r="A292" s="40" t="s">
        <v>4605</v>
      </c>
      <c r="B292" s="25">
        <v>86.5</v>
      </c>
    </row>
    <row r="293" s="34" customFormat="1" customHeight="1" spans="1:2">
      <c r="A293" s="40" t="s">
        <v>4606</v>
      </c>
      <c r="B293" s="25">
        <v>86</v>
      </c>
    </row>
    <row r="294" s="34" customFormat="1" customHeight="1" spans="1:2">
      <c r="A294" s="40" t="s">
        <v>4607</v>
      </c>
      <c r="B294" s="25">
        <v>83</v>
      </c>
    </row>
    <row r="295" s="35" customFormat="1" customHeight="1" spans="1:2">
      <c r="A295" s="40" t="s">
        <v>4608</v>
      </c>
      <c r="B295" s="25">
        <v>78</v>
      </c>
    </row>
    <row r="296" s="34" customFormat="1" customHeight="1" spans="1:2">
      <c r="A296" s="40" t="s">
        <v>4609</v>
      </c>
      <c r="B296" s="25">
        <v>93.5</v>
      </c>
    </row>
    <row r="297" s="34" customFormat="1" customHeight="1" spans="1:2">
      <c r="A297" s="40" t="s">
        <v>4610</v>
      </c>
      <c r="B297" s="25">
        <v>91.5</v>
      </c>
    </row>
    <row r="298" s="34" customFormat="1" customHeight="1" spans="1:2">
      <c r="A298" s="40" t="s">
        <v>4611</v>
      </c>
      <c r="B298" s="25">
        <v>0</v>
      </c>
    </row>
    <row r="299" s="34" customFormat="1" customHeight="1" spans="1:2">
      <c r="A299" s="40" t="s">
        <v>4612</v>
      </c>
      <c r="B299" s="25">
        <v>81.5</v>
      </c>
    </row>
    <row r="300" s="34" customFormat="1" customHeight="1" spans="1:2">
      <c r="A300" s="40" t="s">
        <v>4613</v>
      </c>
      <c r="B300" s="25">
        <v>78</v>
      </c>
    </row>
    <row r="301" s="34" customFormat="1" customHeight="1" spans="1:2">
      <c r="A301" s="40" t="s">
        <v>4614</v>
      </c>
      <c r="B301" s="25">
        <v>0</v>
      </c>
    </row>
    <row r="302" s="34" customFormat="1" customHeight="1" spans="1:2">
      <c r="A302" s="40" t="s">
        <v>4615</v>
      </c>
      <c r="B302" s="25">
        <v>75</v>
      </c>
    </row>
    <row r="303" s="34" customFormat="1" customHeight="1" spans="1:2">
      <c r="A303" s="40" t="s">
        <v>4616</v>
      </c>
      <c r="B303" s="25">
        <v>0</v>
      </c>
    </row>
    <row r="304" s="34" customFormat="1" customHeight="1" spans="1:2">
      <c r="A304" s="40" t="s">
        <v>4617</v>
      </c>
      <c r="B304" s="25">
        <v>88.5</v>
      </c>
    </row>
    <row r="305" s="34" customFormat="1" customHeight="1" spans="1:2">
      <c r="A305" s="40" t="s">
        <v>4618</v>
      </c>
      <c r="B305" s="25">
        <v>0</v>
      </c>
    </row>
    <row r="306" s="34" customFormat="1" customHeight="1" spans="1:2">
      <c r="A306" s="40" t="s">
        <v>4619</v>
      </c>
      <c r="B306" s="25">
        <v>80.5</v>
      </c>
    </row>
    <row r="307" s="34" customFormat="1" customHeight="1" spans="1:2">
      <c r="A307" s="40" t="s">
        <v>4620</v>
      </c>
      <c r="B307" s="25">
        <v>0</v>
      </c>
    </row>
    <row r="308" s="34" customFormat="1" customHeight="1" spans="1:2">
      <c r="A308" s="40" t="s">
        <v>4621</v>
      </c>
      <c r="B308" s="25">
        <v>0</v>
      </c>
    </row>
    <row r="309" s="34" customFormat="1" customHeight="1" spans="1:2">
      <c r="A309" s="40" t="s">
        <v>4622</v>
      </c>
      <c r="B309" s="25">
        <v>0</v>
      </c>
    </row>
    <row r="310" s="34" customFormat="1" customHeight="1" spans="1:2">
      <c r="A310" s="40" t="s">
        <v>4623</v>
      </c>
      <c r="B310" s="25">
        <v>0</v>
      </c>
    </row>
    <row r="311" s="34" customFormat="1" customHeight="1" spans="1:2">
      <c r="A311" s="40" t="s">
        <v>4624</v>
      </c>
      <c r="B311" s="25">
        <v>0</v>
      </c>
    </row>
    <row r="312" s="34" customFormat="1" customHeight="1" spans="1:2">
      <c r="A312" s="40" t="s">
        <v>4625</v>
      </c>
      <c r="B312" s="25">
        <v>0</v>
      </c>
    </row>
    <row r="313" s="34" customFormat="1" customHeight="1" spans="1:2">
      <c r="A313" s="40" t="s">
        <v>4626</v>
      </c>
      <c r="B313" s="25">
        <v>0</v>
      </c>
    </row>
    <row r="314" s="34" customFormat="1" customHeight="1" spans="1:2">
      <c r="A314" s="40" t="s">
        <v>4627</v>
      </c>
      <c r="B314" s="25">
        <v>76</v>
      </c>
    </row>
    <row r="315" s="34" customFormat="1" customHeight="1" spans="1:2">
      <c r="A315" s="40" t="s">
        <v>4628</v>
      </c>
      <c r="B315" s="25">
        <v>0</v>
      </c>
    </row>
    <row r="316" s="34" customFormat="1" customHeight="1" spans="1:2">
      <c r="A316" s="40" t="s">
        <v>4629</v>
      </c>
      <c r="B316" s="25">
        <v>82.5</v>
      </c>
    </row>
    <row r="317" s="34" customFormat="1" customHeight="1" spans="1:2">
      <c r="A317" s="40" t="s">
        <v>4630</v>
      </c>
      <c r="B317" s="25">
        <v>83</v>
      </c>
    </row>
    <row r="318" s="34" customFormat="1" customHeight="1" spans="1:2">
      <c r="A318" s="40" t="s">
        <v>4631</v>
      </c>
      <c r="B318" s="25">
        <v>86</v>
      </c>
    </row>
    <row r="319" s="34" customFormat="1" customHeight="1" spans="1:2">
      <c r="A319" s="40" t="s">
        <v>4632</v>
      </c>
      <c r="B319" s="25">
        <v>0</v>
      </c>
    </row>
    <row r="320" s="34" customFormat="1" customHeight="1" spans="1:2">
      <c r="A320" s="40" t="s">
        <v>4633</v>
      </c>
      <c r="B320" s="25">
        <v>0</v>
      </c>
    </row>
    <row r="321" s="34" customFormat="1" customHeight="1" spans="1:2">
      <c r="A321" s="40" t="s">
        <v>4634</v>
      </c>
      <c r="B321" s="25">
        <v>84</v>
      </c>
    </row>
    <row r="322" s="34" customFormat="1" customHeight="1" spans="1:2">
      <c r="A322" s="40" t="s">
        <v>4635</v>
      </c>
      <c r="B322" s="25">
        <v>0</v>
      </c>
    </row>
    <row r="323" s="34" customFormat="1" customHeight="1" spans="1:2">
      <c r="A323" s="40" t="s">
        <v>4636</v>
      </c>
      <c r="B323" s="25">
        <v>0</v>
      </c>
    </row>
    <row r="324" s="34" customFormat="1" customHeight="1" spans="1:2">
      <c r="A324" s="40" t="s">
        <v>4637</v>
      </c>
      <c r="B324" s="25">
        <v>54</v>
      </c>
    </row>
    <row r="325" s="34" customFormat="1" customHeight="1" spans="1:2">
      <c r="A325" s="40" t="s">
        <v>4638</v>
      </c>
      <c r="B325" s="25">
        <v>78.5</v>
      </c>
    </row>
    <row r="326" s="34" customFormat="1" customHeight="1" spans="1:2">
      <c r="A326" s="40" t="s">
        <v>4642</v>
      </c>
      <c r="B326" s="25">
        <v>71.5</v>
      </c>
    </row>
    <row r="327" s="34" customFormat="1" customHeight="1" spans="1:2">
      <c r="A327" s="40" t="s">
        <v>4643</v>
      </c>
      <c r="B327" s="25">
        <v>0</v>
      </c>
    </row>
    <row r="328" s="34" customFormat="1" customHeight="1" spans="1:2">
      <c r="A328" s="40" t="s">
        <v>4647</v>
      </c>
      <c r="B328" s="25">
        <v>36</v>
      </c>
    </row>
    <row r="329" s="34" customFormat="1" customHeight="1" spans="1:2">
      <c r="A329" s="40" t="s">
        <v>4648</v>
      </c>
      <c r="B329" s="25">
        <v>60</v>
      </c>
    </row>
    <row r="330" s="34" customFormat="1" customHeight="1" spans="1:2">
      <c r="A330" s="40" t="s">
        <v>4652</v>
      </c>
      <c r="B330" s="25">
        <v>0</v>
      </c>
    </row>
    <row r="331" s="34" customFormat="1" customHeight="1" spans="1:2">
      <c r="A331" s="40" t="s">
        <v>4653</v>
      </c>
      <c r="B331" s="25">
        <v>0</v>
      </c>
    </row>
    <row r="332" s="34" customFormat="1" customHeight="1" spans="1:2">
      <c r="A332" s="40" t="s">
        <v>4657</v>
      </c>
      <c r="B332" s="25">
        <v>70</v>
      </c>
    </row>
    <row r="333" s="34" customFormat="1" customHeight="1" spans="1:2">
      <c r="A333" s="40" t="s">
        <v>4658</v>
      </c>
      <c r="B333" s="25">
        <v>81</v>
      </c>
    </row>
    <row r="334" s="34" customFormat="1" customHeight="1" spans="1:2">
      <c r="A334" s="40" t="s">
        <v>4662</v>
      </c>
      <c r="B334" s="25">
        <v>89</v>
      </c>
    </row>
    <row r="335" s="34" customFormat="1" customHeight="1" spans="1:2">
      <c r="A335" s="40" t="s">
        <v>4663</v>
      </c>
      <c r="B335" s="25">
        <v>80</v>
      </c>
    </row>
    <row r="336" s="34" customFormat="1" customHeight="1" spans="1:2">
      <c r="A336" s="40" t="s">
        <v>4664</v>
      </c>
      <c r="B336" s="25">
        <v>90</v>
      </c>
    </row>
    <row r="337" s="34" customFormat="1" customHeight="1" spans="1:2">
      <c r="A337" s="40" t="s">
        <v>4639</v>
      </c>
      <c r="B337" s="25">
        <v>75</v>
      </c>
    </row>
    <row r="338" s="34" customFormat="1" customHeight="1" spans="1:2">
      <c r="A338" s="40" t="s">
        <v>4640</v>
      </c>
      <c r="B338" s="25">
        <v>85</v>
      </c>
    </row>
    <row r="339" s="34" customFormat="1" customHeight="1" spans="1:2">
      <c r="A339" s="40" t="s">
        <v>4644</v>
      </c>
      <c r="B339" s="25">
        <v>89</v>
      </c>
    </row>
    <row r="340" s="34" customFormat="1" customHeight="1" spans="1:2">
      <c r="A340" s="40" t="s">
        <v>4645</v>
      </c>
      <c r="B340" s="25">
        <v>0</v>
      </c>
    </row>
    <row r="341" s="34" customFormat="1" customHeight="1" spans="1:2">
      <c r="A341" s="40" t="s">
        <v>4649</v>
      </c>
      <c r="B341" s="25">
        <v>0</v>
      </c>
    </row>
    <row r="342" s="34" customFormat="1" customHeight="1" spans="1:2">
      <c r="A342" s="40" t="s">
        <v>4650</v>
      </c>
      <c r="B342" s="25">
        <v>0</v>
      </c>
    </row>
    <row r="343" s="34" customFormat="1" customHeight="1" spans="1:2">
      <c r="A343" s="40" t="s">
        <v>4654</v>
      </c>
      <c r="B343" s="25">
        <v>79</v>
      </c>
    </row>
    <row r="344" s="34" customFormat="1" customHeight="1" spans="1:2">
      <c r="A344" s="40" t="s">
        <v>4655</v>
      </c>
      <c r="B344" s="25">
        <v>81</v>
      </c>
    </row>
    <row r="345" s="34" customFormat="1" customHeight="1" spans="1:2">
      <c r="A345" s="40" t="s">
        <v>4659</v>
      </c>
      <c r="B345" s="25">
        <v>82</v>
      </c>
    </row>
    <row r="346" s="34" customFormat="1" customHeight="1" spans="1:2">
      <c r="A346" s="40" t="s">
        <v>4641</v>
      </c>
      <c r="B346" s="25">
        <v>95</v>
      </c>
    </row>
    <row r="347" s="34" customFormat="1" customHeight="1" spans="1:2">
      <c r="A347" s="40" t="s">
        <v>4646</v>
      </c>
      <c r="B347" s="25">
        <v>68</v>
      </c>
    </row>
    <row r="348" s="34" customFormat="1" customHeight="1" spans="1:2">
      <c r="A348" s="40" t="s">
        <v>4651</v>
      </c>
      <c r="B348" s="25">
        <v>0</v>
      </c>
    </row>
    <row r="349" s="34" customFormat="1" customHeight="1" spans="1:2">
      <c r="A349" s="40" t="s">
        <v>4656</v>
      </c>
      <c r="B349" s="25">
        <v>89</v>
      </c>
    </row>
    <row r="350" s="34" customFormat="1" customHeight="1" spans="1:2">
      <c r="A350" s="40" t="s">
        <v>4660</v>
      </c>
      <c r="B350" s="25">
        <v>60</v>
      </c>
    </row>
    <row r="351" s="34" customFormat="1" customHeight="1" spans="1:2">
      <c r="A351" s="40" t="s">
        <v>4661</v>
      </c>
      <c r="B351" s="25">
        <v>64</v>
      </c>
    </row>
    <row r="352" s="34" customFormat="1" customHeight="1" spans="1:2">
      <c r="A352" s="40" t="s">
        <v>4665</v>
      </c>
      <c r="B352" s="25">
        <v>86</v>
      </c>
    </row>
    <row r="353" s="34" customFormat="1" customHeight="1" spans="1:2">
      <c r="A353" s="40" t="s">
        <v>4666</v>
      </c>
      <c r="B353" s="25">
        <v>84</v>
      </c>
    </row>
    <row r="354" s="34" customFormat="1" customHeight="1" spans="1:2">
      <c r="A354" s="40" t="s">
        <v>4667</v>
      </c>
      <c r="B354" s="25">
        <v>0</v>
      </c>
    </row>
    <row r="355" s="34" customFormat="1" customHeight="1" spans="1:2">
      <c r="A355" s="40" t="s">
        <v>4668</v>
      </c>
      <c r="B355" s="25">
        <v>93</v>
      </c>
    </row>
    <row r="356" s="34" customFormat="1" customHeight="1" spans="1:2">
      <c r="A356" s="40" t="s">
        <v>4669</v>
      </c>
      <c r="B356" s="25">
        <v>87</v>
      </c>
    </row>
    <row r="357" s="34" customFormat="1" customHeight="1" spans="1:2">
      <c r="A357" s="40" t="s">
        <v>4670</v>
      </c>
      <c r="B357" s="25">
        <v>73.5</v>
      </c>
    </row>
    <row r="358" s="34" customFormat="1" customHeight="1" spans="1:2">
      <c r="A358" s="40" t="s">
        <v>4671</v>
      </c>
      <c r="B358" s="25">
        <v>79.5</v>
      </c>
    </row>
    <row r="359" s="34" customFormat="1" customHeight="1" spans="1:2">
      <c r="A359" s="40" t="s">
        <v>4672</v>
      </c>
      <c r="B359" s="25">
        <v>70</v>
      </c>
    </row>
    <row r="360" s="34" customFormat="1" customHeight="1" spans="1:2">
      <c r="A360" s="40" t="s">
        <v>4673</v>
      </c>
      <c r="B360" s="25">
        <v>85</v>
      </c>
    </row>
    <row r="361" s="34" customFormat="1" customHeight="1" spans="1:2">
      <c r="A361" s="40" t="s">
        <v>4674</v>
      </c>
      <c r="B361" s="25">
        <v>77.5</v>
      </c>
    </row>
    <row r="362" s="34" customFormat="1" customHeight="1" spans="1:2">
      <c r="A362" s="40" t="s">
        <v>4675</v>
      </c>
      <c r="B362" s="25">
        <v>61.5</v>
      </c>
    </row>
    <row r="363" s="34" customFormat="1" customHeight="1" spans="1:2">
      <c r="A363" s="40" t="s">
        <v>4676</v>
      </c>
      <c r="B363" s="25">
        <v>78.5</v>
      </c>
    </row>
    <row r="364" s="34" customFormat="1" customHeight="1" spans="1:2">
      <c r="A364" s="40" t="s">
        <v>4677</v>
      </c>
      <c r="B364" s="25">
        <v>0</v>
      </c>
    </row>
    <row r="365" s="34" customFormat="1" customHeight="1" spans="1:2">
      <c r="A365" s="40" t="s">
        <v>4678</v>
      </c>
      <c r="B365" s="25">
        <v>81.5</v>
      </c>
    </row>
    <row r="366" s="34" customFormat="1" customHeight="1" spans="1:2">
      <c r="A366" s="40" t="s">
        <v>4679</v>
      </c>
      <c r="B366" s="25">
        <v>86.5</v>
      </c>
    </row>
    <row r="367" s="34" customFormat="1" customHeight="1" spans="1:2">
      <c r="A367" s="40" t="s">
        <v>4680</v>
      </c>
      <c r="B367" s="25">
        <v>0</v>
      </c>
    </row>
    <row r="368" s="34" customFormat="1" customHeight="1" spans="1:2">
      <c r="A368" s="40" t="s">
        <v>4681</v>
      </c>
      <c r="B368" s="25">
        <v>75.5</v>
      </c>
    </row>
    <row r="369" s="34" customFormat="1" customHeight="1" spans="1:2">
      <c r="A369" s="40" t="s">
        <v>4682</v>
      </c>
      <c r="B369" s="25">
        <v>0</v>
      </c>
    </row>
    <row r="370" s="34" customFormat="1" customHeight="1" spans="1:2">
      <c r="A370" s="40" t="s">
        <v>4683</v>
      </c>
      <c r="B370" s="25">
        <v>0</v>
      </c>
    </row>
    <row r="371" s="34" customFormat="1" customHeight="1" spans="1:2">
      <c r="A371" s="40" t="s">
        <v>4684</v>
      </c>
      <c r="B371" s="25">
        <v>0</v>
      </c>
    </row>
    <row r="372" s="34" customFormat="1" customHeight="1" spans="1:2">
      <c r="A372" s="40" t="s">
        <v>4685</v>
      </c>
      <c r="B372" s="25">
        <v>84</v>
      </c>
    </row>
    <row r="373" s="34" customFormat="1" customHeight="1" spans="1:2">
      <c r="A373" s="40" t="s">
        <v>4686</v>
      </c>
      <c r="B373" s="25">
        <v>79</v>
      </c>
    </row>
    <row r="374" s="34" customFormat="1" customHeight="1" spans="1:2">
      <c r="A374" s="40" t="s">
        <v>4687</v>
      </c>
      <c r="B374" s="25">
        <v>0</v>
      </c>
    </row>
    <row r="375" s="34" customFormat="1" customHeight="1" spans="1:2">
      <c r="A375" s="40" t="s">
        <v>4688</v>
      </c>
      <c r="B375" s="25">
        <v>61</v>
      </c>
    </row>
    <row r="376" s="34" customFormat="1" customHeight="1" spans="1:2">
      <c r="A376" s="40" t="s">
        <v>4689</v>
      </c>
      <c r="B376" s="25">
        <v>0</v>
      </c>
    </row>
    <row r="377" s="34" customFormat="1" customHeight="1" spans="1:2">
      <c r="A377" s="40" t="s">
        <v>4690</v>
      </c>
      <c r="B377" s="25">
        <v>65</v>
      </c>
    </row>
    <row r="378" s="34" customFormat="1" customHeight="1" spans="1:2">
      <c r="A378" s="40" t="s">
        <v>4691</v>
      </c>
      <c r="B378" s="25">
        <v>82</v>
      </c>
    </row>
    <row r="379" s="34" customFormat="1" customHeight="1" spans="1:2">
      <c r="A379" s="40" t="s">
        <v>4692</v>
      </c>
      <c r="B379" s="25">
        <v>81</v>
      </c>
    </row>
    <row r="380" s="34" customFormat="1" customHeight="1" spans="1:2">
      <c r="A380" s="40" t="s">
        <v>4693</v>
      </c>
      <c r="B380" s="25">
        <v>73</v>
      </c>
    </row>
    <row r="381" s="34" customFormat="1" customHeight="1" spans="1:2">
      <c r="A381" s="40" t="s">
        <v>4694</v>
      </c>
      <c r="B381" s="25">
        <v>61</v>
      </c>
    </row>
    <row r="382" s="34" customFormat="1" customHeight="1" spans="1:2">
      <c r="A382" s="40" t="s">
        <v>4695</v>
      </c>
      <c r="B382" s="25">
        <v>72</v>
      </c>
    </row>
    <row r="383" s="34" customFormat="1" customHeight="1" spans="1:2">
      <c r="A383" s="40" t="s">
        <v>4696</v>
      </c>
      <c r="B383" s="25">
        <v>0</v>
      </c>
    </row>
    <row r="384" s="34" customFormat="1" customHeight="1" spans="1:2">
      <c r="A384" s="40" t="s">
        <v>4697</v>
      </c>
      <c r="B384" s="25">
        <v>62</v>
      </c>
    </row>
    <row r="385" s="34" customFormat="1" customHeight="1" spans="1:2">
      <c r="A385" s="40" t="s">
        <v>4701</v>
      </c>
      <c r="B385" s="25">
        <v>74</v>
      </c>
    </row>
    <row r="386" s="34" customFormat="1" customHeight="1" spans="1:2">
      <c r="A386" s="40" t="s">
        <v>4706</v>
      </c>
      <c r="B386" s="25">
        <v>63</v>
      </c>
    </row>
    <row r="387" s="34" customFormat="1" customHeight="1" spans="1:2">
      <c r="A387" s="40" t="s">
        <v>4711</v>
      </c>
      <c r="B387" s="25">
        <v>0</v>
      </c>
    </row>
    <row r="388" s="34" customFormat="1" customHeight="1" spans="1:2">
      <c r="A388" s="40" t="s">
        <v>4716</v>
      </c>
      <c r="B388" s="25">
        <v>52</v>
      </c>
    </row>
    <row r="389" s="34" customFormat="1" customHeight="1" spans="1:2">
      <c r="A389" s="40" t="s">
        <v>4721</v>
      </c>
      <c r="B389" s="25">
        <v>75</v>
      </c>
    </row>
    <row r="390" s="34" customFormat="1" customHeight="1" spans="1:2">
      <c r="A390" s="40" t="s">
        <v>4698</v>
      </c>
      <c r="B390" s="25">
        <v>60.5</v>
      </c>
    </row>
    <row r="391" s="34" customFormat="1" customHeight="1" spans="1:2">
      <c r="A391" s="40" t="s">
        <v>4699</v>
      </c>
      <c r="B391" s="25">
        <v>0</v>
      </c>
    </row>
    <row r="392" s="34" customFormat="1" customHeight="1" spans="1:2">
      <c r="A392" s="40" t="s">
        <v>4702</v>
      </c>
      <c r="B392" s="25">
        <v>0</v>
      </c>
    </row>
    <row r="393" s="34" customFormat="1" customHeight="1" spans="1:2">
      <c r="A393" s="40" t="s">
        <v>4703</v>
      </c>
      <c r="B393" s="25">
        <v>0</v>
      </c>
    </row>
    <row r="394" s="34" customFormat="1" customHeight="1" spans="1:2">
      <c r="A394" s="40" t="s">
        <v>4707</v>
      </c>
      <c r="B394" s="25">
        <v>67</v>
      </c>
    </row>
    <row r="395" s="34" customFormat="1" customHeight="1" spans="1:2">
      <c r="A395" s="40" t="s">
        <v>4708</v>
      </c>
      <c r="B395" s="25">
        <v>62</v>
      </c>
    </row>
    <row r="396" s="34" customFormat="1" customHeight="1" spans="1:2">
      <c r="A396" s="40" t="s">
        <v>4712</v>
      </c>
      <c r="B396" s="25">
        <v>0</v>
      </c>
    </row>
    <row r="397" s="34" customFormat="1" customHeight="1" spans="1:2">
      <c r="A397" s="40" t="s">
        <v>4713</v>
      </c>
      <c r="B397" s="25">
        <v>0</v>
      </c>
    </row>
    <row r="398" s="34" customFormat="1" customHeight="1" spans="1:2">
      <c r="A398" s="40" t="s">
        <v>4717</v>
      </c>
      <c r="B398" s="25">
        <v>79</v>
      </c>
    </row>
    <row r="399" s="34" customFormat="1" customHeight="1" spans="1:2">
      <c r="A399" s="40" t="s">
        <v>4718</v>
      </c>
      <c r="B399" s="25">
        <v>73</v>
      </c>
    </row>
    <row r="400" s="34" customFormat="1" customHeight="1" spans="1:2">
      <c r="A400" s="40" t="s">
        <v>4722</v>
      </c>
      <c r="B400" s="25">
        <v>86</v>
      </c>
    </row>
    <row r="401" s="34" customFormat="1" customHeight="1" spans="1:2">
      <c r="A401" s="40" t="s">
        <v>4723</v>
      </c>
      <c r="B401" s="25">
        <v>0</v>
      </c>
    </row>
    <row r="402" s="34" customFormat="1" customHeight="1" spans="1:2">
      <c r="A402" s="40" t="s">
        <v>4700</v>
      </c>
      <c r="B402" s="25">
        <v>84</v>
      </c>
    </row>
    <row r="403" s="34" customFormat="1" customHeight="1" spans="1:2">
      <c r="A403" s="40" t="s">
        <v>4704</v>
      </c>
      <c r="B403" s="25">
        <v>76</v>
      </c>
    </row>
    <row r="404" s="34" customFormat="1" customHeight="1" spans="1:2">
      <c r="A404" s="40" t="s">
        <v>4705</v>
      </c>
      <c r="B404" s="25">
        <v>56</v>
      </c>
    </row>
    <row r="405" s="34" customFormat="1" customHeight="1" spans="1:2">
      <c r="A405" s="40" t="s">
        <v>4709</v>
      </c>
      <c r="B405" s="25">
        <v>73.5</v>
      </c>
    </row>
    <row r="406" s="34" customFormat="1" customHeight="1" spans="1:2">
      <c r="A406" s="40" t="s">
        <v>4710</v>
      </c>
      <c r="B406" s="25">
        <v>75</v>
      </c>
    </row>
    <row r="407" s="34" customFormat="1" customHeight="1" spans="1:2">
      <c r="A407" s="40" t="s">
        <v>4714</v>
      </c>
      <c r="B407" s="25">
        <v>69.5</v>
      </c>
    </row>
    <row r="408" s="34" customFormat="1" customHeight="1" spans="1:2">
      <c r="A408" s="40" t="s">
        <v>4715</v>
      </c>
      <c r="B408" s="25">
        <v>45</v>
      </c>
    </row>
    <row r="409" s="34" customFormat="1" customHeight="1" spans="1:2">
      <c r="A409" s="40" t="s">
        <v>4719</v>
      </c>
      <c r="B409" s="25">
        <v>71</v>
      </c>
    </row>
    <row r="410" s="34" customFormat="1" customHeight="1" spans="1:2">
      <c r="A410" s="40" t="s">
        <v>4720</v>
      </c>
      <c r="B410" s="25">
        <v>0</v>
      </c>
    </row>
    <row r="411" s="34" customFormat="1" customHeight="1" spans="1:2">
      <c r="A411" s="40" t="s">
        <v>4724</v>
      </c>
      <c r="B411" s="25">
        <v>0</v>
      </c>
    </row>
    <row r="412" s="34" customFormat="1" customHeight="1" spans="1:2">
      <c r="A412" s="40" t="s">
        <v>4725</v>
      </c>
      <c r="B412" s="25">
        <v>0</v>
      </c>
    </row>
    <row r="413" s="34" customFormat="1" customHeight="1" spans="1:2">
      <c r="A413" s="40" t="s">
        <v>4726</v>
      </c>
      <c r="B413" s="25">
        <v>0</v>
      </c>
    </row>
    <row r="414" s="34" customFormat="1" customHeight="1" spans="1:2">
      <c r="A414" s="40" t="s">
        <v>4730</v>
      </c>
      <c r="B414" s="25">
        <v>0</v>
      </c>
    </row>
    <row r="415" s="34" customFormat="1" customHeight="1" spans="1:2">
      <c r="A415" s="40" t="s">
        <v>4734</v>
      </c>
      <c r="B415" s="25">
        <v>0</v>
      </c>
    </row>
    <row r="416" s="34" customFormat="1" customHeight="1" spans="1:2">
      <c r="A416" s="40" t="s">
        <v>4738</v>
      </c>
      <c r="B416" s="25">
        <v>0</v>
      </c>
    </row>
    <row r="417" s="34" customFormat="1" customHeight="1" spans="1:2">
      <c r="A417" s="40" t="s">
        <v>4742</v>
      </c>
      <c r="B417" s="25">
        <v>78</v>
      </c>
    </row>
    <row r="418" s="34" customFormat="1" customHeight="1" spans="1:2">
      <c r="A418" s="40" t="s">
        <v>4745</v>
      </c>
      <c r="B418" s="25">
        <v>83</v>
      </c>
    </row>
    <row r="419" s="34" customFormat="1" customHeight="1" spans="1:2">
      <c r="A419" s="40" t="s">
        <v>4727</v>
      </c>
      <c r="B419" s="25">
        <v>77.5</v>
      </c>
    </row>
    <row r="420" s="34" customFormat="1" customHeight="1" spans="1:2">
      <c r="A420" s="40" t="s">
        <v>4728</v>
      </c>
      <c r="B420" s="25">
        <v>74</v>
      </c>
    </row>
    <row r="421" s="34" customFormat="1" customHeight="1" spans="1:2">
      <c r="A421" s="40" t="s">
        <v>4729</v>
      </c>
      <c r="B421" s="25">
        <v>83</v>
      </c>
    </row>
    <row r="422" s="34" customFormat="1" customHeight="1" spans="1:2">
      <c r="A422" s="40" t="s">
        <v>4731</v>
      </c>
      <c r="B422" s="25">
        <v>0</v>
      </c>
    </row>
    <row r="423" s="34" customFormat="1" customHeight="1" spans="1:2">
      <c r="A423" s="40" t="s">
        <v>4732</v>
      </c>
      <c r="B423" s="25">
        <v>0</v>
      </c>
    </row>
    <row r="424" s="34" customFormat="1" customHeight="1" spans="1:2">
      <c r="A424" s="40" t="s">
        <v>4733</v>
      </c>
      <c r="B424" s="25">
        <v>83</v>
      </c>
    </row>
    <row r="425" s="34" customFormat="1" customHeight="1" spans="1:2">
      <c r="A425" s="40" t="s">
        <v>4735</v>
      </c>
      <c r="B425" s="25">
        <v>0</v>
      </c>
    </row>
    <row r="426" s="34" customFormat="1" customHeight="1" spans="1:2">
      <c r="A426" s="40" t="s">
        <v>4736</v>
      </c>
      <c r="B426" s="25">
        <v>0</v>
      </c>
    </row>
    <row r="427" s="34" customFormat="1" customHeight="1" spans="1:2">
      <c r="A427" s="40" t="s">
        <v>4737</v>
      </c>
      <c r="B427" s="25">
        <v>0</v>
      </c>
    </row>
    <row r="428" s="34" customFormat="1" customHeight="1" spans="1:2">
      <c r="A428" s="40" t="s">
        <v>4739</v>
      </c>
      <c r="B428" s="25">
        <v>77</v>
      </c>
    </row>
    <row r="429" s="34" customFormat="1" customHeight="1" spans="1:2">
      <c r="A429" s="40" t="s">
        <v>4740</v>
      </c>
      <c r="B429" s="25">
        <v>81</v>
      </c>
    </row>
    <row r="430" s="34" customFormat="1" customHeight="1" spans="1:2">
      <c r="A430" s="40" t="s">
        <v>4741</v>
      </c>
      <c r="B430" s="25">
        <v>76.5</v>
      </c>
    </row>
    <row r="431" s="34" customFormat="1" customHeight="1" spans="1:2">
      <c r="A431" s="40" t="s">
        <v>4743</v>
      </c>
      <c r="B431" s="25">
        <v>77</v>
      </c>
    </row>
    <row r="432" s="34" customFormat="1" customHeight="1" spans="1:2">
      <c r="A432" s="40" t="s">
        <v>4744</v>
      </c>
      <c r="B432" s="25">
        <v>0</v>
      </c>
    </row>
    <row r="433" s="34" customFormat="1" customHeight="1" spans="1:2">
      <c r="A433" s="40" t="s">
        <v>4746</v>
      </c>
      <c r="B433" s="25">
        <v>75</v>
      </c>
    </row>
    <row r="434" s="34" customFormat="1" customHeight="1" spans="1:2">
      <c r="A434" s="40" t="s">
        <v>4747</v>
      </c>
      <c r="B434" s="25">
        <v>70</v>
      </c>
    </row>
    <row r="435" s="34" customFormat="1" customHeight="1" spans="1:2">
      <c r="A435" s="40" t="s">
        <v>4748</v>
      </c>
      <c r="B435" s="25">
        <v>79.5</v>
      </c>
    </row>
    <row r="436" s="34" customFormat="1" customHeight="1" spans="1:2">
      <c r="A436" s="40" t="s">
        <v>4749</v>
      </c>
      <c r="B436" s="25">
        <v>81</v>
      </c>
    </row>
    <row r="437" s="35" customFormat="1" customHeight="1" spans="1:2">
      <c r="A437" s="40" t="s">
        <v>4750</v>
      </c>
      <c r="B437" s="25">
        <v>77</v>
      </c>
    </row>
    <row r="438" s="34" customFormat="1" customHeight="1" spans="1:2">
      <c r="A438" s="40" t="s">
        <v>4751</v>
      </c>
      <c r="B438" s="25">
        <v>0</v>
      </c>
    </row>
    <row r="439" s="34" customFormat="1" customHeight="1" spans="1:2">
      <c r="A439" s="40" t="s">
        <v>4752</v>
      </c>
      <c r="B439" s="25">
        <v>80</v>
      </c>
    </row>
    <row r="440" s="34" customFormat="1" customHeight="1" spans="1:2">
      <c r="A440" s="40" t="s">
        <v>4753</v>
      </c>
      <c r="B440" s="25">
        <v>76</v>
      </c>
    </row>
    <row r="441" s="34" customFormat="1" customHeight="1" spans="1:2">
      <c r="A441" s="40" t="s">
        <v>4754</v>
      </c>
      <c r="B441" s="25">
        <v>84.5</v>
      </c>
    </row>
    <row r="442" s="34" customFormat="1" customHeight="1" spans="1:2">
      <c r="A442" s="40" t="s">
        <v>4755</v>
      </c>
      <c r="B442" s="25">
        <v>79</v>
      </c>
    </row>
    <row r="443" s="34" customFormat="1" customHeight="1" spans="1:2">
      <c r="A443" s="40" t="s">
        <v>4756</v>
      </c>
      <c r="B443" s="25">
        <v>0</v>
      </c>
    </row>
    <row r="444" s="34" customFormat="1" customHeight="1" spans="1:2">
      <c r="A444" s="40" t="s">
        <v>4757</v>
      </c>
      <c r="B444" s="25">
        <v>80.5</v>
      </c>
    </row>
    <row r="445" s="34" customFormat="1" customHeight="1" spans="1:2">
      <c r="A445" s="40" t="s">
        <v>4758</v>
      </c>
      <c r="B445" s="25">
        <v>0</v>
      </c>
    </row>
    <row r="446" s="34" customFormat="1" customHeight="1" spans="1:2">
      <c r="A446" s="40" t="s">
        <v>4759</v>
      </c>
      <c r="B446" s="25">
        <v>75</v>
      </c>
    </row>
    <row r="447" s="34" customFormat="1" customHeight="1" spans="1:2">
      <c r="A447" s="40" t="s">
        <v>4760</v>
      </c>
      <c r="B447" s="25">
        <v>76</v>
      </c>
    </row>
    <row r="448" s="34" customFormat="1" customHeight="1" spans="1:2">
      <c r="A448" s="40" t="s">
        <v>4761</v>
      </c>
      <c r="B448" s="25">
        <v>84</v>
      </c>
    </row>
    <row r="449" s="34" customFormat="1" customHeight="1" spans="1:2">
      <c r="A449" s="40" t="s">
        <v>4762</v>
      </c>
      <c r="B449" s="25">
        <v>65</v>
      </c>
    </row>
    <row r="450" s="34" customFormat="1" customHeight="1" spans="1:2">
      <c r="A450" s="40" t="s">
        <v>4763</v>
      </c>
      <c r="B450" s="25">
        <v>0</v>
      </c>
    </row>
    <row r="451" s="34" customFormat="1" customHeight="1" spans="1:2">
      <c r="A451" s="40" t="s">
        <v>4764</v>
      </c>
      <c r="B451" s="25">
        <v>64</v>
      </c>
    </row>
    <row r="452" s="34" customFormat="1" customHeight="1" spans="1:2">
      <c r="A452" s="40" t="s">
        <v>4765</v>
      </c>
      <c r="B452" s="25">
        <v>78</v>
      </c>
    </row>
    <row r="453" s="34" customFormat="1" customHeight="1" spans="1:2">
      <c r="A453" s="40" t="s">
        <v>4766</v>
      </c>
      <c r="B453" s="25">
        <v>0</v>
      </c>
    </row>
    <row r="454" s="34" customFormat="1" customHeight="1" spans="1:2">
      <c r="A454" s="40" t="s">
        <v>4767</v>
      </c>
      <c r="B454" s="25">
        <v>56</v>
      </c>
    </row>
    <row r="455" s="34" customFormat="1" customHeight="1" spans="1:2">
      <c r="A455" s="40" t="s">
        <v>4768</v>
      </c>
      <c r="B455" s="25">
        <v>62</v>
      </c>
    </row>
    <row r="456" s="34" customFormat="1" customHeight="1" spans="1:2">
      <c r="A456" s="40" t="s">
        <v>4769</v>
      </c>
      <c r="B456" s="25">
        <v>75</v>
      </c>
    </row>
    <row r="457" s="34" customFormat="1" customHeight="1" spans="1:2">
      <c r="A457" s="40" t="s">
        <v>4770</v>
      </c>
      <c r="B457" s="25">
        <v>75.5</v>
      </c>
    </row>
    <row r="458" s="34" customFormat="1" customHeight="1" spans="1:2">
      <c r="A458" s="40" t="s">
        <v>4771</v>
      </c>
      <c r="B458" s="25">
        <v>39</v>
      </c>
    </row>
    <row r="459" s="34" customFormat="1" customHeight="1" spans="1:2">
      <c r="A459" s="40" t="s">
        <v>4772</v>
      </c>
      <c r="B459" s="25">
        <v>0</v>
      </c>
    </row>
    <row r="460" s="34" customFormat="1" customHeight="1" spans="1:2">
      <c r="A460" s="40" t="s">
        <v>4773</v>
      </c>
      <c r="B460" s="25">
        <v>80</v>
      </c>
    </row>
    <row r="461" s="34" customFormat="1" customHeight="1" spans="1:2">
      <c r="A461" s="40" t="s">
        <v>4774</v>
      </c>
      <c r="B461" s="25">
        <v>0</v>
      </c>
    </row>
    <row r="462" s="34" customFormat="1" customHeight="1" spans="1:2">
      <c r="A462" s="40" t="s">
        <v>4775</v>
      </c>
      <c r="B462" s="25">
        <v>86</v>
      </c>
    </row>
    <row r="463" s="34" customFormat="1" customHeight="1" spans="1:2">
      <c r="A463" s="40" t="s">
        <v>4776</v>
      </c>
      <c r="B463" s="25">
        <v>85</v>
      </c>
    </row>
    <row r="464" s="34" customFormat="1" customHeight="1" spans="1:2">
      <c r="A464" s="40" t="s">
        <v>4777</v>
      </c>
      <c r="B464" s="25">
        <v>75.5</v>
      </c>
    </row>
    <row r="465" s="34" customFormat="1" customHeight="1" spans="1:2">
      <c r="A465" s="40" t="s">
        <v>4793</v>
      </c>
      <c r="B465" s="25">
        <v>0</v>
      </c>
    </row>
    <row r="466" s="34" customFormat="1" customHeight="1" spans="1:2">
      <c r="A466" s="40" t="s">
        <v>4798</v>
      </c>
      <c r="B466" s="25">
        <v>64</v>
      </c>
    </row>
    <row r="467" s="34" customFormat="1" customHeight="1" spans="1:2">
      <c r="A467" s="40" t="s">
        <v>4803</v>
      </c>
      <c r="B467" s="25">
        <v>0</v>
      </c>
    </row>
    <row r="468" s="34" customFormat="1" customHeight="1" spans="1:2">
      <c r="A468" s="40" t="s">
        <v>4778</v>
      </c>
      <c r="B468" s="25">
        <v>0</v>
      </c>
    </row>
    <row r="469" s="34" customFormat="1" customHeight="1" spans="1:2">
      <c r="A469" s="40" t="s">
        <v>4779</v>
      </c>
      <c r="B469" s="25">
        <v>0</v>
      </c>
    </row>
    <row r="470" s="34" customFormat="1" customHeight="1" spans="1:2">
      <c r="A470" s="40" t="s">
        <v>4783</v>
      </c>
      <c r="B470" s="25">
        <v>0</v>
      </c>
    </row>
    <row r="471" s="34" customFormat="1" customHeight="1" spans="1:2">
      <c r="A471" s="40" t="s">
        <v>4784</v>
      </c>
      <c r="B471" s="25">
        <v>68.5</v>
      </c>
    </row>
    <row r="472" s="34" customFormat="1" customHeight="1" spans="1:2">
      <c r="A472" s="40" t="s">
        <v>4788</v>
      </c>
      <c r="B472" s="25">
        <v>0</v>
      </c>
    </row>
    <row r="473" s="34" customFormat="1" customHeight="1" spans="1:2">
      <c r="A473" s="40" t="s">
        <v>4789</v>
      </c>
      <c r="B473" s="25">
        <v>0</v>
      </c>
    </row>
    <row r="474" s="34" customFormat="1" customHeight="1" spans="1:2">
      <c r="A474" s="40" t="s">
        <v>4794</v>
      </c>
      <c r="B474" s="25">
        <v>0</v>
      </c>
    </row>
    <row r="475" s="34" customFormat="1" customHeight="1" spans="1:2">
      <c r="A475" s="40" t="s">
        <v>4795</v>
      </c>
      <c r="B475" s="25">
        <v>65.5</v>
      </c>
    </row>
    <row r="476" s="34" customFormat="1" customHeight="1" spans="1:2">
      <c r="A476" s="40" t="s">
        <v>4799</v>
      </c>
      <c r="B476" s="25">
        <v>71.5</v>
      </c>
    </row>
    <row r="477" s="34" customFormat="1" customHeight="1" spans="1:2">
      <c r="A477" s="40" t="s">
        <v>4800</v>
      </c>
      <c r="B477" s="25">
        <v>0</v>
      </c>
    </row>
    <row r="478" s="34" customFormat="1" customHeight="1" spans="1:2">
      <c r="A478" s="40" t="s">
        <v>4804</v>
      </c>
      <c r="B478" s="25">
        <v>75.5</v>
      </c>
    </row>
    <row r="479" s="34" customFormat="1" customHeight="1" spans="1:2">
      <c r="A479" s="40" t="s">
        <v>4805</v>
      </c>
      <c r="B479" s="25">
        <v>0</v>
      </c>
    </row>
    <row r="480" s="34" customFormat="1" customHeight="1" spans="1:2">
      <c r="A480" s="40" t="s">
        <v>4780</v>
      </c>
      <c r="B480" s="25">
        <v>75</v>
      </c>
    </row>
    <row r="481" s="34" customFormat="1" customHeight="1" spans="1:2">
      <c r="A481" s="40" t="s">
        <v>4781</v>
      </c>
      <c r="B481" s="25">
        <v>72.5</v>
      </c>
    </row>
    <row r="482" s="34" customFormat="1" customHeight="1" spans="1:2">
      <c r="A482" s="40" t="s">
        <v>4782</v>
      </c>
      <c r="B482" s="25">
        <v>0</v>
      </c>
    </row>
    <row r="483" s="34" customFormat="1" customHeight="1" spans="1:2">
      <c r="A483" s="40" t="s">
        <v>4785</v>
      </c>
      <c r="B483" s="25">
        <v>0</v>
      </c>
    </row>
    <row r="484" s="34" customFormat="1" customHeight="1" spans="1:2">
      <c r="A484" s="40" t="s">
        <v>4786</v>
      </c>
      <c r="B484" s="25">
        <v>71</v>
      </c>
    </row>
    <row r="485" s="34" customFormat="1" customHeight="1" spans="1:2">
      <c r="A485" s="40" t="s">
        <v>4787</v>
      </c>
      <c r="B485" s="25">
        <v>68</v>
      </c>
    </row>
    <row r="486" s="34" customFormat="1" customHeight="1" spans="1:2">
      <c r="A486" s="40" t="s">
        <v>4790</v>
      </c>
      <c r="B486" s="25">
        <v>79</v>
      </c>
    </row>
    <row r="487" s="34" customFormat="1" customHeight="1" spans="1:2">
      <c r="A487" s="40" t="s">
        <v>4791</v>
      </c>
      <c r="B487" s="25">
        <v>0</v>
      </c>
    </row>
    <row r="488" s="34" customFormat="1" customHeight="1" spans="1:2">
      <c r="A488" s="40" t="s">
        <v>4792</v>
      </c>
      <c r="B488" s="25">
        <v>80</v>
      </c>
    </row>
    <row r="489" s="34" customFormat="1" customHeight="1" spans="1:2">
      <c r="A489" s="40" t="s">
        <v>4796</v>
      </c>
      <c r="B489" s="25">
        <v>81</v>
      </c>
    </row>
    <row r="490" s="34" customFormat="1" customHeight="1" spans="1:2">
      <c r="A490" s="40" t="s">
        <v>4797</v>
      </c>
      <c r="B490" s="25">
        <v>60</v>
      </c>
    </row>
    <row r="491" s="34" customFormat="1" customHeight="1" spans="1:2">
      <c r="A491" s="40" t="s">
        <v>4801</v>
      </c>
      <c r="B491" s="25">
        <v>67</v>
      </c>
    </row>
    <row r="492" s="34" customFormat="1" customHeight="1" spans="1:2">
      <c r="A492" s="40" t="s">
        <v>4802</v>
      </c>
      <c r="B492" s="25">
        <v>70</v>
      </c>
    </row>
    <row r="493" s="34" customFormat="1" customHeight="1" spans="1:2">
      <c r="A493" s="40" t="s">
        <v>4806</v>
      </c>
      <c r="B493" s="25">
        <v>81</v>
      </c>
    </row>
    <row r="494" s="34" customFormat="1" customHeight="1" spans="1:2">
      <c r="A494" s="40" t="s">
        <v>4807</v>
      </c>
      <c r="B494" s="25">
        <v>0</v>
      </c>
    </row>
    <row r="495" s="34" customFormat="1" customHeight="1" spans="1:2">
      <c r="A495" s="40" t="s">
        <v>4808</v>
      </c>
      <c r="B495" s="25">
        <v>0</v>
      </c>
    </row>
    <row r="496" s="34" customFormat="1" customHeight="1" spans="1:2">
      <c r="A496" s="40" t="s">
        <v>4809</v>
      </c>
      <c r="B496" s="25">
        <v>87</v>
      </c>
    </row>
    <row r="497" s="34" customFormat="1" customHeight="1" spans="1:2">
      <c r="A497" s="40" t="s">
        <v>4812</v>
      </c>
      <c r="B497" s="25">
        <v>0</v>
      </c>
    </row>
    <row r="498" s="34" customFormat="1" customHeight="1" spans="1:2">
      <c r="A498" s="40" t="s">
        <v>4813</v>
      </c>
      <c r="B498" s="25">
        <v>84</v>
      </c>
    </row>
    <row r="499" s="34" customFormat="1" customHeight="1" spans="1:2">
      <c r="A499" s="40" t="s">
        <v>4816</v>
      </c>
      <c r="B499" s="25">
        <v>91</v>
      </c>
    </row>
    <row r="500" s="34" customFormat="1" customHeight="1" spans="1:2">
      <c r="A500" s="40" t="s">
        <v>4817</v>
      </c>
      <c r="B500" s="25">
        <v>0</v>
      </c>
    </row>
    <row r="501" s="34" customFormat="1" customHeight="1" spans="1:2">
      <c r="A501" s="40" t="s">
        <v>4819</v>
      </c>
      <c r="B501" s="25">
        <v>65.5</v>
      </c>
    </row>
    <row r="502" s="34" customFormat="1" customHeight="1" spans="1:2">
      <c r="A502" s="40" t="s">
        <v>4820</v>
      </c>
      <c r="B502" s="25">
        <v>44</v>
      </c>
    </row>
    <row r="503" s="34" customFormat="1" customHeight="1" spans="1:2">
      <c r="A503" s="40" t="s">
        <v>4822</v>
      </c>
      <c r="B503" s="25">
        <v>0</v>
      </c>
    </row>
    <row r="504" s="34" customFormat="1" customHeight="1" spans="1:2">
      <c r="A504" s="40" t="s">
        <v>4823</v>
      </c>
      <c r="B504" s="25">
        <v>55</v>
      </c>
    </row>
    <row r="505" s="34" customFormat="1" customHeight="1" spans="1:2">
      <c r="A505" s="40" t="s">
        <v>4825</v>
      </c>
      <c r="B505" s="25">
        <v>66</v>
      </c>
    </row>
    <row r="506" s="34" customFormat="1" customHeight="1" spans="1:2">
      <c r="A506" s="40" t="s">
        <v>4818</v>
      </c>
      <c r="B506" s="25">
        <v>0</v>
      </c>
    </row>
    <row r="507" s="34" customFormat="1" customHeight="1" spans="1:2">
      <c r="A507" s="40" t="s">
        <v>4821</v>
      </c>
      <c r="B507" s="25">
        <v>70</v>
      </c>
    </row>
    <row r="508" s="34" customFormat="1" customHeight="1" spans="1:2">
      <c r="A508" s="40" t="s">
        <v>4824</v>
      </c>
      <c r="B508" s="25">
        <v>63</v>
      </c>
    </row>
    <row r="509" s="34" customFormat="1" customHeight="1" spans="1:2">
      <c r="A509" s="40" t="s">
        <v>4826</v>
      </c>
      <c r="B509" s="25">
        <v>38</v>
      </c>
    </row>
    <row r="510" s="34" customFormat="1" customHeight="1" spans="1:2">
      <c r="A510" s="40" t="s">
        <v>4827</v>
      </c>
      <c r="B510" s="25">
        <v>0</v>
      </c>
    </row>
    <row r="511" s="34" customFormat="1" customHeight="1" spans="1:2">
      <c r="A511" s="40" t="s">
        <v>4810</v>
      </c>
      <c r="B511" s="25">
        <v>0</v>
      </c>
    </row>
    <row r="512" s="34" customFormat="1" customHeight="1" spans="1:2">
      <c r="A512" s="40" t="s">
        <v>4811</v>
      </c>
      <c r="B512" s="25">
        <v>74.5</v>
      </c>
    </row>
    <row r="513" s="34" customFormat="1" customHeight="1" spans="1:2">
      <c r="A513" s="40" t="s">
        <v>4814</v>
      </c>
      <c r="B513" s="25">
        <v>77</v>
      </c>
    </row>
    <row r="514" s="34" customFormat="1" customHeight="1" spans="1:2">
      <c r="A514" s="40" t="s">
        <v>4815</v>
      </c>
      <c r="B514" s="25">
        <v>0</v>
      </c>
    </row>
    <row r="515" s="34" customFormat="1" customHeight="1" spans="1:2">
      <c r="A515" s="40" t="s">
        <v>4828</v>
      </c>
      <c r="B515" s="25">
        <v>83</v>
      </c>
    </row>
    <row r="516" s="34" customFormat="1" customHeight="1" spans="1:2">
      <c r="A516" s="40" t="s">
        <v>4829</v>
      </c>
      <c r="B516" s="25">
        <v>0</v>
      </c>
    </row>
    <row r="517" s="34" customFormat="1" customHeight="1" spans="1:2">
      <c r="A517" s="40" t="s">
        <v>4830</v>
      </c>
      <c r="B517" s="25">
        <v>63</v>
      </c>
    </row>
    <row r="518" s="34" customFormat="1" customHeight="1" spans="1:2">
      <c r="A518" s="40" t="s">
        <v>4831</v>
      </c>
      <c r="B518" s="25">
        <v>0</v>
      </c>
    </row>
  </sheetData>
  <sheetProtection formatCells="0" insertHyperlinks="0" autoFilter="0"/>
  <autoFilter ref="A3:XFD518">
    <extLst/>
  </autoFilter>
  <sortState ref="A3:B517">
    <sortCondition ref="A3:A517"/>
  </sortState>
  <mergeCells count="1">
    <mergeCell ref="A2:B2"/>
  </mergeCells>
  <printOptions horizontalCentered="1"/>
  <pageMargins left="0.554861111111111" right="0.554861111111111" top="0.802777777777778" bottom="0.802777777777778" header="0.5" footer="0.5"/>
  <pageSetup paperSize="9" orientation="portrait" horizontalDpi="600"/>
  <headerFooter>
    <oddFooter>&amp;C登分人签字：</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01"/>
  <sheetViews>
    <sheetView workbookViewId="0">
      <pane xSplit="1" ySplit="1" topLeftCell="B2" activePane="bottomRight" state="frozen"/>
      <selection/>
      <selection pane="topRight"/>
      <selection pane="bottomLeft"/>
      <selection pane="bottomRight" activeCell="K616" sqref="K616"/>
    </sheetView>
  </sheetViews>
  <sheetFormatPr defaultColWidth="9" defaultRowHeight="20" customHeight="1"/>
  <cols>
    <col min="1" max="1" width="11.1296296296296" style="7" customWidth="1"/>
    <col min="2" max="2" width="7.37962962962963" style="7" customWidth="1"/>
    <col min="3" max="3" width="21.5" style="7" customWidth="1"/>
    <col min="4" max="4" width="14.3796296296296" style="8" customWidth="1"/>
    <col min="5" max="5" width="13" style="8" customWidth="1"/>
    <col min="6" max="6" width="16.6296296296296" style="7" customWidth="1"/>
    <col min="7" max="7" width="13" style="7" customWidth="1"/>
    <col min="8" max="17" width="13" style="8" customWidth="1"/>
    <col min="18" max="19" width="13" style="7" customWidth="1"/>
    <col min="20" max="20" width="9.25" style="7" customWidth="1"/>
  </cols>
  <sheetData>
    <row r="1" s="2" customFormat="1" ht="28.8" spans="1:20">
      <c r="A1" s="9" t="s">
        <v>133</v>
      </c>
      <c r="B1" s="9" t="s">
        <v>134</v>
      </c>
      <c r="C1" s="9" t="s">
        <v>135</v>
      </c>
      <c r="D1" s="10" t="s">
        <v>136</v>
      </c>
      <c r="E1" s="9" t="s">
        <v>138</v>
      </c>
      <c r="F1" s="9" t="s">
        <v>1</v>
      </c>
      <c r="G1" s="9" t="s">
        <v>139</v>
      </c>
      <c r="H1" s="9" t="s">
        <v>140</v>
      </c>
      <c r="I1" s="9" t="s">
        <v>141</v>
      </c>
      <c r="J1" s="9" t="s">
        <v>142</v>
      </c>
      <c r="K1" s="9" t="s">
        <v>143</v>
      </c>
      <c r="L1" s="9" t="s">
        <v>144</v>
      </c>
      <c r="M1" s="9" t="s">
        <v>145</v>
      </c>
      <c r="N1" s="9" t="s">
        <v>146</v>
      </c>
      <c r="O1" s="9" t="s">
        <v>147</v>
      </c>
      <c r="P1" s="9" t="s">
        <v>148</v>
      </c>
      <c r="Q1" s="13" t="s">
        <v>149</v>
      </c>
      <c r="R1" s="14" t="s">
        <v>4313</v>
      </c>
      <c r="S1" s="14" t="s">
        <v>32</v>
      </c>
      <c r="T1" s="14" t="s">
        <v>4314</v>
      </c>
    </row>
    <row r="2" s="3" customFormat="1" customHeight="1" spans="1:20">
      <c r="A2" s="166" t="s">
        <v>275</v>
      </c>
      <c r="B2" s="166" t="s">
        <v>165</v>
      </c>
      <c r="C2" s="166" t="s">
        <v>276</v>
      </c>
      <c r="D2" s="11">
        <v>15180601470</v>
      </c>
      <c r="E2" s="167" t="s">
        <v>278</v>
      </c>
      <c r="F2" s="166" t="s">
        <v>28</v>
      </c>
      <c r="G2" s="9">
        <v>202103001</v>
      </c>
      <c r="H2" s="167" t="s">
        <v>279</v>
      </c>
      <c r="I2" s="167" t="s">
        <v>233</v>
      </c>
      <c r="J2" s="167" t="s">
        <v>280</v>
      </c>
      <c r="K2" s="167" t="s">
        <v>170</v>
      </c>
      <c r="L2" s="167" t="s">
        <v>281</v>
      </c>
      <c r="M2" s="167" t="s">
        <v>280</v>
      </c>
      <c r="N2" s="167" t="s">
        <v>282</v>
      </c>
      <c r="O2" s="12" t="str">
        <f>_xlfn.DISPIMG("ID_B65C52FC26C14A83A9F7B47ADDC75EF7",1)</f>
        <v>=DISPIMG("ID_B65C52FC26C14A83A9F7B47ADDC75EF7",1)</v>
      </c>
      <c r="P2" s="9" t="s">
        <v>283</v>
      </c>
      <c r="Q2" s="11">
        <v>15</v>
      </c>
      <c r="R2" s="15" t="s">
        <v>4315</v>
      </c>
      <c r="S2" s="16" t="s">
        <v>36</v>
      </c>
      <c r="T2" s="9">
        <v>6</v>
      </c>
    </row>
    <row r="3" s="3" customFormat="1" customHeight="1" spans="1:20">
      <c r="A3" s="166" t="s">
        <v>336</v>
      </c>
      <c r="B3" s="166" t="s">
        <v>165</v>
      </c>
      <c r="C3" s="166" t="s">
        <v>337</v>
      </c>
      <c r="D3" s="11">
        <v>18397927213</v>
      </c>
      <c r="E3" s="167" t="s">
        <v>278</v>
      </c>
      <c r="F3" s="166" t="s">
        <v>28</v>
      </c>
      <c r="G3" s="9">
        <v>202103001</v>
      </c>
      <c r="H3" s="167" t="s">
        <v>279</v>
      </c>
      <c r="I3" s="167" t="s">
        <v>339</v>
      </c>
      <c r="J3" s="167" t="s">
        <v>280</v>
      </c>
      <c r="K3" s="167" t="s">
        <v>170</v>
      </c>
      <c r="L3" s="167" t="s">
        <v>180</v>
      </c>
      <c r="M3" s="167" t="s">
        <v>340</v>
      </c>
      <c r="N3" s="167" t="s">
        <v>341</v>
      </c>
      <c r="O3" s="12" t="str">
        <f>_xlfn.DISPIMG("ID_FA546082303144F6A5FD61F335F92D18",1)</f>
        <v>=DISPIMG("ID_FA546082303144F6A5FD61F335F92D18",1)</v>
      </c>
      <c r="P3" s="9" t="s">
        <v>342</v>
      </c>
      <c r="Q3" s="11">
        <v>22</v>
      </c>
      <c r="R3" s="15" t="s">
        <v>4316</v>
      </c>
      <c r="S3" s="16" t="s">
        <v>36</v>
      </c>
      <c r="T3" s="9">
        <v>7</v>
      </c>
    </row>
    <row r="4" s="3" customFormat="1" customHeight="1" spans="1:20">
      <c r="A4" s="166" t="s">
        <v>373</v>
      </c>
      <c r="B4" s="166" t="s">
        <v>165</v>
      </c>
      <c r="C4" s="166" t="s">
        <v>374</v>
      </c>
      <c r="D4" s="11">
        <v>15170964571</v>
      </c>
      <c r="E4" s="167" t="s">
        <v>278</v>
      </c>
      <c r="F4" s="166" t="s">
        <v>28</v>
      </c>
      <c r="G4" s="9">
        <v>202103001</v>
      </c>
      <c r="H4" s="167" t="s">
        <v>279</v>
      </c>
      <c r="I4" s="167" t="s">
        <v>367</v>
      </c>
      <c r="J4" s="167" t="s">
        <v>280</v>
      </c>
      <c r="K4" s="167" t="s">
        <v>170</v>
      </c>
      <c r="L4" s="167" t="s">
        <v>224</v>
      </c>
      <c r="M4" s="167" t="s">
        <v>376</v>
      </c>
      <c r="N4" s="167" t="s">
        <v>377</v>
      </c>
      <c r="O4" s="12" t="str">
        <f>_xlfn.DISPIMG("ID_C8327FEC732A4CC39200F90994F97069",1)</f>
        <v>=DISPIMG("ID_C8327FEC732A4CC39200F90994F97069",1)</v>
      </c>
      <c r="P4" s="9" t="s">
        <v>378</v>
      </c>
      <c r="Q4" s="11">
        <v>26</v>
      </c>
      <c r="R4" s="15" t="s">
        <v>4317</v>
      </c>
      <c r="S4" s="16" t="s">
        <v>36</v>
      </c>
      <c r="T4" s="9">
        <v>18</v>
      </c>
    </row>
    <row r="5" s="3" customFormat="1" customHeight="1" spans="1:20">
      <c r="A5" s="166" t="s">
        <v>418</v>
      </c>
      <c r="B5" s="166" t="s">
        <v>165</v>
      </c>
      <c r="C5" s="166" t="s">
        <v>419</v>
      </c>
      <c r="D5" s="11">
        <v>13870260927</v>
      </c>
      <c r="E5" s="167" t="s">
        <v>278</v>
      </c>
      <c r="F5" s="166" t="s">
        <v>28</v>
      </c>
      <c r="G5" s="9">
        <v>202103001</v>
      </c>
      <c r="H5" s="167" t="s">
        <v>279</v>
      </c>
      <c r="I5" s="167" t="s">
        <v>367</v>
      </c>
      <c r="J5" s="167" t="s">
        <v>280</v>
      </c>
      <c r="K5" s="167" t="s">
        <v>170</v>
      </c>
      <c r="L5" s="167" t="s">
        <v>224</v>
      </c>
      <c r="M5" s="167" t="s">
        <v>28</v>
      </c>
      <c r="N5" s="167" t="s">
        <v>421</v>
      </c>
      <c r="O5" s="12" t="str">
        <f>_xlfn.DISPIMG("ID_37FC201A56874EEA918314432BBE8D22",1)</f>
        <v>=DISPIMG("ID_37FC201A56874EEA918314432BBE8D22",1)</v>
      </c>
      <c r="P5" s="9" t="s">
        <v>422</v>
      </c>
      <c r="Q5" s="11">
        <v>31</v>
      </c>
      <c r="R5" s="15" t="s">
        <v>4318</v>
      </c>
      <c r="S5" s="16" t="s">
        <v>36</v>
      </c>
      <c r="T5" s="9">
        <v>19</v>
      </c>
    </row>
    <row r="6" s="3" customFormat="1" customHeight="1" spans="1:20">
      <c r="A6" s="166" t="s">
        <v>477</v>
      </c>
      <c r="B6" s="166" t="s">
        <v>165</v>
      </c>
      <c r="C6" s="166" t="s">
        <v>478</v>
      </c>
      <c r="D6" s="11">
        <v>18770282894</v>
      </c>
      <c r="E6" s="167" t="s">
        <v>278</v>
      </c>
      <c r="F6" s="166" t="s">
        <v>28</v>
      </c>
      <c r="G6" s="9">
        <v>202103001</v>
      </c>
      <c r="H6" s="167" t="s">
        <v>279</v>
      </c>
      <c r="I6" s="167" t="s">
        <v>367</v>
      </c>
      <c r="J6" s="167" t="s">
        <v>280</v>
      </c>
      <c r="K6" s="167" t="s">
        <v>170</v>
      </c>
      <c r="L6" s="167" t="s">
        <v>216</v>
      </c>
      <c r="M6" s="167" t="s">
        <v>340</v>
      </c>
      <c r="N6" s="167" t="s">
        <v>480</v>
      </c>
      <c r="O6" s="12" t="str">
        <f>_xlfn.DISPIMG("ID_CA960935E07F423087EFDE1A92D5AFE3",1)</f>
        <v>=DISPIMG("ID_CA960935E07F423087EFDE1A92D5AFE3",1)</v>
      </c>
      <c r="P6" s="9" t="s">
        <v>481</v>
      </c>
      <c r="Q6" s="11">
        <v>38</v>
      </c>
      <c r="R6" s="15" t="s">
        <v>4319</v>
      </c>
      <c r="S6" s="16" t="s">
        <v>36</v>
      </c>
      <c r="T6" s="9">
        <v>30</v>
      </c>
    </row>
    <row r="7" s="3" customFormat="1" customHeight="1" spans="1:20">
      <c r="A7" s="166" t="s">
        <v>512</v>
      </c>
      <c r="B7" s="166" t="s">
        <v>165</v>
      </c>
      <c r="C7" s="166" t="s">
        <v>513</v>
      </c>
      <c r="D7" s="11">
        <v>15007008219</v>
      </c>
      <c r="E7" s="167" t="s">
        <v>278</v>
      </c>
      <c r="F7" s="166" t="s">
        <v>28</v>
      </c>
      <c r="G7" s="9">
        <v>202103001</v>
      </c>
      <c r="H7" s="167" t="s">
        <v>279</v>
      </c>
      <c r="I7" s="167" t="s">
        <v>515</v>
      </c>
      <c r="J7" s="167" t="s">
        <v>280</v>
      </c>
      <c r="K7" s="167" t="s">
        <v>170</v>
      </c>
      <c r="L7" s="167" t="s">
        <v>516</v>
      </c>
      <c r="M7" s="167" t="s">
        <v>517</v>
      </c>
      <c r="N7" s="167" t="s">
        <v>518</v>
      </c>
      <c r="O7" s="12" t="str">
        <f>_xlfn.DISPIMG("ID_07A071EC50BE4110A9ABC6B339CCBE2D",1)</f>
        <v>=DISPIMG("ID_07A071EC50BE4110A9ABC6B339CCBE2D",1)</v>
      </c>
      <c r="P7" s="9" t="s">
        <v>519</v>
      </c>
      <c r="Q7" s="11">
        <v>43</v>
      </c>
      <c r="R7" s="15" t="s">
        <v>4320</v>
      </c>
      <c r="S7" s="16" t="s">
        <v>36</v>
      </c>
      <c r="T7" s="9">
        <v>5</v>
      </c>
    </row>
    <row r="8" s="3" customFormat="1" customHeight="1" spans="1:20">
      <c r="A8" s="166" t="s">
        <v>573</v>
      </c>
      <c r="B8" s="166" t="s">
        <v>165</v>
      </c>
      <c r="C8" s="166" t="s">
        <v>574</v>
      </c>
      <c r="D8" s="11">
        <v>13387029092</v>
      </c>
      <c r="E8" s="167" t="s">
        <v>278</v>
      </c>
      <c r="F8" s="166" t="s">
        <v>28</v>
      </c>
      <c r="G8" s="9">
        <v>202103001</v>
      </c>
      <c r="H8" s="167" t="s">
        <v>279</v>
      </c>
      <c r="I8" s="167" t="s">
        <v>576</v>
      </c>
      <c r="J8" s="167" t="s">
        <v>280</v>
      </c>
      <c r="K8" s="167" t="s">
        <v>170</v>
      </c>
      <c r="L8" s="167" t="s">
        <v>577</v>
      </c>
      <c r="M8" s="167" t="s">
        <v>280</v>
      </c>
      <c r="N8" s="167" t="s">
        <v>578</v>
      </c>
      <c r="O8" s="12" t="str">
        <f>_xlfn.DISPIMG("ID_82D3A4866E584D37A328F1F75C226980",1)</f>
        <v>=DISPIMG("ID_82D3A4866E584D37A328F1F75C226980",1)</v>
      </c>
      <c r="P8" s="9" t="s">
        <v>579</v>
      </c>
      <c r="Q8" s="11">
        <v>50</v>
      </c>
      <c r="R8" s="15" t="s">
        <v>4321</v>
      </c>
      <c r="S8" s="16" t="s">
        <v>36</v>
      </c>
      <c r="T8" s="9">
        <v>8</v>
      </c>
    </row>
    <row r="9" s="4" customFormat="1" customHeight="1" spans="1:20">
      <c r="A9" s="166" t="s">
        <v>582</v>
      </c>
      <c r="B9" s="166" t="s">
        <v>165</v>
      </c>
      <c r="C9" s="166" t="s">
        <v>583</v>
      </c>
      <c r="D9" s="11">
        <v>18879297924</v>
      </c>
      <c r="E9" s="167" t="s">
        <v>278</v>
      </c>
      <c r="F9" s="166" t="s">
        <v>28</v>
      </c>
      <c r="G9" s="9">
        <v>202103001</v>
      </c>
      <c r="H9" s="167" t="s">
        <v>585</v>
      </c>
      <c r="I9" s="167" t="s">
        <v>367</v>
      </c>
      <c r="J9" s="167" t="s">
        <v>586</v>
      </c>
      <c r="K9" s="167" t="s">
        <v>170</v>
      </c>
      <c r="L9" s="167" t="s">
        <v>587</v>
      </c>
      <c r="M9" s="167" t="s">
        <v>588</v>
      </c>
      <c r="N9" s="167" t="s">
        <v>589</v>
      </c>
      <c r="O9" s="12" t="str">
        <f>_xlfn.DISPIMG("ID_6DA92F60F38D4176A8885E139DCAD5AE",1)</f>
        <v>=DISPIMG("ID_6DA92F60F38D4176A8885E139DCAD5AE",1)</v>
      </c>
      <c r="P9" s="9" t="s">
        <v>590</v>
      </c>
      <c r="Q9" s="11">
        <v>51</v>
      </c>
      <c r="R9" s="15" t="s">
        <v>4322</v>
      </c>
      <c r="S9" s="16" t="s">
        <v>36</v>
      </c>
      <c r="T9" s="9">
        <v>17</v>
      </c>
    </row>
    <row r="10" s="3" customFormat="1" customHeight="1" spans="1:20">
      <c r="A10" s="166" t="s">
        <v>592</v>
      </c>
      <c r="B10" s="166" t="s">
        <v>165</v>
      </c>
      <c r="C10" s="166" t="s">
        <v>593</v>
      </c>
      <c r="D10" s="11">
        <v>13177706682</v>
      </c>
      <c r="E10" s="167" t="s">
        <v>278</v>
      </c>
      <c r="F10" s="166" t="s">
        <v>28</v>
      </c>
      <c r="G10" s="9">
        <v>202103001</v>
      </c>
      <c r="H10" s="167" t="s">
        <v>279</v>
      </c>
      <c r="I10" s="167" t="s">
        <v>595</v>
      </c>
      <c r="J10" s="167" t="s">
        <v>280</v>
      </c>
      <c r="K10" s="167" t="s">
        <v>170</v>
      </c>
      <c r="L10" s="167" t="s">
        <v>281</v>
      </c>
      <c r="M10" s="167" t="s">
        <v>28</v>
      </c>
      <c r="N10" s="167" t="s">
        <v>596</v>
      </c>
      <c r="O10" s="12" t="str">
        <f>_xlfn.DISPIMG("ID_4A2B45245E6541EDAAF502188C295214",1)</f>
        <v>=DISPIMG("ID_4A2B45245E6541EDAAF502188C295214",1)</v>
      </c>
      <c r="P10" s="9" t="s">
        <v>597</v>
      </c>
      <c r="Q10" s="11">
        <v>52</v>
      </c>
      <c r="R10" s="15" t="s">
        <v>4323</v>
      </c>
      <c r="S10" s="16" t="s">
        <v>36</v>
      </c>
      <c r="T10" s="9">
        <v>20</v>
      </c>
    </row>
    <row r="11" s="3" customFormat="1" customHeight="1" spans="1:20">
      <c r="A11" s="166" t="s">
        <v>614</v>
      </c>
      <c r="B11" s="166" t="s">
        <v>165</v>
      </c>
      <c r="C11" s="166" t="s">
        <v>615</v>
      </c>
      <c r="D11" s="11">
        <v>13755265925</v>
      </c>
      <c r="E11" s="167" t="s">
        <v>278</v>
      </c>
      <c r="F11" s="166" t="s">
        <v>28</v>
      </c>
      <c r="G11" s="9">
        <v>202103001</v>
      </c>
      <c r="H11" s="167" t="s">
        <v>585</v>
      </c>
      <c r="I11" s="167" t="s">
        <v>595</v>
      </c>
      <c r="J11" s="167" t="s">
        <v>280</v>
      </c>
      <c r="K11" s="167" t="s">
        <v>170</v>
      </c>
      <c r="L11" s="167" t="s">
        <v>281</v>
      </c>
      <c r="M11" s="167" t="s">
        <v>28</v>
      </c>
      <c r="N11" s="167" t="s">
        <v>617</v>
      </c>
      <c r="O11" s="12" t="str">
        <f>_xlfn.DISPIMG("ID_85355BEE288D4456A9F8FBBF22F43B44",1)</f>
        <v>=DISPIMG("ID_85355BEE288D4456A9F8FBBF22F43B44",1)</v>
      </c>
      <c r="P11" s="9" t="s">
        <v>618</v>
      </c>
      <c r="Q11" s="11">
        <v>55</v>
      </c>
      <c r="R11" s="15" t="s">
        <v>4324</v>
      </c>
      <c r="S11" s="16" t="s">
        <v>36</v>
      </c>
      <c r="T11" s="9">
        <v>29</v>
      </c>
    </row>
    <row r="12" s="3" customFormat="1" customHeight="1" spans="1:20">
      <c r="A12" s="166" t="s">
        <v>620</v>
      </c>
      <c r="B12" s="166" t="s">
        <v>165</v>
      </c>
      <c r="C12" s="166" t="s">
        <v>621</v>
      </c>
      <c r="D12" s="11">
        <v>18370123772</v>
      </c>
      <c r="E12" s="167" t="s">
        <v>278</v>
      </c>
      <c r="F12" s="166" t="s">
        <v>28</v>
      </c>
      <c r="G12" s="9">
        <v>202103001</v>
      </c>
      <c r="H12" s="167" t="s">
        <v>585</v>
      </c>
      <c r="I12" s="167" t="s">
        <v>595</v>
      </c>
      <c r="J12" s="167" t="s">
        <v>280</v>
      </c>
      <c r="K12" s="167" t="s">
        <v>170</v>
      </c>
      <c r="L12" s="167" t="s">
        <v>368</v>
      </c>
      <c r="M12" s="167" t="s">
        <v>28</v>
      </c>
      <c r="N12" s="167" t="s">
        <v>623</v>
      </c>
      <c r="O12" s="12" t="str">
        <f>_xlfn.DISPIMG("ID_109F9871D9934FD3B362EB8D2EAFD060",1)</f>
        <v>=DISPIMG("ID_109F9871D9934FD3B362EB8D2EAFD060",1)</v>
      </c>
      <c r="P12" s="9" t="s">
        <v>624</v>
      </c>
      <c r="Q12" s="11">
        <v>56</v>
      </c>
      <c r="R12" s="15" t="s">
        <v>4325</v>
      </c>
      <c r="S12" s="16" t="s">
        <v>36</v>
      </c>
      <c r="T12" s="9">
        <v>4</v>
      </c>
    </row>
    <row r="13" s="3" customFormat="1" customHeight="1" spans="1:20">
      <c r="A13" s="166" t="s">
        <v>659</v>
      </c>
      <c r="B13" s="166" t="s">
        <v>165</v>
      </c>
      <c r="C13" s="166" t="s">
        <v>660</v>
      </c>
      <c r="D13" s="11">
        <v>18370120304</v>
      </c>
      <c r="E13" s="167" t="s">
        <v>278</v>
      </c>
      <c r="F13" s="166" t="s">
        <v>28</v>
      </c>
      <c r="G13" s="9">
        <v>202103001</v>
      </c>
      <c r="H13" s="167" t="s">
        <v>279</v>
      </c>
      <c r="I13" s="167" t="s">
        <v>662</v>
      </c>
      <c r="J13" s="167" t="s">
        <v>280</v>
      </c>
      <c r="K13" s="167" t="s">
        <v>170</v>
      </c>
      <c r="L13" s="167" t="s">
        <v>368</v>
      </c>
      <c r="M13" s="167" t="s">
        <v>663</v>
      </c>
      <c r="N13" s="167" t="s">
        <v>664</v>
      </c>
      <c r="O13" s="12" t="str">
        <f>_xlfn.DISPIMG("ID_4AE3C77D21184B118F491A1655043931",1)</f>
        <v>=DISPIMG("ID_4AE3C77D21184B118F491A1655043931",1)</v>
      </c>
      <c r="P13" s="9" t="s">
        <v>665</v>
      </c>
      <c r="Q13" s="11">
        <v>61</v>
      </c>
      <c r="R13" s="15" t="s">
        <v>4326</v>
      </c>
      <c r="S13" s="16" t="s">
        <v>36</v>
      </c>
      <c r="T13" s="9">
        <v>9</v>
      </c>
    </row>
    <row r="14" s="3" customFormat="1" customHeight="1" spans="1:20">
      <c r="A14" s="166" t="s">
        <v>694</v>
      </c>
      <c r="B14" s="166" t="s">
        <v>165</v>
      </c>
      <c r="C14" s="166" t="s">
        <v>695</v>
      </c>
      <c r="D14" s="11">
        <v>15779270127</v>
      </c>
      <c r="E14" s="167" t="s">
        <v>278</v>
      </c>
      <c r="F14" s="166" t="s">
        <v>28</v>
      </c>
      <c r="G14" s="9">
        <v>202103001</v>
      </c>
      <c r="H14" s="167" t="s">
        <v>279</v>
      </c>
      <c r="I14" s="167" t="s">
        <v>697</v>
      </c>
      <c r="J14" s="167" t="s">
        <v>280</v>
      </c>
      <c r="K14" s="167" t="s">
        <v>160</v>
      </c>
      <c r="L14" s="167" t="s">
        <v>180</v>
      </c>
      <c r="M14" s="167" t="s">
        <v>28</v>
      </c>
      <c r="N14" s="167" t="s">
        <v>698</v>
      </c>
      <c r="O14" s="12" t="str">
        <f>_xlfn.DISPIMG("ID_E6AFBB076E18415F8E4E8CB1E3BFC1A0",1)</f>
        <v>=DISPIMG("ID_E6AFBB076E18415F8E4E8CB1E3BFC1A0",1)</v>
      </c>
      <c r="P14" s="9" t="s">
        <v>699</v>
      </c>
      <c r="Q14" s="11">
        <v>65</v>
      </c>
      <c r="R14" s="15" t="s">
        <v>4327</v>
      </c>
      <c r="S14" s="16" t="s">
        <v>36</v>
      </c>
      <c r="T14" s="9">
        <v>16</v>
      </c>
    </row>
    <row r="15" s="3" customFormat="1" customHeight="1" spans="1:20">
      <c r="A15" s="166" t="s">
        <v>712</v>
      </c>
      <c r="B15" s="166" t="s">
        <v>165</v>
      </c>
      <c r="C15" s="166" t="s">
        <v>713</v>
      </c>
      <c r="D15" s="11">
        <v>18379282600</v>
      </c>
      <c r="E15" s="167" t="s">
        <v>278</v>
      </c>
      <c r="F15" s="166" t="s">
        <v>28</v>
      </c>
      <c r="G15" s="9">
        <v>202103001</v>
      </c>
      <c r="H15" s="167" t="s">
        <v>279</v>
      </c>
      <c r="I15" s="167" t="s">
        <v>168</v>
      </c>
      <c r="J15" s="167" t="s">
        <v>280</v>
      </c>
      <c r="K15" s="167" t="s">
        <v>170</v>
      </c>
      <c r="L15" s="167" t="s">
        <v>199</v>
      </c>
      <c r="M15" s="167" t="s">
        <v>715</v>
      </c>
      <c r="N15" s="167" t="s">
        <v>716</v>
      </c>
      <c r="O15" s="12" t="str">
        <f>_xlfn.DISPIMG("ID_CF0B9D1514D24BCEBECEF1FC59445AFE",1)</f>
        <v>=DISPIMG("ID_CF0B9D1514D24BCEBECEF1FC59445AFE",1)</v>
      </c>
      <c r="P15" s="9" t="s">
        <v>717</v>
      </c>
      <c r="Q15" s="11">
        <v>67</v>
      </c>
      <c r="R15" s="15" t="s">
        <v>4328</v>
      </c>
      <c r="S15" s="16" t="s">
        <v>36</v>
      </c>
      <c r="T15" s="9">
        <v>21</v>
      </c>
    </row>
    <row r="16" s="3" customFormat="1" customHeight="1" spans="1:20">
      <c r="A16" s="166" t="s">
        <v>729</v>
      </c>
      <c r="B16" s="166" t="s">
        <v>165</v>
      </c>
      <c r="C16" s="166" t="s">
        <v>730</v>
      </c>
      <c r="D16" s="11">
        <v>18270279001</v>
      </c>
      <c r="E16" s="167" t="s">
        <v>278</v>
      </c>
      <c r="F16" s="166" t="s">
        <v>28</v>
      </c>
      <c r="G16" s="9">
        <v>202103001</v>
      </c>
      <c r="H16" s="167" t="s">
        <v>279</v>
      </c>
      <c r="I16" s="167" t="s">
        <v>732</v>
      </c>
      <c r="J16" s="167" t="s">
        <v>280</v>
      </c>
      <c r="K16" s="167" t="s">
        <v>170</v>
      </c>
      <c r="L16" s="167" t="s">
        <v>733</v>
      </c>
      <c r="M16" s="167" t="s">
        <v>517</v>
      </c>
      <c r="N16" s="167" t="s">
        <v>734</v>
      </c>
      <c r="O16" s="12" t="str">
        <f>_xlfn.DISPIMG("ID_9786F64DF5E04D0EBFF7257960884627",1)</f>
        <v>=DISPIMG("ID_9786F64DF5E04D0EBFF7257960884627",1)</v>
      </c>
      <c r="P16" s="9" t="s">
        <v>735</v>
      </c>
      <c r="Q16" s="11">
        <v>69</v>
      </c>
      <c r="R16" s="15" t="s">
        <v>4329</v>
      </c>
      <c r="S16" s="16" t="s">
        <v>36</v>
      </c>
      <c r="T16" s="9">
        <v>28</v>
      </c>
    </row>
    <row r="17" s="3" customFormat="1" customHeight="1" spans="1:20">
      <c r="A17" s="166" t="s">
        <v>754</v>
      </c>
      <c r="B17" s="166" t="s">
        <v>165</v>
      </c>
      <c r="C17" s="166" t="s">
        <v>755</v>
      </c>
      <c r="D17" s="11">
        <v>18679201139</v>
      </c>
      <c r="E17" s="167" t="s">
        <v>278</v>
      </c>
      <c r="F17" s="166" t="s">
        <v>28</v>
      </c>
      <c r="G17" s="9">
        <v>202103001</v>
      </c>
      <c r="H17" s="167" t="s">
        <v>585</v>
      </c>
      <c r="I17" s="167" t="s">
        <v>576</v>
      </c>
      <c r="J17" s="167" t="s">
        <v>757</v>
      </c>
      <c r="K17" s="167" t="s">
        <v>170</v>
      </c>
      <c r="L17" s="167" t="s">
        <v>224</v>
      </c>
      <c r="M17" s="167" t="s">
        <v>376</v>
      </c>
      <c r="N17" s="167" t="s">
        <v>758</v>
      </c>
      <c r="O17" s="12" t="str">
        <f>_xlfn.DISPIMG("ID_7BB67F893C7640E3B6FEA6424D027990",1)</f>
        <v>=DISPIMG("ID_7BB67F893C7640E3B6FEA6424D027990",1)</v>
      </c>
      <c r="P17" s="9" t="s">
        <v>759</v>
      </c>
      <c r="Q17" s="11">
        <v>72</v>
      </c>
      <c r="R17" s="15" t="s">
        <v>4330</v>
      </c>
      <c r="S17" s="16" t="s">
        <v>36</v>
      </c>
      <c r="T17" s="9">
        <v>3</v>
      </c>
    </row>
    <row r="18" s="3" customFormat="1" customHeight="1" spans="1:20">
      <c r="A18" s="166" t="s">
        <v>762</v>
      </c>
      <c r="B18" s="166" t="s">
        <v>165</v>
      </c>
      <c r="C18" s="166" t="s">
        <v>763</v>
      </c>
      <c r="D18" s="11">
        <v>13697921659</v>
      </c>
      <c r="E18" s="167" t="s">
        <v>278</v>
      </c>
      <c r="F18" s="166" t="s">
        <v>28</v>
      </c>
      <c r="G18" s="9">
        <v>202103001</v>
      </c>
      <c r="H18" s="167" t="s">
        <v>279</v>
      </c>
      <c r="I18" s="167" t="s">
        <v>765</v>
      </c>
      <c r="J18" s="167" t="s">
        <v>280</v>
      </c>
      <c r="K18" s="167" t="s">
        <v>170</v>
      </c>
      <c r="L18" s="167" t="s">
        <v>235</v>
      </c>
      <c r="M18" s="167" t="s">
        <v>340</v>
      </c>
      <c r="N18" s="167" t="s">
        <v>766</v>
      </c>
      <c r="O18" s="12" t="str">
        <f>_xlfn.DISPIMG("ID_4E1CCA66E504445CA5B7AB8D0FB70FB1",1)</f>
        <v>=DISPIMG("ID_4E1CCA66E504445CA5B7AB8D0FB70FB1",1)</v>
      </c>
      <c r="P18" s="9" t="s">
        <v>767</v>
      </c>
      <c r="Q18" s="11">
        <v>73</v>
      </c>
      <c r="R18" s="15" t="s">
        <v>4331</v>
      </c>
      <c r="S18" s="16" t="s">
        <v>36</v>
      </c>
      <c r="T18" s="9">
        <v>10</v>
      </c>
    </row>
    <row r="19" s="3" customFormat="1" customHeight="1" spans="1:20">
      <c r="A19" s="166" t="s">
        <v>794</v>
      </c>
      <c r="B19" s="166" t="s">
        <v>165</v>
      </c>
      <c r="C19" s="166" t="s">
        <v>795</v>
      </c>
      <c r="D19" s="11">
        <v>18707021672</v>
      </c>
      <c r="E19" s="167" t="s">
        <v>278</v>
      </c>
      <c r="F19" s="166" t="s">
        <v>28</v>
      </c>
      <c r="G19" s="9">
        <v>202103001</v>
      </c>
      <c r="H19" s="167" t="s">
        <v>279</v>
      </c>
      <c r="I19" s="167" t="s">
        <v>367</v>
      </c>
      <c r="J19" s="167" t="s">
        <v>280</v>
      </c>
      <c r="K19" s="167" t="s">
        <v>170</v>
      </c>
      <c r="L19" s="167" t="s">
        <v>306</v>
      </c>
      <c r="M19" s="167" t="s">
        <v>376</v>
      </c>
      <c r="N19" s="167" t="s">
        <v>797</v>
      </c>
      <c r="O19" s="12" t="str">
        <f>_xlfn.DISPIMG("ID_639B898E1B304FC0A6FA0E13C551BEC4",1)</f>
        <v>=DISPIMG("ID_639B898E1B304FC0A6FA0E13C551BEC4",1)</v>
      </c>
      <c r="P19" s="9" t="s">
        <v>798</v>
      </c>
      <c r="Q19" s="11">
        <v>77</v>
      </c>
      <c r="R19" s="15" t="s">
        <v>4332</v>
      </c>
      <c r="S19" s="16" t="s">
        <v>36</v>
      </c>
      <c r="T19" s="9">
        <v>15</v>
      </c>
    </row>
    <row r="20" s="3" customFormat="1" customHeight="1" spans="1:20">
      <c r="A20" s="166" t="s">
        <v>801</v>
      </c>
      <c r="B20" s="166" t="s">
        <v>165</v>
      </c>
      <c r="C20" s="166" t="s">
        <v>802</v>
      </c>
      <c r="D20" s="11">
        <v>13698021995</v>
      </c>
      <c r="E20" s="167" t="s">
        <v>278</v>
      </c>
      <c r="F20" s="166" t="s">
        <v>28</v>
      </c>
      <c r="G20" s="9">
        <v>202103001</v>
      </c>
      <c r="H20" s="167" t="s">
        <v>585</v>
      </c>
      <c r="I20" s="167" t="s">
        <v>804</v>
      </c>
      <c r="J20" s="167" t="s">
        <v>280</v>
      </c>
      <c r="K20" s="167" t="s">
        <v>170</v>
      </c>
      <c r="L20" s="167" t="s">
        <v>805</v>
      </c>
      <c r="M20" s="167" t="s">
        <v>376</v>
      </c>
      <c r="N20" s="167" t="s">
        <v>806</v>
      </c>
      <c r="O20" s="12" t="str">
        <f>_xlfn.DISPIMG("ID_AEB241E66C41495DBC633E36C32A72C8",1)</f>
        <v>=DISPIMG("ID_AEB241E66C41495DBC633E36C32A72C8",1)</v>
      </c>
      <c r="P20" s="9" t="s">
        <v>807</v>
      </c>
      <c r="Q20" s="11">
        <v>78</v>
      </c>
      <c r="R20" s="15" t="s">
        <v>4333</v>
      </c>
      <c r="S20" s="16" t="s">
        <v>36</v>
      </c>
      <c r="T20" s="9">
        <v>22</v>
      </c>
    </row>
    <row r="21" s="3" customFormat="1" customHeight="1" spans="1:20">
      <c r="A21" s="166" t="s">
        <v>840</v>
      </c>
      <c r="B21" s="166" t="s">
        <v>165</v>
      </c>
      <c r="C21" s="166" t="s">
        <v>841</v>
      </c>
      <c r="D21" s="11">
        <v>15059878679</v>
      </c>
      <c r="E21" s="167" t="s">
        <v>278</v>
      </c>
      <c r="F21" s="166" t="s">
        <v>28</v>
      </c>
      <c r="G21" s="9">
        <v>202103001</v>
      </c>
      <c r="H21" s="167" t="s">
        <v>279</v>
      </c>
      <c r="I21" s="167" t="s">
        <v>339</v>
      </c>
      <c r="J21" s="167" t="s">
        <v>280</v>
      </c>
      <c r="K21" s="167" t="s">
        <v>170</v>
      </c>
      <c r="L21" s="167" t="s">
        <v>843</v>
      </c>
      <c r="M21" s="167" t="s">
        <v>376</v>
      </c>
      <c r="N21" s="167" t="s">
        <v>844</v>
      </c>
      <c r="O21" s="12" t="str">
        <f>_xlfn.DISPIMG("ID_424B9BE152D1418A818313627A199A3A",1)</f>
        <v>=DISPIMG("ID_424B9BE152D1418A818313627A199A3A",1)</v>
      </c>
      <c r="P21" s="9" t="s">
        <v>845</v>
      </c>
      <c r="Q21" s="11">
        <v>83</v>
      </c>
      <c r="R21" s="15" t="s">
        <v>4334</v>
      </c>
      <c r="S21" s="16" t="s">
        <v>36</v>
      </c>
      <c r="T21" s="9">
        <v>27</v>
      </c>
    </row>
    <row r="22" s="3" customFormat="1" customHeight="1" spans="1:20">
      <c r="A22" s="166" t="s">
        <v>848</v>
      </c>
      <c r="B22" s="166" t="s">
        <v>165</v>
      </c>
      <c r="C22" s="166" t="s">
        <v>849</v>
      </c>
      <c r="D22" s="11">
        <v>18379626219</v>
      </c>
      <c r="E22" s="167" t="s">
        <v>278</v>
      </c>
      <c r="F22" s="166" t="s">
        <v>28</v>
      </c>
      <c r="G22" s="9">
        <v>202103001</v>
      </c>
      <c r="H22" s="167" t="s">
        <v>279</v>
      </c>
      <c r="I22" s="167" t="s">
        <v>851</v>
      </c>
      <c r="J22" s="167" t="s">
        <v>280</v>
      </c>
      <c r="K22" s="167" t="s">
        <v>170</v>
      </c>
      <c r="L22" s="167" t="s">
        <v>235</v>
      </c>
      <c r="M22" s="167" t="s">
        <v>340</v>
      </c>
      <c r="N22" s="167" t="s">
        <v>852</v>
      </c>
      <c r="O22" s="12" t="str">
        <f>_xlfn.DISPIMG("ID_42372BFB4B414C38BA1598FF5C930944",1)</f>
        <v>=DISPIMG("ID_42372BFB4B414C38BA1598FF5C930944",1)</v>
      </c>
      <c r="P22" s="9" t="s">
        <v>853</v>
      </c>
      <c r="Q22" s="11">
        <v>84</v>
      </c>
      <c r="R22" s="15" t="s">
        <v>4335</v>
      </c>
      <c r="S22" s="16" t="s">
        <v>36</v>
      </c>
      <c r="T22" s="9">
        <v>2</v>
      </c>
    </row>
    <row r="23" s="3" customFormat="1" customHeight="1" spans="1:20">
      <c r="A23" s="166" t="s">
        <v>873</v>
      </c>
      <c r="B23" s="166" t="s">
        <v>165</v>
      </c>
      <c r="C23" s="166" t="s">
        <v>874</v>
      </c>
      <c r="D23" s="11">
        <v>15070424036</v>
      </c>
      <c r="E23" s="167" t="s">
        <v>278</v>
      </c>
      <c r="F23" s="166" t="s">
        <v>28</v>
      </c>
      <c r="G23" s="9">
        <v>202103001</v>
      </c>
      <c r="H23" s="167" t="s">
        <v>279</v>
      </c>
      <c r="I23" s="167" t="s">
        <v>876</v>
      </c>
      <c r="J23" s="167" t="s">
        <v>280</v>
      </c>
      <c r="K23" s="167" t="s">
        <v>170</v>
      </c>
      <c r="L23" s="167" t="s">
        <v>180</v>
      </c>
      <c r="M23" s="167" t="s">
        <v>517</v>
      </c>
      <c r="N23" s="167" t="s">
        <v>877</v>
      </c>
      <c r="O23" s="12" t="str">
        <f>_xlfn.DISPIMG("ID_FA24C7A6F2FA44B892B9DF563FC4E960",1)</f>
        <v>=DISPIMG("ID_FA24C7A6F2FA44B892B9DF563FC4E960",1)</v>
      </c>
      <c r="P23" s="9" t="s">
        <v>878</v>
      </c>
      <c r="Q23" s="11">
        <v>87</v>
      </c>
      <c r="R23" s="15" t="s">
        <v>4336</v>
      </c>
      <c r="S23" s="16" t="s">
        <v>36</v>
      </c>
      <c r="T23" s="9">
        <v>11</v>
      </c>
    </row>
    <row r="24" s="5" customFormat="1" customHeight="1" spans="1:20">
      <c r="A24" s="166" t="s">
        <v>881</v>
      </c>
      <c r="B24" s="166" t="s">
        <v>165</v>
      </c>
      <c r="C24" s="166" t="s">
        <v>882</v>
      </c>
      <c r="D24" s="11">
        <v>15279260286</v>
      </c>
      <c r="E24" s="167" t="s">
        <v>278</v>
      </c>
      <c r="F24" s="166" t="s">
        <v>28</v>
      </c>
      <c r="G24" s="9">
        <v>202103001</v>
      </c>
      <c r="H24" s="167" t="s">
        <v>279</v>
      </c>
      <c r="I24" s="167" t="s">
        <v>884</v>
      </c>
      <c r="J24" s="167" t="s">
        <v>223</v>
      </c>
      <c r="K24" s="167" t="s">
        <v>170</v>
      </c>
      <c r="L24" s="167" t="s">
        <v>733</v>
      </c>
      <c r="M24" s="167" t="s">
        <v>885</v>
      </c>
      <c r="N24" s="167" t="s">
        <v>886</v>
      </c>
      <c r="O24" s="12" t="str">
        <f>_xlfn.DISPIMG("ID_79374B2C837849A79ABAFBB6FF76D11C",1)</f>
        <v>=DISPIMG("ID_79374B2C837849A79ABAFBB6FF76D11C",1)</v>
      </c>
      <c r="P24" s="9" t="s">
        <v>887</v>
      </c>
      <c r="Q24" s="11">
        <v>88</v>
      </c>
      <c r="R24" s="15" t="s">
        <v>4337</v>
      </c>
      <c r="S24" s="16" t="s">
        <v>36</v>
      </c>
      <c r="T24" s="9">
        <v>14</v>
      </c>
    </row>
    <row r="25" s="3" customFormat="1" customHeight="1" spans="1:20">
      <c r="A25" s="166" t="s">
        <v>890</v>
      </c>
      <c r="B25" s="166" t="s">
        <v>165</v>
      </c>
      <c r="C25" s="166" t="s">
        <v>891</v>
      </c>
      <c r="D25" s="11">
        <v>15270271332</v>
      </c>
      <c r="E25" s="167" t="s">
        <v>278</v>
      </c>
      <c r="F25" s="166" t="s">
        <v>28</v>
      </c>
      <c r="G25" s="9">
        <v>202103001</v>
      </c>
      <c r="H25" s="167" t="s">
        <v>279</v>
      </c>
      <c r="I25" s="167" t="s">
        <v>765</v>
      </c>
      <c r="J25" s="167" t="s">
        <v>893</v>
      </c>
      <c r="K25" s="167" t="s">
        <v>170</v>
      </c>
      <c r="L25" s="167" t="s">
        <v>161</v>
      </c>
      <c r="M25" s="167" t="s">
        <v>340</v>
      </c>
      <c r="N25" s="167" t="s">
        <v>894</v>
      </c>
      <c r="O25" s="12" t="str">
        <f>_xlfn.DISPIMG("ID_85B3DA5A290A4196889B653600FB42ED",1)</f>
        <v>=DISPIMG("ID_85B3DA5A290A4196889B653600FB42ED",1)</v>
      </c>
      <c r="P25" s="9" t="s">
        <v>895</v>
      </c>
      <c r="Q25" s="11">
        <v>89</v>
      </c>
      <c r="R25" s="15" t="s">
        <v>4338</v>
      </c>
      <c r="S25" s="16" t="s">
        <v>36</v>
      </c>
      <c r="T25" s="9">
        <v>23</v>
      </c>
    </row>
    <row r="26" s="3" customFormat="1" customHeight="1" spans="1:20">
      <c r="A26" s="166" t="s">
        <v>924</v>
      </c>
      <c r="B26" s="166" t="s">
        <v>165</v>
      </c>
      <c r="C26" s="166" t="s">
        <v>925</v>
      </c>
      <c r="D26" s="11">
        <v>13979203425</v>
      </c>
      <c r="E26" s="167" t="s">
        <v>278</v>
      </c>
      <c r="F26" s="166" t="s">
        <v>28</v>
      </c>
      <c r="G26" s="9">
        <v>202103001</v>
      </c>
      <c r="H26" s="167" t="s">
        <v>585</v>
      </c>
      <c r="I26" s="167" t="s">
        <v>927</v>
      </c>
      <c r="J26" s="167" t="s">
        <v>928</v>
      </c>
      <c r="K26" s="167" t="s">
        <v>170</v>
      </c>
      <c r="L26" s="167" t="s">
        <v>349</v>
      </c>
      <c r="M26" s="167" t="s">
        <v>376</v>
      </c>
      <c r="N26" s="167" t="s">
        <v>929</v>
      </c>
      <c r="O26" s="12" t="str">
        <f>_xlfn.DISPIMG("ID_8862CF8F67E94F49BA25AF43C58A74CB",1)</f>
        <v>=DISPIMG("ID_8862CF8F67E94F49BA25AF43C58A74CB",1)</v>
      </c>
      <c r="P26" s="9" t="s">
        <v>930</v>
      </c>
      <c r="Q26" s="11">
        <v>93</v>
      </c>
      <c r="R26" s="15" t="s">
        <v>4339</v>
      </c>
      <c r="S26" s="16" t="s">
        <v>36</v>
      </c>
      <c r="T26" s="9">
        <v>26</v>
      </c>
    </row>
    <row r="27" s="3" customFormat="1" customHeight="1" spans="1:20">
      <c r="A27" s="166" t="s">
        <v>957</v>
      </c>
      <c r="B27" s="166" t="s">
        <v>165</v>
      </c>
      <c r="C27" s="166" t="s">
        <v>958</v>
      </c>
      <c r="D27" s="11">
        <v>15579232085</v>
      </c>
      <c r="E27" s="167" t="s">
        <v>278</v>
      </c>
      <c r="F27" s="166" t="s">
        <v>28</v>
      </c>
      <c r="G27" s="9">
        <v>202103001</v>
      </c>
      <c r="H27" s="167" t="s">
        <v>279</v>
      </c>
      <c r="I27" s="167" t="s">
        <v>367</v>
      </c>
      <c r="J27" s="167" t="s">
        <v>960</v>
      </c>
      <c r="K27" s="167" t="s">
        <v>160</v>
      </c>
      <c r="L27" s="167" t="s">
        <v>261</v>
      </c>
      <c r="M27" s="167" t="s">
        <v>961</v>
      </c>
      <c r="N27" s="11">
        <v>0</v>
      </c>
      <c r="O27" s="12" t="str">
        <f>_xlfn.DISPIMG("ID_4CCFD0700027401988C293FD5FDA33FE",1)</f>
        <v>=DISPIMG("ID_4CCFD0700027401988C293FD5FDA33FE",1)</v>
      </c>
      <c r="P27" s="9" t="s">
        <v>962</v>
      </c>
      <c r="Q27" s="11">
        <v>97</v>
      </c>
      <c r="R27" s="15" t="s">
        <v>4340</v>
      </c>
      <c r="S27" s="16" t="s">
        <v>36</v>
      </c>
      <c r="T27" s="9">
        <v>1</v>
      </c>
    </row>
    <row r="28" s="3" customFormat="1" customHeight="1" spans="1:20">
      <c r="A28" s="166" t="s">
        <v>1010</v>
      </c>
      <c r="B28" s="166" t="s">
        <v>165</v>
      </c>
      <c r="C28" s="166" t="s">
        <v>1011</v>
      </c>
      <c r="D28" s="11">
        <v>13065115241</v>
      </c>
      <c r="E28" s="167" t="s">
        <v>278</v>
      </c>
      <c r="F28" s="166" t="s">
        <v>28</v>
      </c>
      <c r="G28" s="9">
        <v>202103001</v>
      </c>
      <c r="H28" s="167" t="s">
        <v>279</v>
      </c>
      <c r="I28" s="167" t="s">
        <v>662</v>
      </c>
      <c r="J28" s="167" t="s">
        <v>280</v>
      </c>
      <c r="K28" s="167" t="s">
        <v>170</v>
      </c>
      <c r="L28" s="167" t="s">
        <v>161</v>
      </c>
      <c r="M28" s="167" t="s">
        <v>1013</v>
      </c>
      <c r="N28" s="167" t="s">
        <v>1014</v>
      </c>
      <c r="O28" s="12" t="str">
        <f>_xlfn.DISPIMG("ID_723B44C496604BFA92AC4D10BD64E9FC",1)</f>
        <v>=DISPIMG("ID_723B44C496604BFA92AC4D10BD64E9FC",1)</v>
      </c>
      <c r="P28" s="9" t="s">
        <v>1015</v>
      </c>
      <c r="Q28" s="11">
        <v>103</v>
      </c>
      <c r="R28" s="15" t="s">
        <v>4341</v>
      </c>
      <c r="S28" s="16" t="s">
        <v>36</v>
      </c>
      <c r="T28" s="9">
        <v>12</v>
      </c>
    </row>
    <row r="29" s="3" customFormat="1" customHeight="1" spans="1:20">
      <c r="A29" s="166" t="s">
        <v>1027</v>
      </c>
      <c r="B29" s="166" t="s">
        <v>165</v>
      </c>
      <c r="C29" s="166" t="s">
        <v>1028</v>
      </c>
      <c r="D29" s="11">
        <v>15579180298</v>
      </c>
      <c r="E29" s="167" t="s">
        <v>278</v>
      </c>
      <c r="F29" s="166" t="s">
        <v>28</v>
      </c>
      <c r="G29" s="9">
        <v>202103001</v>
      </c>
      <c r="H29" s="167" t="s">
        <v>279</v>
      </c>
      <c r="I29" s="167" t="s">
        <v>662</v>
      </c>
      <c r="J29" s="167" t="s">
        <v>280</v>
      </c>
      <c r="K29" s="167" t="s">
        <v>170</v>
      </c>
      <c r="L29" s="167" t="s">
        <v>161</v>
      </c>
      <c r="M29" s="167" t="s">
        <v>376</v>
      </c>
      <c r="N29" s="167" t="s">
        <v>1030</v>
      </c>
      <c r="O29" s="12" t="str">
        <f>_xlfn.DISPIMG("ID_1619E0FF3AE04637958459633AD8C1B8",1)</f>
        <v>=DISPIMG("ID_1619E0FF3AE04637958459633AD8C1B8",1)</v>
      </c>
      <c r="P29" s="9" t="s">
        <v>1031</v>
      </c>
      <c r="Q29" s="11">
        <v>105</v>
      </c>
      <c r="R29" s="15" t="s">
        <v>4342</v>
      </c>
      <c r="S29" s="16" t="s">
        <v>36</v>
      </c>
      <c r="T29" s="9">
        <v>13</v>
      </c>
    </row>
    <row r="30" s="3" customFormat="1" customHeight="1" spans="1:20">
      <c r="A30" s="166" t="s">
        <v>1043</v>
      </c>
      <c r="B30" s="166" t="s">
        <v>165</v>
      </c>
      <c r="C30" s="166" t="s">
        <v>1044</v>
      </c>
      <c r="D30" s="11">
        <v>13257081497</v>
      </c>
      <c r="E30" s="167" t="s">
        <v>278</v>
      </c>
      <c r="F30" s="166" t="s">
        <v>28</v>
      </c>
      <c r="G30" s="9">
        <v>202103001</v>
      </c>
      <c r="H30" s="167" t="s">
        <v>279</v>
      </c>
      <c r="I30" s="167" t="s">
        <v>515</v>
      </c>
      <c r="J30" s="167" t="s">
        <v>280</v>
      </c>
      <c r="K30" s="167" t="s">
        <v>170</v>
      </c>
      <c r="L30" s="167" t="s">
        <v>216</v>
      </c>
      <c r="M30" s="167" t="s">
        <v>28</v>
      </c>
      <c r="N30" s="167" t="s">
        <v>1046</v>
      </c>
      <c r="O30" s="12" t="str">
        <f>_xlfn.DISPIMG("ID_95C77A057E51453F847E60BE7A6D3C93",1)</f>
        <v>=DISPIMG("ID_95C77A057E51453F847E60BE7A6D3C93",1)</v>
      </c>
      <c r="P30" s="9" t="s">
        <v>1047</v>
      </c>
      <c r="Q30" s="11">
        <v>107</v>
      </c>
      <c r="R30" s="15" t="s">
        <v>4343</v>
      </c>
      <c r="S30" s="16" t="s">
        <v>36</v>
      </c>
      <c r="T30" s="9">
        <v>24</v>
      </c>
    </row>
    <row r="31" s="3" customFormat="1" customHeight="1" spans="1:20">
      <c r="A31" s="166" t="s">
        <v>1094</v>
      </c>
      <c r="B31" s="166" t="s">
        <v>165</v>
      </c>
      <c r="C31" s="166" t="s">
        <v>1095</v>
      </c>
      <c r="D31" s="11">
        <v>18279284539</v>
      </c>
      <c r="E31" s="167" t="s">
        <v>278</v>
      </c>
      <c r="F31" s="166" t="s">
        <v>28</v>
      </c>
      <c r="G31" s="9">
        <v>202103001</v>
      </c>
      <c r="H31" s="167" t="s">
        <v>279</v>
      </c>
      <c r="I31" s="167" t="s">
        <v>1097</v>
      </c>
      <c r="J31" s="167" t="s">
        <v>280</v>
      </c>
      <c r="K31" s="167" t="s">
        <v>170</v>
      </c>
      <c r="L31" s="167" t="s">
        <v>455</v>
      </c>
      <c r="M31" s="167" t="s">
        <v>1098</v>
      </c>
      <c r="N31" s="11">
        <v>0</v>
      </c>
      <c r="O31" s="12" t="str">
        <f>_xlfn.DISPIMG("ID_FAFFBB147A2A46E5B294F9119A127E5F",1)</f>
        <v>=DISPIMG("ID_FAFFBB147A2A46E5B294F9119A127E5F",1)</v>
      </c>
      <c r="P31" s="9" t="s">
        <v>1099</v>
      </c>
      <c r="Q31" s="11">
        <v>114</v>
      </c>
      <c r="R31" s="15" t="s">
        <v>4344</v>
      </c>
      <c r="S31" s="16" t="s">
        <v>36</v>
      </c>
      <c r="T31" s="9">
        <v>25</v>
      </c>
    </row>
    <row r="32" s="3" customFormat="1" customHeight="1" spans="1:20">
      <c r="A32" s="167" t="s">
        <v>1218</v>
      </c>
      <c r="B32" s="167" t="s">
        <v>165</v>
      </c>
      <c r="C32" s="167" t="s">
        <v>1219</v>
      </c>
      <c r="D32" s="11">
        <v>17679241558</v>
      </c>
      <c r="E32" s="167" t="s">
        <v>278</v>
      </c>
      <c r="F32" s="167" t="s">
        <v>28</v>
      </c>
      <c r="G32" s="11">
        <v>202103001</v>
      </c>
      <c r="H32" s="167" t="s">
        <v>279</v>
      </c>
      <c r="I32" s="167" t="s">
        <v>1221</v>
      </c>
      <c r="J32" s="167" t="s">
        <v>280</v>
      </c>
      <c r="K32" s="167" t="s">
        <v>170</v>
      </c>
      <c r="L32" s="167" t="s">
        <v>161</v>
      </c>
      <c r="M32" s="167" t="s">
        <v>1222</v>
      </c>
      <c r="N32" s="167" t="s">
        <v>1223</v>
      </c>
      <c r="O32" s="12" t="str">
        <f>_xlfn.DISPIMG("ID_9D5D5082709049DE9F85EE45C9D21765",1)</f>
        <v>=DISPIMG("ID_9D5D5082709049DE9F85EE45C9D21765",1)</v>
      </c>
      <c r="P32" s="11" t="s">
        <v>1224</v>
      </c>
      <c r="Q32" s="11">
        <v>129</v>
      </c>
      <c r="R32" s="17" t="s">
        <v>4345</v>
      </c>
      <c r="S32" s="18" t="s">
        <v>38</v>
      </c>
      <c r="T32" s="11">
        <v>6</v>
      </c>
    </row>
    <row r="33" s="3" customFormat="1" customHeight="1" spans="1:20">
      <c r="A33" s="167" t="s">
        <v>1234</v>
      </c>
      <c r="B33" s="167" t="s">
        <v>165</v>
      </c>
      <c r="C33" s="167" t="s">
        <v>1235</v>
      </c>
      <c r="D33" s="11">
        <v>18870682713</v>
      </c>
      <c r="E33" s="167" t="s">
        <v>278</v>
      </c>
      <c r="F33" s="167" t="s">
        <v>28</v>
      </c>
      <c r="G33" s="11">
        <v>202103001</v>
      </c>
      <c r="H33" s="167" t="s">
        <v>279</v>
      </c>
      <c r="I33" s="167" t="s">
        <v>1237</v>
      </c>
      <c r="J33" s="167" t="s">
        <v>280</v>
      </c>
      <c r="K33" s="167" t="s">
        <v>170</v>
      </c>
      <c r="L33" s="167" t="s">
        <v>161</v>
      </c>
      <c r="M33" s="167" t="s">
        <v>340</v>
      </c>
      <c r="N33" s="167" t="s">
        <v>1238</v>
      </c>
      <c r="O33" s="12" t="str">
        <f>_xlfn.DISPIMG("ID_BE82B2F060544F05BBDE4FAB7F0C0521",1)</f>
        <v>=DISPIMG("ID_BE82B2F060544F05BBDE4FAB7F0C0521",1)</v>
      </c>
      <c r="P33" s="11" t="s">
        <v>1239</v>
      </c>
      <c r="Q33" s="11">
        <v>131</v>
      </c>
      <c r="R33" s="17" t="s">
        <v>4346</v>
      </c>
      <c r="S33" s="18" t="s">
        <v>38</v>
      </c>
      <c r="T33" s="11">
        <v>7</v>
      </c>
    </row>
    <row r="34" s="3" customFormat="1" customHeight="1" spans="1:20">
      <c r="A34" s="167" t="s">
        <v>1242</v>
      </c>
      <c r="B34" s="167" t="s">
        <v>165</v>
      </c>
      <c r="C34" s="167" t="s">
        <v>1243</v>
      </c>
      <c r="D34" s="11">
        <v>18870899233</v>
      </c>
      <c r="E34" s="167" t="s">
        <v>278</v>
      </c>
      <c r="F34" s="167" t="s">
        <v>28</v>
      </c>
      <c r="G34" s="11">
        <v>202103001</v>
      </c>
      <c r="H34" s="167" t="s">
        <v>279</v>
      </c>
      <c r="I34" s="167" t="s">
        <v>1237</v>
      </c>
      <c r="J34" s="167" t="s">
        <v>280</v>
      </c>
      <c r="K34" s="167" t="s">
        <v>170</v>
      </c>
      <c r="L34" s="167" t="s">
        <v>161</v>
      </c>
      <c r="M34" s="167" t="s">
        <v>340</v>
      </c>
      <c r="N34" s="167" t="s">
        <v>1245</v>
      </c>
      <c r="O34" s="12" t="str">
        <f>_xlfn.DISPIMG("ID_1047B30E34C949B594403C816BBC2C68",1)</f>
        <v>=DISPIMG("ID_1047B30E34C949B594403C816BBC2C68",1)</v>
      </c>
      <c r="P34" s="11" t="s">
        <v>1246</v>
      </c>
      <c r="Q34" s="11">
        <v>132</v>
      </c>
      <c r="R34" s="17" t="s">
        <v>4347</v>
      </c>
      <c r="S34" s="18" t="s">
        <v>38</v>
      </c>
      <c r="T34" s="11">
        <v>18</v>
      </c>
    </row>
    <row r="35" s="3" customFormat="1" customHeight="1" spans="1:20">
      <c r="A35" s="167" t="s">
        <v>1249</v>
      </c>
      <c r="B35" s="167" t="s">
        <v>153</v>
      </c>
      <c r="C35" s="167" t="s">
        <v>1250</v>
      </c>
      <c r="D35" s="11">
        <v>13687914090</v>
      </c>
      <c r="E35" s="167" t="s">
        <v>278</v>
      </c>
      <c r="F35" s="167" t="s">
        <v>28</v>
      </c>
      <c r="G35" s="11">
        <v>202103001</v>
      </c>
      <c r="H35" s="167" t="s">
        <v>279</v>
      </c>
      <c r="I35" s="167" t="s">
        <v>515</v>
      </c>
      <c r="J35" s="167" t="s">
        <v>280</v>
      </c>
      <c r="K35" s="167" t="s">
        <v>170</v>
      </c>
      <c r="L35" s="167" t="s">
        <v>541</v>
      </c>
      <c r="M35" s="167" t="s">
        <v>376</v>
      </c>
      <c r="N35" s="11">
        <v>0</v>
      </c>
      <c r="O35" s="12" t="str">
        <f>_xlfn.DISPIMG("ID_42B7E9B54AA84CB08052198053CBAE81",1)</f>
        <v>=DISPIMG("ID_42B7E9B54AA84CB08052198053CBAE81",1)</v>
      </c>
      <c r="P35" s="11" t="s">
        <v>1252</v>
      </c>
      <c r="Q35" s="11">
        <v>133</v>
      </c>
      <c r="R35" s="17" t="s">
        <v>4348</v>
      </c>
      <c r="S35" s="18" t="s">
        <v>38</v>
      </c>
      <c r="T35" s="11">
        <v>19</v>
      </c>
    </row>
    <row r="36" s="3" customFormat="1" customHeight="1" spans="1:20">
      <c r="A36" s="167" t="s">
        <v>1280</v>
      </c>
      <c r="B36" s="167" t="s">
        <v>165</v>
      </c>
      <c r="C36" s="167" t="s">
        <v>1281</v>
      </c>
      <c r="D36" s="11">
        <v>15779415003</v>
      </c>
      <c r="E36" s="167" t="s">
        <v>278</v>
      </c>
      <c r="F36" s="167" t="s">
        <v>28</v>
      </c>
      <c r="G36" s="11">
        <v>202103001</v>
      </c>
      <c r="H36" s="167" t="s">
        <v>279</v>
      </c>
      <c r="I36" s="167" t="s">
        <v>367</v>
      </c>
      <c r="J36" s="167" t="s">
        <v>280</v>
      </c>
      <c r="K36" s="167" t="s">
        <v>170</v>
      </c>
      <c r="L36" s="167" t="s">
        <v>368</v>
      </c>
      <c r="M36" s="167" t="s">
        <v>340</v>
      </c>
      <c r="N36" s="167" t="s">
        <v>1283</v>
      </c>
      <c r="O36" s="12" t="str">
        <f>_xlfn.DISPIMG("ID_7CFB1AF7BB454AE0866D54E1D87E03E1",1)</f>
        <v>=DISPIMG("ID_7CFB1AF7BB454AE0866D54E1D87E03E1",1)</v>
      </c>
      <c r="P36" s="11" t="s">
        <v>1284</v>
      </c>
      <c r="Q36" s="11">
        <v>138</v>
      </c>
      <c r="R36" s="17" t="s">
        <v>4349</v>
      </c>
      <c r="S36" s="18" t="s">
        <v>38</v>
      </c>
      <c r="T36" s="11">
        <v>30</v>
      </c>
    </row>
    <row r="37" s="4" customFormat="1" customHeight="1" spans="1:20">
      <c r="A37" s="167" t="s">
        <v>1286</v>
      </c>
      <c r="B37" s="167" t="s">
        <v>165</v>
      </c>
      <c r="C37" s="167" t="s">
        <v>1287</v>
      </c>
      <c r="D37" s="11">
        <v>18296159811</v>
      </c>
      <c r="E37" s="167" t="s">
        <v>278</v>
      </c>
      <c r="F37" s="167" t="s">
        <v>28</v>
      </c>
      <c r="G37" s="11">
        <v>202103001</v>
      </c>
      <c r="H37" s="167" t="s">
        <v>279</v>
      </c>
      <c r="I37" s="167" t="s">
        <v>1289</v>
      </c>
      <c r="J37" s="167" t="s">
        <v>280</v>
      </c>
      <c r="K37" s="167" t="s">
        <v>170</v>
      </c>
      <c r="L37" s="167" t="s">
        <v>216</v>
      </c>
      <c r="M37" s="167" t="s">
        <v>960</v>
      </c>
      <c r="N37" s="167" t="s">
        <v>1290</v>
      </c>
      <c r="O37" s="12" t="str">
        <f>_xlfn.DISPIMG("ID_FACC95E727304010BE372974F21E9256",1)</f>
        <v>=DISPIMG("ID_FACC95E727304010BE372974F21E9256",1)</v>
      </c>
      <c r="P37" s="11" t="s">
        <v>1291</v>
      </c>
      <c r="Q37" s="11">
        <v>139</v>
      </c>
      <c r="R37" s="17" t="s">
        <v>4350</v>
      </c>
      <c r="S37" s="18" t="s">
        <v>38</v>
      </c>
      <c r="T37" s="11">
        <v>5</v>
      </c>
    </row>
    <row r="38" s="5" customFormat="1" customHeight="1" spans="1:20">
      <c r="A38" s="167" t="s">
        <v>1344</v>
      </c>
      <c r="B38" s="167" t="s">
        <v>165</v>
      </c>
      <c r="C38" s="167" t="s">
        <v>1345</v>
      </c>
      <c r="D38" s="11">
        <v>15179298712</v>
      </c>
      <c r="E38" s="167" t="s">
        <v>278</v>
      </c>
      <c r="F38" s="167" t="s">
        <v>28</v>
      </c>
      <c r="G38" s="11">
        <v>202103001</v>
      </c>
      <c r="H38" s="167" t="s">
        <v>279</v>
      </c>
      <c r="I38" s="167" t="s">
        <v>158</v>
      </c>
      <c r="J38" s="167" t="s">
        <v>179</v>
      </c>
      <c r="K38" s="167" t="s">
        <v>170</v>
      </c>
      <c r="L38" s="167" t="s">
        <v>1346</v>
      </c>
      <c r="M38" s="167" t="s">
        <v>1013</v>
      </c>
      <c r="N38" s="11">
        <v>0</v>
      </c>
      <c r="O38" s="12" t="str">
        <f>_xlfn.DISPIMG("ID_249FF3C1A0EA4CE88757DD6F52651ECC",1)</f>
        <v>=DISPIMG("ID_249FF3C1A0EA4CE88757DD6F52651ECC",1)</v>
      </c>
      <c r="P38" s="11" t="s">
        <v>1347</v>
      </c>
      <c r="Q38" s="11">
        <v>146</v>
      </c>
      <c r="R38" s="17" t="s">
        <v>4351</v>
      </c>
      <c r="S38" s="18" t="s">
        <v>38</v>
      </c>
      <c r="T38" s="11">
        <v>8</v>
      </c>
    </row>
    <row r="39" s="3" customFormat="1" customHeight="1" spans="1:20">
      <c r="A39" s="167" t="s">
        <v>1327</v>
      </c>
      <c r="B39" s="167" t="s">
        <v>165</v>
      </c>
      <c r="C39" s="167" t="s">
        <v>1328</v>
      </c>
      <c r="D39" s="11">
        <v>15870865214</v>
      </c>
      <c r="E39" s="167" t="s">
        <v>278</v>
      </c>
      <c r="F39" s="167" t="s">
        <v>28</v>
      </c>
      <c r="G39" s="11">
        <v>202103001</v>
      </c>
      <c r="H39" s="167" t="s">
        <v>279</v>
      </c>
      <c r="I39" s="167" t="s">
        <v>1330</v>
      </c>
      <c r="J39" s="167" t="s">
        <v>1331</v>
      </c>
      <c r="K39" s="167" t="s">
        <v>160</v>
      </c>
      <c r="L39" s="167" t="s">
        <v>368</v>
      </c>
      <c r="M39" s="167" t="s">
        <v>1418</v>
      </c>
      <c r="N39" s="11">
        <v>0</v>
      </c>
      <c r="O39" s="12" t="str">
        <f>_xlfn.DISPIMG("ID_042121583D6C4BE29ACF5C4CE545F254",1)</f>
        <v>=DISPIMG("ID_042121583D6C4BE29ACF5C4CE545F254",1)</v>
      </c>
      <c r="P39" s="11" t="s">
        <v>1333</v>
      </c>
      <c r="Q39" s="11">
        <v>156</v>
      </c>
      <c r="R39" s="17" t="s">
        <v>4352</v>
      </c>
      <c r="S39" s="18" t="s">
        <v>38</v>
      </c>
      <c r="T39" s="11">
        <v>17</v>
      </c>
    </row>
    <row r="40" s="3" customFormat="1" customHeight="1" spans="1:20">
      <c r="A40" s="167" t="s">
        <v>1446</v>
      </c>
      <c r="B40" s="167" t="s">
        <v>165</v>
      </c>
      <c r="C40" s="167" t="s">
        <v>1447</v>
      </c>
      <c r="D40" s="11">
        <v>13970292674</v>
      </c>
      <c r="E40" s="167" t="s">
        <v>278</v>
      </c>
      <c r="F40" s="167" t="s">
        <v>28</v>
      </c>
      <c r="G40" s="11">
        <v>202103001</v>
      </c>
      <c r="H40" s="167" t="s">
        <v>585</v>
      </c>
      <c r="I40" s="167" t="s">
        <v>367</v>
      </c>
      <c r="J40" s="167" t="s">
        <v>280</v>
      </c>
      <c r="K40" s="167" t="s">
        <v>170</v>
      </c>
      <c r="L40" s="167" t="s">
        <v>306</v>
      </c>
      <c r="M40" s="167" t="s">
        <v>1449</v>
      </c>
      <c r="N40" s="167" t="s">
        <v>1450</v>
      </c>
      <c r="O40" s="12" t="str">
        <f>_xlfn.DISPIMG("ID_C58710654847468A83F51047999B3A07",1)</f>
        <v>=DISPIMG("ID_C58710654847468A83F51047999B3A07",1)</v>
      </c>
      <c r="P40" s="11" t="s">
        <v>1451</v>
      </c>
      <c r="Q40" s="11">
        <v>160</v>
      </c>
      <c r="R40" s="17" t="s">
        <v>4353</v>
      </c>
      <c r="S40" s="18" t="s">
        <v>38</v>
      </c>
      <c r="T40" s="11">
        <v>20</v>
      </c>
    </row>
    <row r="41" s="3" customFormat="1" customHeight="1" spans="1:20">
      <c r="A41" s="167" t="s">
        <v>1454</v>
      </c>
      <c r="B41" s="167" t="s">
        <v>165</v>
      </c>
      <c r="C41" s="167" t="s">
        <v>1455</v>
      </c>
      <c r="D41" s="11">
        <v>15679261175</v>
      </c>
      <c r="E41" s="167" t="s">
        <v>278</v>
      </c>
      <c r="F41" s="167" t="s">
        <v>28</v>
      </c>
      <c r="G41" s="11">
        <v>202103001</v>
      </c>
      <c r="H41" s="167" t="s">
        <v>157</v>
      </c>
      <c r="I41" s="167" t="s">
        <v>1457</v>
      </c>
      <c r="J41" s="167" t="s">
        <v>280</v>
      </c>
      <c r="K41" s="167" t="s">
        <v>160</v>
      </c>
      <c r="L41" s="167" t="s">
        <v>368</v>
      </c>
      <c r="M41" s="167" t="s">
        <v>1458</v>
      </c>
      <c r="N41" s="167" t="s">
        <v>1459</v>
      </c>
      <c r="O41" s="12" t="str">
        <f>_xlfn.DISPIMG("ID_B3F35F8B340047F693855C9AE3461262",1)</f>
        <v>=DISPIMG("ID_B3F35F8B340047F693855C9AE3461262",1)</v>
      </c>
      <c r="P41" s="11" t="s">
        <v>1460</v>
      </c>
      <c r="Q41" s="11">
        <v>161</v>
      </c>
      <c r="R41" s="17" t="s">
        <v>4354</v>
      </c>
      <c r="S41" s="18" t="s">
        <v>38</v>
      </c>
      <c r="T41" s="11">
        <v>29</v>
      </c>
    </row>
    <row r="42" s="3" customFormat="1" customHeight="1" spans="1:20">
      <c r="A42" s="167" t="s">
        <v>1520</v>
      </c>
      <c r="B42" s="167" t="s">
        <v>165</v>
      </c>
      <c r="C42" s="167" t="s">
        <v>1521</v>
      </c>
      <c r="D42" s="11">
        <v>18370105501</v>
      </c>
      <c r="E42" s="167" t="s">
        <v>278</v>
      </c>
      <c r="F42" s="167" t="s">
        <v>28</v>
      </c>
      <c r="G42" s="11">
        <v>202103001</v>
      </c>
      <c r="H42" s="167" t="s">
        <v>279</v>
      </c>
      <c r="I42" s="167" t="s">
        <v>1523</v>
      </c>
      <c r="J42" s="167" t="s">
        <v>280</v>
      </c>
      <c r="K42" s="167" t="s">
        <v>170</v>
      </c>
      <c r="L42" s="167" t="s">
        <v>235</v>
      </c>
      <c r="M42" s="167" t="s">
        <v>28</v>
      </c>
      <c r="N42" s="167" t="s">
        <v>1524</v>
      </c>
      <c r="O42" s="12" t="str">
        <f>_xlfn.DISPIMG("ID_289CC567200648A4AB5780D725CC9684",1)</f>
        <v>=DISPIMG("ID_289CC567200648A4AB5780D725CC9684",1)</v>
      </c>
      <c r="P42" s="11" t="s">
        <v>1525</v>
      </c>
      <c r="Q42" s="11">
        <v>169</v>
      </c>
      <c r="R42" s="17" t="s">
        <v>4355</v>
      </c>
      <c r="S42" s="18" t="s">
        <v>38</v>
      </c>
      <c r="T42" s="11">
        <v>4</v>
      </c>
    </row>
    <row r="43" s="3" customFormat="1" customHeight="1" spans="1:20">
      <c r="A43" s="167" t="s">
        <v>1535</v>
      </c>
      <c r="B43" s="167" t="s">
        <v>165</v>
      </c>
      <c r="C43" s="167" t="s">
        <v>1536</v>
      </c>
      <c r="D43" s="11">
        <v>17779207332</v>
      </c>
      <c r="E43" s="167" t="s">
        <v>278</v>
      </c>
      <c r="F43" s="167" t="s">
        <v>28</v>
      </c>
      <c r="G43" s="11">
        <v>202103001</v>
      </c>
      <c r="H43" s="167" t="s">
        <v>279</v>
      </c>
      <c r="I43" s="167" t="s">
        <v>765</v>
      </c>
      <c r="J43" s="167" t="s">
        <v>280</v>
      </c>
      <c r="K43" s="167" t="s">
        <v>170</v>
      </c>
      <c r="L43" s="167" t="s">
        <v>235</v>
      </c>
      <c r="M43" s="167" t="s">
        <v>517</v>
      </c>
      <c r="N43" s="167" t="s">
        <v>1538</v>
      </c>
      <c r="O43" s="12" t="str">
        <f>_xlfn.DISPIMG("ID_E53DAA599F9A40239F1135427FCA9C4F",1)</f>
        <v>=DISPIMG("ID_E53DAA599F9A40239F1135427FCA9C4F",1)</v>
      </c>
      <c r="P43" s="11" t="s">
        <v>1539</v>
      </c>
      <c r="Q43" s="11">
        <v>171</v>
      </c>
      <c r="R43" s="17" t="s">
        <v>4356</v>
      </c>
      <c r="S43" s="18" t="s">
        <v>38</v>
      </c>
      <c r="T43" s="11">
        <v>9</v>
      </c>
    </row>
    <row r="44" s="3" customFormat="1" customHeight="1" spans="1:20">
      <c r="A44" s="167" t="s">
        <v>1559</v>
      </c>
      <c r="B44" s="167" t="s">
        <v>165</v>
      </c>
      <c r="C44" s="167" t="s">
        <v>1560</v>
      </c>
      <c r="D44" s="11">
        <v>18720242536</v>
      </c>
      <c r="E44" s="167" t="s">
        <v>278</v>
      </c>
      <c r="F44" s="167" t="s">
        <v>28</v>
      </c>
      <c r="G44" s="11">
        <v>202103001</v>
      </c>
      <c r="H44" s="167" t="s">
        <v>279</v>
      </c>
      <c r="I44" s="167" t="s">
        <v>876</v>
      </c>
      <c r="J44" s="167" t="s">
        <v>960</v>
      </c>
      <c r="K44" s="167" t="s">
        <v>170</v>
      </c>
      <c r="L44" s="167" t="s">
        <v>171</v>
      </c>
      <c r="M44" s="167" t="s">
        <v>340</v>
      </c>
      <c r="N44" s="167" t="s">
        <v>1562</v>
      </c>
      <c r="O44" s="12" t="str">
        <f>_xlfn.DISPIMG("ID_9804FB5AA98E4D44BBA382539FDAF7F0",1)</f>
        <v>=DISPIMG("ID_9804FB5AA98E4D44BBA382539FDAF7F0",1)</v>
      </c>
      <c r="P44" s="11" t="s">
        <v>1563</v>
      </c>
      <c r="Q44" s="11">
        <v>174</v>
      </c>
      <c r="R44" s="17" t="s">
        <v>4357</v>
      </c>
      <c r="S44" s="18" t="s">
        <v>38</v>
      </c>
      <c r="T44" s="11">
        <v>16</v>
      </c>
    </row>
    <row r="45" s="3" customFormat="1" customHeight="1" spans="1:20">
      <c r="A45" s="167" t="s">
        <v>1665</v>
      </c>
      <c r="B45" s="167" t="s">
        <v>165</v>
      </c>
      <c r="C45" s="167" t="s">
        <v>1666</v>
      </c>
      <c r="D45" s="11">
        <v>19126781619</v>
      </c>
      <c r="E45" s="167" t="s">
        <v>278</v>
      </c>
      <c r="F45" s="167" t="s">
        <v>28</v>
      </c>
      <c r="G45" s="11">
        <v>202103001</v>
      </c>
      <c r="H45" s="167" t="s">
        <v>585</v>
      </c>
      <c r="I45" s="167" t="s">
        <v>168</v>
      </c>
      <c r="J45" s="167" t="s">
        <v>280</v>
      </c>
      <c r="K45" s="167" t="s">
        <v>170</v>
      </c>
      <c r="L45" s="167" t="s">
        <v>548</v>
      </c>
      <c r="M45" s="167" t="s">
        <v>376</v>
      </c>
      <c r="N45" s="167" t="s">
        <v>1668</v>
      </c>
      <c r="O45" s="12" t="str">
        <f>_xlfn.DISPIMG("ID_B5AB63FC8A81490B8ED2FED7AE302A44",1)</f>
        <v>=DISPIMG("ID_B5AB63FC8A81490B8ED2FED7AE302A44",1)</v>
      </c>
      <c r="P45" s="11" t="s">
        <v>1669</v>
      </c>
      <c r="Q45" s="11">
        <v>188</v>
      </c>
      <c r="R45" s="17" t="s">
        <v>4358</v>
      </c>
      <c r="S45" s="18" t="s">
        <v>38</v>
      </c>
      <c r="T45" s="11">
        <v>21</v>
      </c>
    </row>
    <row r="46" s="3" customFormat="1" customHeight="1" spans="1:20">
      <c r="A46" s="167" t="s">
        <v>1681</v>
      </c>
      <c r="B46" s="167" t="s">
        <v>165</v>
      </c>
      <c r="C46" s="167" t="s">
        <v>1682</v>
      </c>
      <c r="D46" s="11">
        <v>15707021172</v>
      </c>
      <c r="E46" s="167" t="s">
        <v>278</v>
      </c>
      <c r="F46" s="167" t="s">
        <v>28</v>
      </c>
      <c r="G46" s="11">
        <v>202103001</v>
      </c>
      <c r="H46" s="167" t="s">
        <v>279</v>
      </c>
      <c r="I46" s="167" t="s">
        <v>367</v>
      </c>
      <c r="J46" s="167" t="s">
        <v>1684</v>
      </c>
      <c r="K46" s="167" t="s">
        <v>170</v>
      </c>
      <c r="L46" s="167" t="s">
        <v>368</v>
      </c>
      <c r="M46" s="167" t="s">
        <v>376</v>
      </c>
      <c r="N46" s="167" t="s">
        <v>1685</v>
      </c>
      <c r="O46" s="12" t="str">
        <f>_xlfn.DISPIMG("ID_F515C4DE5D464F10B51159D5558C7D1A",1)</f>
        <v>=DISPIMG("ID_F515C4DE5D464F10B51159D5558C7D1A",1)</v>
      </c>
      <c r="P46" s="11" t="s">
        <v>1686</v>
      </c>
      <c r="Q46" s="11">
        <v>190</v>
      </c>
      <c r="R46" s="17" t="s">
        <v>4359</v>
      </c>
      <c r="S46" s="18" t="s">
        <v>38</v>
      </c>
      <c r="T46" s="11">
        <v>28</v>
      </c>
    </row>
    <row r="47" s="3" customFormat="1" customHeight="1" spans="1:20">
      <c r="A47" s="167" t="s">
        <v>1751</v>
      </c>
      <c r="B47" s="167" t="s">
        <v>165</v>
      </c>
      <c r="C47" s="167" t="s">
        <v>1752</v>
      </c>
      <c r="D47" s="11">
        <v>18770825920</v>
      </c>
      <c r="E47" s="167" t="s">
        <v>278</v>
      </c>
      <c r="F47" s="167" t="s">
        <v>28</v>
      </c>
      <c r="G47" s="11">
        <v>202103001</v>
      </c>
      <c r="H47" s="167" t="s">
        <v>585</v>
      </c>
      <c r="I47" s="167" t="s">
        <v>367</v>
      </c>
      <c r="J47" s="167" t="s">
        <v>280</v>
      </c>
      <c r="K47" s="167" t="s">
        <v>160</v>
      </c>
      <c r="L47" s="167" t="s">
        <v>396</v>
      </c>
      <c r="M47" s="167" t="s">
        <v>1754</v>
      </c>
      <c r="N47" s="167" t="s">
        <v>1755</v>
      </c>
      <c r="O47" s="12" t="str">
        <f>_xlfn.DISPIMG("ID_11BD6E6070704D3C9E8B19CABEC53565",1)</f>
        <v>=DISPIMG("ID_11BD6E6070704D3C9E8B19CABEC53565",1)</v>
      </c>
      <c r="P47" s="11" t="s">
        <v>1756</v>
      </c>
      <c r="Q47" s="11">
        <v>199</v>
      </c>
      <c r="R47" s="17" t="s">
        <v>4360</v>
      </c>
      <c r="S47" s="18" t="s">
        <v>38</v>
      </c>
      <c r="T47" s="11">
        <v>3</v>
      </c>
    </row>
    <row r="48" s="3" customFormat="1" customHeight="1" spans="1:20">
      <c r="A48" s="167" t="s">
        <v>1773</v>
      </c>
      <c r="B48" s="167" t="s">
        <v>165</v>
      </c>
      <c r="C48" s="167" t="s">
        <v>1774</v>
      </c>
      <c r="D48" s="11">
        <v>15070865413</v>
      </c>
      <c r="E48" s="167" t="s">
        <v>278</v>
      </c>
      <c r="F48" s="167" t="s">
        <v>28</v>
      </c>
      <c r="G48" s="11">
        <v>202103001</v>
      </c>
      <c r="H48" s="167" t="s">
        <v>279</v>
      </c>
      <c r="I48" s="167" t="s">
        <v>662</v>
      </c>
      <c r="J48" s="167" t="s">
        <v>280</v>
      </c>
      <c r="K48" s="167" t="s">
        <v>170</v>
      </c>
      <c r="L48" s="167" t="s">
        <v>161</v>
      </c>
      <c r="M48" s="167" t="s">
        <v>1776</v>
      </c>
      <c r="N48" s="167" t="s">
        <v>1777</v>
      </c>
      <c r="O48" s="12" t="str">
        <f>_xlfn.DISPIMG("ID_870E78DB9450493E87561F4FC105D429",1)</f>
        <v>=DISPIMG("ID_870E78DB9450493E87561F4FC105D429",1)</v>
      </c>
      <c r="P48" s="11" t="s">
        <v>1778</v>
      </c>
      <c r="Q48" s="11">
        <v>202</v>
      </c>
      <c r="R48" s="17" t="s">
        <v>4361</v>
      </c>
      <c r="S48" s="18" t="s">
        <v>38</v>
      </c>
      <c r="T48" s="11">
        <v>10</v>
      </c>
    </row>
    <row r="49" s="3" customFormat="1" customHeight="1" spans="1:20">
      <c r="A49" s="167" t="s">
        <v>1814</v>
      </c>
      <c r="B49" s="167" t="s">
        <v>165</v>
      </c>
      <c r="C49" s="167" t="s">
        <v>1815</v>
      </c>
      <c r="D49" s="11">
        <v>15879170317</v>
      </c>
      <c r="E49" s="167" t="s">
        <v>278</v>
      </c>
      <c r="F49" s="167" t="s">
        <v>28</v>
      </c>
      <c r="G49" s="11">
        <v>202103001</v>
      </c>
      <c r="H49" s="167" t="s">
        <v>279</v>
      </c>
      <c r="I49" s="167" t="s">
        <v>732</v>
      </c>
      <c r="J49" s="167" t="s">
        <v>280</v>
      </c>
      <c r="K49" s="167" t="s">
        <v>170</v>
      </c>
      <c r="L49" s="167" t="s">
        <v>306</v>
      </c>
      <c r="M49" s="167" t="s">
        <v>1013</v>
      </c>
      <c r="N49" s="167" t="s">
        <v>1817</v>
      </c>
      <c r="O49" s="12" t="str">
        <f>_xlfn.DISPIMG("ID_6DE4E02A017F4BA2AD59ACE3034B4E4E",1)</f>
        <v>=DISPIMG("ID_6DE4E02A017F4BA2AD59ACE3034B4E4E",1)</v>
      </c>
      <c r="P49" s="11" t="s">
        <v>1818</v>
      </c>
      <c r="Q49" s="11">
        <v>207</v>
      </c>
      <c r="R49" s="17" t="s">
        <v>4362</v>
      </c>
      <c r="S49" s="18" t="s">
        <v>38</v>
      </c>
      <c r="T49" s="11">
        <v>15</v>
      </c>
    </row>
    <row r="50" s="5" customFormat="1" customHeight="1" spans="1:20">
      <c r="A50" s="167" t="s">
        <v>1855</v>
      </c>
      <c r="B50" s="167" t="s">
        <v>165</v>
      </c>
      <c r="C50" s="167" t="s">
        <v>1856</v>
      </c>
      <c r="D50" s="11">
        <v>18070128291</v>
      </c>
      <c r="E50" s="167" t="s">
        <v>278</v>
      </c>
      <c r="F50" s="167" t="s">
        <v>28</v>
      </c>
      <c r="G50" s="11">
        <v>202103001</v>
      </c>
      <c r="H50" s="167" t="s">
        <v>279</v>
      </c>
      <c r="I50" s="167" t="s">
        <v>732</v>
      </c>
      <c r="J50" s="167" t="s">
        <v>1489</v>
      </c>
      <c r="K50" s="167" t="s">
        <v>170</v>
      </c>
      <c r="L50" s="167" t="s">
        <v>733</v>
      </c>
      <c r="M50" s="167" t="s">
        <v>517</v>
      </c>
      <c r="N50" s="167" t="s">
        <v>1858</v>
      </c>
      <c r="O50" s="12" t="str">
        <f>_xlfn.DISPIMG("ID_2E8A5FF2C7EA4CF3BCF137C2FDB07272",1)</f>
        <v>=DISPIMG("ID_2E8A5FF2C7EA4CF3BCF137C2FDB07272",1)</v>
      </c>
      <c r="P50" s="11" t="s">
        <v>1859</v>
      </c>
      <c r="Q50" s="11">
        <v>212</v>
      </c>
      <c r="R50" s="17" t="s">
        <v>4363</v>
      </c>
      <c r="S50" s="18" t="s">
        <v>38</v>
      </c>
      <c r="T50" s="11">
        <v>22</v>
      </c>
    </row>
    <row r="51" s="3" customFormat="1" customHeight="1" spans="1:20">
      <c r="A51" s="167" t="s">
        <v>1919</v>
      </c>
      <c r="B51" s="167" t="s">
        <v>153</v>
      </c>
      <c r="C51" s="167" t="s">
        <v>1920</v>
      </c>
      <c r="D51" s="11">
        <v>18046826639</v>
      </c>
      <c r="E51" s="167" t="s">
        <v>278</v>
      </c>
      <c r="F51" s="167" t="s">
        <v>28</v>
      </c>
      <c r="G51" s="11">
        <v>202103001</v>
      </c>
      <c r="H51" s="167" t="s">
        <v>279</v>
      </c>
      <c r="I51" s="167" t="s">
        <v>765</v>
      </c>
      <c r="J51" s="167" t="s">
        <v>280</v>
      </c>
      <c r="K51" s="167" t="s">
        <v>170</v>
      </c>
      <c r="L51" s="167" t="s">
        <v>455</v>
      </c>
      <c r="M51" s="167" t="s">
        <v>376</v>
      </c>
      <c r="N51" s="11">
        <v>0</v>
      </c>
      <c r="O51" s="12" t="str">
        <f>_xlfn.DISPIMG("ID_A79FF9B64919489DB578A9ECC96B1C96",1)</f>
        <v>=DISPIMG("ID_A79FF9B64919489DB578A9ECC96B1C96",1)</v>
      </c>
      <c r="P51" s="11" t="s">
        <v>1922</v>
      </c>
      <c r="Q51" s="11">
        <v>221</v>
      </c>
      <c r="R51" s="17" t="s">
        <v>4364</v>
      </c>
      <c r="S51" s="18" t="s">
        <v>38</v>
      </c>
      <c r="T51" s="11">
        <v>27</v>
      </c>
    </row>
    <row r="52" s="3" customFormat="1" customHeight="1" spans="1:20">
      <c r="A52" s="167" t="s">
        <v>1969</v>
      </c>
      <c r="B52" s="167" t="s">
        <v>165</v>
      </c>
      <c r="C52" s="167" t="s">
        <v>1970</v>
      </c>
      <c r="D52" s="11">
        <v>13767214799</v>
      </c>
      <c r="E52" s="167" t="s">
        <v>278</v>
      </c>
      <c r="F52" s="167" t="s">
        <v>28</v>
      </c>
      <c r="G52" s="11">
        <v>202103001</v>
      </c>
      <c r="H52" s="167" t="s">
        <v>279</v>
      </c>
      <c r="I52" s="167" t="s">
        <v>1972</v>
      </c>
      <c r="J52" s="167" t="s">
        <v>280</v>
      </c>
      <c r="K52" s="167" t="s">
        <v>170</v>
      </c>
      <c r="L52" s="167" t="s">
        <v>368</v>
      </c>
      <c r="M52" s="167" t="s">
        <v>121</v>
      </c>
      <c r="N52" s="167" t="s">
        <v>1973</v>
      </c>
      <c r="O52" s="12" t="str">
        <f>_xlfn.DISPIMG("ID_AAF95BF9A1304A0693E0346D90E4CF2C",1)</f>
        <v>=DISPIMG("ID_AAF95BF9A1304A0693E0346D90E4CF2C",1)</v>
      </c>
      <c r="P52" s="11" t="s">
        <v>1974</v>
      </c>
      <c r="Q52" s="11">
        <v>228</v>
      </c>
      <c r="R52" s="17" t="s">
        <v>4365</v>
      </c>
      <c r="S52" s="18" t="s">
        <v>38</v>
      </c>
      <c r="T52" s="11">
        <v>2</v>
      </c>
    </row>
    <row r="53" s="3" customFormat="1" customHeight="1" spans="1:20">
      <c r="A53" s="167" t="s">
        <v>2060</v>
      </c>
      <c r="B53" s="167" t="s">
        <v>165</v>
      </c>
      <c r="C53" s="167" t="s">
        <v>2061</v>
      </c>
      <c r="D53" s="11">
        <v>15112002923</v>
      </c>
      <c r="E53" s="167" t="s">
        <v>278</v>
      </c>
      <c r="F53" s="167" t="s">
        <v>28</v>
      </c>
      <c r="G53" s="11">
        <v>202103001</v>
      </c>
      <c r="H53" s="167" t="s">
        <v>157</v>
      </c>
      <c r="I53" s="167" t="s">
        <v>2063</v>
      </c>
      <c r="J53" s="167" t="s">
        <v>280</v>
      </c>
      <c r="K53" s="167" t="s">
        <v>170</v>
      </c>
      <c r="L53" s="167" t="s">
        <v>2064</v>
      </c>
      <c r="M53" s="167" t="s">
        <v>517</v>
      </c>
      <c r="N53" s="167" t="s">
        <v>2065</v>
      </c>
      <c r="O53" s="12" t="str">
        <f>_xlfn.DISPIMG("ID_BF9AE392AFDD4458A2909A9A2C941241",1)</f>
        <v>=DISPIMG("ID_BF9AE392AFDD4458A2909A9A2C941241",1)</v>
      </c>
      <c r="P53" s="11" t="s">
        <v>2066</v>
      </c>
      <c r="Q53" s="11">
        <v>240</v>
      </c>
      <c r="R53" s="17" t="s">
        <v>4366</v>
      </c>
      <c r="S53" s="18" t="s">
        <v>38</v>
      </c>
      <c r="T53" s="11">
        <v>11</v>
      </c>
    </row>
    <row r="54" s="3" customFormat="1" customHeight="1" spans="1:20">
      <c r="A54" s="167" t="s">
        <v>2083</v>
      </c>
      <c r="B54" s="167" t="s">
        <v>165</v>
      </c>
      <c r="C54" s="167" t="s">
        <v>2084</v>
      </c>
      <c r="D54" s="11">
        <v>18816407325</v>
      </c>
      <c r="E54" s="167" t="s">
        <v>278</v>
      </c>
      <c r="F54" s="167" t="s">
        <v>28</v>
      </c>
      <c r="G54" s="11">
        <v>202103001</v>
      </c>
      <c r="H54" s="167" t="s">
        <v>157</v>
      </c>
      <c r="I54" s="167" t="s">
        <v>1258</v>
      </c>
      <c r="J54" s="167" t="s">
        <v>280</v>
      </c>
      <c r="K54" s="167" t="s">
        <v>170</v>
      </c>
      <c r="L54" s="167" t="s">
        <v>180</v>
      </c>
      <c r="M54" s="167" t="s">
        <v>340</v>
      </c>
      <c r="N54" s="167" t="s">
        <v>2086</v>
      </c>
      <c r="O54" s="12" t="str">
        <f>_xlfn.DISPIMG("ID_B2FD46FB94FD4BE298F143BADCF00B8C",1)</f>
        <v>=DISPIMG("ID_B2FD46FB94FD4BE298F143BADCF00B8C",1)</v>
      </c>
      <c r="P54" s="11" t="s">
        <v>2087</v>
      </c>
      <c r="Q54" s="11">
        <v>243</v>
      </c>
      <c r="R54" s="17" t="s">
        <v>4367</v>
      </c>
      <c r="S54" s="18" t="s">
        <v>38</v>
      </c>
      <c r="T54" s="11">
        <v>14</v>
      </c>
    </row>
    <row r="55" s="3" customFormat="1" customHeight="1" spans="1:20">
      <c r="A55" s="167" t="s">
        <v>2098</v>
      </c>
      <c r="B55" s="167" t="s">
        <v>165</v>
      </c>
      <c r="C55" s="167" t="s">
        <v>2099</v>
      </c>
      <c r="D55" s="11">
        <v>18070222825</v>
      </c>
      <c r="E55" s="167" t="s">
        <v>278</v>
      </c>
      <c r="F55" s="167" t="s">
        <v>28</v>
      </c>
      <c r="G55" s="11">
        <v>202103001</v>
      </c>
      <c r="H55" s="167" t="s">
        <v>279</v>
      </c>
      <c r="I55" s="167" t="s">
        <v>732</v>
      </c>
      <c r="J55" s="167" t="s">
        <v>169</v>
      </c>
      <c r="K55" s="167" t="s">
        <v>170</v>
      </c>
      <c r="L55" s="167" t="s">
        <v>733</v>
      </c>
      <c r="M55" s="167" t="s">
        <v>517</v>
      </c>
      <c r="N55" s="167" t="s">
        <v>2101</v>
      </c>
      <c r="O55" s="12" t="str">
        <f>_xlfn.DISPIMG("ID_005BE0017F024C98A2D8AF15B9E0DE6A",1)</f>
        <v>=DISPIMG("ID_005BE0017F024C98A2D8AF15B9E0DE6A",1)</v>
      </c>
      <c r="P55" s="11" t="s">
        <v>2102</v>
      </c>
      <c r="Q55" s="11">
        <v>245</v>
      </c>
      <c r="R55" s="17" t="s">
        <v>4368</v>
      </c>
      <c r="S55" s="18" t="s">
        <v>38</v>
      </c>
      <c r="T55" s="11">
        <v>23</v>
      </c>
    </row>
    <row r="56" s="3" customFormat="1" customHeight="1" spans="1:20">
      <c r="A56" s="167" t="s">
        <v>2226</v>
      </c>
      <c r="B56" s="167" t="s">
        <v>165</v>
      </c>
      <c r="C56" s="167" t="s">
        <v>2227</v>
      </c>
      <c r="D56" s="11">
        <v>15720952167</v>
      </c>
      <c r="E56" s="167" t="s">
        <v>278</v>
      </c>
      <c r="F56" s="167" t="s">
        <v>28</v>
      </c>
      <c r="G56" s="11">
        <v>202103001</v>
      </c>
      <c r="H56" s="167" t="s">
        <v>279</v>
      </c>
      <c r="I56" s="167" t="s">
        <v>2229</v>
      </c>
      <c r="J56" s="167" t="s">
        <v>280</v>
      </c>
      <c r="K56" s="167" t="s">
        <v>170</v>
      </c>
      <c r="L56" s="167" t="s">
        <v>161</v>
      </c>
      <c r="M56" s="167" t="s">
        <v>517</v>
      </c>
      <c r="N56" s="11">
        <v>0</v>
      </c>
      <c r="O56" s="12" t="str">
        <f>_xlfn.DISPIMG("ID_D66F2E0905214E97988618639B1556CA",1)</f>
        <v>=DISPIMG("ID_D66F2E0905214E97988618639B1556CA",1)</v>
      </c>
      <c r="P56" s="11" t="s">
        <v>2230</v>
      </c>
      <c r="Q56" s="11">
        <v>262</v>
      </c>
      <c r="R56" s="17" t="s">
        <v>4369</v>
      </c>
      <c r="S56" s="18" t="s">
        <v>38</v>
      </c>
      <c r="T56" s="11">
        <v>26</v>
      </c>
    </row>
    <row r="57" s="3" customFormat="1" customHeight="1" spans="1:20">
      <c r="A57" s="167" t="s">
        <v>2249</v>
      </c>
      <c r="B57" s="167" t="s">
        <v>165</v>
      </c>
      <c r="C57" s="167" t="s">
        <v>2250</v>
      </c>
      <c r="D57" s="11">
        <v>15270289287</v>
      </c>
      <c r="E57" s="167" t="s">
        <v>278</v>
      </c>
      <c r="F57" s="167" t="s">
        <v>28</v>
      </c>
      <c r="G57" s="11">
        <v>202103001</v>
      </c>
      <c r="H57" s="167" t="s">
        <v>279</v>
      </c>
      <c r="I57" s="167" t="s">
        <v>1258</v>
      </c>
      <c r="J57" s="167" t="s">
        <v>280</v>
      </c>
      <c r="K57" s="167" t="s">
        <v>170</v>
      </c>
      <c r="L57" s="167" t="s">
        <v>180</v>
      </c>
      <c r="M57" s="167" t="s">
        <v>340</v>
      </c>
      <c r="N57" s="167" t="s">
        <v>2252</v>
      </c>
      <c r="O57" s="12" t="str">
        <f>_xlfn.DISPIMG("ID_7985CE250554486189D8524B45608623",1)</f>
        <v>=DISPIMG("ID_7985CE250554486189D8524B45608623",1)</v>
      </c>
      <c r="P57" s="11" t="s">
        <v>2253</v>
      </c>
      <c r="Q57" s="11">
        <v>265</v>
      </c>
      <c r="R57" s="17" t="s">
        <v>4370</v>
      </c>
      <c r="S57" s="18" t="s">
        <v>38</v>
      </c>
      <c r="T57" s="11">
        <v>1</v>
      </c>
    </row>
    <row r="58" s="3" customFormat="1" customHeight="1" spans="1:20">
      <c r="A58" s="167" t="s">
        <v>2273</v>
      </c>
      <c r="B58" s="167" t="s">
        <v>165</v>
      </c>
      <c r="C58" s="167" t="s">
        <v>2274</v>
      </c>
      <c r="D58" s="11">
        <v>18897920642</v>
      </c>
      <c r="E58" s="167" t="s">
        <v>278</v>
      </c>
      <c r="F58" s="167" t="s">
        <v>28</v>
      </c>
      <c r="G58" s="11">
        <v>202103001</v>
      </c>
      <c r="H58" s="167" t="s">
        <v>279</v>
      </c>
      <c r="I58" s="167" t="s">
        <v>367</v>
      </c>
      <c r="J58" s="167" t="s">
        <v>960</v>
      </c>
      <c r="K58" s="167" t="s">
        <v>170</v>
      </c>
      <c r="L58" s="167" t="s">
        <v>171</v>
      </c>
      <c r="M58" s="167" t="s">
        <v>340</v>
      </c>
      <c r="N58" s="167" t="s">
        <v>2276</v>
      </c>
      <c r="O58" s="12" t="str">
        <f>_xlfn.DISPIMG("ID_61B07218C9EC426CBE977F3567B765DD",1)</f>
        <v>=DISPIMG("ID_61B07218C9EC426CBE977F3567B765DD",1)</v>
      </c>
      <c r="P58" s="11" t="s">
        <v>2277</v>
      </c>
      <c r="Q58" s="11">
        <v>268</v>
      </c>
      <c r="R58" s="17" t="s">
        <v>4371</v>
      </c>
      <c r="S58" s="18" t="s">
        <v>38</v>
      </c>
      <c r="T58" s="11">
        <v>12</v>
      </c>
    </row>
    <row r="59" s="3" customFormat="1" customHeight="1" spans="1:20">
      <c r="A59" s="167" t="s">
        <v>2323</v>
      </c>
      <c r="B59" s="167" t="s">
        <v>165</v>
      </c>
      <c r="C59" s="167" t="s">
        <v>2324</v>
      </c>
      <c r="D59" s="11">
        <v>15979178539</v>
      </c>
      <c r="E59" s="167" t="s">
        <v>278</v>
      </c>
      <c r="F59" s="167" t="s">
        <v>28</v>
      </c>
      <c r="G59" s="11">
        <v>202103001</v>
      </c>
      <c r="H59" s="167" t="s">
        <v>157</v>
      </c>
      <c r="I59" s="167" t="s">
        <v>1071</v>
      </c>
      <c r="J59" s="167" t="s">
        <v>2326</v>
      </c>
      <c r="K59" s="167" t="s">
        <v>160</v>
      </c>
      <c r="L59" s="167" t="s">
        <v>1942</v>
      </c>
      <c r="M59" s="167" t="s">
        <v>340</v>
      </c>
      <c r="N59" s="167" t="s">
        <v>2327</v>
      </c>
      <c r="O59" s="12" t="str">
        <f>_xlfn.DISPIMG("ID_A33976891DCF46C9B1DFAD5ADCC8729D",1)</f>
        <v>=DISPIMG("ID_A33976891DCF46C9B1DFAD5ADCC8729D",1)</v>
      </c>
      <c r="P59" s="11" t="s">
        <v>2328</v>
      </c>
      <c r="Q59" s="11">
        <v>275</v>
      </c>
      <c r="R59" s="17" t="s">
        <v>4372</v>
      </c>
      <c r="S59" s="18" t="s">
        <v>38</v>
      </c>
      <c r="T59" s="11">
        <v>13</v>
      </c>
    </row>
    <row r="60" s="3" customFormat="1" customHeight="1" spans="1:20">
      <c r="A60" s="167" t="s">
        <v>2354</v>
      </c>
      <c r="B60" s="167" t="s">
        <v>165</v>
      </c>
      <c r="C60" s="167" t="s">
        <v>2355</v>
      </c>
      <c r="D60" s="11">
        <v>18870202615</v>
      </c>
      <c r="E60" s="167" t="s">
        <v>278</v>
      </c>
      <c r="F60" s="167" t="s">
        <v>28</v>
      </c>
      <c r="G60" s="11">
        <v>202103001</v>
      </c>
      <c r="H60" s="167" t="s">
        <v>279</v>
      </c>
      <c r="I60" s="167" t="s">
        <v>765</v>
      </c>
      <c r="J60" s="167" t="s">
        <v>280</v>
      </c>
      <c r="K60" s="167" t="s">
        <v>170</v>
      </c>
      <c r="L60" s="167" t="s">
        <v>252</v>
      </c>
      <c r="M60" s="167" t="s">
        <v>340</v>
      </c>
      <c r="N60" s="167" t="s">
        <v>2357</v>
      </c>
      <c r="O60" s="12" t="str">
        <f>_xlfn.DISPIMG("ID_1E1BF7CF64ED4C9392E00D748E2CFF78",1)</f>
        <v>=DISPIMG("ID_1E1BF7CF64ED4C9392E00D748E2CFF78",1)</v>
      </c>
      <c r="P60" s="11" t="s">
        <v>2358</v>
      </c>
      <c r="Q60" s="11">
        <v>279</v>
      </c>
      <c r="R60" s="17" t="s">
        <v>4373</v>
      </c>
      <c r="S60" s="18" t="s">
        <v>38</v>
      </c>
      <c r="T60" s="11">
        <v>24</v>
      </c>
    </row>
    <row r="61" s="3" customFormat="1" customHeight="1" spans="1:20">
      <c r="A61" s="167" t="s">
        <v>2368</v>
      </c>
      <c r="B61" s="167" t="s">
        <v>165</v>
      </c>
      <c r="C61" s="167" t="s">
        <v>2369</v>
      </c>
      <c r="D61" s="11">
        <v>13870275403</v>
      </c>
      <c r="E61" s="167" t="s">
        <v>278</v>
      </c>
      <c r="F61" s="167" t="s">
        <v>28</v>
      </c>
      <c r="G61" s="11">
        <v>202103001</v>
      </c>
      <c r="H61" s="167" t="s">
        <v>279</v>
      </c>
      <c r="I61" s="167" t="s">
        <v>367</v>
      </c>
      <c r="J61" s="167" t="s">
        <v>960</v>
      </c>
      <c r="K61" s="167" t="s">
        <v>170</v>
      </c>
      <c r="L61" s="167" t="s">
        <v>161</v>
      </c>
      <c r="M61" s="167" t="s">
        <v>2371</v>
      </c>
      <c r="N61" s="167" t="s">
        <v>2372</v>
      </c>
      <c r="O61" s="12" t="str">
        <f>_xlfn.DISPIMG("ID_8367FF7FCE354E85A6B58C07A55F59C4",1)</f>
        <v>=DISPIMG("ID_8367FF7FCE354E85A6B58C07A55F59C4",1)</v>
      </c>
      <c r="P61" s="11" t="s">
        <v>2373</v>
      </c>
      <c r="Q61" s="11">
        <v>281</v>
      </c>
      <c r="R61" s="17" t="s">
        <v>4374</v>
      </c>
      <c r="S61" s="18" t="s">
        <v>38</v>
      </c>
      <c r="T61" s="11">
        <v>25</v>
      </c>
    </row>
    <row r="62" s="3" customFormat="1" customHeight="1" spans="1:20">
      <c r="A62" s="166" t="s">
        <v>2384</v>
      </c>
      <c r="B62" s="166" t="s">
        <v>165</v>
      </c>
      <c r="C62" s="166" t="s">
        <v>2385</v>
      </c>
      <c r="D62" s="11">
        <v>18779249182</v>
      </c>
      <c r="E62" s="167" t="s">
        <v>278</v>
      </c>
      <c r="F62" s="166" t="s">
        <v>28</v>
      </c>
      <c r="G62" s="9">
        <v>202103001</v>
      </c>
      <c r="H62" s="167" t="s">
        <v>279</v>
      </c>
      <c r="I62" s="167" t="s">
        <v>178</v>
      </c>
      <c r="J62" s="167" t="s">
        <v>280</v>
      </c>
      <c r="K62" s="167" t="s">
        <v>170</v>
      </c>
      <c r="L62" s="167" t="s">
        <v>548</v>
      </c>
      <c r="M62" s="167" t="s">
        <v>517</v>
      </c>
      <c r="N62" s="167" t="s">
        <v>2387</v>
      </c>
      <c r="O62" s="12" t="str">
        <f>_xlfn.DISPIMG("ID_8CF817D3A8834773857DA1D47188BF1C",1)</f>
        <v>=DISPIMG("ID_8CF817D3A8834773857DA1D47188BF1C",1)</v>
      </c>
      <c r="P62" s="9" t="s">
        <v>2388</v>
      </c>
      <c r="Q62" s="11">
        <v>283</v>
      </c>
      <c r="R62" s="15" t="s">
        <v>4375</v>
      </c>
      <c r="S62" s="19" t="s">
        <v>39</v>
      </c>
      <c r="T62" s="9">
        <v>6</v>
      </c>
    </row>
    <row r="63" s="3" customFormat="1" customHeight="1" spans="1:20">
      <c r="A63" s="166" t="s">
        <v>2445</v>
      </c>
      <c r="B63" s="166" t="s">
        <v>165</v>
      </c>
      <c r="C63" s="166" t="s">
        <v>2446</v>
      </c>
      <c r="D63" s="11">
        <v>15270593089</v>
      </c>
      <c r="E63" s="167" t="s">
        <v>278</v>
      </c>
      <c r="F63" s="166" t="s">
        <v>28</v>
      </c>
      <c r="G63" s="9">
        <v>202103001</v>
      </c>
      <c r="H63" s="167" t="s">
        <v>279</v>
      </c>
      <c r="I63" s="167" t="s">
        <v>367</v>
      </c>
      <c r="J63" s="167" t="s">
        <v>280</v>
      </c>
      <c r="K63" s="167" t="s">
        <v>170</v>
      </c>
      <c r="L63" s="167" t="s">
        <v>161</v>
      </c>
      <c r="M63" s="167" t="s">
        <v>517</v>
      </c>
      <c r="N63" s="167" t="s">
        <v>2448</v>
      </c>
      <c r="O63" s="12" t="str">
        <f>_xlfn.DISPIMG("ID_5A60F5CEF6FD4D2AB2A12133308D2C7D",1)</f>
        <v>=DISPIMG("ID_5A60F5CEF6FD4D2AB2A12133308D2C7D",1)</v>
      </c>
      <c r="P63" s="9" t="s">
        <v>2449</v>
      </c>
      <c r="Q63" s="11">
        <v>291</v>
      </c>
      <c r="R63" s="15" t="s">
        <v>4376</v>
      </c>
      <c r="S63" s="19" t="s">
        <v>39</v>
      </c>
      <c r="T63" s="9">
        <v>7</v>
      </c>
    </row>
    <row r="64" s="3" customFormat="1" customHeight="1" spans="1:20">
      <c r="A64" s="166" t="s">
        <v>2487</v>
      </c>
      <c r="B64" s="166" t="s">
        <v>165</v>
      </c>
      <c r="C64" s="166" t="s">
        <v>2488</v>
      </c>
      <c r="D64" s="11">
        <v>18979216011</v>
      </c>
      <c r="E64" s="167" t="s">
        <v>278</v>
      </c>
      <c r="F64" s="166" t="s">
        <v>28</v>
      </c>
      <c r="G64" s="9">
        <v>202103001</v>
      </c>
      <c r="H64" s="167" t="s">
        <v>157</v>
      </c>
      <c r="I64" s="167" t="s">
        <v>178</v>
      </c>
      <c r="J64" s="167" t="s">
        <v>280</v>
      </c>
      <c r="K64" s="167" t="s">
        <v>170</v>
      </c>
      <c r="L64" s="167" t="s">
        <v>2490</v>
      </c>
      <c r="M64" s="167" t="s">
        <v>28</v>
      </c>
      <c r="N64" s="167" t="s">
        <v>2491</v>
      </c>
      <c r="O64" s="12" t="str">
        <f>_xlfn.DISPIMG("ID_53B9839AEAC4407495ABBD356F420DDD",1)</f>
        <v>=DISPIMG("ID_53B9839AEAC4407495ABBD356F420DDD",1)</v>
      </c>
      <c r="P64" s="9" t="s">
        <v>2492</v>
      </c>
      <c r="Q64" s="11">
        <v>297</v>
      </c>
      <c r="R64" s="15" t="s">
        <v>4377</v>
      </c>
      <c r="S64" s="19" t="s">
        <v>39</v>
      </c>
      <c r="T64" s="9">
        <v>18</v>
      </c>
    </row>
    <row r="65" s="3" customFormat="1" customHeight="1" spans="1:20">
      <c r="A65" s="166" t="s">
        <v>2501</v>
      </c>
      <c r="B65" s="166" t="s">
        <v>165</v>
      </c>
      <c r="C65" s="166" t="s">
        <v>2502</v>
      </c>
      <c r="D65" s="11">
        <v>18779413916</v>
      </c>
      <c r="E65" s="167" t="s">
        <v>278</v>
      </c>
      <c r="F65" s="166" t="s">
        <v>28</v>
      </c>
      <c r="G65" s="9">
        <v>202103001</v>
      </c>
      <c r="H65" s="167" t="s">
        <v>279</v>
      </c>
      <c r="I65" s="167" t="s">
        <v>876</v>
      </c>
      <c r="J65" s="167" t="s">
        <v>1684</v>
      </c>
      <c r="K65" s="167" t="s">
        <v>170</v>
      </c>
      <c r="L65" s="167" t="s">
        <v>171</v>
      </c>
      <c r="M65" s="167" t="s">
        <v>2504</v>
      </c>
      <c r="N65" s="167" t="s">
        <v>2505</v>
      </c>
      <c r="O65" s="12" t="str">
        <f>_xlfn.DISPIMG("ID_515277FD8D2D40318D429A7BA8ADC69C",1)</f>
        <v>=DISPIMG("ID_515277FD8D2D40318D429A7BA8ADC69C",1)</v>
      </c>
      <c r="P65" s="9" t="s">
        <v>2506</v>
      </c>
      <c r="Q65" s="11">
        <v>299</v>
      </c>
      <c r="R65" s="15" t="s">
        <v>4378</v>
      </c>
      <c r="S65" s="19" t="s">
        <v>39</v>
      </c>
      <c r="T65" s="9">
        <v>19</v>
      </c>
    </row>
    <row r="66" s="3" customFormat="1" customHeight="1" spans="1:20">
      <c r="A66" s="166" t="s">
        <v>2509</v>
      </c>
      <c r="B66" s="166" t="s">
        <v>165</v>
      </c>
      <c r="C66" s="166" t="s">
        <v>2510</v>
      </c>
      <c r="D66" s="11">
        <v>15170261589</v>
      </c>
      <c r="E66" s="167" t="s">
        <v>278</v>
      </c>
      <c r="F66" s="166" t="s">
        <v>28</v>
      </c>
      <c r="G66" s="9">
        <v>202103001</v>
      </c>
      <c r="H66" s="167" t="s">
        <v>279</v>
      </c>
      <c r="I66" s="167" t="s">
        <v>168</v>
      </c>
      <c r="J66" s="167" t="s">
        <v>280</v>
      </c>
      <c r="K66" s="167" t="s">
        <v>170</v>
      </c>
      <c r="L66" s="167" t="s">
        <v>171</v>
      </c>
      <c r="M66" s="167" t="s">
        <v>28</v>
      </c>
      <c r="N66" s="167" t="s">
        <v>2512</v>
      </c>
      <c r="O66" s="12" t="str">
        <f>_xlfn.DISPIMG("ID_7074182E322C4D868E189D169988DEEF",1)</f>
        <v>=DISPIMG("ID_7074182E322C4D868E189D169988DEEF",1)</v>
      </c>
      <c r="P66" s="9" t="s">
        <v>2513</v>
      </c>
      <c r="Q66" s="11">
        <v>300</v>
      </c>
      <c r="R66" s="15" t="s">
        <v>4379</v>
      </c>
      <c r="S66" s="19" t="s">
        <v>39</v>
      </c>
      <c r="T66" s="9">
        <v>30</v>
      </c>
    </row>
    <row r="67" s="3" customFormat="1" customHeight="1" spans="1:20">
      <c r="A67" s="166" t="s">
        <v>2615</v>
      </c>
      <c r="B67" s="166" t="s">
        <v>165</v>
      </c>
      <c r="C67" s="166" t="s">
        <v>2616</v>
      </c>
      <c r="D67" s="11">
        <v>18779299651</v>
      </c>
      <c r="E67" s="167" t="s">
        <v>278</v>
      </c>
      <c r="F67" s="166" t="s">
        <v>28</v>
      </c>
      <c r="G67" s="9">
        <v>202103001</v>
      </c>
      <c r="H67" s="167" t="s">
        <v>585</v>
      </c>
      <c r="I67" s="167" t="s">
        <v>367</v>
      </c>
      <c r="J67" s="167" t="s">
        <v>280</v>
      </c>
      <c r="K67" s="167" t="s">
        <v>170</v>
      </c>
      <c r="L67" s="167" t="s">
        <v>306</v>
      </c>
      <c r="M67" s="167" t="s">
        <v>585</v>
      </c>
      <c r="N67" s="167" t="s">
        <v>2617</v>
      </c>
      <c r="O67" s="12" t="str">
        <f>_xlfn.DISPIMG("ID_D88361D0AC4F40C29B491840D8C35568",1)</f>
        <v>=DISPIMG("ID_D88361D0AC4F40C29B491840D8C35568",1)</v>
      </c>
      <c r="P67" s="9" t="s">
        <v>2618</v>
      </c>
      <c r="Q67" s="11">
        <v>314</v>
      </c>
      <c r="R67" s="15" t="s">
        <v>4380</v>
      </c>
      <c r="S67" s="19" t="s">
        <v>39</v>
      </c>
      <c r="T67" s="9">
        <v>5</v>
      </c>
    </row>
    <row r="68" s="3" customFormat="1" customHeight="1" spans="1:20">
      <c r="A68" s="166" t="s">
        <v>2651</v>
      </c>
      <c r="B68" s="166" t="s">
        <v>165</v>
      </c>
      <c r="C68" s="166" t="s">
        <v>2652</v>
      </c>
      <c r="D68" s="11">
        <v>18779275146</v>
      </c>
      <c r="E68" s="167" t="s">
        <v>278</v>
      </c>
      <c r="F68" s="166" t="s">
        <v>28</v>
      </c>
      <c r="G68" s="9">
        <v>202103001</v>
      </c>
      <c r="H68" s="167" t="s">
        <v>279</v>
      </c>
      <c r="I68" s="167" t="s">
        <v>367</v>
      </c>
      <c r="J68" s="167" t="s">
        <v>960</v>
      </c>
      <c r="K68" s="167" t="s">
        <v>170</v>
      </c>
      <c r="L68" s="167" t="s">
        <v>261</v>
      </c>
      <c r="M68" s="167" t="s">
        <v>2654</v>
      </c>
      <c r="N68" s="167" t="s">
        <v>2655</v>
      </c>
      <c r="O68" s="12" t="str">
        <f>_xlfn.DISPIMG("ID_1078F268CB1D42879EB5D176263AD754",1)</f>
        <v>=DISPIMG("ID_1078F268CB1D42879EB5D176263AD754",1)</v>
      </c>
      <c r="P68" s="9" t="s">
        <v>2656</v>
      </c>
      <c r="Q68" s="11">
        <v>319</v>
      </c>
      <c r="R68" s="15" t="s">
        <v>4381</v>
      </c>
      <c r="S68" s="19" t="s">
        <v>39</v>
      </c>
      <c r="T68" s="9">
        <v>8</v>
      </c>
    </row>
    <row r="69" s="3" customFormat="1" customHeight="1" spans="1:20">
      <c r="A69" s="166" t="s">
        <v>2666</v>
      </c>
      <c r="B69" s="166" t="s">
        <v>165</v>
      </c>
      <c r="C69" s="166" t="s">
        <v>2667</v>
      </c>
      <c r="D69" s="11">
        <v>13367011157</v>
      </c>
      <c r="E69" s="167" t="s">
        <v>278</v>
      </c>
      <c r="F69" s="166" t="s">
        <v>28</v>
      </c>
      <c r="G69" s="9">
        <v>202103001</v>
      </c>
      <c r="H69" s="167" t="s">
        <v>279</v>
      </c>
      <c r="I69" s="167" t="s">
        <v>2669</v>
      </c>
      <c r="J69" s="167" t="s">
        <v>280</v>
      </c>
      <c r="K69" s="167" t="s">
        <v>170</v>
      </c>
      <c r="L69" s="167" t="s">
        <v>368</v>
      </c>
      <c r="M69" s="167" t="s">
        <v>340</v>
      </c>
      <c r="N69" s="167" t="s">
        <v>2670</v>
      </c>
      <c r="O69" s="12" t="str">
        <f>_xlfn.DISPIMG("ID_F3E1E6ADC00F4323859304E86EC6B8D9",1)</f>
        <v>=DISPIMG("ID_F3E1E6ADC00F4323859304E86EC6B8D9",1)</v>
      </c>
      <c r="P69" s="9" t="s">
        <v>2671</v>
      </c>
      <c r="Q69" s="11">
        <v>321</v>
      </c>
      <c r="R69" s="15" t="s">
        <v>4382</v>
      </c>
      <c r="S69" s="19" t="s">
        <v>39</v>
      </c>
      <c r="T69" s="9">
        <v>17</v>
      </c>
    </row>
    <row r="70" s="3" customFormat="1" customHeight="1" spans="1:20">
      <c r="A70" s="166" t="s">
        <v>2691</v>
      </c>
      <c r="B70" s="166" t="s">
        <v>165</v>
      </c>
      <c r="C70" s="166" t="s">
        <v>2692</v>
      </c>
      <c r="D70" s="11">
        <v>13361724916</v>
      </c>
      <c r="E70" s="167" t="s">
        <v>278</v>
      </c>
      <c r="F70" s="166" t="s">
        <v>28</v>
      </c>
      <c r="G70" s="9">
        <v>202103001</v>
      </c>
      <c r="H70" s="167" t="s">
        <v>585</v>
      </c>
      <c r="I70" s="167" t="s">
        <v>367</v>
      </c>
      <c r="J70" s="167" t="s">
        <v>586</v>
      </c>
      <c r="K70" s="167" t="s">
        <v>170</v>
      </c>
      <c r="L70" s="167" t="s">
        <v>2685</v>
      </c>
      <c r="M70" s="167" t="s">
        <v>2686</v>
      </c>
      <c r="N70" s="167" t="s">
        <v>2694</v>
      </c>
      <c r="O70" s="12" t="str">
        <f>_xlfn.DISPIMG("ID_80BD79931C0D4F069B4BB278F0D6EACF",1)</f>
        <v>=DISPIMG("ID_80BD79931C0D4F069B4BB278F0D6EACF",1)</v>
      </c>
      <c r="P70" s="9" t="s">
        <v>2695</v>
      </c>
      <c r="Q70" s="11">
        <v>324</v>
      </c>
      <c r="R70" s="15" t="s">
        <v>4383</v>
      </c>
      <c r="S70" s="19" t="s">
        <v>39</v>
      </c>
      <c r="T70" s="9">
        <v>20</v>
      </c>
    </row>
    <row r="71" s="3" customFormat="1" customHeight="1" spans="1:20">
      <c r="A71" s="166" t="s">
        <v>2739</v>
      </c>
      <c r="B71" s="166" t="s">
        <v>165</v>
      </c>
      <c r="C71" s="166" t="s">
        <v>2740</v>
      </c>
      <c r="D71" s="11">
        <v>15180645133</v>
      </c>
      <c r="E71" s="167" t="s">
        <v>278</v>
      </c>
      <c r="F71" s="166" t="s">
        <v>28</v>
      </c>
      <c r="G71" s="9">
        <v>202103001</v>
      </c>
      <c r="H71" s="167" t="s">
        <v>279</v>
      </c>
      <c r="I71" s="167" t="s">
        <v>2741</v>
      </c>
      <c r="J71" s="167" t="s">
        <v>2742</v>
      </c>
      <c r="K71" s="167" t="s">
        <v>160</v>
      </c>
      <c r="L71" s="167" t="s">
        <v>577</v>
      </c>
      <c r="M71" s="167" t="s">
        <v>28</v>
      </c>
      <c r="N71" s="11">
        <v>0</v>
      </c>
      <c r="O71" s="12" t="str">
        <f>_xlfn.DISPIMG("ID_DBC66D2ED4394B2EABDB1526C646D9F0",1)</f>
        <v>=DISPIMG("ID_DBC66D2ED4394B2EABDB1526C646D9F0",1)</v>
      </c>
      <c r="P71" s="9" t="s">
        <v>2743</v>
      </c>
      <c r="Q71" s="11">
        <v>331</v>
      </c>
      <c r="R71" s="15" t="s">
        <v>4384</v>
      </c>
      <c r="S71" s="19" t="s">
        <v>39</v>
      </c>
      <c r="T71" s="9">
        <v>29</v>
      </c>
    </row>
    <row r="72" s="3" customFormat="1" customHeight="1" spans="1:20">
      <c r="A72" s="166" t="s">
        <v>2746</v>
      </c>
      <c r="B72" s="166" t="s">
        <v>165</v>
      </c>
      <c r="C72" s="166" t="s">
        <v>2747</v>
      </c>
      <c r="D72" s="11">
        <v>13479871563</v>
      </c>
      <c r="E72" s="167" t="s">
        <v>278</v>
      </c>
      <c r="F72" s="166" t="s">
        <v>28</v>
      </c>
      <c r="G72" s="9">
        <v>202103001</v>
      </c>
      <c r="H72" s="167" t="s">
        <v>279</v>
      </c>
      <c r="I72" s="167" t="s">
        <v>1432</v>
      </c>
      <c r="J72" s="167" t="s">
        <v>280</v>
      </c>
      <c r="K72" s="167" t="s">
        <v>170</v>
      </c>
      <c r="L72" s="167" t="s">
        <v>2221</v>
      </c>
      <c r="M72" s="167" t="s">
        <v>340</v>
      </c>
      <c r="N72" s="167" t="s">
        <v>2749</v>
      </c>
      <c r="O72" s="12" t="str">
        <f>_xlfn.DISPIMG("ID_88F87A068C9F46F1A08F32919B53F4F3",1)</f>
        <v>=DISPIMG("ID_88F87A068C9F46F1A08F32919B53F4F3",1)</v>
      </c>
      <c r="P72" s="9" t="s">
        <v>2750</v>
      </c>
      <c r="Q72" s="11">
        <v>332</v>
      </c>
      <c r="R72" s="15" t="s">
        <v>4385</v>
      </c>
      <c r="S72" s="19" t="s">
        <v>39</v>
      </c>
      <c r="T72" s="9">
        <v>4</v>
      </c>
    </row>
    <row r="73" s="3" customFormat="1" customHeight="1" spans="1:20">
      <c r="A73" s="166" t="s">
        <v>2796</v>
      </c>
      <c r="B73" s="166" t="s">
        <v>165</v>
      </c>
      <c r="C73" s="166" t="s">
        <v>2797</v>
      </c>
      <c r="D73" s="11">
        <v>15079245341</v>
      </c>
      <c r="E73" s="167" t="s">
        <v>278</v>
      </c>
      <c r="F73" s="166" t="s">
        <v>28</v>
      </c>
      <c r="G73" s="9">
        <v>202103001</v>
      </c>
      <c r="H73" s="167" t="s">
        <v>279</v>
      </c>
      <c r="I73" s="167" t="s">
        <v>2799</v>
      </c>
      <c r="J73" s="167" t="s">
        <v>1489</v>
      </c>
      <c r="K73" s="167" t="s">
        <v>170</v>
      </c>
      <c r="L73" s="167" t="s">
        <v>2800</v>
      </c>
      <c r="M73" s="167" t="s">
        <v>28</v>
      </c>
      <c r="N73" s="167" t="s">
        <v>2801</v>
      </c>
      <c r="O73" s="12" t="str">
        <f>_xlfn.DISPIMG("ID_CE28F2C62DED40E5A2B6EB31752867C6",1)</f>
        <v>=DISPIMG("ID_CE28F2C62DED40E5A2B6EB31752867C6",1)</v>
      </c>
      <c r="P73" s="9" t="s">
        <v>2802</v>
      </c>
      <c r="Q73" s="11">
        <v>339</v>
      </c>
      <c r="R73" s="15" t="s">
        <v>4386</v>
      </c>
      <c r="S73" s="19" t="s">
        <v>39</v>
      </c>
      <c r="T73" s="9">
        <v>9</v>
      </c>
    </row>
    <row r="74" s="3" customFormat="1" customHeight="1" spans="1:20">
      <c r="A74" s="166" t="s">
        <v>2825</v>
      </c>
      <c r="B74" s="166" t="s">
        <v>165</v>
      </c>
      <c r="C74" s="166" t="s">
        <v>2826</v>
      </c>
      <c r="D74" s="11">
        <v>13177721280</v>
      </c>
      <c r="E74" s="167" t="s">
        <v>278</v>
      </c>
      <c r="F74" s="166" t="s">
        <v>28</v>
      </c>
      <c r="G74" s="9">
        <v>202103001</v>
      </c>
      <c r="H74" s="167" t="s">
        <v>279</v>
      </c>
      <c r="I74" s="167" t="s">
        <v>1237</v>
      </c>
      <c r="J74" s="167" t="s">
        <v>280</v>
      </c>
      <c r="K74" s="167" t="s">
        <v>170</v>
      </c>
      <c r="L74" s="167" t="s">
        <v>261</v>
      </c>
      <c r="M74" s="167" t="s">
        <v>340</v>
      </c>
      <c r="N74" s="11">
        <v>0</v>
      </c>
      <c r="O74" s="12" t="str">
        <f>_xlfn.DISPIMG("ID_F08BB5C3B75D4962A37212B4DDDA960C",1)</f>
        <v>=DISPIMG("ID_F08BB5C3B75D4962A37212B4DDDA960C",1)</v>
      </c>
      <c r="P74" s="9" t="s">
        <v>2828</v>
      </c>
      <c r="Q74" s="11">
        <v>343</v>
      </c>
      <c r="R74" s="15" t="s">
        <v>4387</v>
      </c>
      <c r="S74" s="19" t="s">
        <v>39</v>
      </c>
      <c r="T74" s="9">
        <v>16</v>
      </c>
    </row>
    <row r="75" s="3" customFormat="1" customHeight="1" spans="1:20">
      <c r="A75" s="166" t="s">
        <v>2854</v>
      </c>
      <c r="B75" s="166" t="s">
        <v>165</v>
      </c>
      <c r="C75" s="166" t="s">
        <v>2855</v>
      </c>
      <c r="D75" s="11">
        <v>18720256092</v>
      </c>
      <c r="E75" s="167" t="s">
        <v>278</v>
      </c>
      <c r="F75" s="166" t="s">
        <v>28</v>
      </c>
      <c r="G75" s="9">
        <v>202103001</v>
      </c>
      <c r="H75" s="167" t="s">
        <v>279</v>
      </c>
      <c r="I75" s="167" t="s">
        <v>2857</v>
      </c>
      <c r="J75" s="167" t="s">
        <v>586</v>
      </c>
      <c r="K75" s="167" t="s">
        <v>170</v>
      </c>
      <c r="L75" s="167" t="s">
        <v>235</v>
      </c>
      <c r="M75" s="167" t="s">
        <v>586</v>
      </c>
      <c r="N75" s="167" t="s">
        <v>2858</v>
      </c>
      <c r="O75" s="12" t="str">
        <f>_xlfn.DISPIMG("ID_11ED1DBBC626428D97C7101FAED1566F",1)</f>
        <v>=DISPIMG("ID_11ED1DBBC626428D97C7101FAED1566F",1)</v>
      </c>
      <c r="P75" s="9" t="s">
        <v>2859</v>
      </c>
      <c r="Q75" s="11">
        <v>347</v>
      </c>
      <c r="R75" s="15" t="s">
        <v>4388</v>
      </c>
      <c r="S75" s="19" t="s">
        <v>39</v>
      </c>
      <c r="T75" s="9">
        <v>21</v>
      </c>
    </row>
    <row r="76" s="3" customFormat="1" customHeight="1" spans="1:20">
      <c r="A76" s="166" t="s">
        <v>2862</v>
      </c>
      <c r="B76" s="166" t="s">
        <v>165</v>
      </c>
      <c r="C76" s="166" t="s">
        <v>2863</v>
      </c>
      <c r="D76" s="11">
        <v>16623154389</v>
      </c>
      <c r="E76" s="167" t="s">
        <v>278</v>
      </c>
      <c r="F76" s="166" t="s">
        <v>28</v>
      </c>
      <c r="G76" s="9">
        <v>202103001</v>
      </c>
      <c r="H76" s="167" t="s">
        <v>585</v>
      </c>
      <c r="I76" s="167" t="s">
        <v>2865</v>
      </c>
      <c r="J76" s="167" t="s">
        <v>280</v>
      </c>
      <c r="K76" s="167" t="s">
        <v>170</v>
      </c>
      <c r="L76" s="167" t="s">
        <v>577</v>
      </c>
      <c r="M76" s="167" t="s">
        <v>2866</v>
      </c>
      <c r="N76" s="167" t="s">
        <v>2867</v>
      </c>
      <c r="O76" s="12" t="str">
        <f>_xlfn.DISPIMG("ID_2A4EA762BC734560A58995F31757BD03",1)</f>
        <v>=DISPIMG("ID_2A4EA762BC734560A58995F31757BD03",1)</v>
      </c>
      <c r="P76" s="9" t="s">
        <v>2868</v>
      </c>
      <c r="Q76" s="11">
        <v>348</v>
      </c>
      <c r="R76" s="15" t="s">
        <v>4389</v>
      </c>
      <c r="S76" s="19" t="s">
        <v>39</v>
      </c>
      <c r="T76" s="9">
        <v>28</v>
      </c>
    </row>
    <row r="77" s="3" customFormat="1" customHeight="1" spans="1:20">
      <c r="A77" s="166" t="s">
        <v>2887</v>
      </c>
      <c r="B77" s="166" t="s">
        <v>165</v>
      </c>
      <c r="C77" s="166" t="s">
        <v>2888</v>
      </c>
      <c r="D77" s="11">
        <v>15879243291</v>
      </c>
      <c r="E77" s="167" t="s">
        <v>278</v>
      </c>
      <c r="F77" s="166" t="s">
        <v>28</v>
      </c>
      <c r="G77" s="9">
        <v>202103001</v>
      </c>
      <c r="H77" s="167" t="s">
        <v>279</v>
      </c>
      <c r="I77" s="167" t="s">
        <v>2890</v>
      </c>
      <c r="J77" s="167" t="s">
        <v>280</v>
      </c>
      <c r="K77" s="167" t="s">
        <v>170</v>
      </c>
      <c r="L77" s="167" t="s">
        <v>261</v>
      </c>
      <c r="M77" s="167" t="s">
        <v>2462</v>
      </c>
      <c r="N77" s="167" t="s">
        <v>2891</v>
      </c>
      <c r="O77" s="12" t="str">
        <f>_xlfn.DISPIMG("ID_0C2059A8D9A84C38B1CE4EFB24FA358E",1)</f>
        <v>=DISPIMG("ID_0C2059A8D9A84C38B1CE4EFB24FA358E",1)</v>
      </c>
      <c r="P77" s="9" t="s">
        <v>2892</v>
      </c>
      <c r="Q77" s="11">
        <v>351</v>
      </c>
      <c r="R77" s="15" t="s">
        <v>4390</v>
      </c>
      <c r="S77" s="19" t="s">
        <v>39</v>
      </c>
      <c r="T77" s="9">
        <v>3</v>
      </c>
    </row>
    <row r="78" s="3" customFormat="1" customHeight="1" spans="1:20">
      <c r="A78" s="166" t="s">
        <v>2908</v>
      </c>
      <c r="B78" s="166" t="s">
        <v>165</v>
      </c>
      <c r="C78" s="166" t="s">
        <v>2909</v>
      </c>
      <c r="D78" s="11">
        <v>15180608812</v>
      </c>
      <c r="E78" s="167" t="s">
        <v>278</v>
      </c>
      <c r="F78" s="166" t="s">
        <v>28</v>
      </c>
      <c r="G78" s="9">
        <v>202103001</v>
      </c>
      <c r="H78" s="167" t="s">
        <v>279</v>
      </c>
      <c r="I78" s="167" t="s">
        <v>732</v>
      </c>
      <c r="J78" s="167" t="s">
        <v>280</v>
      </c>
      <c r="K78" s="167" t="s">
        <v>170</v>
      </c>
      <c r="L78" s="167" t="s">
        <v>216</v>
      </c>
      <c r="M78" s="167" t="s">
        <v>340</v>
      </c>
      <c r="N78" s="167" t="s">
        <v>2911</v>
      </c>
      <c r="O78" s="12" t="str">
        <f>_xlfn.DISPIMG("ID_2372D216C4084B2F90A1624776C89F44",1)</f>
        <v>=DISPIMG("ID_2372D216C4084B2F90A1624776C89F44",1)</v>
      </c>
      <c r="P78" s="9" t="s">
        <v>2912</v>
      </c>
      <c r="Q78" s="11">
        <v>354</v>
      </c>
      <c r="R78" s="15" t="s">
        <v>4391</v>
      </c>
      <c r="S78" s="19" t="s">
        <v>39</v>
      </c>
      <c r="T78" s="9">
        <v>10</v>
      </c>
    </row>
    <row r="79" s="3" customFormat="1" customHeight="1" spans="1:20">
      <c r="A79" s="166" t="s">
        <v>3015</v>
      </c>
      <c r="B79" s="166" t="s">
        <v>165</v>
      </c>
      <c r="C79" s="166" t="s">
        <v>3016</v>
      </c>
      <c r="D79" s="11">
        <v>15779237225</v>
      </c>
      <c r="E79" s="167" t="s">
        <v>278</v>
      </c>
      <c r="F79" s="166" t="s">
        <v>28</v>
      </c>
      <c r="G79" s="9">
        <v>202103001</v>
      </c>
      <c r="H79" s="167" t="s">
        <v>585</v>
      </c>
      <c r="I79" s="167" t="s">
        <v>3018</v>
      </c>
      <c r="J79" s="167" t="s">
        <v>586</v>
      </c>
      <c r="K79" s="167" t="s">
        <v>170</v>
      </c>
      <c r="L79" s="167" t="s">
        <v>1346</v>
      </c>
      <c r="M79" s="167" t="s">
        <v>340</v>
      </c>
      <c r="N79" s="167" t="s">
        <v>3019</v>
      </c>
      <c r="O79" s="12" t="str">
        <f>_xlfn.DISPIMG("ID_5D71807FA9B14D55B579AC354805CDFB",1)</f>
        <v>=DISPIMG("ID_5D71807FA9B14D55B579AC354805CDFB",1)</v>
      </c>
      <c r="P79" s="9" t="s">
        <v>3020</v>
      </c>
      <c r="Q79" s="11">
        <v>372</v>
      </c>
      <c r="R79" s="15" t="s">
        <v>4392</v>
      </c>
      <c r="S79" s="19" t="s">
        <v>39</v>
      </c>
      <c r="T79" s="9">
        <v>15</v>
      </c>
    </row>
    <row r="80" s="4" customFormat="1" customHeight="1" spans="1:20">
      <c r="A80" s="166" t="s">
        <v>3136</v>
      </c>
      <c r="B80" s="166" t="s">
        <v>165</v>
      </c>
      <c r="C80" s="166" t="s">
        <v>3137</v>
      </c>
      <c r="D80" s="11">
        <v>13207912916</v>
      </c>
      <c r="E80" s="167" t="s">
        <v>278</v>
      </c>
      <c r="F80" s="166" t="s">
        <v>28</v>
      </c>
      <c r="G80" s="9">
        <v>202103001</v>
      </c>
      <c r="H80" s="167" t="s">
        <v>157</v>
      </c>
      <c r="I80" s="167" t="s">
        <v>233</v>
      </c>
      <c r="J80" s="167" t="s">
        <v>280</v>
      </c>
      <c r="K80" s="167" t="s">
        <v>170</v>
      </c>
      <c r="L80" s="167" t="s">
        <v>199</v>
      </c>
      <c r="M80" s="167" t="s">
        <v>517</v>
      </c>
      <c r="N80" s="167" t="s">
        <v>3139</v>
      </c>
      <c r="O80" s="12" t="str">
        <f>_xlfn.DISPIMG("ID_5DD0D632EE9F43A696BEAC7A2AD60F9E",1)</f>
        <v>=DISPIMG("ID_5DD0D632EE9F43A696BEAC7A2AD60F9E",1)</v>
      </c>
      <c r="P80" s="9" t="s">
        <v>3140</v>
      </c>
      <c r="Q80" s="11">
        <v>388</v>
      </c>
      <c r="R80" s="15" t="s">
        <v>4393</v>
      </c>
      <c r="S80" s="19" t="s">
        <v>39</v>
      </c>
      <c r="T80" s="9">
        <v>22</v>
      </c>
    </row>
    <row r="81" s="3" customFormat="1" customHeight="1" spans="1:20">
      <c r="A81" s="166" t="s">
        <v>3143</v>
      </c>
      <c r="B81" s="166" t="s">
        <v>165</v>
      </c>
      <c r="C81" s="166" t="s">
        <v>3144</v>
      </c>
      <c r="D81" s="11">
        <v>18046721566</v>
      </c>
      <c r="E81" s="167" t="s">
        <v>278</v>
      </c>
      <c r="F81" s="166" t="s">
        <v>28</v>
      </c>
      <c r="G81" s="9">
        <v>202103001</v>
      </c>
      <c r="H81" s="167" t="s">
        <v>279</v>
      </c>
      <c r="I81" s="167" t="s">
        <v>367</v>
      </c>
      <c r="J81" s="167" t="s">
        <v>169</v>
      </c>
      <c r="K81" s="167" t="s">
        <v>170</v>
      </c>
      <c r="L81" s="167" t="s">
        <v>2685</v>
      </c>
      <c r="M81" s="167" t="s">
        <v>3146</v>
      </c>
      <c r="N81" s="167" t="s">
        <v>3147</v>
      </c>
      <c r="O81" s="12" t="str">
        <f>_xlfn.DISPIMG("ID_A94A4E6038894CA88A82184D1877D675",1)</f>
        <v>=DISPIMG("ID_A94A4E6038894CA88A82184D1877D675",1)</v>
      </c>
      <c r="P81" s="9" t="s">
        <v>3148</v>
      </c>
      <c r="Q81" s="11">
        <v>389</v>
      </c>
      <c r="R81" s="15" t="s">
        <v>4394</v>
      </c>
      <c r="S81" s="19" t="s">
        <v>39</v>
      </c>
      <c r="T81" s="9">
        <v>27</v>
      </c>
    </row>
    <row r="82" s="3" customFormat="1" customHeight="1" spans="1:20">
      <c r="A82" s="166" t="s">
        <v>1429</v>
      </c>
      <c r="B82" s="166" t="s">
        <v>165</v>
      </c>
      <c r="C82" s="166" t="s">
        <v>1430</v>
      </c>
      <c r="D82" s="11">
        <v>15779219115</v>
      </c>
      <c r="E82" s="167" t="s">
        <v>278</v>
      </c>
      <c r="F82" s="166" t="s">
        <v>28</v>
      </c>
      <c r="G82" s="9">
        <v>202103001</v>
      </c>
      <c r="H82" s="167" t="s">
        <v>279</v>
      </c>
      <c r="I82" s="167" t="s">
        <v>1432</v>
      </c>
      <c r="J82" s="167" t="s">
        <v>1433</v>
      </c>
      <c r="K82" s="167" t="s">
        <v>170</v>
      </c>
      <c r="L82" s="167" t="s">
        <v>261</v>
      </c>
      <c r="M82" s="167" t="s">
        <v>1013</v>
      </c>
      <c r="N82" s="167" t="s">
        <v>1435</v>
      </c>
      <c r="O82" s="12" t="str">
        <f>_xlfn.DISPIMG("ID_2AA0C0867EDA4E25AC1B455524935955",1)</f>
        <v>=DISPIMG("ID_2AA0C0867EDA4E25AC1B455524935955",1)</v>
      </c>
      <c r="P82" s="9" t="s">
        <v>1436</v>
      </c>
      <c r="Q82" s="11">
        <v>391</v>
      </c>
      <c r="R82" s="15" t="s">
        <v>4395</v>
      </c>
      <c r="S82" s="19" t="s">
        <v>39</v>
      </c>
      <c r="T82" s="9">
        <v>2</v>
      </c>
    </row>
    <row r="83" s="3" customFormat="1" customHeight="1" spans="1:20">
      <c r="A83" s="166" t="s">
        <v>3172</v>
      </c>
      <c r="B83" s="166" t="s">
        <v>165</v>
      </c>
      <c r="C83" s="166" t="s">
        <v>3173</v>
      </c>
      <c r="D83" s="11">
        <v>18970280941</v>
      </c>
      <c r="E83" s="167" t="s">
        <v>278</v>
      </c>
      <c r="F83" s="166" t="s">
        <v>28</v>
      </c>
      <c r="G83" s="9">
        <v>202103001</v>
      </c>
      <c r="H83" s="167" t="s">
        <v>585</v>
      </c>
      <c r="I83" s="167" t="s">
        <v>3174</v>
      </c>
      <c r="J83" s="167" t="s">
        <v>586</v>
      </c>
      <c r="K83" s="167" t="s">
        <v>170</v>
      </c>
      <c r="L83" s="167" t="s">
        <v>3039</v>
      </c>
      <c r="M83" s="167" t="s">
        <v>340</v>
      </c>
      <c r="N83" s="167" t="s">
        <v>3175</v>
      </c>
      <c r="O83" s="12" t="str">
        <f>_xlfn.DISPIMG("ID_0094E289D6FF483F911D447623CD2A7B",1)</f>
        <v>=DISPIMG("ID_0094E289D6FF483F911D447623CD2A7B",1)</v>
      </c>
      <c r="P83" s="9" t="s">
        <v>3176</v>
      </c>
      <c r="Q83" s="11">
        <v>394</v>
      </c>
      <c r="R83" s="15" t="s">
        <v>4396</v>
      </c>
      <c r="S83" s="19" t="s">
        <v>39</v>
      </c>
      <c r="T83" s="9">
        <v>11</v>
      </c>
    </row>
    <row r="84" s="3" customFormat="1" customHeight="1" spans="1:20">
      <c r="A84" s="166" t="s">
        <v>3234</v>
      </c>
      <c r="B84" s="166" t="s">
        <v>165</v>
      </c>
      <c r="C84" s="166" t="s">
        <v>3235</v>
      </c>
      <c r="D84" s="11">
        <v>15083801983</v>
      </c>
      <c r="E84" s="167" t="s">
        <v>278</v>
      </c>
      <c r="F84" s="166" t="s">
        <v>28</v>
      </c>
      <c r="G84" s="9">
        <v>202103001</v>
      </c>
      <c r="H84" s="167" t="s">
        <v>279</v>
      </c>
      <c r="I84" s="167" t="s">
        <v>339</v>
      </c>
      <c r="J84" s="167" t="s">
        <v>960</v>
      </c>
      <c r="K84" s="167" t="s">
        <v>170</v>
      </c>
      <c r="L84" s="167" t="s">
        <v>2935</v>
      </c>
      <c r="M84" s="167" t="s">
        <v>376</v>
      </c>
      <c r="N84" s="167" t="s">
        <v>3237</v>
      </c>
      <c r="O84" s="12" t="str">
        <f>_xlfn.DISPIMG("ID_6E77F2441F654B1DACC44E4FDEC025B1",1)</f>
        <v>=DISPIMG("ID_6E77F2441F654B1DACC44E4FDEC025B1",1)</v>
      </c>
      <c r="P84" s="9" t="s">
        <v>3238</v>
      </c>
      <c r="Q84" s="11">
        <v>403</v>
      </c>
      <c r="R84" s="15" t="s">
        <v>4397</v>
      </c>
      <c r="S84" s="19" t="s">
        <v>39</v>
      </c>
      <c r="T84" s="9">
        <v>14</v>
      </c>
    </row>
    <row r="85" s="3" customFormat="1" customHeight="1" spans="1:20">
      <c r="A85" s="166" t="s">
        <v>3293</v>
      </c>
      <c r="B85" s="166" t="s">
        <v>165</v>
      </c>
      <c r="C85" s="166" t="s">
        <v>3294</v>
      </c>
      <c r="D85" s="11">
        <v>18170265828</v>
      </c>
      <c r="E85" s="167" t="s">
        <v>278</v>
      </c>
      <c r="F85" s="166" t="s">
        <v>28</v>
      </c>
      <c r="G85" s="9">
        <v>202103001</v>
      </c>
      <c r="H85" s="167" t="s">
        <v>157</v>
      </c>
      <c r="I85" s="167" t="s">
        <v>233</v>
      </c>
      <c r="J85" s="167" t="s">
        <v>280</v>
      </c>
      <c r="K85" s="167" t="s">
        <v>170</v>
      </c>
      <c r="L85" s="167" t="s">
        <v>3061</v>
      </c>
      <c r="M85" s="167" t="s">
        <v>3296</v>
      </c>
      <c r="N85" s="167" t="s">
        <v>3297</v>
      </c>
      <c r="O85" s="12" t="str">
        <f>_xlfn.DISPIMG("ID_1A8F20F988244300AFCAF70BDC1F337C",1)</f>
        <v>=DISPIMG("ID_1A8F20F988244300AFCAF70BDC1F337C",1)</v>
      </c>
      <c r="P85" s="9" t="s">
        <v>3298</v>
      </c>
      <c r="Q85" s="11">
        <v>413</v>
      </c>
      <c r="R85" s="15" t="s">
        <v>4398</v>
      </c>
      <c r="S85" s="19" t="s">
        <v>39</v>
      </c>
      <c r="T85" s="9">
        <v>23</v>
      </c>
    </row>
    <row r="86" s="3" customFormat="1" customHeight="1" spans="1:20">
      <c r="A86" s="166" t="s">
        <v>3307</v>
      </c>
      <c r="B86" s="166" t="s">
        <v>165</v>
      </c>
      <c r="C86" s="166" t="s">
        <v>3308</v>
      </c>
      <c r="D86" s="11">
        <v>15570243314</v>
      </c>
      <c r="E86" s="167" t="s">
        <v>278</v>
      </c>
      <c r="F86" s="166" t="s">
        <v>28</v>
      </c>
      <c r="G86" s="9">
        <v>202103001</v>
      </c>
      <c r="H86" s="167" t="s">
        <v>279</v>
      </c>
      <c r="I86" s="167" t="s">
        <v>3309</v>
      </c>
      <c r="J86" s="167" t="s">
        <v>2326</v>
      </c>
      <c r="K86" s="167" t="s">
        <v>170</v>
      </c>
      <c r="L86" s="167" t="s">
        <v>396</v>
      </c>
      <c r="M86" s="167" t="s">
        <v>517</v>
      </c>
      <c r="N86" s="167" t="s">
        <v>3310</v>
      </c>
      <c r="O86" s="12" t="str">
        <f>_xlfn.DISPIMG("ID_354EF343CD5243F482E0D228CE19598F",1)</f>
        <v>=DISPIMG("ID_354EF343CD5243F482E0D228CE19598F",1)</v>
      </c>
      <c r="P86" s="9" t="s">
        <v>3311</v>
      </c>
      <c r="Q86" s="11">
        <v>415</v>
      </c>
      <c r="R86" s="15" t="s">
        <v>4399</v>
      </c>
      <c r="S86" s="19" t="s">
        <v>39</v>
      </c>
      <c r="T86" s="9">
        <v>26</v>
      </c>
    </row>
    <row r="87" s="3" customFormat="1" customHeight="1" spans="1:20">
      <c r="A87" s="166" t="s">
        <v>3320</v>
      </c>
      <c r="B87" s="166" t="s">
        <v>165</v>
      </c>
      <c r="C87" s="166" t="s">
        <v>3321</v>
      </c>
      <c r="D87" s="11">
        <v>13979205561</v>
      </c>
      <c r="E87" s="167" t="s">
        <v>278</v>
      </c>
      <c r="F87" s="166" t="s">
        <v>28</v>
      </c>
      <c r="G87" s="9">
        <v>202103001</v>
      </c>
      <c r="H87" s="167" t="s">
        <v>585</v>
      </c>
      <c r="I87" s="167" t="s">
        <v>168</v>
      </c>
      <c r="J87" s="167" t="s">
        <v>280</v>
      </c>
      <c r="K87" s="167" t="s">
        <v>170</v>
      </c>
      <c r="L87" s="167" t="s">
        <v>2047</v>
      </c>
      <c r="M87" s="167" t="s">
        <v>340</v>
      </c>
      <c r="N87" s="167" t="s">
        <v>3322</v>
      </c>
      <c r="O87" s="12" t="str">
        <f>_xlfn.DISPIMG("ID_98A98A82D5AD4E03ADF0E8FE54980276",1)</f>
        <v>=DISPIMG("ID_98A98A82D5AD4E03ADF0E8FE54980276",1)</v>
      </c>
      <c r="P87" s="9" t="s">
        <v>3323</v>
      </c>
      <c r="Q87" s="11">
        <v>417</v>
      </c>
      <c r="R87" s="15" t="s">
        <v>4400</v>
      </c>
      <c r="S87" s="19" t="s">
        <v>39</v>
      </c>
      <c r="T87" s="9">
        <v>1</v>
      </c>
    </row>
    <row r="88" s="4" customFormat="1" customHeight="1" spans="1:20">
      <c r="A88" s="166" t="s">
        <v>3326</v>
      </c>
      <c r="B88" s="166" t="s">
        <v>165</v>
      </c>
      <c r="C88" s="166" t="s">
        <v>3327</v>
      </c>
      <c r="D88" s="11">
        <v>15979970756</v>
      </c>
      <c r="E88" s="167" t="s">
        <v>278</v>
      </c>
      <c r="F88" s="166" t="s">
        <v>28</v>
      </c>
      <c r="G88" s="9">
        <v>202103001</v>
      </c>
      <c r="H88" s="167" t="s">
        <v>279</v>
      </c>
      <c r="I88" s="167" t="s">
        <v>3329</v>
      </c>
      <c r="J88" s="167" t="s">
        <v>280</v>
      </c>
      <c r="K88" s="167" t="s">
        <v>170</v>
      </c>
      <c r="L88" s="167" t="s">
        <v>368</v>
      </c>
      <c r="M88" s="167" t="s">
        <v>376</v>
      </c>
      <c r="N88" s="167" t="s">
        <v>3330</v>
      </c>
      <c r="O88" s="12" t="str">
        <f>_xlfn.DISPIMG("ID_35E61F5727C7442282FC0637F60D57FC",1)</f>
        <v>=DISPIMG("ID_35E61F5727C7442282FC0637F60D57FC",1)</v>
      </c>
      <c r="P88" s="9" t="s">
        <v>3331</v>
      </c>
      <c r="Q88" s="11">
        <v>418</v>
      </c>
      <c r="R88" s="15" t="s">
        <v>4401</v>
      </c>
      <c r="S88" s="19" t="s">
        <v>39</v>
      </c>
      <c r="T88" s="9">
        <v>12</v>
      </c>
    </row>
    <row r="89" s="3" customFormat="1" customHeight="1" spans="1:20">
      <c r="A89" s="166" t="s">
        <v>2682</v>
      </c>
      <c r="B89" s="166" t="s">
        <v>165</v>
      </c>
      <c r="C89" s="166" t="s">
        <v>2683</v>
      </c>
      <c r="D89" s="11">
        <v>18079206353</v>
      </c>
      <c r="E89" s="167" t="s">
        <v>278</v>
      </c>
      <c r="F89" s="166" t="s">
        <v>28</v>
      </c>
      <c r="G89" s="9">
        <v>202103001</v>
      </c>
      <c r="H89" s="167" t="s">
        <v>585</v>
      </c>
      <c r="I89" s="167" t="s">
        <v>367</v>
      </c>
      <c r="J89" s="167" t="s">
        <v>586</v>
      </c>
      <c r="K89" s="167" t="s">
        <v>170</v>
      </c>
      <c r="L89" s="167" t="s">
        <v>2685</v>
      </c>
      <c r="M89" s="167" t="s">
        <v>2686</v>
      </c>
      <c r="N89" s="167" t="s">
        <v>2687</v>
      </c>
      <c r="O89" s="12" t="str">
        <f>_xlfn.DISPIMG("ID_5B48971EF1B54F2AA5263A5C67E87781",1)</f>
        <v>=DISPIMG("ID_5B48971EF1B54F2AA5263A5C67E87781",1)</v>
      </c>
      <c r="P89" s="9" t="s">
        <v>2688</v>
      </c>
      <c r="Q89" s="11">
        <v>419</v>
      </c>
      <c r="R89" s="15" t="s">
        <v>4402</v>
      </c>
      <c r="S89" s="19" t="s">
        <v>39</v>
      </c>
      <c r="T89" s="9">
        <v>13</v>
      </c>
    </row>
    <row r="90" s="3" customFormat="1" customHeight="1" spans="1:20">
      <c r="A90" s="166" t="s">
        <v>3342</v>
      </c>
      <c r="B90" s="166" t="s">
        <v>165</v>
      </c>
      <c r="C90" s="166" t="s">
        <v>3343</v>
      </c>
      <c r="D90" s="11">
        <v>18320666217</v>
      </c>
      <c r="E90" s="167" t="s">
        <v>278</v>
      </c>
      <c r="F90" s="166" t="s">
        <v>28</v>
      </c>
      <c r="G90" s="9">
        <v>202103001</v>
      </c>
      <c r="H90" s="167" t="s">
        <v>157</v>
      </c>
      <c r="I90" s="167" t="s">
        <v>3345</v>
      </c>
      <c r="J90" s="167" t="s">
        <v>280</v>
      </c>
      <c r="K90" s="167" t="s">
        <v>170</v>
      </c>
      <c r="L90" s="167" t="s">
        <v>235</v>
      </c>
      <c r="M90" s="167" t="s">
        <v>3346</v>
      </c>
      <c r="N90" s="167" t="s">
        <v>3347</v>
      </c>
      <c r="O90" s="12" t="str">
        <f>_xlfn.DISPIMG("ID_E18EEBC59F6A4BD3BA9929CD3773910D",1)</f>
        <v>=DISPIMG("ID_E18EEBC59F6A4BD3BA9929CD3773910D",1)</v>
      </c>
      <c r="P90" s="9" t="s">
        <v>3348</v>
      </c>
      <c r="Q90" s="11">
        <v>421</v>
      </c>
      <c r="R90" s="15" t="s">
        <v>4403</v>
      </c>
      <c r="S90" s="19" t="s">
        <v>39</v>
      </c>
      <c r="T90" s="9">
        <v>24</v>
      </c>
    </row>
    <row r="91" s="4" customFormat="1" customHeight="1" spans="1:20">
      <c r="A91" s="166" t="s">
        <v>3403</v>
      </c>
      <c r="B91" s="166" t="s">
        <v>165</v>
      </c>
      <c r="C91" s="166" t="s">
        <v>3404</v>
      </c>
      <c r="D91" s="11">
        <v>18000721221</v>
      </c>
      <c r="E91" s="167" t="s">
        <v>278</v>
      </c>
      <c r="F91" s="166" t="s">
        <v>28</v>
      </c>
      <c r="G91" s="9">
        <v>202103001</v>
      </c>
      <c r="H91" s="167" t="s">
        <v>279</v>
      </c>
      <c r="I91" s="167" t="s">
        <v>168</v>
      </c>
      <c r="J91" s="167" t="s">
        <v>280</v>
      </c>
      <c r="K91" s="167" t="s">
        <v>170</v>
      </c>
      <c r="L91" s="167" t="s">
        <v>516</v>
      </c>
      <c r="M91" s="167" t="s">
        <v>280</v>
      </c>
      <c r="N91" s="167" t="s">
        <v>3405</v>
      </c>
      <c r="O91" s="12" t="str">
        <f>_xlfn.DISPIMG("ID_7EFAC0679406489199323C08AE652767",1)</f>
        <v>=DISPIMG("ID_7EFAC0679406489199323C08AE652767",1)</v>
      </c>
      <c r="P91" s="9" t="s">
        <v>3406</v>
      </c>
      <c r="Q91" s="20">
        <v>429</v>
      </c>
      <c r="R91" s="15" t="s">
        <v>4404</v>
      </c>
      <c r="S91" s="19" t="s">
        <v>39</v>
      </c>
      <c r="T91" s="9">
        <v>25</v>
      </c>
    </row>
    <row r="92" s="3" customFormat="1" customHeight="1" spans="1:20">
      <c r="A92" s="167" t="s">
        <v>3429</v>
      </c>
      <c r="B92" s="167" t="s">
        <v>165</v>
      </c>
      <c r="C92" s="167" t="s">
        <v>3430</v>
      </c>
      <c r="D92" s="11">
        <v>18279285118</v>
      </c>
      <c r="E92" s="167" t="s">
        <v>278</v>
      </c>
      <c r="F92" s="167" t="s">
        <v>28</v>
      </c>
      <c r="G92" s="11">
        <v>202103001</v>
      </c>
      <c r="H92" s="167" t="s">
        <v>585</v>
      </c>
      <c r="I92" s="167" t="s">
        <v>3018</v>
      </c>
      <c r="J92" s="167" t="s">
        <v>586</v>
      </c>
      <c r="K92" s="167" t="s">
        <v>170</v>
      </c>
      <c r="L92" s="167" t="s">
        <v>3431</v>
      </c>
      <c r="M92" s="167" t="s">
        <v>586</v>
      </c>
      <c r="N92" s="167" t="s">
        <v>3432</v>
      </c>
      <c r="O92" s="12" t="str">
        <f>_xlfn.DISPIMG("ID_E1216B8DC47A44DFAB6AC1BAFDBCD62B",1)</f>
        <v>=DISPIMG("ID_E1216B8DC47A44DFAB6AC1BAFDBCD62B",1)</v>
      </c>
      <c r="P92" s="11" t="s">
        <v>3433</v>
      </c>
      <c r="Q92" s="20">
        <v>433</v>
      </c>
      <c r="R92" s="17" t="s">
        <v>4405</v>
      </c>
      <c r="S92" s="18" t="s">
        <v>40</v>
      </c>
      <c r="T92" s="11">
        <v>6</v>
      </c>
    </row>
    <row r="93" s="3" customFormat="1" customHeight="1" spans="1:20">
      <c r="A93" s="167" t="s">
        <v>3443</v>
      </c>
      <c r="B93" s="167" t="s">
        <v>165</v>
      </c>
      <c r="C93" s="167" t="s">
        <v>3444</v>
      </c>
      <c r="D93" s="11">
        <v>18607912074</v>
      </c>
      <c r="E93" s="167" t="s">
        <v>278</v>
      </c>
      <c r="F93" s="167" t="s">
        <v>28</v>
      </c>
      <c r="G93" s="11">
        <v>202103001</v>
      </c>
      <c r="H93" s="167" t="s">
        <v>279</v>
      </c>
      <c r="I93" s="167" t="s">
        <v>515</v>
      </c>
      <c r="J93" s="167" t="s">
        <v>280</v>
      </c>
      <c r="K93" s="167" t="s">
        <v>170</v>
      </c>
      <c r="L93" s="167" t="s">
        <v>224</v>
      </c>
      <c r="M93" s="167" t="s">
        <v>517</v>
      </c>
      <c r="N93" s="167" t="s">
        <v>3446</v>
      </c>
      <c r="O93" s="12" t="str">
        <f>_xlfn.DISPIMG("ID_BD52B8A2C60C41F6B5F6C165401F5CB1",1)</f>
        <v>=DISPIMG("ID_BD52B8A2C60C41F6B5F6C165401F5CB1",1)</v>
      </c>
      <c r="P93" s="11" t="s">
        <v>3447</v>
      </c>
      <c r="Q93" s="20">
        <v>435</v>
      </c>
      <c r="R93" s="17" t="s">
        <v>4406</v>
      </c>
      <c r="S93" s="18" t="s">
        <v>40</v>
      </c>
      <c r="T93" s="11">
        <v>7</v>
      </c>
    </row>
    <row r="94" s="3" customFormat="1" customHeight="1" spans="2:20">
      <c r="B94" s="11"/>
      <c r="C94" s="11"/>
      <c r="D94" s="11"/>
      <c r="E94" s="11"/>
      <c r="F94" s="11"/>
      <c r="G94" s="11"/>
      <c r="H94" s="11"/>
      <c r="I94" s="11"/>
      <c r="J94" s="11"/>
      <c r="K94" s="11"/>
      <c r="L94" s="11"/>
      <c r="M94" s="11"/>
      <c r="N94" s="11"/>
      <c r="O94" s="12"/>
      <c r="P94" s="11" t="s">
        <v>4409</v>
      </c>
      <c r="Q94" s="20"/>
      <c r="R94" s="11" t="s">
        <v>4410</v>
      </c>
      <c r="S94" s="18" t="s">
        <v>40</v>
      </c>
      <c r="T94" s="11">
        <v>18</v>
      </c>
    </row>
    <row r="95" s="3" customFormat="1" customHeight="1" spans="2:20">
      <c r="B95" s="11"/>
      <c r="C95" s="11"/>
      <c r="D95" s="11"/>
      <c r="E95" s="11"/>
      <c r="F95" s="11"/>
      <c r="G95" s="11"/>
      <c r="H95" s="11"/>
      <c r="I95" s="11"/>
      <c r="J95" s="11"/>
      <c r="K95" s="11"/>
      <c r="L95" s="11"/>
      <c r="M95" s="11"/>
      <c r="N95" s="11"/>
      <c r="O95" s="12"/>
      <c r="P95" s="11" t="s">
        <v>4409</v>
      </c>
      <c r="Q95" s="20"/>
      <c r="R95" s="11" t="s">
        <v>4410</v>
      </c>
      <c r="S95" s="18" t="s">
        <v>40</v>
      </c>
      <c r="T95" s="11">
        <v>19</v>
      </c>
    </row>
    <row r="96" s="3" customFormat="1" customHeight="1" spans="2:20">
      <c r="B96" s="11"/>
      <c r="C96" s="11"/>
      <c r="D96" s="11"/>
      <c r="E96" s="11"/>
      <c r="F96" s="11"/>
      <c r="G96" s="11"/>
      <c r="H96" s="11"/>
      <c r="I96" s="11"/>
      <c r="J96" s="11"/>
      <c r="K96" s="11"/>
      <c r="L96" s="11"/>
      <c r="M96" s="11"/>
      <c r="N96" s="11"/>
      <c r="O96" s="12"/>
      <c r="P96" s="11" t="s">
        <v>4409</v>
      </c>
      <c r="Q96" s="20"/>
      <c r="R96" s="11" t="s">
        <v>4410</v>
      </c>
      <c r="S96" s="18" t="s">
        <v>40</v>
      </c>
      <c r="T96" s="11">
        <v>30</v>
      </c>
    </row>
    <row r="97" s="3" customFormat="1" customHeight="1" spans="1:20">
      <c r="A97" s="167" t="s">
        <v>3488</v>
      </c>
      <c r="B97" s="167" t="s">
        <v>165</v>
      </c>
      <c r="C97" s="167" t="s">
        <v>3489</v>
      </c>
      <c r="D97" s="11">
        <v>13755200519</v>
      </c>
      <c r="E97" s="167" t="s">
        <v>278</v>
      </c>
      <c r="F97" s="167" t="s">
        <v>28</v>
      </c>
      <c r="G97" s="11">
        <v>202103001</v>
      </c>
      <c r="H97" s="167" t="s">
        <v>279</v>
      </c>
      <c r="I97" s="167" t="s">
        <v>3490</v>
      </c>
      <c r="J97" s="167" t="s">
        <v>404</v>
      </c>
      <c r="K97" s="167" t="s">
        <v>160</v>
      </c>
      <c r="L97" s="167" t="s">
        <v>1346</v>
      </c>
      <c r="M97" s="167" t="s">
        <v>517</v>
      </c>
      <c r="N97" s="167" t="s">
        <v>3491</v>
      </c>
      <c r="O97" s="12" t="str">
        <f>_xlfn.DISPIMG("ID_6A8C51914B494C9CBD5F245F39A2E519",1)</f>
        <v>=DISPIMG("ID_6A8C51914B494C9CBD5F245F39A2E519",1)</v>
      </c>
      <c r="P97" s="11" t="s">
        <v>3492</v>
      </c>
      <c r="Q97" s="11">
        <v>441</v>
      </c>
      <c r="R97" s="17" t="s">
        <v>4411</v>
      </c>
      <c r="S97" s="18" t="s">
        <v>40</v>
      </c>
      <c r="T97" s="11">
        <v>5</v>
      </c>
    </row>
    <row r="98" s="3" customFormat="1" customHeight="1" spans="1:20">
      <c r="A98" s="167" t="s">
        <v>3608</v>
      </c>
      <c r="B98" s="167" t="s">
        <v>165</v>
      </c>
      <c r="C98" s="167" t="s">
        <v>3609</v>
      </c>
      <c r="D98" s="11">
        <v>18279283769</v>
      </c>
      <c r="E98" s="167" t="s">
        <v>278</v>
      </c>
      <c r="F98" s="167" t="s">
        <v>28</v>
      </c>
      <c r="G98" s="11">
        <v>202103001</v>
      </c>
      <c r="H98" s="167" t="s">
        <v>585</v>
      </c>
      <c r="I98" s="167" t="s">
        <v>3174</v>
      </c>
      <c r="J98" s="167" t="s">
        <v>280</v>
      </c>
      <c r="K98" s="167" t="s">
        <v>170</v>
      </c>
      <c r="L98" s="167" t="s">
        <v>3039</v>
      </c>
      <c r="M98" s="167" t="s">
        <v>2686</v>
      </c>
      <c r="N98" s="167" t="s">
        <v>3611</v>
      </c>
      <c r="O98" s="12" t="str">
        <f>_xlfn.DISPIMG("ID_39BF594A37E3442B8E4FFF60E8863D45",1)</f>
        <v>=DISPIMG("ID_39BF594A37E3442B8E4FFF60E8863D45",1)</v>
      </c>
      <c r="P98" s="11" t="s">
        <v>3612</v>
      </c>
      <c r="Q98" s="11">
        <v>459</v>
      </c>
      <c r="R98" s="17" t="s">
        <v>4412</v>
      </c>
      <c r="S98" s="18" t="s">
        <v>40</v>
      </c>
      <c r="T98" s="11">
        <v>8</v>
      </c>
    </row>
    <row r="99" s="3" customFormat="1" customHeight="1" spans="2:20">
      <c r="B99" s="11"/>
      <c r="C99" s="11"/>
      <c r="D99" s="11"/>
      <c r="E99" s="11"/>
      <c r="F99" s="11"/>
      <c r="G99" s="11"/>
      <c r="H99" s="11"/>
      <c r="I99" s="11"/>
      <c r="J99" s="11"/>
      <c r="K99" s="11"/>
      <c r="L99" s="11"/>
      <c r="M99" s="11"/>
      <c r="N99" s="11"/>
      <c r="O99" s="12"/>
      <c r="P99" s="11" t="s">
        <v>4409</v>
      </c>
      <c r="Q99" s="11"/>
      <c r="R99" s="11" t="s">
        <v>4410</v>
      </c>
      <c r="S99" s="18" t="s">
        <v>40</v>
      </c>
      <c r="T99" s="11">
        <v>17</v>
      </c>
    </row>
    <row r="100" s="3" customFormat="1" customHeight="1" spans="2:20">
      <c r="B100" s="11"/>
      <c r="C100" s="11"/>
      <c r="D100" s="11"/>
      <c r="E100" s="11"/>
      <c r="F100" s="11"/>
      <c r="G100" s="11"/>
      <c r="H100" s="11"/>
      <c r="I100" s="11"/>
      <c r="J100" s="11"/>
      <c r="K100" s="11"/>
      <c r="L100" s="11"/>
      <c r="M100" s="11"/>
      <c r="N100" s="11"/>
      <c r="O100" s="12"/>
      <c r="P100" s="11" t="s">
        <v>4409</v>
      </c>
      <c r="Q100" s="11"/>
      <c r="R100" s="11" t="s">
        <v>4410</v>
      </c>
      <c r="S100" s="18" t="s">
        <v>40</v>
      </c>
      <c r="T100" s="11">
        <v>20</v>
      </c>
    </row>
    <row r="101" s="3" customFormat="1" customHeight="1" spans="2:20">
      <c r="B101" s="11"/>
      <c r="C101" s="11"/>
      <c r="D101" s="11"/>
      <c r="E101" s="11"/>
      <c r="F101" s="11"/>
      <c r="G101" s="11"/>
      <c r="H101" s="11"/>
      <c r="I101" s="11"/>
      <c r="J101" s="11"/>
      <c r="K101" s="11"/>
      <c r="L101" s="11"/>
      <c r="M101" s="11"/>
      <c r="N101" s="11"/>
      <c r="O101" s="12"/>
      <c r="P101" s="11" t="s">
        <v>4409</v>
      </c>
      <c r="Q101" s="11"/>
      <c r="R101" s="11" t="s">
        <v>4410</v>
      </c>
      <c r="S101" s="18" t="s">
        <v>40</v>
      </c>
      <c r="T101" s="11">
        <v>29</v>
      </c>
    </row>
    <row r="102" s="3" customFormat="1" customHeight="1" spans="1:20">
      <c r="A102" s="167" t="s">
        <v>3676</v>
      </c>
      <c r="B102" s="167" t="s">
        <v>165</v>
      </c>
      <c r="C102" s="167" t="s">
        <v>3677</v>
      </c>
      <c r="D102" s="11">
        <v>18296221374</v>
      </c>
      <c r="E102" s="167" t="s">
        <v>278</v>
      </c>
      <c r="F102" s="167" t="s">
        <v>28</v>
      </c>
      <c r="G102" s="11">
        <v>202103001</v>
      </c>
      <c r="H102" s="167" t="s">
        <v>585</v>
      </c>
      <c r="I102" s="167" t="s">
        <v>3679</v>
      </c>
      <c r="J102" s="167" t="s">
        <v>586</v>
      </c>
      <c r="K102" s="167" t="s">
        <v>170</v>
      </c>
      <c r="L102" s="167" t="s">
        <v>1089</v>
      </c>
      <c r="M102" s="167" t="s">
        <v>3680</v>
      </c>
      <c r="N102" s="167" t="s">
        <v>3681</v>
      </c>
      <c r="O102" s="12" t="str">
        <f>_xlfn.DISPIMG("ID_B6A72806890947DEB45EA914FD393A84",1)</f>
        <v>=DISPIMG("ID_B6A72806890947DEB45EA914FD393A84",1)</v>
      </c>
      <c r="P102" s="11" t="s">
        <v>3682</v>
      </c>
      <c r="Q102" s="11">
        <v>468</v>
      </c>
      <c r="R102" s="17" t="s">
        <v>4415</v>
      </c>
      <c r="S102" s="18" t="s">
        <v>40</v>
      </c>
      <c r="T102" s="11">
        <v>4</v>
      </c>
    </row>
    <row r="103" s="3" customFormat="1" customHeight="1" spans="1:20">
      <c r="A103" s="167" t="s">
        <v>3712</v>
      </c>
      <c r="B103" s="167" t="s">
        <v>165</v>
      </c>
      <c r="C103" s="167" t="s">
        <v>3713</v>
      </c>
      <c r="D103" s="11">
        <v>18720196269</v>
      </c>
      <c r="E103" s="167" t="s">
        <v>278</v>
      </c>
      <c r="F103" s="167" t="s">
        <v>28</v>
      </c>
      <c r="G103" s="11">
        <v>202103001</v>
      </c>
      <c r="H103" s="167" t="s">
        <v>585</v>
      </c>
      <c r="I103" s="167" t="s">
        <v>367</v>
      </c>
      <c r="J103" s="167" t="s">
        <v>2686</v>
      </c>
      <c r="K103" s="167" t="s">
        <v>160</v>
      </c>
      <c r="L103" s="167" t="s">
        <v>3039</v>
      </c>
      <c r="M103" s="167" t="s">
        <v>3715</v>
      </c>
      <c r="N103" s="167" t="s">
        <v>3716</v>
      </c>
      <c r="O103" s="12" t="str">
        <f>_xlfn.DISPIMG("ID_059DAEED1F3E457C93C0A1610046F2A5",1)</f>
        <v>=DISPIMG("ID_059DAEED1F3E457C93C0A1610046F2A5",1)</v>
      </c>
      <c r="P103" s="11" t="s">
        <v>3717</v>
      </c>
      <c r="Q103" s="11">
        <v>473</v>
      </c>
      <c r="R103" s="17" t="s">
        <v>4416</v>
      </c>
      <c r="S103" s="18" t="s">
        <v>40</v>
      </c>
      <c r="T103" s="11">
        <v>9</v>
      </c>
    </row>
    <row r="104" s="3" customFormat="1" customHeight="1" spans="2:20">
      <c r="B104" s="11"/>
      <c r="C104" s="11"/>
      <c r="D104" s="11"/>
      <c r="E104" s="11"/>
      <c r="F104" s="11"/>
      <c r="G104" s="11"/>
      <c r="H104" s="11"/>
      <c r="I104" s="11"/>
      <c r="J104" s="11"/>
      <c r="K104" s="11"/>
      <c r="L104" s="11"/>
      <c r="M104" s="11"/>
      <c r="N104" s="11"/>
      <c r="O104" s="12"/>
      <c r="P104" s="11" t="s">
        <v>4409</v>
      </c>
      <c r="Q104" s="11"/>
      <c r="R104" s="11" t="s">
        <v>4410</v>
      </c>
      <c r="S104" s="18" t="s">
        <v>40</v>
      </c>
      <c r="T104" s="11">
        <v>16</v>
      </c>
    </row>
    <row r="105" s="3" customFormat="1" customHeight="1" spans="2:20">
      <c r="B105" s="11"/>
      <c r="C105" s="11"/>
      <c r="D105" s="11"/>
      <c r="E105" s="11"/>
      <c r="F105" s="11"/>
      <c r="G105" s="11"/>
      <c r="H105" s="11"/>
      <c r="I105" s="11"/>
      <c r="J105" s="11"/>
      <c r="K105" s="11"/>
      <c r="L105" s="11"/>
      <c r="M105" s="11"/>
      <c r="N105" s="11"/>
      <c r="O105" s="12"/>
      <c r="P105" s="11" t="s">
        <v>4409</v>
      </c>
      <c r="Q105" s="11"/>
      <c r="R105" s="11" t="s">
        <v>4410</v>
      </c>
      <c r="S105" s="18" t="s">
        <v>40</v>
      </c>
      <c r="T105" s="11">
        <v>21</v>
      </c>
    </row>
    <row r="106" s="3" customFormat="1" customHeight="1" spans="2:20">
      <c r="B106" s="11"/>
      <c r="C106" s="11"/>
      <c r="D106" s="11"/>
      <c r="E106" s="11"/>
      <c r="F106" s="11"/>
      <c r="G106" s="11"/>
      <c r="H106" s="11"/>
      <c r="I106" s="11"/>
      <c r="J106" s="11"/>
      <c r="K106" s="11"/>
      <c r="L106" s="11"/>
      <c r="M106" s="11"/>
      <c r="N106" s="11"/>
      <c r="O106" s="12"/>
      <c r="P106" s="11" t="s">
        <v>4409</v>
      </c>
      <c r="Q106" s="11"/>
      <c r="R106" s="11" t="s">
        <v>4410</v>
      </c>
      <c r="S106" s="18" t="s">
        <v>40</v>
      </c>
      <c r="T106" s="11">
        <v>28</v>
      </c>
    </row>
    <row r="107" s="3" customFormat="1" customHeight="1" spans="1:20">
      <c r="A107" s="167" t="s">
        <v>3720</v>
      </c>
      <c r="B107" s="167" t="s">
        <v>165</v>
      </c>
      <c r="C107" s="167" t="s">
        <v>3721</v>
      </c>
      <c r="D107" s="11">
        <v>15970603423</v>
      </c>
      <c r="E107" s="167" t="s">
        <v>278</v>
      </c>
      <c r="F107" s="167" t="s">
        <v>28</v>
      </c>
      <c r="G107" s="11">
        <v>202103001</v>
      </c>
      <c r="H107" s="167" t="s">
        <v>157</v>
      </c>
      <c r="I107" s="167" t="s">
        <v>178</v>
      </c>
      <c r="J107" s="167" t="s">
        <v>960</v>
      </c>
      <c r="K107" s="167" t="s">
        <v>170</v>
      </c>
      <c r="L107" s="167" t="s">
        <v>180</v>
      </c>
      <c r="M107" s="167" t="s">
        <v>340</v>
      </c>
      <c r="N107" s="167" t="s">
        <v>3723</v>
      </c>
      <c r="O107" s="12" t="str">
        <f>_xlfn.DISPIMG("ID_38A4C94876C044A5A6F3E884E1CD36B4",1)</f>
        <v>=DISPIMG("ID_38A4C94876C044A5A6F3E884E1CD36B4",1)</v>
      </c>
      <c r="P107" s="11" t="s">
        <v>3724</v>
      </c>
      <c r="Q107" s="11">
        <v>474</v>
      </c>
      <c r="R107" s="17" t="s">
        <v>4418</v>
      </c>
      <c r="S107" s="18" t="s">
        <v>40</v>
      </c>
      <c r="T107" s="11">
        <v>3</v>
      </c>
    </row>
    <row r="108" s="3" customFormat="1" customHeight="1" spans="1:20">
      <c r="A108" s="167" t="s">
        <v>175</v>
      </c>
      <c r="B108" s="167" t="s">
        <v>165</v>
      </c>
      <c r="C108" s="167" t="s">
        <v>176</v>
      </c>
      <c r="D108" s="11">
        <v>18046603817</v>
      </c>
      <c r="E108" s="167" t="s">
        <v>156</v>
      </c>
      <c r="F108" s="167" t="s">
        <v>14</v>
      </c>
      <c r="G108" s="11">
        <v>202102001</v>
      </c>
      <c r="H108" s="167" t="s">
        <v>157</v>
      </c>
      <c r="I108" s="167" t="s">
        <v>178</v>
      </c>
      <c r="J108" s="167" t="s">
        <v>179</v>
      </c>
      <c r="K108" s="167" t="s">
        <v>170</v>
      </c>
      <c r="L108" s="167" t="s">
        <v>180</v>
      </c>
      <c r="M108" s="167" t="s">
        <v>14</v>
      </c>
      <c r="N108" s="11">
        <v>0</v>
      </c>
      <c r="O108" s="12" t="str">
        <f>_xlfn.DISPIMG("ID_BD43028E6BB24443B06241FE37DC179A",1)</f>
        <v>=DISPIMG("ID_BD43028E6BB24443B06241FE37DC179A",1)</v>
      </c>
      <c r="P108" s="11" t="s">
        <v>181</v>
      </c>
      <c r="Q108" s="11">
        <v>4</v>
      </c>
      <c r="R108" s="17" t="s">
        <v>4422</v>
      </c>
      <c r="S108" s="18" t="s">
        <v>40</v>
      </c>
      <c r="T108" s="11">
        <v>10</v>
      </c>
    </row>
    <row r="109" s="3" customFormat="1" customHeight="1" spans="2:20">
      <c r="B109" s="11"/>
      <c r="C109" s="11"/>
      <c r="D109" s="11"/>
      <c r="E109" s="11"/>
      <c r="F109" s="11"/>
      <c r="G109" s="11"/>
      <c r="H109" s="11"/>
      <c r="I109" s="11"/>
      <c r="J109" s="11"/>
      <c r="K109" s="11"/>
      <c r="L109" s="11"/>
      <c r="M109" s="11"/>
      <c r="N109" s="11"/>
      <c r="O109" s="12"/>
      <c r="P109" s="11" t="s">
        <v>4409</v>
      </c>
      <c r="Q109" s="11"/>
      <c r="R109" s="11" t="s">
        <v>4410</v>
      </c>
      <c r="S109" s="18" t="s">
        <v>40</v>
      </c>
      <c r="T109" s="11">
        <v>15</v>
      </c>
    </row>
    <row r="110" s="3" customFormat="1" customHeight="1" spans="2:20">
      <c r="B110" s="11"/>
      <c r="C110" s="11"/>
      <c r="D110" s="11"/>
      <c r="E110" s="11"/>
      <c r="F110" s="11"/>
      <c r="G110" s="11"/>
      <c r="H110" s="11"/>
      <c r="I110" s="11"/>
      <c r="J110" s="11"/>
      <c r="K110" s="11"/>
      <c r="L110" s="11"/>
      <c r="M110" s="11"/>
      <c r="N110" s="11"/>
      <c r="O110" s="12"/>
      <c r="P110" s="11" t="s">
        <v>4409</v>
      </c>
      <c r="Q110" s="11"/>
      <c r="R110" s="11" t="s">
        <v>4410</v>
      </c>
      <c r="S110" s="18" t="s">
        <v>40</v>
      </c>
      <c r="T110" s="11">
        <v>22</v>
      </c>
    </row>
    <row r="111" s="3" customFormat="1" customHeight="1" spans="2:20">
      <c r="B111" s="11"/>
      <c r="C111" s="11"/>
      <c r="D111" s="11"/>
      <c r="E111" s="11"/>
      <c r="F111" s="11"/>
      <c r="G111" s="11"/>
      <c r="H111" s="11"/>
      <c r="I111" s="11"/>
      <c r="J111" s="11"/>
      <c r="K111" s="11"/>
      <c r="L111" s="11"/>
      <c r="M111" s="11"/>
      <c r="N111" s="11"/>
      <c r="O111" s="12"/>
      <c r="P111" s="11" t="s">
        <v>4409</v>
      </c>
      <c r="Q111" s="11"/>
      <c r="R111" s="11" t="s">
        <v>4410</v>
      </c>
      <c r="S111" s="18" t="s">
        <v>40</v>
      </c>
      <c r="T111" s="11">
        <v>27</v>
      </c>
    </row>
    <row r="112" s="3" customFormat="1" customHeight="1" spans="1:20">
      <c r="A112" s="167" t="s">
        <v>4237</v>
      </c>
      <c r="B112" s="167" t="s">
        <v>165</v>
      </c>
      <c r="C112" s="167" t="s">
        <v>4238</v>
      </c>
      <c r="D112" s="11">
        <v>15170274665</v>
      </c>
      <c r="E112" s="167" t="s">
        <v>278</v>
      </c>
      <c r="F112" s="167" t="s">
        <v>28</v>
      </c>
      <c r="G112" s="11">
        <v>202103001</v>
      </c>
      <c r="H112" s="167" t="s">
        <v>585</v>
      </c>
      <c r="I112" s="167" t="s">
        <v>367</v>
      </c>
      <c r="J112" s="167" t="s">
        <v>280</v>
      </c>
      <c r="K112" s="167" t="s">
        <v>170</v>
      </c>
      <c r="L112" s="167" t="s">
        <v>368</v>
      </c>
      <c r="M112" s="167" t="s">
        <v>376</v>
      </c>
      <c r="N112" s="167" t="s">
        <v>4240</v>
      </c>
      <c r="O112" s="12" t="str">
        <f>_xlfn.DISPIMG("ID_7116E6EB313E4CDBB6AEC2C13A4D6810",1)</f>
        <v>=DISPIMG("ID_7116E6EB313E4CDBB6AEC2C13A4D6810",1)</v>
      </c>
      <c r="P112" s="11" t="s">
        <v>4241</v>
      </c>
      <c r="Q112" s="11">
        <v>542</v>
      </c>
      <c r="R112" s="17" t="s">
        <v>4419</v>
      </c>
      <c r="S112" s="18" t="s">
        <v>40</v>
      </c>
      <c r="T112" s="11">
        <v>2</v>
      </c>
    </row>
    <row r="113" s="3" customFormat="1" customHeight="1" spans="1:20">
      <c r="A113" s="167" t="s">
        <v>345</v>
      </c>
      <c r="B113" s="167" t="s">
        <v>165</v>
      </c>
      <c r="C113" s="167" t="s">
        <v>346</v>
      </c>
      <c r="D113" s="11">
        <v>15179246525</v>
      </c>
      <c r="E113" s="167" t="s">
        <v>156</v>
      </c>
      <c r="F113" s="167" t="s">
        <v>14</v>
      </c>
      <c r="G113" s="11">
        <v>202102001</v>
      </c>
      <c r="H113" s="167" t="s">
        <v>279</v>
      </c>
      <c r="I113" s="167" t="s">
        <v>158</v>
      </c>
      <c r="J113" s="167" t="s">
        <v>348</v>
      </c>
      <c r="K113" s="167" t="s">
        <v>170</v>
      </c>
      <c r="L113" s="167" t="s">
        <v>349</v>
      </c>
      <c r="M113" s="167" t="s">
        <v>350</v>
      </c>
      <c r="N113" s="167" t="s">
        <v>351</v>
      </c>
      <c r="O113" s="12" t="str">
        <f>_xlfn.DISPIMG("ID_0FE66397D3464536A23D26C93FD62495",1)</f>
        <v>=DISPIMG("ID_0FE66397D3464536A23D26C93FD62495",1)</v>
      </c>
      <c r="P113" s="11" t="s">
        <v>352</v>
      </c>
      <c r="Q113" s="20">
        <v>23</v>
      </c>
      <c r="R113" s="17" t="s">
        <v>4424</v>
      </c>
      <c r="S113" s="18" t="s">
        <v>40</v>
      </c>
      <c r="T113" s="11">
        <v>11</v>
      </c>
    </row>
    <row r="114" s="3" customFormat="1" customHeight="1" spans="1:20">
      <c r="A114" s="167" t="s">
        <v>364</v>
      </c>
      <c r="B114" s="167" t="s">
        <v>153</v>
      </c>
      <c r="C114" s="167" t="s">
        <v>365</v>
      </c>
      <c r="D114" s="11">
        <v>15879225309</v>
      </c>
      <c r="E114" s="167" t="s">
        <v>156</v>
      </c>
      <c r="F114" s="167" t="s">
        <v>14</v>
      </c>
      <c r="G114" s="11">
        <v>202102001</v>
      </c>
      <c r="H114" s="167" t="s">
        <v>157</v>
      </c>
      <c r="I114" s="167" t="s">
        <v>367</v>
      </c>
      <c r="J114" s="167" t="s">
        <v>348</v>
      </c>
      <c r="K114" s="167" t="s">
        <v>170</v>
      </c>
      <c r="L114" s="167" t="s">
        <v>368</v>
      </c>
      <c r="M114" s="167" t="s">
        <v>14</v>
      </c>
      <c r="N114" s="167" t="s">
        <v>369</v>
      </c>
      <c r="O114" s="12" t="str">
        <f>_xlfn.DISPIMG("ID_08B1C5991BF641D590EC606BAB378CA1",1)</f>
        <v>=DISPIMG("ID_08B1C5991BF641D590EC606BAB378CA1",1)</v>
      </c>
      <c r="P114" s="11" t="s">
        <v>370</v>
      </c>
      <c r="Q114" s="11">
        <v>25</v>
      </c>
      <c r="R114" s="17" t="s">
        <v>4425</v>
      </c>
      <c r="S114" s="18" t="s">
        <v>40</v>
      </c>
      <c r="T114" s="11">
        <v>14</v>
      </c>
    </row>
    <row r="115" s="3" customFormat="1" customHeight="1" spans="2:20">
      <c r="B115" s="11"/>
      <c r="C115" s="11"/>
      <c r="D115" s="11"/>
      <c r="E115" s="11"/>
      <c r="F115" s="11"/>
      <c r="G115" s="11"/>
      <c r="H115" s="11"/>
      <c r="I115" s="11"/>
      <c r="J115" s="11"/>
      <c r="K115" s="11"/>
      <c r="L115" s="11"/>
      <c r="M115" s="11"/>
      <c r="N115" s="11"/>
      <c r="O115" s="12"/>
      <c r="P115" s="11" t="s">
        <v>4409</v>
      </c>
      <c r="Q115" s="20"/>
      <c r="R115" s="11" t="s">
        <v>4410</v>
      </c>
      <c r="S115" s="18" t="s">
        <v>40</v>
      </c>
      <c r="T115" s="11">
        <v>23</v>
      </c>
    </row>
    <row r="116" s="3" customFormat="1" customHeight="1" spans="2:20">
      <c r="B116" s="11"/>
      <c r="C116" s="11"/>
      <c r="D116" s="11"/>
      <c r="E116" s="11"/>
      <c r="F116" s="11"/>
      <c r="G116" s="11"/>
      <c r="H116" s="11"/>
      <c r="I116" s="11"/>
      <c r="J116" s="11"/>
      <c r="K116" s="11"/>
      <c r="L116" s="11"/>
      <c r="M116" s="11"/>
      <c r="N116" s="11"/>
      <c r="O116" s="12"/>
      <c r="P116" s="11" t="s">
        <v>4409</v>
      </c>
      <c r="Q116" s="20"/>
      <c r="R116" s="11" t="s">
        <v>4410</v>
      </c>
      <c r="S116" s="18" t="s">
        <v>40</v>
      </c>
      <c r="T116" s="11">
        <v>26</v>
      </c>
    </row>
    <row r="117" s="3" customFormat="1" customHeight="1" spans="1:20">
      <c r="A117" s="167" t="s">
        <v>4259</v>
      </c>
      <c r="B117" s="167" t="s">
        <v>165</v>
      </c>
      <c r="C117" s="167" t="s">
        <v>4260</v>
      </c>
      <c r="D117" s="11">
        <v>15270817874</v>
      </c>
      <c r="E117" s="167" t="s">
        <v>278</v>
      </c>
      <c r="F117" s="167" t="s">
        <v>28</v>
      </c>
      <c r="G117" s="11">
        <v>202103001</v>
      </c>
      <c r="H117" s="167" t="s">
        <v>279</v>
      </c>
      <c r="I117" s="167" t="s">
        <v>339</v>
      </c>
      <c r="J117" s="167" t="s">
        <v>280</v>
      </c>
      <c r="K117" s="167" t="s">
        <v>170</v>
      </c>
      <c r="L117" s="167" t="s">
        <v>368</v>
      </c>
      <c r="M117" s="167" t="s">
        <v>4262</v>
      </c>
      <c r="N117" s="167" t="s">
        <v>4263</v>
      </c>
      <c r="O117" s="12" t="str">
        <f>_xlfn.DISPIMG("ID_7ED866D6DEDB4511B970FE38712BEDF5",1)</f>
        <v>=DISPIMG("ID_7ED866D6DEDB4511B970FE38712BEDF5",1)</v>
      </c>
      <c r="P117" s="11" t="s">
        <v>4264</v>
      </c>
      <c r="Q117" s="20">
        <v>545</v>
      </c>
      <c r="R117" s="17" t="s">
        <v>4421</v>
      </c>
      <c r="S117" s="18" t="s">
        <v>40</v>
      </c>
      <c r="T117" s="11">
        <v>1</v>
      </c>
    </row>
    <row r="118" s="3" customFormat="1" customHeight="1" spans="1:20">
      <c r="A118" s="167" t="s">
        <v>451</v>
      </c>
      <c r="B118" s="167" t="s">
        <v>165</v>
      </c>
      <c r="C118" s="167" t="s">
        <v>452</v>
      </c>
      <c r="D118" s="11">
        <v>15870856801</v>
      </c>
      <c r="E118" s="167" t="s">
        <v>156</v>
      </c>
      <c r="F118" s="167" t="s">
        <v>14</v>
      </c>
      <c r="G118" s="11">
        <v>202102001</v>
      </c>
      <c r="H118" s="167" t="s">
        <v>157</v>
      </c>
      <c r="I118" s="167" t="s">
        <v>158</v>
      </c>
      <c r="J118" s="167" t="s">
        <v>454</v>
      </c>
      <c r="K118" s="167" t="s">
        <v>170</v>
      </c>
      <c r="L118" s="167" t="s">
        <v>455</v>
      </c>
      <c r="M118" s="167" t="s">
        <v>14</v>
      </c>
      <c r="N118" s="11">
        <v>0</v>
      </c>
      <c r="O118" s="12" t="str">
        <f>_xlfn.DISPIMG("ID_B55181394FEF4B858E10F092AB43BFBB",1)</f>
        <v>=DISPIMG("ID_B55181394FEF4B858E10F092AB43BFBB",1)</v>
      </c>
      <c r="P118" s="11" t="s">
        <v>456</v>
      </c>
      <c r="Q118" s="11">
        <v>35</v>
      </c>
      <c r="R118" s="17" t="s">
        <v>4407</v>
      </c>
      <c r="S118" s="18" t="s">
        <v>40</v>
      </c>
      <c r="T118" s="11">
        <v>12</v>
      </c>
    </row>
    <row r="119" s="3" customFormat="1" customHeight="1" spans="1:20">
      <c r="A119" s="167" t="s">
        <v>529</v>
      </c>
      <c r="B119" s="167" t="s">
        <v>165</v>
      </c>
      <c r="C119" s="167" t="s">
        <v>530</v>
      </c>
      <c r="D119" s="11">
        <v>13870852168</v>
      </c>
      <c r="E119" s="167" t="s">
        <v>156</v>
      </c>
      <c r="F119" s="167" t="s">
        <v>14</v>
      </c>
      <c r="G119" s="11">
        <v>202102001</v>
      </c>
      <c r="H119" s="167" t="s">
        <v>157</v>
      </c>
      <c r="I119" s="167" t="s">
        <v>532</v>
      </c>
      <c r="J119" s="167" t="s">
        <v>533</v>
      </c>
      <c r="K119" s="167" t="s">
        <v>160</v>
      </c>
      <c r="L119" s="167" t="s">
        <v>516</v>
      </c>
      <c r="M119" s="167" t="s">
        <v>14</v>
      </c>
      <c r="N119" s="11">
        <v>0</v>
      </c>
      <c r="O119" s="12" t="str">
        <f>_xlfn.DISPIMG("ID_DE54808A64424090BF3B2071C574D915",1)</f>
        <v>=DISPIMG("ID_DE54808A64424090BF3B2071C574D915",1)</v>
      </c>
      <c r="P119" s="11" t="s">
        <v>534</v>
      </c>
      <c r="Q119" s="11">
        <v>45</v>
      </c>
      <c r="R119" s="17" t="s">
        <v>4408</v>
      </c>
      <c r="S119" s="18" t="s">
        <v>40</v>
      </c>
      <c r="T119" s="11">
        <v>13</v>
      </c>
    </row>
    <row r="120" s="3" customFormat="1" customHeight="1" spans="2:20">
      <c r="B120" s="11"/>
      <c r="C120" s="11"/>
      <c r="D120" s="11"/>
      <c r="E120" s="11"/>
      <c r="F120" s="11"/>
      <c r="G120" s="11"/>
      <c r="H120" s="11"/>
      <c r="I120" s="11"/>
      <c r="J120" s="11"/>
      <c r="K120" s="11"/>
      <c r="L120" s="11"/>
      <c r="M120" s="11"/>
      <c r="N120" s="11"/>
      <c r="O120" s="12"/>
      <c r="P120" s="11" t="s">
        <v>4409</v>
      </c>
      <c r="Q120" s="11"/>
      <c r="R120" s="11" t="s">
        <v>4410</v>
      </c>
      <c r="S120" s="18" t="s">
        <v>40</v>
      </c>
      <c r="T120" s="11">
        <v>24</v>
      </c>
    </row>
    <row r="121" s="3" customFormat="1" customHeight="1" spans="2:20">
      <c r="B121" s="11"/>
      <c r="C121" s="11"/>
      <c r="D121" s="11"/>
      <c r="E121" s="11"/>
      <c r="F121" s="11"/>
      <c r="G121" s="11"/>
      <c r="H121" s="11"/>
      <c r="I121" s="11"/>
      <c r="J121" s="11"/>
      <c r="K121" s="11"/>
      <c r="L121" s="11"/>
      <c r="M121" s="11"/>
      <c r="N121" s="11"/>
      <c r="O121" s="12"/>
      <c r="P121" s="11" t="s">
        <v>4409</v>
      </c>
      <c r="Q121" s="11"/>
      <c r="R121" s="11" t="s">
        <v>4410</v>
      </c>
      <c r="S121" s="18" t="s">
        <v>40</v>
      </c>
      <c r="T121" s="11">
        <v>25</v>
      </c>
    </row>
    <row r="122" s="3" customFormat="1" customHeight="1" spans="1:20">
      <c r="A122" s="166" t="s">
        <v>635</v>
      </c>
      <c r="B122" s="166" t="s">
        <v>165</v>
      </c>
      <c r="C122" s="166" t="s">
        <v>636</v>
      </c>
      <c r="D122" s="11">
        <v>15070232391</v>
      </c>
      <c r="E122" s="167" t="s">
        <v>156</v>
      </c>
      <c r="F122" s="166" t="s">
        <v>14</v>
      </c>
      <c r="G122" s="9">
        <v>202102001</v>
      </c>
      <c r="H122" s="167" t="s">
        <v>279</v>
      </c>
      <c r="I122" s="167" t="s">
        <v>158</v>
      </c>
      <c r="J122" s="167" t="s">
        <v>348</v>
      </c>
      <c r="K122" s="167" t="s">
        <v>170</v>
      </c>
      <c r="L122" s="167" t="s">
        <v>548</v>
      </c>
      <c r="M122" s="167" t="s">
        <v>638</v>
      </c>
      <c r="N122" s="167" t="s">
        <v>639</v>
      </c>
      <c r="O122" s="12" t="str">
        <f>_xlfn.DISPIMG("ID_89E406E2AE894B018BFF7E7198130BCA",1)</f>
        <v>=DISPIMG("ID_89E406E2AE894B018BFF7E7198130BCA",1)</v>
      </c>
      <c r="P122" s="9" t="s">
        <v>640</v>
      </c>
      <c r="Q122" s="11">
        <v>58</v>
      </c>
      <c r="R122" s="15" t="s">
        <v>4413</v>
      </c>
      <c r="S122" s="19" t="s">
        <v>43</v>
      </c>
      <c r="T122" s="9">
        <v>6</v>
      </c>
    </row>
    <row r="123" s="3" customFormat="1" customHeight="1" spans="1:20">
      <c r="A123" s="166" t="s">
        <v>643</v>
      </c>
      <c r="B123" s="166" t="s">
        <v>165</v>
      </c>
      <c r="C123" s="166" t="s">
        <v>644</v>
      </c>
      <c r="D123" s="11">
        <v>17808826021</v>
      </c>
      <c r="E123" s="167" t="s">
        <v>156</v>
      </c>
      <c r="F123" s="166" t="s">
        <v>14</v>
      </c>
      <c r="G123" s="9">
        <v>202102001</v>
      </c>
      <c r="H123" s="167" t="s">
        <v>157</v>
      </c>
      <c r="I123" s="167" t="s">
        <v>646</v>
      </c>
      <c r="J123" s="167" t="s">
        <v>454</v>
      </c>
      <c r="K123" s="167" t="s">
        <v>160</v>
      </c>
      <c r="L123" s="167" t="s">
        <v>224</v>
      </c>
      <c r="M123" s="167" t="s">
        <v>14</v>
      </c>
      <c r="N123" s="167" t="s">
        <v>647</v>
      </c>
      <c r="O123" s="12" t="str">
        <f>_xlfn.DISPIMG("ID_905C387E694F4B30B6CB8B8291B01F38",1)</f>
        <v>=DISPIMG("ID_905C387E694F4B30B6CB8B8291B01F38",1)</v>
      </c>
      <c r="P123" s="9" t="s">
        <v>648</v>
      </c>
      <c r="Q123" s="11">
        <v>59</v>
      </c>
      <c r="R123" s="15" t="s">
        <v>4414</v>
      </c>
      <c r="S123" s="19" t="s">
        <v>43</v>
      </c>
      <c r="T123" s="9">
        <v>7</v>
      </c>
    </row>
    <row r="124" s="3" customFormat="1" customHeight="1" spans="1:20">
      <c r="A124" s="166" t="s">
        <v>651</v>
      </c>
      <c r="B124" s="166" t="s">
        <v>165</v>
      </c>
      <c r="C124" s="166" t="s">
        <v>652</v>
      </c>
      <c r="D124" s="11">
        <v>13677913381</v>
      </c>
      <c r="E124" s="167" t="s">
        <v>156</v>
      </c>
      <c r="F124" s="166" t="s">
        <v>14</v>
      </c>
      <c r="G124" s="9">
        <v>202102001</v>
      </c>
      <c r="H124" s="167" t="s">
        <v>279</v>
      </c>
      <c r="I124" s="167" t="s">
        <v>339</v>
      </c>
      <c r="J124" s="167" t="s">
        <v>348</v>
      </c>
      <c r="K124" s="167" t="s">
        <v>170</v>
      </c>
      <c r="L124" s="167" t="s">
        <v>171</v>
      </c>
      <c r="M124" s="167" t="s">
        <v>654</v>
      </c>
      <c r="N124" s="167" t="s">
        <v>655</v>
      </c>
      <c r="O124" s="12" t="str">
        <f>_xlfn.DISPIMG("ID_F245B8B6D20E4BBA8409FA8C63902E06",1)</f>
        <v>=DISPIMG("ID_F245B8B6D20E4BBA8409FA8C63902E06",1)</v>
      </c>
      <c r="P124" s="9" t="s">
        <v>656</v>
      </c>
      <c r="Q124" s="11">
        <v>60</v>
      </c>
      <c r="R124" s="15" t="s">
        <v>4417</v>
      </c>
      <c r="S124" s="19" t="s">
        <v>43</v>
      </c>
      <c r="T124" s="9">
        <v>18</v>
      </c>
    </row>
    <row r="125" s="3" customFormat="1" customHeight="1" spans="1:20">
      <c r="A125" s="166" t="s">
        <v>687</v>
      </c>
      <c r="B125" s="166" t="s">
        <v>153</v>
      </c>
      <c r="C125" s="166" t="s">
        <v>688</v>
      </c>
      <c r="D125" s="11">
        <v>18370106328</v>
      </c>
      <c r="E125" s="167" t="s">
        <v>156</v>
      </c>
      <c r="F125" s="166" t="s">
        <v>14</v>
      </c>
      <c r="G125" s="9">
        <v>202102001</v>
      </c>
      <c r="H125" s="167" t="s">
        <v>279</v>
      </c>
      <c r="I125" s="167" t="s">
        <v>158</v>
      </c>
      <c r="J125" s="167" t="s">
        <v>348</v>
      </c>
      <c r="K125" s="167" t="s">
        <v>170</v>
      </c>
      <c r="L125" s="167" t="s">
        <v>281</v>
      </c>
      <c r="M125" s="167" t="s">
        <v>689</v>
      </c>
      <c r="N125" s="167" t="s">
        <v>690</v>
      </c>
      <c r="O125" s="12" t="str">
        <f>_xlfn.DISPIMG("ID_54204C01855F423A99B7E1E3FD940E61",1)</f>
        <v>=DISPIMG("ID_54204C01855F423A99B7E1E3FD940E61",1)</v>
      </c>
      <c r="P125" s="9" t="s">
        <v>691</v>
      </c>
      <c r="Q125" s="11">
        <v>64</v>
      </c>
      <c r="R125" s="15" t="s">
        <v>4420</v>
      </c>
      <c r="S125" s="19" t="s">
        <v>43</v>
      </c>
      <c r="T125" s="9">
        <v>19</v>
      </c>
    </row>
    <row r="126" s="5" customFormat="1" customHeight="1" spans="1:20">
      <c r="A126" s="166" t="s">
        <v>738</v>
      </c>
      <c r="B126" s="166" t="s">
        <v>165</v>
      </c>
      <c r="C126" s="166" t="s">
        <v>739</v>
      </c>
      <c r="D126" s="11">
        <v>15279225160</v>
      </c>
      <c r="E126" s="167" t="s">
        <v>156</v>
      </c>
      <c r="F126" s="166" t="s">
        <v>14</v>
      </c>
      <c r="G126" s="9">
        <v>202102001</v>
      </c>
      <c r="H126" s="167" t="s">
        <v>279</v>
      </c>
      <c r="I126" s="167" t="s">
        <v>576</v>
      </c>
      <c r="J126" s="167" t="s">
        <v>348</v>
      </c>
      <c r="K126" s="167" t="s">
        <v>170</v>
      </c>
      <c r="L126" s="167" t="s">
        <v>224</v>
      </c>
      <c r="M126" s="167" t="s">
        <v>741</v>
      </c>
      <c r="N126" s="167" t="s">
        <v>742</v>
      </c>
      <c r="O126" s="12" t="str">
        <f>_xlfn.DISPIMG("ID_05F523224C924653A8F56CD5737A4E8C",1)</f>
        <v>=DISPIMG("ID_05F523224C924653A8F56CD5737A4E8C",1)</v>
      </c>
      <c r="P126" s="9" t="s">
        <v>743</v>
      </c>
      <c r="Q126" s="11">
        <v>70</v>
      </c>
      <c r="R126" s="15" t="s">
        <v>4423</v>
      </c>
      <c r="S126" s="19" t="s">
        <v>43</v>
      </c>
      <c r="T126" s="9">
        <v>30</v>
      </c>
    </row>
    <row r="127" s="3" customFormat="1" customHeight="1" spans="1:20">
      <c r="A127" s="166" t="s">
        <v>916</v>
      </c>
      <c r="B127" s="166" t="s">
        <v>165</v>
      </c>
      <c r="C127" s="166" t="s">
        <v>917</v>
      </c>
      <c r="D127" s="11">
        <v>15070951954</v>
      </c>
      <c r="E127" s="167" t="s">
        <v>156</v>
      </c>
      <c r="F127" s="166" t="s">
        <v>14</v>
      </c>
      <c r="G127" s="9">
        <v>202102001</v>
      </c>
      <c r="H127" s="167" t="s">
        <v>157</v>
      </c>
      <c r="I127" s="167" t="s">
        <v>233</v>
      </c>
      <c r="J127" s="167" t="s">
        <v>454</v>
      </c>
      <c r="K127" s="167" t="s">
        <v>160</v>
      </c>
      <c r="L127" s="167" t="s">
        <v>919</v>
      </c>
      <c r="M127" s="167" t="s">
        <v>14</v>
      </c>
      <c r="N127" s="167" t="s">
        <v>920</v>
      </c>
      <c r="O127" s="12" t="str">
        <f>_xlfn.DISPIMG("ID_ADE94A403A29454787C6186CC5AA20B8",1)</f>
        <v>=DISPIMG("ID_ADE94A403A29454787C6186CC5AA20B8",1)</v>
      </c>
      <c r="P127" s="9" t="s">
        <v>921</v>
      </c>
      <c r="Q127" s="11">
        <v>92</v>
      </c>
      <c r="R127" s="15" t="s">
        <v>4426</v>
      </c>
      <c r="S127" s="19" t="s">
        <v>43</v>
      </c>
      <c r="T127" s="9">
        <v>5</v>
      </c>
    </row>
    <row r="128" s="3" customFormat="1" customHeight="1" spans="1:20">
      <c r="A128" s="166" t="s">
        <v>1102</v>
      </c>
      <c r="B128" s="166" t="s">
        <v>165</v>
      </c>
      <c r="C128" s="166" t="s">
        <v>1103</v>
      </c>
      <c r="D128" s="11">
        <v>18890061239</v>
      </c>
      <c r="E128" s="167" t="s">
        <v>156</v>
      </c>
      <c r="F128" s="166" t="s">
        <v>14</v>
      </c>
      <c r="G128" s="9">
        <v>202102001</v>
      </c>
      <c r="H128" s="167" t="s">
        <v>157</v>
      </c>
      <c r="I128" s="167" t="s">
        <v>1105</v>
      </c>
      <c r="J128" s="167" t="s">
        <v>454</v>
      </c>
      <c r="K128" s="167" t="s">
        <v>160</v>
      </c>
      <c r="L128" s="167" t="s">
        <v>161</v>
      </c>
      <c r="M128" s="167" t="s">
        <v>14</v>
      </c>
      <c r="N128" s="11">
        <v>0</v>
      </c>
      <c r="O128" s="12" t="str">
        <f>_xlfn.DISPIMG("ID_85B66E0F069149898E44BCE57E5EBF40",1)</f>
        <v>=DISPIMG("ID_85B66E0F069149898E44BCE57E5EBF40",1)</v>
      </c>
      <c r="P128" s="9" t="s">
        <v>1106</v>
      </c>
      <c r="Q128" s="11">
        <v>115</v>
      </c>
      <c r="R128" s="15" t="s">
        <v>4427</v>
      </c>
      <c r="S128" s="19" t="s">
        <v>43</v>
      </c>
      <c r="T128" s="9">
        <v>8</v>
      </c>
    </row>
    <row r="129" s="3" customFormat="1" customHeight="1" spans="1:20">
      <c r="A129" s="166" t="s">
        <v>1255</v>
      </c>
      <c r="B129" s="166" t="s">
        <v>165</v>
      </c>
      <c r="C129" s="166" t="s">
        <v>1256</v>
      </c>
      <c r="D129" s="11">
        <v>18370224457</v>
      </c>
      <c r="E129" s="167" t="s">
        <v>506</v>
      </c>
      <c r="F129" s="166" t="s">
        <v>14</v>
      </c>
      <c r="G129" s="9">
        <v>202102014</v>
      </c>
      <c r="H129" s="167" t="s">
        <v>279</v>
      </c>
      <c r="I129" s="167" t="s">
        <v>1258</v>
      </c>
      <c r="J129" s="167" t="s">
        <v>348</v>
      </c>
      <c r="K129" s="167" t="s">
        <v>170</v>
      </c>
      <c r="L129" s="167" t="s">
        <v>161</v>
      </c>
      <c r="M129" s="167" t="s">
        <v>121</v>
      </c>
      <c r="N129" s="167" t="s">
        <v>1259</v>
      </c>
      <c r="O129" s="12" t="str">
        <f>_xlfn.DISPIMG("ID_AF9D4A23BC36463DA48841C24B1BEB6F",1)</f>
        <v>=DISPIMG("ID_AF9D4A23BC36463DA48841C24B1BEB6F",1)</v>
      </c>
      <c r="P129" s="9" t="s">
        <v>1260</v>
      </c>
      <c r="Q129" s="11">
        <v>134</v>
      </c>
      <c r="R129" s="15" t="s">
        <v>4428</v>
      </c>
      <c r="S129" s="19" t="s">
        <v>43</v>
      </c>
      <c r="T129" s="9">
        <v>17</v>
      </c>
    </row>
    <row r="130" s="3" customFormat="1" customHeight="1" spans="1:20">
      <c r="A130" s="166" t="s">
        <v>1350</v>
      </c>
      <c r="B130" s="166" t="s">
        <v>165</v>
      </c>
      <c r="C130" s="166" t="s">
        <v>1351</v>
      </c>
      <c r="D130" s="11">
        <v>13767415091</v>
      </c>
      <c r="E130" s="167" t="s">
        <v>156</v>
      </c>
      <c r="F130" s="166" t="s">
        <v>14</v>
      </c>
      <c r="G130" s="9">
        <v>202102001</v>
      </c>
      <c r="H130" s="167" t="s">
        <v>157</v>
      </c>
      <c r="I130" s="167" t="s">
        <v>827</v>
      </c>
      <c r="J130" s="167" t="s">
        <v>223</v>
      </c>
      <c r="K130" s="167" t="s">
        <v>170</v>
      </c>
      <c r="L130" s="167" t="s">
        <v>306</v>
      </c>
      <c r="M130" s="167" t="s">
        <v>1353</v>
      </c>
      <c r="N130" s="11">
        <v>0</v>
      </c>
      <c r="O130" s="12" t="str">
        <f>_xlfn.DISPIMG("ID_7AB2E23FEFF940D9992E8955A95BEDD5",1)</f>
        <v>=DISPIMG("ID_7AB2E23FEFF940D9992E8955A95BEDD5",1)</v>
      </c>
      <c r="P130" s="9" t="s">
        <v>1354</v>
      </c>
      <c r="Q130" s="11">
        <v>147</v>
      </c>
      <c r="R130" s="15" t="s">
        <v>4429</v>
      </c>
      <c r="S130" s="19" t="s">
        <v>43</v>
      </c>
      <c r="T130" s="9">
        <v>20</v>
      </c>
    </row>
    <row r="131" s="3" customFormat="1" customHeight="1" spans="1:20">
      <c r="A131" s="166" t="s">
        <v>1380</v>
      </c>
      <c r="B131" s="166" t="s">
        <v>165</v>
      </c>
      <c r="C131" s="166" t="s">
        <v>1381</v>
      </c>
      <c r="D131" s="11">
        <v>15279288135</v>
      </c>
      <c r="E131" s="167" t="s">
        <v>156</v>
      </c>
      <c r="F131" s="166" t="s">
        <v>14</v>
      </c>
      <c r="G131" s="9">
        <v>202102001</v>
      </c>
      <c r="H131" s="167" t="s">
        <v>279</v>
      </c>
      <c r="I131" s="167" t="s">
        <v>339</v>
      </c>
      <c r="J131" s="167" t="s">
        <v>348</v>
      </c>
      <c r="K131" s="167" t="s">
        <v>170</v>
      </c>
      <c r="L131" s="167" t="s">
        <v>368</v>
      </c>
      <c r="M131" s="167" t="s">
        <v>350</v>
      </c>
      <c r="N131" s="167" t="s">
        <v>1383</v>
      </c>
      <c r="O131" s="12" t="str">
        <f>_xlfn.DISPIMG("ID_05A4371881E64A5ABCF18AC5C0DCA23F",1)</f>
        <v>=DISPIMG("ID_05A4371881E64A5ABCF18AC5C0DCA23F",1)</v>
      </c>
      <c r="P131" s="9" t="s">
        <v>1384</v>
      </c>
      <c r="Q131" s="11">
        <v>151</v>
      </c>
      <c r="R131" s="15" t="s">
        <v>4430</v>
      </c>
      <c r="S131" s="19" t="s">
        <v>43</v>
      </c>
      <c r="T131" s="9">
        <v>29</v>
      </c>
    </row>
    <row r="132" s="3" customFormat="1" customHeight="1" spans="1:20">
      <c r="A132" s="166" t="s">
        <v>1496</v>
      </c>
      <c r="B132" s="166" t="s">
        <v>165</v>
      </c>
      <c r="C132" s="166" t="s">
        <v>1497</v>
      </c>
      <c r="D132" s="11">
        <v>18770916920</v>
      </c>
      <c r="E132" s="167" t="s">
        <v>156</v>
      </c>
      <c r="F132" s="166" t="s">
        <v>14</v>
      </c>
      <c r="G132" s="9">
        <v>202102001</v>
      </c>
      <c r="H132" s="167" t="s">
        <v>157</v>
      </c>
      <c r="I132" s="167" t="s">
        <v>876</v>
      </c>
      <c r="J132" s="167" t="s">
        <v>1499</v>
      </c>
      <c r="K132" s="167" t="s">
        <v>160</v>
      </c>
      <c r="L132" s="167" t="s">
        <v>396</v>
      </c>
      <c r="M132" s="167" t="s">
        <v>14</v>
      </c>
      <c r="N132" s="11">
        <v>0</v>
      </c>
      <c r="O132" s="12" t="str">
        <f>_xlfn.DISPIMG("ID_F699C2D8D57643CC8A99CF3C2C6B152A",1)</f>
        <v>=DISPIMG("ID_F699C2D8D57643CC8A99CF3C2C6B152A",1)</v>
      </c>
      <c r="P132" s="9" t="s">
        <v>1500</v>
      </c>
      <c r="Q132" s="11">
        <v>166</v>
      </c>
      <c r="R132" s="15" t="s">
        <v>4431</v>
      </c>
      <c r="S132" s="19" t="s">
        <v>43</v>
      </c>
      <c r="T132" s="9">
        <v>4</v>
      </c>
    </row>
    <row r="133" s="3" customFormat="1" customHeight="1" spans="1:20">
      <c r="A133" s="166" t="s">
        <v>1542</v>
      </c>
      <c r="B133" s="166" t="s">
        <v>153</v>
      </c>
      <c r="C133" s="166" t="s">
        <v>1543</v>
      </c>
      <c r="D133" s="11">
        <v>15270866526</v>
      </c>
      <c r="E133" s="167" t="s">
        <v>156</v>
      </c>
      <c r="F133" s="166" t="s">
        <v>14</v>
      </c>
      <c r="G133" s="9">
        <v>202102001</v>
      </c>
      <c r="H133" s="167" t="s">
        <v>157</v>
      </c>
      <c r="I133" s="167" t="s">
        <v>1545</v>
      </c>
      <c r="J133" s="167" t="s">
        <v>1546</v>
      </c>
      <c r="K133" s="167" t="s">
        <v>170</v>
      </c>
      <c r="L133" s="167" t="s">
        <v>235</v>
      </c>
      <c r="M133" s="167" t="s">
        <v>1547</v>
      </c>
      <c r="N133" s="167" t="s">
        <v>1548</v>
      </c>
      <c r="O133" s="12" t="str">
        <f>_xlfn.DISPIMG("ID_08EA3F14C88D463E8A5342E5A111BC99",1)</f>
        <v>=DISPIMG("ID_08EA3F14C88D463E8A5342E5A111BC99",1)</v>
      </c>
      <c r="P133" s="9" t="s">
        <v>1549</v>
      </c>
      <c r="Q133" s="11">
        <v>172</v>
      </c>
      <c r="R133" s="15" t="s">
        <v>4432</v>
      </c>
      <c r="S133" s="19" t="s">
        <v>43</v>
      </c>
      <c r="T133" s="9">
        <v>9</v>
      </c>
    </row>
    <row r="134" s="3" customFormat="1" customHeight="1" spans="1:20">
      <c r="A134" s="166" t="s">
        <v>1697</v>
      </c>
      <c r="B134" s="166" t="s">
        <v>165</v>
      </c>
      <c r="C134" s="166" t="s">
        <v>1698</v>
      </c>
      <c r="D134" s="11">
        <v>13732925421</v>
      </c>
      <c r="E134" s="167" t="s">
        <v>156</v>
      </c>
      <c r="F134" s="166" t="s">
        <v>14</v>
      </c>
      <c r="G134" s="9">
        <v>202102001</v>
      </c>
      <c r="H134" s="167" t="s">
        <v>157</v>
      </c>
      <c r="I134" s="167" t="s">
        <v>1654</v>
      </c>
      <c r="J134" s="167" t="s">
        <v>1700</v>
      </c>
      <c r="K134" s="167" t="s">
        <v>160</v>
      </c>
      <c r="L134" s="167" t="s">
        <v>235</v>
      </c>
      <c r="M134" s="167" t="s">
        <v>1701</v>
      </c>
      <c r="N134" s="167" t="s">
        <v>1702</v>
      </c>
      <c r="O134" s="12" t="str">
        <f>_xlfn.DISPIMG("ID_9C3AAF7BA09C4626832FC4C49E6F802D",1)</f>
        <v>=DISPIMG("ID_9C3AAF7BA09C4626832FC4C49E6F802D",1)</v>
      </c>
      <c r="P134" s="9" t="s">
        <v>1703</v>
      </c>
      <c r="Q134" s="11">
        <v>192</v>
      </c>
      <c r="R134" s="15" t="s">
        <v>4433</v>
      </c>
      <c r="S134" s="19" t="s">
        <v>43</v>
      </c>
      <c r="T134" s="9">
        <v>16</v>
      </c>
    </row>
    <row r="135" s="3" customFormat="1" customHeight="1" spans="1:20">
      <c r="A135" s="166" t="s">
        <v>1723</v>
      </c>
      <c r="B135" s="166" t="s">
        <v>165</v>
      </c>
      <c r="C135" s="166" t="s">
        <v>1724</v>
      </c>
      <c r="D135" s="11">
        <v>13697028942</v>
      </c>
      <c r="E135" s="167" t="s">
        <v>156</v>
      </c>
      <c r="F135" s="166" t="s">
        <v>14</v>
      </c>
      <c r="G135" s="9">
        <v>202102001</v>
      </c>
      <c r="H135" s="167" t="s">
        <v>157</v>
      </c>
      <c r="I135" s="167" t="s">
        <v>827</v>
      </c>
      <c r="J135" s="167" t="s">
        <v>454</v>
      </c>
      <c r="K135" s="167" t="s">
        <v>170</v>
      </c>
      <c r="L135" s="167" t="s">
        <v>261</v>
      </c>
      <c r="M135" s="167" t="s">
        <v>26</v>
      </c>
      <c r="N135" s="11">
        <v>0</v>
      </c>
      <c r="O135" s="12" t="str">
        <f>_xlfn.DISPIMG("ID_9F3C5B09040D438283C530134A5BD84D",1)</f>
        <v>=DISPIMG("ID_9F3C5B09040D438283C530134A5BD84D",1)</v>
      </c>
      <c r="P135" s="9" t="s">
        <v>1726</v>
      </c>
      <c r="Q135" s="11">
        <v>195</v>
      </c>
      <c r="R135" s="15" t="s">
        <v>4434</v>
      </c>
      <c r="S135" s="19" t="s">
        <v>43</v>
      </c>
      <c r="T135" s="9">
        <v>21</v>
      </c>
    </row>
    <row r="136" s="3" customFormat="1" customHeight="1" spans="1:20">
      <c r="A136" s="166" t="s">
        <v>1828</v>
      </c>
      <c r="B136" s="166" t="s">
        <v>165</v>
      </c>
      <c r="C136" s="166" t="s">
        <v>1829</v>
      </c>
      <c r="D136" s="11">
        <v>18797851564</v>
      </c>
      <c r="E136" s="167" t="s">
        <v>156</v>
      </c>
      <c r="F136" s="166" t="s">
        <v>14</v>
      </c>
      <c r="G136" s="9">
        <v>202102001</v>
      </c>
      <c r="H136" s="167" t="s">
        <v>157</v>
      </c>
      <c r="I136" s="167" t="s">
        <v>1831</v>
      </c>
      <c r="J136" s="167" t="s">
        <v>1832</v>
      </c>
      <c r="K136" s="167" t="s">
        <v>160</v>
      </c>
      <c r="L136" s="167" t="s">
        <v>171</v>
      </c>
      <c r="M136" s="167" t="s">
        <v>14</v>
      </c>
      <c r="N136" s="167" t="s">
        <v>1833</v>
      </c>
      <c r="O136" s="12" t="str">
        <f>_xlfn.DISPIMG("ID_9C01FBB9DB4A4DB19EA599EA9C699E26",1)</f>
        <v>=DISPIMG("ID_9C01FBB9DB4A4DB19EA599EA9C699E26",1)</v>
      </c>
      <c r="P136" s="9" t="s">
        <v>1834</v>
      </c>
      <c r="Q136" s="11">
        <v>209</v>
      </c>
      <c r="R136" s="15" t="s">
        <v>4435</v>
      </c>
      <c r="S136" s="19" t="s">
        <v>43</v>
      </c>
      <c r="T136" s="9">
        <v>28</v>
      </c>
    </row>
    <row r="137" s="3" customFormat="1" customHeight="1" spans="1:20">
      <c r="A137" s="166" t="s">
        <v>1939</v>
      </c>
      <c r="B137" s="166" t="s">
        <v>165</v>
      </c>
      <c r="C137" s="166" t="s">
        <v>1940</v>
      </c>
      <c r="D137" s="11">
        <v>15727538228</v>
      </c>
      <c r="E137" s="167" t="s">
        <v>156</v>
      </c>
      <c r="F137" s="166" t="s">
        <v>14</v>
      </c>
      <c r="G137" s="9">
        <v>202102001</v>
      </c>
      <c r="H137" s="167" t="s">
        <v>157</v>
      </c>
      <c r="I137" s="167" t="s">
        <v>233</v>
      </c>
      <c r="J137" s="167" t="s">
        <v>454</v>
      </c>
      <c r="K137" s="167" t="s">
        <v>170</v>
      </c>
      <c r="L137" s="167" t="s">
        <v>1942</v>
      </c>
      <c r="M137" s="167" t="s">
        <v>498</v>
      </c>
      <c r="N137" s="167" t="s">
        <v>1943</v>
      </c>
      <c r="O137" s="12" t="str">
        <f>_xlfn.DISPIMG("ID_1C58977D34D3459483FD1AF3B2109430",1)</f>
        <v>=DISPIMG("ID_1C58977D34D3459483FD1AF3B2109430",1)</v>
      </c>
      <c r="P137" s="9" t="s">
        <v>1944</v>
      </c>
      <c r="Q137" s="11">
        <v>224</v>
      </c>
      <c r="R137" s="15" t="s">
        <v>4436</v>
      </c>
      <c r="S137" s="19" t="s">
        <v>43</v>
      </c>
      <c r="T137" s="9">
        <v>3</v>
      </c>
    </row>
    <row r="138" s="3" customFormat="1" customHeight="1" spans="1:20">
      <c r="A138" s="166" t="s">
        <v>1947</v>
      </c>
      <c r="B138" s="166" t="s">
        <v>165</v>
      </c>
      <c r="C138" s="166" t="s">
        <v>1948</v>
      </c>
      <c r="D138" s="11">
        <v>15070578947</v>
      </c>
      <c r="E138" s="167" t="s">
        <v>156</v>
      </c>
      <c r="F138" s="166" t="s">
        <v>14</v>
      </c>
      <c r="G138" s="9">
        <v>202102001</v>
      </c>
      <c r="H138" s="167" t="s">
        <v>279</v>
      </c>
      <c r="I138" s="167" t="s">
        <v>1523</v>
      </c>
      <c r="J138" s="167" t="s">
        <v>1950</v>
      </c>
      <c r="K138" s="167" t="s">
        <v>170</v>
      </c>
      <c r="L138" s="167" t="s">
        <v>396</v>
      </c>
      <c r="M138" s="167" t="s">
        <v>14</v>
      </c>
      <c r="N138" s="167" t="s">
        <v>1951</v>
      </c>
      <c r="O138" s="12" t="str">
        <f>_xlfn.DISPIMG("ID_86A99051306F46439DFFA2E8604105B2",1)</f>
        <v>=DISPIMG("ID_86A99051306F46439DFFA2E8604105B2",1)</v>
      </c>
      <c r="P138" s="9" t="s">
        <v>1952</v>
      </c>
      <c r="Q138" s="11">
        <v>225</v>
      </c>
      <c r="R138" s="15" t="s">
        <v>4437</v>
      </c>
      <c r="S138" s="19" t="s">
        <v>43</v>
      </c>
      <c r="T138" s="9">
        <v>10</v>
      </c>
    </row>
    <row r="139" s="3" customFormat="1" customHeight="1" spans="1:20">
      <c r="A139" s="166" t="s">
        <v>1955</v>
      </c>
      <c r="B139" s="166" t="s">
        <v>165</v>
      </c>
      <c r="C139" s="166" t="s">
        <v>1956</v>
      </c>
      <c r="D139" s="11">
        <v>13687028289</v>
      </c>
      <c r="E139" s="167" t="s">
        <v>156</v>
      </c>
      <c r="F139" s="166" t="s">
        <v>14</v>
      </c>
      <c r="G139" s="9">
        <v>202102001</v>
      </c>
      <c r="H139" s="167" t="s">
        <v>279</v>
      </c>
      <c r="I139" s="167" t="s">
        <v>339</v>
      </c>
      <c r="J139" s="167" t="s">
        <v>348</v>
      </c>
      <c r="K139" s="167" t="s">
        <v>170</v>
      </c>
      <c r="L139" s="167" t="s">
        <v>180</v>
      </c>
      <c r="M139" s="167" t="s">
        <v>638</v>
      </c>
      <c r="N139" s="167" t="s">
        <v>1958</v>
      </c>
      <c r="O139" s="12" t="str">
        <f>_xlfn.DISPIMG("ID_2D011236909B4AB48CEACAF4EB3A9013",1)</f>
        <v>=DISPIMG("ID_2D011236909B4AB48CEACAF4EB3A9013",1)</v>
      </c>
      <c r="P139" s="9" t="s">
        <v>1959</v>
      </c>
      <c r="Q139" s="11">
        <v>226</v>
      </c>
      <c r="R139" s="15" t="s">
        <v>4438</v>
      </c>
      <c r="S139" s="19" t="s">
        <v>43</v>
      </c>
      <c r="T139" s="9">
        <v>15</v>
      </c>
    </row>
    <row r="140" s="3" customFormat="1" customHeight="1" spans="1:20">
      <c r="A140" s="166" t="s">
        <v>1962</v>
      </c>
      <c r="B140" s="166" t="s">
        <v>165</v>
      </c>
      <c r="C140" s="166" t="s">
        <v>1963</v>
      </c>
      <c r="D140" s="11">
        <v>18279199773</v>
      </c>
      <c r="E140" s="167" t="s">
        <v>156</v>
      </c>
      <c r="F140" s="166" t="s">
        <v>14</v>
      </c>
      <c r="G140" s="9">
        <v>202102001</v>
      </c>
      <c r="H140" s="167" t="s">
        <v>157</v>
      </c>
      <c r="I140" s="167" t="s">
        <v>1121</v>
      </c>
      <c r="J140" s="167" t="s">
        <v>813</v>
      </c>
      <c r="K140" s="167" t="s">
        <v>160</v>
      </c>
      <c r="L140" s="167" t="s">
        <v>199</v>
      </c>
      <c r="M140" s="167" t="s">
        <v>14</v>
      </c>
      <c r="N140" s="167" t="s">
        <v>1965</v>
      </c>
      <c r="O140" s="12" t="str">
        <f>_xlfn.DISPIMG("ID_978F05F9424741AE81F8E8335A7E991E",1)</f>
        <v>=DISPIMG("ID_978F05F9424741AE81F8E8335A7E991E",1)</v>
      </c>
      <c r="P140" s="9" t="s">
        <v>1966</v>
      </c>
      <c r="Q140" s="11">
        <v>227</v>
      </c>
      <c r="R140" s="15" t="s">
        <v>4439</v>
      </c>
      <c r="S140" s="19" t="s">
        <v>43</v>
      </c>
      <c r="T140" s="9">
        <v>22</v>
      </c>
    </row>
    <row r="141" s="3" customFormat="1" customHeight="1" spans="1:20">
      <c r="A141" s="166" t="s">
        <v>1983</v>
      </c>
      <c r="B141" s="166" t="s">
        <v>165</v>
      </c>
      <c r="C141" s="166" t="s">
        <v>1984</v>
      </c>
      <c r="D141" s="11">
        <v>15070924105</v>
      </c>
      <c r="E141" s="167" t="s">
        <v>156</v>
      </c>
      <c r="F141" s="166" t="s">
        <v>14</v>
      </c>
      <c r="G141" s="9">
        <v>202102001</v>
      </c>
      <c r="H141" s="167" t="s">
        <v>279</v>
      </c>
      <c r="I141" s="167" t="s">
        <v>515</v>
      </c>
      <c r="J141" s="167" t="s">
        <v>223</v>
      </c>
      <c r="K141" s="167" t="s">
        <v>170</v>
      </c>
      <c r="L141" s="167" t="s">
        <v>224</v>
      </c>
      <c r="M141" s="167" t="s">
        <v>14</v>
      </c>
      <c r="N141" s="11">
        <v>0</v>
      </c>
      <c r="O141" s="12" t="str">
        <f>_xlfn.DISPIMG("ID_88D6D1C166864D0C988B38CB94A18A2D",1)</f>
        <v>=DISPIMG("ID_88D6D1C166864D0C988B38CB94A18A2D",1)</v>
      </c>
      <c r="P141" s="9" t="s">
        <v>1986</v>
      </c>
      <c r="Q141" s="11">
        <v>230</v>
      </c>
      <c r="R141" s="15" t="s">
        <v>4440</v>
      </c>
      <c r="S141" s="19" t="s">
        <v>43</v>
      </c>
      <c r="T141" s="9">
        <v>27</v>
      </c>
    </row>
    <row r="142" s="3" customFormat="1" customHeight="1" spans="1:20">
      <c r="A142" s="166" t="s">
        <v>1989</v>
      </c>
      <c r="B142" s="166" t="s">
        <v>165</v>
      </c>
      <c r="C142" s="166" t="s">
        <v>1990</v>
      </c>
      <c r="D142" s="11">
        <v>18720291086</v>
      </c>
      <c r="E142" s="167" t="s">
        <v>156</v>
      </c>
      <c r="F142" s="166" t="s">
        <v>14</v>
      </c>
      <c r="G142" s="9">
        <v>202102001</v>
      </c>
      <c r="H142" s="167" t="s">
        <v>279</v>
      </c>
      <c r="I142" s="167" t="s">
        <v>367</v>
      </c>
      <c r="J142" s="167" t="s">
        <v>348</v>
      </c>
      <c r="K142" s="167" t="s">
        <v>170</v>
      </c>
      <c r="L142" s="167" t="s">
        <v>180</v>
      </c>
      <c r="M142" s="167" t="s">
        <v>1992</v>
      </c>
      <c r="N142" s="167" t="s">
        <v>1993</v>
      </c>
      <c r="O142" s="12" t="str">
        <f>_xlfn.DISPIMG("ID_08685AD380B84575A97C010891A129EA",1)</f>
        <v>=DISPIMG("ID_08685AD380B84575A97C010891A129EA",1)</v>
      </c>
      <c r="P142" s="9" t="s">
        <v>1994</v>
      </c>
      <c r="Q142" s="11">
        <v>231</v>
      </c>
      <c r="R142" s="15" t="s">
        <v>4441</v>
      </c>
      <c r="S142" s="19" t="s">
        <v>43</v>
      </c>
      <c r="T142" s="9">
        <v>2</v>
      </c>
    </row>
    <row r="143" s="3" customFormat="1" customHeight="1" spans="1:20">
      <c r="A143" s="166" t="s">
        <v>2028</v>
      </c>
      <c r="B143" s="166" t="s">
        <v>165</v>
      </c>
      <c r="C143" s="166" t="s">
        <v>2029</v>
      </c>
      <c r="D143" s="11">
        <v>18379220348</v>
      </c>
      <c r="E143" s="167" t="s">
        <v>156</v>
      </c>
      <c r="F143" s="166" t="s">
        <v>14</v>
      </c>
      <c r="G143" s="9">
        <v>202102001</v>
      </c>
      <c r="H143" s="167" t="s">
        <v>157</v>
      </c>
      <c r="I143" s="167" t="s">
        <v>158</v>
      </c>
      <c r="J143" s="167" t="s">
        <v>1546</v>
      </c>
      <c r="K143" s="167" t="s">
        <v>170</v>
      </c>
      <c r="L143" s="167" t="s">
        <v>161</v>
      </c>
      <c r="M143" s="167" t="s">
        <v>2031</v>
      </c>
      <c r="N143" s="167" t="s">
        <v>2032</v>
      </c>
      <c r="O143" s="12" t="str">
        <f>_xlfn.DISPIMG("ID_23D2336FF3CB4EA6B1558E965302CC98",1)</f>
        <v>=DISPIMG("ID_23D2336FF3CB4EA6B1558E965302CC98",1)</v>
      </c>
      <c r="P143" s="9" t="s">
        <v>2033</v>
      </c>
      <c r="Q143" s="11">
        <v>236</v>
      </c>
      <c r="R143" s="15" t="s">
        <v>4442</v>
      </c>
      <c r="S143" s="19" t="s">
        <v>43</v>
      </c>
      <c r="T143" s="9">
        <v>11</v>
      </c>
    </row>
    <row r="144" s="3" customFormat="1" customHeight="1" spans="1:20">
      <c r="A144" s="166" t="s">
        <v>2053</v>
      </c>
      <c r="B144" s="166" t="s">
        <v>165</v>
      </c>
      <c r="C144" s="166" t="s">
        <v>2054</v>
      </c>
      <c r="D144" s="11">
        <v>15079910015</v>
      </c>
      <c r="E144" s="167" t="s">
        <v>156</v>
      </c>
      <c r="F144" s="166" t="s">
        <v>14</v>
      </c>
      <c r="G144" s="9">
        <v>202102001</v>
      </c>
      <c r="H144" s="167" t="s">
        <v>279</v>
      </c>
      <c r="I144" s="167" t="s">
        <v>1424</v>
      </c>
      <c r="J144" s="167" t="s">
        <v>348</v>
      </c>
      <c r="K144" s="167" t="s">
        <v>170</v>
      </c>
      <c r="L144" s="167" t="s">
        <v>199</v>
      </c>
      <c r="M144" s="167" t="s">
        <v>14</v>
      </c>
      <c r="N144" s="167" t="s">
        <v>2056</v>
      </c>
      <c r="O144" s="12" t="str">
        <f>_xlfn.DISPIMG("ID_4A26FAD7BD014883BE19E7EBABEADF70",1)</f>
        <v>=DISPIMG("ID_4A26FAD7BD014883BE19E7EBABEADF70",1)</v>
      </c>
      <c r="P144" s="9" t="s">
        <v>2057</v>
      </c>
      <c r="Q144" s="11">
        <v>239</v>
      </c>
      <c r="R144" s="15" t="s">
        <v>4443</v>
      </c>
      <c r="S144" s="19" t="s">
        <v>43</v>
      </c>
      <c r="T144" s="9">
        <v>14</v>
      </c>
    </row>
    <row r="145" s="3" customFormat="1" customHeight="1" spans="1:20">
      <c r="A145" s="166" t="s">
        <v>2165</v>
      </c>
      <c r="B145" s="166" t="s">
        <v>165</v>
      </c>
      <c r="C145" s="166" t="s">
        <v>2166</v>
      </c>
      <c r="D145" s="11">
        <v>15270256109</v>
      </c>
      <c r="E145" s="167" t="s">
        <v>156</v>
      </c>
      <c r="F145" s="166" t="s">
        <v>14</v>
      </c>
      <c r="G145" s="9">
        <v>202102001</v>
      </c>
      <c r="H145" s="167" t="s">
        <v>279</v>
      </c>
      <c r="I145" s="167" t="s">
        <v>158</v>
      </c>
      <c r="J145" s="167" t="s">
        <v>348</v>
      </c>
      <c r="K145" s="167" t="s">
        <v>170</v>
      </c>
      <c r="L145" s="167" t="s">
        <v>306</v>
      </c>
      <c r="M145" s="167" t="s">
        <v>638</v>
      </c>
      <c r="N145" s="167" t="s">
        <v>2168</v>
      </c>
      <c r="O145" s="12" t="str">
        <f>_xlfn.DISPIMG("ID_3CABC7DA53ED4401B09BC2C27086B239",1)</f>
        <v>=DISPIMG("ID_3CABC7DA53ED4401B09BC2C27086B239",1)</v>
      </c>
      <c r="P145" s="9" t="s">
        <v>2169</v>
      </c>
      <c r="Q145" s="11">
        <v>254</v>
      </c>
      <c r="R145" s="15" t="s">
        <v>4444</v>
      </c>
      <c r="S145" s="19" t="s">
        <v>43</v>
      </c>
      <c r="T145" s="9">
        <v>23</v>
      </c>
    </row>
    <row r="146" s="3" customFormat="1" customHeight="1" spans="1:20">
      <c r="A146" s="166" t="s">
        <v>2218</v>
      </c>
      <c r="B146" s="166" t="s">
        <v>165</v>
      </c>
      <c r="C146" s="166" t="s">
        <v>2219</v>
      </c>
      <c r="D146" s="11">
        <v>15179156312</v>
      </c>
      <c r="E146" s="167" t="s">
        <v>156</v>
      </c>
      <c r="F146" s="166" t="s">
        <v>14</v>
      </c>
      <c r="G146" s="9">
        <v>202102001</v>
      </c>
      <c r="H146" s="167" t="s">
        <v>157</v>
      </c>
      <c r="I146" s="167" t="s">
        <v>233</v>
      </c>
      <c r="J146" s="167" t="s">
        <v>1195</v>
      </c>
      <c r="K146" s="167" t="s">
        <v>160</v>
      </c>
      <c r="L146" s="167" t="s">
        <v>2221</v>
      </c>
      <c r="M146" s="167" t="s">
        <v>638</v>
      </c>
      <c r="N146" s="167" t="s">
        <v>2222</v>
      </c>
      <c r="O146" s="12" t="str">
        <f>_xlfn.DISPIMG("ID_D4DBACC4389B49D6B9C508C515595D5D",1)</f>
        <v>=DISPIMG("ID_D4DBACC4389B49D6B9C508C515595D5D",1)</v>
      </c>
      <c r="P146" s="9" t="s">
        <v>2223</v>
      </c>
      <c r="Q146" s="11">
        <v>261</v>
      </c>
      <c r="R146" s="15" t="s">
        <v>4445</v>
      </c>
      <c r="S146" s="19" t="s">
        <v>43</v>
      </c>
      <c r="T146" s="9">
        <v>26</v>
      </c>
    </row>
    <row r="147" s="3" customFormat="1" customHeight="1" spans="1:20">
      <c r="A147" s="166" t="s">
        <v>2400</v>
      </c>
      <c r="B147" s="166" t="s">
        <v>165</v>
      </c>
      <c r="C147" s="166" t="s">
        <v>2401</v>
      </c>
      <c r="D147" s="11">
        <v>18879267195</v>
      </c>
      <c r="E147" s="167" t="s">
        <v>156</v>
      </c>
      <c r="F147" s="166" t="s">
        <v>14</v>
      </c>
      <c r="G147" s="9">
        <v>202102001</v>
      </c>
      <c r="H147" s="167" t="s">
        <v>279</v>
      </c>
      <c r="I147" s="167" t="s">
        <v>339</v>
      </c>
      <c r="J147" s="167" t="s">
        <v>348</v>
      </c>
      <c r="K147" s="167" t="s">
        <v>170</v>
      </c>
      <c r="L147" s="167" t="s">
        <v>180</v>
      </c>
      <c r="M147" s="167" t="s">
        <v>14</v>
      </c>
      <c r="N147" s="167" t="s">
        <v>2403</v>
      </c>
      <c r="O147" s="12" t="str">
        <f>_xlfn.DISPIMG("ID_FE029F69B78E439BA992D666A5ADF87E",1)</f>
        <v>=DISPIMG("ID_FE029F69B78E439BA992D666A5ADF87E",1)</v>
      </c>
      <c r="P147" s="9" t="s">
        <v>2404</v>
      </c>
      <c r="Q147" s="11">
        <v>285</v>
      </c>
      <c r="R147" s="15" t="s">
        <v>4446</v>
      </c>
      <c r="S147" s="19" t="s">
        <v>43</v>
      </c>
      <c r="T147" s="9">
        <v>1</v>
      </c>
    </row>
    <row r="148" s="3" customFormat="1" customHeight="1" spans="1:20">
      <c r="A148" s="166" t="s">
        <v>2430</v>
      </c>
      <c r="B148" s="166" t="s">
        <v>165</v>
      </c>
      <c r="C148" s="166" t="s">
        <v>2431</v>
      </c>
      <c r="D148" s="11">
        <v>18379086106</v>
      </c>
      <c r="E148" s="167" t="s">
        <v>156</v>
      </c>
      <c r="F148" s="166" t="s">
        <v>14</v>
      </c>
      <c r="G148" s="9">
        <v>202102001</v>
      </c>
      <c r="H148" s="167" t="s">
        <v>279</v>
      </c>
      <c r="I148" s="167" t="s">
        <v>178</v>
      </c>
      <c r="J148" s="167" t="s">
        <v>348</v>
      </c>
      <c r="K148" s="167" t="s">
        <v>170</v>
      </c>
      <c r="L148" s="167" t="s">
        <v>396</v>
      </c>
      <c r="M148" s="167" t="s">
        <v>14</v>
      </c>
      <c r="N148" s="167" t="s">
        <v>2433</v>
      </c>
      <c r="O148" s="12" t="str">
        <f>_xlfn.DISPIMG("ID_490114996A5646149508AE2796C7FCA8",1)</f>
        <v>=DISPIMG("ID_490114996A5646149508AE2796C7FCA8",1)</v>
      </c>
      <c r="P148" s="9" t="s">
        <v>2434</v>
      </c>
      <c r="Q148" s="11">
        <v>289</v>
      </c>
      <c r="R148" s="15" t="s">
        <v>4447</v>
      </c>
      <c r="S148" s="19" t="s">
        <v>43</v>
      </c>
      <c r="T148" s="9">
        <v>12</v>
      </c>
    </row>
    <row r="149" s="3" customFormat="1" customHeight="1" spans="1:20">
      <c r="A149" s="166" t="s">
        <v>2452</v>
      </c>
      <c r="B149" s="166" t="s">
        <v>165</v>
      </c>
      <c r="C149" s="166" t="s">
        <v>2453</v>
      </c>
      <c r="D149" s="11">
        <v>18720955003</v>
      </c>
      <c r="E149" s="167" t="s">
        <v>156</v>
      </c>
      <c r="F149" s="166" t="s">
        <v>14</v>
      </c>
      <c r="G149" s="9">
        <v>202102001</v>
      </c>
      <c r="H149" s="167" t="s">
        <v>157</v>
      </c>
      <c r="I149" s="167" t="s">
        <v>197</v>
      </c>
      <c r="J149" s="167" t="s">
        <v>454</v>
      </c>
      <c r="K149" s="167" t="s">
        <v>160</v>
      </c>
      <c r="L149" s="167" t="s">
        <v>216</v>
      </c>
      <c r="M149" s="167" t="s">
        <v>14</v>
      </c>
      <c r="N149" s="167" t="s">
        <v>2455</v>
      </c>
      <c r="O149" s="12" t="str">
        <f>_xlfn.DISPIMG("ID_FC7219DD86F84BE1856628C95CBE9A35",1)</f>
        <v>=DISPIMG("ID_FC7219DD86F84BE1856628C95CBE9A35",1)</v>
      </c>
      <c r="P149" s="9" t="s">
        <v>2456</v>
      </c>
      <c r="Q149" s="11">
        <v>292</v>
      </c>
      <c r="R149" s="15" t="s">
        <v>4448</v>
      </c>
      <c r="S149" s="19" t="s">
        <v>43</v>
      </c>
      <c r="T149" s="9">
        <v>13</v>
      </c>
    </row>
    <row r="150" s="3" customFormat="1" customHeight="1" spans="1:20">
      <c r="A150" s="166" t="s">
        <v>2466</v>
      </c>
      <c r="B150" s="166" t="s">
        <v>165</v>
      </c>
      <c r="C150" s="166" t="s">
        <v>2467</v>
      </c>
      <c r="D150" s="11">
        <v>18296295635</v>
      </c>
      <c r="E150" s="167" t="s">
        <v>156</v>
      </c>
      <c r="F150" s="166" t="s">
        <v>14</v>
      </c>
      <c r="G150" s="9">
        <v>202102001</v>
      </c>
      <c r="H150" s="167" t="s">
        <v>279</v>
      </c>
      <c r="I150" s="167" t="s">
        <v>233</v>
      </c>
      <c r="J150" s="167" t="s">
        <v>348</v>
      </c>
      <c r="K150" s="167" t="s">
        <v>170</v>
      </c>
      <c r="L150" s="167" t="s">
        <v>368</v>
      </c>
      <c r="M150" s="167" t="s">
        <v>14</v>
      </c>
      <c r="N150" s="167" t="s">
        <v>2469</v>
      </c>
      <c r="O150" s="12" t="str">
        <f>_xlfn.DISPIMG("ID_F16EE101B40044CF89D1DFEEC618BA53",1)</f>
        <v>=DISPIMG("ID_F16EE101B40044CF89D1DFEEC618BA53",1)</v>
      </c>
      <c r="P150" s="9" t="s">
        <v>2470</v>
      </c>
      <c r="Q150" s="11">
        <v>294</v>
      </c>
      <c r="R150" s="15" t="s">
        <v>4449</v>
      </c>
      <c r="S150" s="19" t="s">
        <v>43</v>
      </c>
      <c r="T150" s="9">
        <v>24</v>
      </c>
    </row>
    <row r="151" s="3" customFormat="1" customHeight="1" spans="1:20">
      <c r="A151" s="166" t="s">
        <v>2562</v>
      </c>
      <c r="B151" s="166" t="s">
        <v>165</v>
      </c>
      <c r="C151" s="166" t="s">
        <v>2563</v>
      </c>
      <c r="D151" s="11">
        <v>18279531380</v>
      </c>
      <c r="E151" s="167" t="s">
        <v>156</v>
      </c>
      <c r="F151" s="166" t="s">
        <v>14</v>
      </c>
      <c r="G151" s="9">
        <v>202102001</v>
      </c>
      <c r="H151" s="167" t="s">
        <v>705</v>
      </c>
      <c r="I151" s="167" t="s">
        <v>2565</v>
      </c>
      <c r="J151" s="167" t="s">
        <v>790</v>
      </c>
      <c r="K151" s="167" t="s">
        <v>160</v>
      </c>
      <c r="L151" s="167" t="s">
        <v>455</v>
      </c>
      <c r="M151" s="167" t="s">
        <v>14</v>
      </c>
      <c r="N151" s="167" t="s">
        <v>2566</v>
      </c>
      <c r="O151" s="12" t="str">
        <f>_xlfn.DISPIMG("ID_DA928F2BE2B24AF3ABF5D40BAC268946",1)</f>
        <v>=DISPIMG("ID_DA928F2BE2B24AF3ABF5D40BAC268946",1)</v>
      </c>
      <c r="P151" s="9" t="s">
        <v>2567</v>
      </c>
      <c r="Q151" s="11">
        <v>307</v>
      </c>
      <c r="R151" s="15" t="s">
        <v>4450</v>
      </c>
      <c r="S151" s="19" t="s">
        <v>43</v>
      </c>
      <c r="T151" s="9">
        <v>25</v>
      </c>
    </row>
    <row r="152" s="3" customFormat="1" customHeight="1" spans="1:20">
      <c r="A152" s="167" t="s">
        <v>2635</v>
      </c>
      <c r="B152" s="167" t="s">
        <v>165</v>
      </c>
      <c r="C152" s="167" t="s">
        <v>2636</v>
      </c>
      <c r="D152" s="11">
        <v>15170208662</v>
      </c>
      <c r="E152" s="167" t="s">
        <v>156</v>
      </c>
      <c r="F152" s="167" t="s">
        <v>14</v>
      </c>
      <c r="G152" s="11">
        <v>202102001</v>
      </c>
      <c r="H152" s="167" t="s">
        <v>157</v>
      </c>
      <c r="I152" s="167" t="s">
        <v>233</v>
      </c>
      <c r="J152" s="167" t="s">
        <v>454</v>
      </c>
      <c r="K152" s="167" t="s">
        <v>170</v>
      </c>
      <c r="L152" s="167" t="s">
        <v>349</v>
      </c>
      <c r="M152" s="167" t="s">
        <v>2638</v>
      </c>
      <c r="N152" s="167" t="s">
        <v>2639</v>
      </c>
      <c r="O152" s="12" t="str">
        <f>_xlfn.DISPIMG("ID_E1D95DAB49404461BEFC75E6320DFECC",1)</f>
        <v>=DISPIMG("ID_E1D95DAB49404461BEFC75E6320DFECC",1)</v>
      </c>
      <c r="P152" s="11" t="s">
        <v>2640</v>
      </c>
      <c r="Q152" s="11">
        <v>317</v>
      </c>
      <c r="R152" s="17" t="s">
        <v>4451</v>
      </c>
      <c r="S152" s="18" t="s">
        <v>45</v>
      </c>
      <c r="T152" s="11">
        <v>6</v>
      </c>
    </row>
    <row r="153" s="3" customFormat="1" customHeight="1" spans="1:20">
      <c r="A153" s="167" t="s">
        <v>2659</v>
      </c>
      <c r="B153" s="167" t="s">
        <v>165</v>
      </c>
      <c r="C153" s="167" t="s">
        <v>2660</v>
      </c>
      <c r="D153" s="11">
        <v>13627065761</v>
      </c>
      <c r="E153" s="167" t="s">
        <v>156</v>
      </c>
      <c r="F153" s="167" t="s">
        <v>14</v>
      </c>
      <c r="G153" s="11">
        <v>202102001</v>
      </c>
      <c r="H153" s="167" t="s">
        <v>157</v>
      </c>
      <c r="I153" s="167" t="s">
        <v>269</v>
      </c>
      <c r="J153" s="167" t="s">
        <v>454</v>
      </c>
      <c r="K153" s="167" t="s">
        <v>170</v>
      </c>
      <c r="L153" s="167" t="s">
        <v>161</v>
      </c>
      <c r="M153" s="167" t="s">
        <v>26</v>
      </c>
      <c r="N153" s="167" t="s">
        <v>2662</v>
      </c>
      <c r="O153" s="12" t="str">
        <f>_xlfn.DISPIMG("ID_4750BE615CAB4B2790251BC514AE2277",1)</f>
        <v>=DISPIMG("ID_4750BE615CAB4B2790251BC514AE2277",1)</v>
      </c>
      <c r="P153" s="11" t="s">
        <v>2663</v>
      </c>
      <c r="Q153" s="11">
        <v>320</v>
      </c>
      <c r="R153" s="17" t="s">
        <v>4452</v>
      </c>
      <c r="S153" s="18" t="s">
        <v>45</v>
      </c>
      <c r="T153" s="11">
        <v>7</v>
      </c>
    </row>
    <row r="154" s="3" customFormat="1" customHeight="1" spans="1:20">
      <c r="A154" s="167" t="s">
        <v>2726</v>
      </c>
      <c r="B154" s="167" t="s">
        <v>165</v>
      </c>
      <c r="C154" s="167" t="s">
        <v>2727</v>
      </c>
      <c r="D154" s="11">
        <v>18770822590</v>
      </c>
      <c r="E154" s="167" t="s">
        <v>156</v>
      </c>
      <c r="F154" s="167" t="s">
        <v>14</v>
      </c>
      <c r="G154" s="11">
        <v>202102001</v>
      </c>
      <c r="H154" s="167" t="s">
        <v>157</v>
      </c>
      <c r="I154" s="167" t="s">
        <v>233</v>
      </c>
      <c r="J154" s="167" t="s">
        <v>1570</v>
      </c>
      <c r="K154" s="167" t="s">
        <v>160</v>
      </c>
      <c r="L154" s="167" t="s">
        <v>252</v>
      </c>
      <c r="M154" s="167" t="s">
        <v>26</v>
      </c>
      <c r="N154" s="167" t="s">
        <v>2728</v>
      </c>
      <c r="O154" s="12" t="str">
        <f>_xlfn.DISPIMG("ID_BA1DF7BF960547A0983F8DB11C878B07",1)</f>
        <v>=DISPIMG("ID_BA1DF7BF960547A0983F8DB11C878B07",1)</v>
      </c>
      <c r="P154" s="11" t="s">
        <v>2729</v>
      </c>
      <c r="Q154" s="11">
        <v>329</v>
      </c>
      <c r="R154" s="17" t="s">
        <v>4453</v>
      </c>
      <c r="S154" s="18" t="s">
        <v>45</v>
      </c>
      <c r="T154" s="11">
        <v>18</v>
      </c>
    </row>
    <row r="155" s="3" customFormat="1" customHeight="1" spans="1:20">
      <c r="A155" s="167" t="s">
        <v>2767</v>
      </c>
      <c r="B155" s="167" t="s">
        <v>165</v>
      </c>
      <c r="C155" s="167" t="s">
        <v>2768</v>
      </c>
      <c r="D155" s="11">
        <v>18270257502</v>
      </c>
      <c r="E155" s="167" t="s">
        <v>506</v>
      </c>
      <c r="F155" s="167" t="s">
        <v>14</v>
      </c>
      <c r="G155" s="11">
        <v>202102014</v>
      </c>
      <c r="H155" s="167" t="s">
        <v>279</v>
      </c>
      <c r="I155" s="167" t="s">
        <v>367</v>
      </c>
      <c r="J155" s="167" t="s">
        <v>1878</v>
      </c>
      <c r="K155" s="167" t="s">
        <v>170</v>
      </c>
      <c r="L155" s="167" t="s">
        <v>161</v>
      </c>
      <c r="M155" s="167" t="s">
        <v>14</v>
      </c>
      <c r="N155" s="167" t="s">
        <v>2770</v>
      </c>
      <c r="O155" s="12" t="str">
        <f>_xlfn.DISPIMG("ID_599781AB8A9B405FA1C45AEDC9F43F4B",1)</f>
        <v>=DISPIMG("ID_599781AB8A9B405FA1C45AEDC9F43F4B",1)</v>
      </c>
      <c r="P155" s="11" t="s">
        <v>2771</v>
      </c>
      <c r="Q155" s="11">
        <v>335</v>
      </c>
      <c r="R155" s="17" t="s">
        <v>4454</v>
      </c>
      <c r="S155" s="18" t="s">
        <v>45</v>
      </c>
      <c r="T155" s="11">
        <v>19</v>
      </c>
    </row>
    <row r="156" s="3" customFormat="1" customHeight="1" spans="1:20">
      <c r="A156" s="167" t="s">
        <v>2991</v>
      </c>
      <c r="B156" s="167" t="s">
        <v>165</v>
      </c>
      <c r="C156" s="167" t="s">
        <v>2992</v>
      </c>
      <c r="D156" s="11">
        <v>18720220590</v>
      </c>
      <c r="E156" s="167" t="s">
        <v>156</v>
      </c>
      <c r="F156" s="167" t="s">
        <v>14</v>
      </c>
      <c r="G156" s="11">
        <v>202102001</v>
      </c>
      <c r="H156" s="167" t="s">
        <v>157</v>
      </c>
      <c r="I156" s="167" t="s">
        <v>611</v>
      </c>
      <c r="J156" s="167" t="s">
        <v>179</v>
      </c>
      <c r="K156" s="167" t="s">
        <v>160</v>
      </c>
      <c r="L156" s="167" t="s">
        <v>216</v>
      </c>
      <c r="M156" s="167" t="s">
        <v>14</v>
      </c>
      <c r="N156" s="11">
        <v>0</v>
      </c>
      <c r="O156" s="12" t="str">
        <f>_xlfn.DISPIMG("ID_AFAEC7F47E5847F688912010DE531FF7",1)</f>
        <v>=DISPIMG("ID_AFAEC7F47E5847F688912010DE531FF7",1)</v>
      </c>
      <c r="P156" s="11" t="s">
        <v>2994</v>
      </c>
      <c r="Q156" s="11">
        <v>368</v>
      </c>
      <c r="R156" s="17" t="s">
        <v>4455</v>
      </c>
      <c r="S156" s="18" t="s">
        <v>45</v>
      </c>
      <c r="T156" s="11">
        <v>30</v>
      </c>
    </row>
    <row r="157" s="3" customFormat="1" customHeight="1" spans="1:20">
      <c r="A157" s="167" t="s">
        <v>3036</v>
      </c>
      <c r="B157" s="167" t="s">
        <v>165</v>
      </c>
      <c r="C157" s="167" t="s">
        <v>3037</v>
      </c>
      <c r="D157" s="11">
        <v>13755268380</v>
      </c>
      <c r="E157" s="167" t="s">
        <v>156</v>
      </c>
      <c r="F157" s="167" t="s">
        <v>14</v>
      </c>
      <c r="G157" s="11">
        <v>202102001</v>
      </c>
      <c r="H157" s="167" t="s">
        <v>279</v>
      </c>
      <c r="I157" s="167" t="s">
        <v>1674</v>
      </c>
      <c r="J157" s="167" t="s">
        <v>348</v>
      </c>
      <c r="K157" s="167" t="s">
        <v>170</v>
      </c>
      <c r="L157" s="167" t="s">
        <v>3039</v>
      </c>
      <c r="M157" s="167" t="s">
        <v>2395</v>
      </c>
      <c r="N157" s="167" t="s">
        <v>3040</v>
      </c>
      <c r="O157" s="12" t="str">
        <f>_xlfn.DISPIMG("ID_BCD8D492551D473299BE1D3404EC1A74",1)</f>
        <v>=DISPIMG("ID_BCD8D492551D473299BE1D3404EC1A74",1)</v>
      </c>
      <c r="P157" s="11" t="s">
        <v>3041</v>
      </c>
      <c r="Q157" s="11">
        <v>375</v>
      </c>
      <c r="R157" s="17" t="s">
        <v>4456</v>
      </c>
      <c r="S157" s="18" t="s">
        <v>45</v>
      </c>
      <c r="T157" s="11">
        <v>5</v>
      </c>
    </row>
    <row r="158" s="3" customFormat="1" customHeight="1" spans="1:20">
      <c r="A158" s="167" t="s">
        <v>3058</v>
      </c>
      <c r="B158" s="167" t="s">
        <v>165</v>
      </c>
      <c r="C158" s="167" t="s">
        <v>3059</v>
      </c>
      <c r="D158" s="11">
        <v>18616047542</v>
      </c>
      <c r="E158" s="167" t="s">
        <v>156</v>
      </c>
      <c r="F158" s="167" t="s">
        <v>14</v>
      </c>
      <c r="G158" s="11">
        <v>202102001</v>
      </c>
      <c r="H158" s="167" t="s">
        <v>157</v>
      </c>
      <c r="I158" s="167" t="s">
        <v>233</v>
      </c>
      <c r="J158" s="167" t="s">
        <v>1489</v>
      </c>
      <c r="K158" s="167" t="s">
        <v>170</v>
      </c>
      <c r="L158" s="167" t="s">
        <v>3061</v>
      </c>
      <c r="M158" s="167" t="s">
        <v>3062</v>
      </c>
      <c r="N158" s="167" t="s">
        <v>3063</v>
      </c>
      <c r="O158" s="12" t="str">
        <f>_xlfn.DISPIMG("ID_0F24A07024DD4EC28C638A81C28E0099",1)</f>
        <v>=DISPIMG("ID_0F24A07024DD4EC28C638A81C28E0099",1)</v>
      </c>
      <c r="P158" s="11" t="s">
        <v>3064</v>
      </c>
      <c r="Q158" s="11">
        <v>378</v>
      </c>
      <c r="R158" s="17" t="s">
        <v>4457</v>
      </c>
      <c r="S158" s="18" t="s">
        <v>45</v>
      </c>
      <c r="T158" s="11">
        <v>8</v>
      </c>
    </row>
    <row r="159" s="3" customFormat="1" customHeight="1" spans="1:20">
      <c r="A159" s="167" t="s">
        <v>3067</v>
      </c>
      <c r="B159" s="167" t="s">
        <v>165</v>
      </c>
      <c r="C159" s="167" t="s">
        <v>3068</v>
      </c>
      <c r="D159" s="11">
        <v>18070525525</v>
      </c>
      <c r="E159" s="167" t="s">
        <v>156</v>
      </c>
      <c r="F159" s="167" t="s">
        <v>14</v>
      </c>
      <c r="G159" s="11">
        <v>202102001</v>
      </c>
      <c r="H159" s="167" t="s">
        <v>157</v>
      </c>
      <c r="I159" s="167" t="s">
        <v>3070</v>
      </c>
      <c r="J159" s="167" t="s">
        <v>454</v>
      </c>
      <c r="K159" s="167" t="s">
        <v>170</v>
      </c>
      <c r="L159" s="167" t="s">
        <v>577</v>
      </c>
      <c r="M159" s="167" t="s">
        <v>1579</v>
      </c>
      <c r="N159" s="167" t="s">
        <v>3071</v>
      </c>
      <c r="O159" s="12" t="str">
        <f>_xlfn.DISPIMG("ID_2CCF9645E24E4A3B81BAE72B8AED314D",1)</f>
        <v>=DISPIMG("ID_2CCF9645E24E4A3B81BAE72B8AED314D",1)</v>
      </c>
      <c r="P159" s="11" t="s">
        <v>3072</v>
      </c>
      <c r="Q159" s="11">
        <v>379</v>
      </c>
      <c r="R159" s="17" t="s">
        <v>4458</v>
      </c>
      <c r="S159" s="18" t="s">
        <v>45</v>
      </c>
      <c r="T159" s="11">
        <v>17</v>
      </c>
    </row>
    <row r="160" s="3" customFormat="1" customHeight="1" spans="1:20">
      <c r="A160" s="167" t="s">
        <v>3166</v>
      </c>
      <c r="B160" s="167" t="s">
        <v>165</v>
      </c>
      <c r="C160" s="167" t="s">
        <v>3167</v>
      </c>
      <c r="D160" s="11">
        <v>18797976473</v>
      </c>
      <c r="E160" s="167" t="s">
        <v>156</v>
      </c>
      <c r="F160" s="167" t="s">
        <v>14</v>
      </c>
      <c r="G160" s="11">
        <v>202102001</v>
      </c>
      <c r="H160" s="167" t="s">
        <v>157</v>
      </c>
      <c r="I160" s="167" t="s">
        <v>158</v>
      </c>
      <c r="J160" s="167" t="s">
        <v>395</v>
      </c>
      <c r="K160" s="167" t="s">
        <v>160</v>
      </c>
      <c r="L160" s="167" t="s">
        <v>587</v>
      </c>
      <c r="M160" s="167" t="s">
        <v>14</v>
      </c>
      <c r="N160" s="11">
        <v>0</v>
      </c>
      <c r="O160" s="12" t="str">
        <f>_xlfn.DISPIMG("ID_F2E559AD12664A6E81B51441D537B134",1)</f>
        <v>=DISPIMG("ID_F2E559AD12664A6E81B51441D537B134",1)</v>
      </c>
      <c r="P160" s="11" t="s">
        <v>3169</v>
      </c>
      <c r="Q160" s="11">
        <v>393</v>
      </c>
      <c r="R160" s="17" t="s">
        <v>4459</v>
      </c>
      <c r="S160" s="18" t="s">
        <v>45</v>
      </c>
      <c r="T160" s="11">
        <v>20</v>
      </c>
    </row>
    <row r="161" s="3" customFormat="1" customHeight="1" spans="1:20">
      <c r="A161" s="167" t="s">
        <v>3268</v>
      </c>
      <c r="B161" s="167" t="s">
        <v>165</v>
      </c>
      <c r="C161" s="167" t="s">
        <v>3269</v>
      </c>
      <c r="D161" s="11">
        <v>18770914454</v>
      </c>
      <c r="E161" s="167" t="s">
        <v>156</v>
      </c>
      <c r="F161" s="167" t="s">
        <v>14</v>
      </c>
      <c r="G161" s="11">
        <v>202102001</v>
      </c>
      <c r="H161" s="167" t="s">
        <v>279</v>
      </c>
      <c r="I161" s="167" t="s">
        <v>178</v>
      </c>
      <c r="J161" s="167" t="s">
        <v>348</v>
      </c>
      <c r="K161" s="167" t="s">
        <v>170</v>
      </c>
      <c r="L161" s="167" t="s">
        <v>216</v>
      </c>
      <c r="M161" s="167" t="s">
        <v>638</v>
      </c>
      <c r="N161" s="167" t="s">
        <v>3271</v>
      </c>
      <c r="O161" s="12" t="str">
        <f>_xlfn.DISPIMG("ID_A7E75D79E714426086202D465053808C",1)</f>
        <v>=DISPIMG("ID_A7E75D79E714426086202D465053808C",1)</v>
      </c>
      <c r="P161" s="11" t="s">
        <v>3272</v>
      </c>
      <c r="Q161" s="11">
        <v>408</v>
      </c>
      <c r="R161" s="17" t="s">
        <v>4460</v>
      </c>
      <c r="S161" s="18" t="s">
        <v>45</v>
      </c>
      <c r="T161" s="11">
        <v>29</v>
      </c>
    </row>
    <row r="162" s="3" customFormat="1" customHeight="1" spans="1:20">
      <c r="A162" s="167" t="s">
        <v>3283</v>
      </c>
      <c r="B162" s="167" t="s">
        <v>165</v>
      </c>
      <c r="C162" s="167" t="s">
        <v>3284</v>
      </c>
      <c r="D162" s="11">
        <v>18970283911</v>
      </c>
      <c r="E162" s="167" t="s">
        <v>156</v>
      </c>
      <c r="F162" s="167" t="s">
        <v>14</v>
      </c>
      <c r="G162" s="11">
        <v>202102001</v>
      </c>
      <c r="H162" s="167" t="s">
        <v>157</v>
      </c>
      <c r="I162" s="167" t="s">
        <v>178</v>
      </c>
      <c r="J162" s="167" t="s">
        <v>3286</v>
      </c>
      <c r="K162" s="167" t="s">
        <v>170</v>
      </c>
      <c r="L162" s="167" t="s">
        <v>199</v>
      </c>
      <c r="M162" s="167" t="s">
        <v>14</v>
      </c>
      <c r="N162" s="167" t="s">
        <v>3287</v>
      </c>
      <c r="O162" s="12" t="str">
        <f>_xlfn.DISPIMG("ID_CEC6054CEEDC4B7EB64CEFDE8D077DB1",1)</f>
        <v>=DISPIMG("ID_CEC6054CEEDC4B7EB64CEFDE8D077DB1",1)</v>
      </c>
      <c r="P162" s="11" t="s">
        <v>3288</v>
      </c>
      <c r="Q162" s="11">
        <v>410</v>
      </c>
      <c r="R162" s="17" t="s">
        <v>4461</v>
      </c>
      <c r="S162" s="18" t="s">
        <v>45</v>
      </c>
      <c r="T162" s="11">
        <v>4</v>
      </c>
    </row>
    <row r="163" s="3" customFormat="1" customHeight="1" spans="1:20">
      <c r="A163" s="167" t="s">
        <v>3374</v>
      </c>
      <c r="B163" s="167" t="s">
        <v>165</v>
      </c>
      <c r="C163" s="167" t="s">
        <v>3375</v>
      </c>
      <c r="D163" s="11">
        <v>18879135233</v>
      </c>
      <c r="E163" s="167" t="s">
        <v>156</v>
      </c>
      <c r="F163" s="167" t="s">
        <v>14</v>
      </c>
      <c r="G163" s="11">
        <v>202102001</v>
      </c>
      <c r="H163" s="167" t="s">
        <v>279</v>
      </c>
      <c r="I163" s="167" t="s">
        <v>339</v>
      </c>
      <c r="J163" s="167" t="s">
        <v>1950</v>
      </c>
      <c r="K163" s="167" t="s">
        <v>170</v>
      </c>
      <c r="L163" s="167" t="s">
        <v>216</v>
      </c>
      <c r="M163" s="167" t="s">
        <v>350</v>
      </c>
      <c r="N163" s="167" t="s">
        <v>3377</v>
      </c>
      <c r="O163" s="12" t="str">
        <f>_xlfn.DISPIMG("ID_A4F86B02E8AC4C77B083B94B4997B486",1)</f>
        <v>=DISPIMG("ID_A4F86B02E8AC4C77B083B94B4997B486",1)</v>
      </c>
      <c r="P163" s="11" t="s">
        <v>3378</v>
      </c>
      <c r="Q163" s="11">
        <v>425</v>
      </c>
      <c r="R163" s="17" t="s">
        <v>4462</v>
      </c>
      <c r="S163" s="18" t="s">
        <v>45</v>
      </c>
      <c r="T163" s="11">
        <v>9</v>
      </c>
    </row>
    <row r="164" s="3" customFormat="1" customHeight="1" spans="1:20">
      <c r="A164" s="167" t="s">
        <v>3381</v>
      </c>
      <c r="B164" s="167" t="s">
        <v>165</v>
      </c>
      <c r="C164" s="167" t="s">
        <v>3382</v>
      </c>
      <c r="D164" s="11">
        <v>15070017489</v>
      </c>
      <c r="E164" s="167" t="s">
        <v>156</v>
      </c>
      <c r="F164" s="167" t="s">
        <v>14</v>
      </c>
      <c r="G164" s="11">
        <v>202102001</v>
      </c>
      <c r="H164" s="167" t="s">
        <v>157</v>
      </c>
      <c r="I164" s="167" t="s">
        <v>1121</v>
      </c>
      <c r="J164" s="167" t="s">
        <v>1832</v>
      </c>
      <c r="K164" s="167" t="s">
        <v>160</v>
      </c>
      <c r="L164" s="167" t="s">
        <v>199</v>
      </c>
      <c r="M164" s="167" t="s">
        <v>14</v>
      </c>
      <c r="N164" s="11">
        <v>0</v>
      </c>
      <c r="O164" s="12" t="str">
        <f>_xlfn.DISPIMG("ID_755EB9C887424753BE38DCDA04F5D53F",1)</f>
        <v>=DISPIMG("ID_755EB9C887424753BE38DCDA04F5D53F",1)</v>
      </c>
      <c r="P164" s="11" t="s">
        <v>3384</v>
      </c>
      <c r="Q164" s="11">
        <v>426</v>
      </c>
      <c r="R164" s="17" t="s">
        <v>4463</v>
      </c>
      <c r="S164" s="18" t="s">
        <v>45</v>
      </c>
      <c r="T164" s="11">
        <v>16</v>
      </c>
    </row>
    <row r="165" s="3" customFormat="1" customHeight="1" spans="1:20">
      <c r="A165" s="167" t="s">
        <v>3436</v>
      </c>
      <c r="B165" s="167" t="s">
        <v>165</v>
      </c>
      <c r="C165" s="167" t="s">
        <v>3437</v>
      </c>
      <c r="D165" s="11">
        <v>15396816962</v>
      </c>
      <c r="E165" s="167" t="s">
        <v>156</v>
      </c>
      <c r="F165" s="167" t="s">
        <v>14</v>
      </c>
      <c r="G165" s="11">
        <v>202102001</v>
      </c>
      <c r="H165" s="167" t="s">
        <v>279</v>
      </c>
      <c r="I165" s="167" t="s">
        <v>367</v>
      </c>
      <c r="J165" s="167" t="s">
        <v>348</v>
      </c>
      <c r="K165" s="167" t="s">
        <v>170</v>
      </c>
      <c r="L165" s="167" t="s">
        <v>180</v>
      </c>
      <c r="M165" s="167" t="s">
        <v>638</v>
      </c>
      <c r="N165" s="167" t="s">
        <v>3439</v>
      </c>
      <c r="O165" s="12" t="str">
        <f>_xlfn.DISPIMG("ID_82244367FBEE45C5B0219468F4CFBAF4",1)</f>
        <v>=DISPIMG("ID_82244367FBEE45C5B0219468F4CFBAF4",1)</v>
      </c>
      <c r="P165" s="11" t="s">
        <v>3440</v>
      </c>
      <c r="Q165" s="11">
        <v>434</v>
      </c>
      <c r="R165" s="17" t="s">
        <v>4464</v>
      </c>
      <c r="S165" s="18" t="s">
        <v>45</v>
      </c>
      <c r="T165" s="11">
        <v>21</v>
      </c>
    </row>
    <row r="166" s="3" customFormat="1" customHeight="1" spans="1:20">
      <c r="A166" s="167" t="s">
        <v>3494</v>
      </c>
      <c r="B166" s="167" t="s">
        <v>165</v>
      </c>
      <c r="C166" s="167" t="s">
        <v>3495</v>
      </c>
      <c r="D166" s="11">
        <v>18000225971</v>
      </c>
      <c r="E166" s="167" t="s">
        <v>156</v>
      </c>
      <c r="F166" s="167" t="s">
        <v>14</v>
      </c>
      <c r="G166" s="11">
        <v>202102001</v>
      </c>
      <c r="H166" s="167" t="s">
        <v>157</v>
      </c>
      <c r="I166" s="167" t="s">
        <v>158</v>
      </c>
      <c r="J166" s="167" t="s">
        <v>348</v>
      </c>
      <c r="K166" s="167" t="s">
        <v>170</v>
      </c>
      <c r="L166" s="167" t="s">
        <v>349</v>
      </c>
      <c r="M166" s="167" t="s">
        <v>689</v>
      </c>
      <c r="N166" s="167" t="s">
        <v>3496</v>
      </c>
      <c r="O166" s="12" t="str">
        <f>_xlfn.DISPIMG("ID_92399A40D7B44F3B89AA85711A99D812",1)</f>
        <v>=DISPIMG("ID_92399A40D7B44F3B89AA85711A99D812",1)</v>
      </c>
      <c r="P166" s="11" t="s">
        <v>3497</v>
      </c>
      <c r="Q166" s="11">
        <v>442</v>
      </c>
      <c r="R166" s="17" t="s">
        <v>4465</v>
      </c>
      <c r="S166" s="18" t="s">
        <v>45</v>
      </c>
      <c r="T166" s="11">
        <v>28</v>
      </c>
    </row>
    <row r="167" s="4" customFormat="1" customHeight="1" spans="1:20">
      <c r="A167" s="167" t="s">
        <v>3500</v>
      </c>
      <c r="B167" s="167" t="s">
        <v>165</v>
      </c>
      <c r="C167" s="167" t="s">
        <v>3501</v>
      </c>
      <c r="D167" s="11">
        <v>15070192175</v>
      </c>
      <c r="E167" s="167" t="s">
        <v>156</v>
      </c>
      <c r="F167" s="167" t="s">
        <v>14</v>
      </c>
      <c r="G167" s="11">
        <v>202102001</v>
      </c>
      <c r="H167" s="167" t="s">
        <v>279</v>
      </c>
      <c r="I167" s="167" t="s">
        <v>1545</v>
      </c>
      <c r="J167" s="167" t="s">
        <v>348</v>
      </c>
      <c r="K167" s="167" t="s">
        <v>170</v>
      </c>
      <c r="L167" s="167" t="s">
        <v>577</v>
      </c>
      <c r="M167" s="167" t="s">
        <v>638</v>
      </c>
      <c r="N167" s="167" t="s">
        <v>3503</v>
      </c>
      <c r="O167" s="12" t="str">
        <f>_xlfn.DISPIMG("ID_582DA32893494A1CB2F261C9DF30C5FF",1)</f>
        <v>=DISPIMG("ID_582DA32893494A1CB2F261C9DF30C5FF",1)</v>
      </c>
      <c r="P167" s="11" t="s">
        <v>3504</v>
      </c>
      <c r="Q167" s="11">
        <v>443</v>
      </c>
      <c r="R167" s="17" t="s">
        <v>4466</v>
      </c>
      <c r="S167" s="18" t="s">
        <v>45</v>
      </c>
      <c r="T167" s="11">
        <v>3</v>
      </c>
    </row>
    <row r="168" s="3" customFormat="1" customHeight="1" spans="1:20">
      <c r="A168" s="167" t="s">
        <v>3602</v>
      </c>
      <c r="B168" s="167" t="s">
        <v>165</v>
      </c>
      <c r="C168" s="167" t="s">
        <v>3603</v>
      </c>
      <c r="D168" s="11">
        <v>18507927596</v>
      </c>
      <c r="E168" s="167" t="s">
        <v>156</v>
      </c>
      <c r="F168" s="167" t="s">
        <v>14</v>
      </c>
      <c r="G168" s="11">
        <v>202102001</v>
      </c>
      <c r="H168" s="167" t="s">
        <v>279</v>
      </c>
      <c r="I168" s="167" t="s">
        <v>158</v>
      </c>
      <c r="J168" s="167" t="s">
        <v>348</v>
      </c>
      <c r="K168" s="167" t="s">
        <v>170</v>
      </c>
      <c r="L168" s="167" t="s">
        <v>281</v>
      </c>
      <c r="M168" s="167" t="s">
        <v>14</v>
      </c>
      <c r="N168" s="167" t="s">
        <v>3604</v>
      </c>
      <c r="O168" s="12" t="str">
        <f>_xlfn.DISPIMG("ID_ADF263347E1B436A9E9869CDB170C299",1)</f>
        <v>=DISPIMG("ID_ADF263347E1B436A9E9869CDB170C299",1)</v>
      </c>
      <c r="P168" s="11" t="s">
        <v>3605</v>
      </c>
      <c r="Q168" s="11">
        <v>458</v>
      </c>
      <c r="R168" s="17" t="s">
        <v>4467</v>
      </c>
      <c r="S168" s="18" t="s">
        <v>45</v>
      </c>
      <c r="T168" s="11">
        <v>10</v>
      </c>
    </row>
    <row r="169" s="3" customFormat="1" customHeight="1" spans="1:20">
      <c r="A169" s="167" t="s">
        <v>3705</v>
      </c>
      <c r="B169" s="167" t="s">
        <v>165</v>
      </c>
      <c r="C169" s="167" t="s">
        <v>3706</v>
      </c>
      <c r="D169" s="11">
        <v>15079123471</v>
      </c>
      <c r="E169" s="167" t="s">
        <v>156</v>
      </c>
      <c r="F169" s="167" t="s">
        <v>14</v>
      </c>
      <c r="G169" s="11">
        <v>202102011</v>
      </c>
      <c r="H169" s="167" t="s">
        <v>157</v>
      </c>
      <c r="I169" s="167" t="s">
        <v>233</v>
      </c>
      <c r="J169" s="167" t="s">
        <v>3708</v>
      </c>
      <c r="K169" s="167" t="s">
        <v>170</v>
      </c>
      <c r="L169" s="167" t="s">
        <v>216</v>
      </c>
      <c r="M169" s="167" t="s">
        <v>14</v>
      </c>
      <c r="N169" s="167" t="s">
        <v>3709</v>
      </c>
      <c r="O169" s="12" t="str">
        <f>_xlfn.DISPIMG("ID_BF7D6285C9C043E7887E7AA2FA4C62A7",1)</f>
        <v>=DISPIMG("ID_BF7D6285C9C043E7887E7AA2FA4C62A7",1)</v>
      </c>
      <c r="P169" s="11" t="s">
        <v>3710</v>
      </c>
      <c r="Q169" s="20">
        <v>472</v>
      </c>
      <c r="R169" s="17" t="s">
        <v>4468</v>
      </c>
      <c r="S169" s="18" t="s">
        <v>45</v>
      </c>
      <c r="T169" s="11">
        <v>15</v>
      </c>
    </row>
    <row r="170" s="3" customFormat="1" customHeight="1" spans="1:20">
      <c r="A170" s="167" t="s">
        <v>3773</v>
      </c>
      <c r="B170" s="167" t="s">
        <v>165</v>
      </c>
      <c r="C170" s="167" t="s">
        <v>3774</v>
      </c>
      <c r="D170" s="11">
        <v>15083553694</v>
      </c>
      <c r="E170" s="167" t="s">
        <v>156</v>
      </c>
      <c r="F170" s="167" t="s">
        <v>14</v>
      </c>
      <c r="G170" s="11">
        <v>202102001</v>
      </c>
      <c r="H170" s="167" t="s">
        <v>279</v>
      </c>
      <c r="I170" s="167" t="s">
        <v>178</v>
      </c>
      <c r="J170" s="167" t="s">
        <v>348</v>
      </c>
      <c r="K170" s="167" t="s">
        <v>170</v>
      </c>
      <c r="L170" s="167" t="s">
        <v>180</v>
      </c>
      <c r="M170" s="167" t="s">
        <v>14</v>
      </c>
      <c r="N170" s="167" t="s">
        <v>3776</v>
      </c>
      <c r="O170" s="12" t="str">
        <f>_xlfn.DISPIMG("ID_CF1C1431032D4C21956EAEFBC2630095",1)</f>
        <v>=DISPIMG("ID_CF1C1431032D4C21956EAEFBC2630095",1)</v>
      </c>
      <c r="P170" s="11" t="s">
        <v>3777</v>
      </c>
      <c r="Q170" s="20">
        <v>481</v>
      </c>
      <c r="R170" s="17" t="s">
        <v>4469</v>
      </c>
      <c r="S170" s="18" t="s">
        <v>45</v>
      </c>
      <c r="T170" s="11">
        <v>22</v>
      </c>
    </row>
    <row r="171" s="3" customFormat="1" customHeight="1" spans="1:20">
      <c r="A171" s="167" t="s">
        <v>3858</v>
      </c>
      <c r="B171" s="167" t="s">
        <v>165</v>
      </c>
      <c r="C171" s="167" t="s">
        <v>3859</v>
      </c>
      <c r="D171" s="11">
        <v>15374225748</v>
      </c>
      <c r="E171" s="167" t="s">
        <v>156</v>
      </c>
      <c r="F171" s="167" t="s">
        <v>14</v>
      </c>
      <c r="G171" s="11">
        <v>202102001</v>
      </c>
      <c r="H171" s="167" t="s">
        <v>279</v>
      </c>
      <c r="I171" s="167" t="s">
        <v>3861</v>
      </c>
      <c r="J171" s="167" t="s">
        <v>298</v>
      </c>
      <c r="K171" s="167" t="s">
        <v>160</v>
      </c>
      <c r="L171" s="167" t="s">
        <v>805</v>
      </c>
      <c r="M171" s="167" t="s">
        <v>121</v>
      </c>
      <c r="N171" s="11">
        <v>0</v>
      </c>
      <c r="O171" s="12" t="str">
        <f>_xlfn.DISPIMG("ID_8CF8C6C0A559454996AB6FB606BDA1DD",1)</f>
        <v>=DISPIMG("ID_8CF8C6C0A559454996AB6FB606BDA1DD",1)</v>
      </c>
      <c r="P171" s="11" t="s">
        <v>3862</v>
      </c>
      <c r="Q171" s="20">
        <v>492</v>
      </c>
      <c r="R171" s="17" t="s">
        <v>4470</v>
      </c>
      <c r="S171" s="18" t="s">
        <v>45</v>
      </c>
      <c r="T171" s="11">
        <v>27</v>
      </c>
    </row>
    <row r="172" s="3" customFormat="1" customHeight="1" spans="1:20">
      <c r="A172" s="167" t="s">
        <v>3881</v>
      </c>
      <c r="B172" s="167" t="s">
        <v>165</v>
      </c>
      <c r="C172" s="167" t="s">
        <v>3882</v>
      </c>
      <c r="D172" s="11">
        <v>18770914505</v>
      </c>
      <c r="E172" s="167" t="s">
        <v>156</v>
      </c>
      <c r="F172" s="167" t="s">
        <v>14</v>
      </c>
      <c r="G172" s="11">
        <v>202102001</v>
      </c>
      <c r="H172" s="167" t="s">
        <v>279</v>
      </c>
      <c r="I172" s="167" t="s">
        <v>178</v>
      </c>
      <c r="J172" s="167" t="s">
        <v>348</v>
      </c>
      <c r="K172" s="167" t="s">
        <v>170</v>
      </c>
      <c r="L172" s="167" t="s">
        <v>281</v>
      </c>
      <c r="M172" s="167" t="s">
        <v>498</v>
      </c>
      <c r="N172" s="167" t="s">
        <v>3884</v>
      </c>
      <c r="O172" s="12" t="str">
        <f>_xlfn.DISPIMG("ID_3C6B462D1CF047DC951D0874F80418DC",1)</f>
        <v>=DISPIMG("ID_3C6B462D1CF047DC951D0874F80418DC",1)</v>
      </c>
      <c r="P172" s="11" t="s">
        <v>3885</v>
      </c>
      <c r="Q172" s="20">
        <v>495</v>
      </c>
      <c r="R172" s="17" t="s">
        <v>4471</v>
      </c>
      <c r="S172" s="18" t="s">
        <v>45</v>
      </c>
      <c r="T172" s="11">
        <v>2</v>
      </c>
    </row>
    <row r="173" s="3" customFormat="1" customHeight="1" spans="1:20">
      <c r="A173" s="167" t="s">
        <v>3888</v>
      </c>
      <c r="B173" s="167" t="s">
        <v>165</v>
      </c>
      <c r="C173" s="167" t="s">
        <v>3889</v>
      </c>
      <c r="D173" s="11">
        <v>15949598955</v>
      </c>
      <c r="E173" s="167" t="s">
        <v>156</v>
      </c>
      <c r="F173" s="167" t="s">
        <v>14</v>
      </c>
      <c r="G173" s="11">
        <v>202102001</v>
      </c>
      <c r="H173" s="167" t="s">
        <v>279</v>
      </c>
      <c r="I173" s="167" t="s">
        <v>367</v>
      </c>
      <c r="J173" s="167" t="s">
        <v>348</v>
      </c>
      <c r="K173" s="167" t="s">
        <v>170</v>
      </c>
      <c r="L173" s="167" t="s">
        <v>587</v>
      </c>
      <c r="M173" s="167" t="s">
        <v>14</v>
      </c>
      <c r="N173" s="167" t="s">
        <v>3891</v>
      </c>
      <c r="O173" s="12" t="str">
        <f>_xlfn.DISPIMG("ID_2410E866E9B946F380BB65E1492A0355",1)</f>
        <v>=DISPIMG("ID_2410E866E9B946F380BB65E1492A0355",1)</v>
      </c>
      <c r="P173" s="11" t="s">
        <v>3892</v>
      </c>
      <c r="Q173" s="20">
        <v>496</v>
      </c>
      <c r="R173" s="17" t="s">
        <v>4472</v>
      </c>
      <c r="S173" s="18" t="s">
        <v>45</v>
      </c>
      <c r="T173" s="11">
        <v>11</v>
      </c>
    </row>
    <row r="174" s="3" customFormat="1" customHeight="1" spans="1:20">
      <c r="A174" s="167" t="s">
        <v>3910</v>
      </c>
      <c r="B174" s="167" t="s">
        <v>165</v>
      </c>
      <c r="C174" s="167" t="s">
        <v>3911</v>
      </c>
      <c r="D174" s="11">
        <v>13627096197</v>
      </c>
      <c r="E174" s="167" t="s">
        <v>156</v>
      </c>
      <c r="F174" s="167" t="s">
        <v>14</v>
      </c>
      <c r="G174" s="11">
        <v>202102001</v>
      </c>
      <c r="H174" s="167" t="s">
        <v>157</v>
      </c>
      <c r="I174" s="167" t="s">
        <v>233</v>
      </c>
      <c r="J174" s="167" t="s">
        <v>454</v>
      </c>
      <c r="K174" s="167" t="s">
        <v>170</v>
      </c>
      <c r="L174" s="167" t="s">
        <v>516</v>
      </c>
      <c r="M174" s="167" t="s">
        <v>3913</v>
      </c>
      <c r="N174" s="167" t="s">
        <v>3914</v>
      </c>
      <c r="O174" s="12" t="str">
        <f>_xlfn.DISPIMG("ID_2CCA277749F14624BD11838DCC078340",1)</f>
        <v>=DISPIMG("ID_2CCA277749F14624BD11838DCC078340",1)</v>
      </c>
      <c r="P174" s="11" t="s">
        <v>3915</v>
      </c>
      <c r="Q174" s="20">
        <v>499</v>
      </c>
      <c r="R174" s="17" t="s">
        <v>4473</v>
      </c>
      <c r="S174" s="18" t="s">
        <v>45</v>
      </c>
      <c r="T174" s="11">
        <v>14</v>
      </c>
    </row>
    <row r="175" s="3" customFormat="1" customHeight="1" spans="1:20">
      <c r="A175" s="167" t="s">
        <v>3931</v>
      </c>
      <c r="B175" s="167" t="s">
        <v>165</v>
      </c>
      <c r="C175" s="167" t="s">
        <v>3932</v>
      </c>
      <c r="D175" s="11">
        <v>13064153607</v>
      </c>
      <c r="E175" s="167" t="s">
        <v>156</v>
      </c>
      <c r="F175" s="167" t="s">
        <v>14</v>
      </c>
      <c r="G175" s="11">
        <v>202102001</v>
      </c>
      <c r="H175" s="167" t="s">
        <v>279</v>
      </c>
      <c r="I175" s="167" t="s">
        <v>3934</v>
      </c>
      <c r="J175" s="167" t="s">
        <v>348</v>
      </c>
      <c r="K175" s="167" t="s">
        <v>170</v>
      </c>
      <c r="L175" s="167" t="s">
        <v>349</v>
      </c>
      <c r="M175" s="167" t="s">
        <v>3935</v>
      </c>
      <c r="N175" s="167" t="s">
        <v>3936</v>
      </c>
      <c r="O175" s="12" t="str">
        <f>_xlfn.DISPIMG("ID_FD6A12B7DDFB4497A1625AEB18B6C93E",1)</f>
        <v>=DISPIMG("ID_FD6A12B7DDFB4497A1625AEB18B6C93E",1)</v>
      </c>
      <c r="P175" s="11" t="s">
        <v>3937</v>
      </c>
      <c r="Q175" s="20">
        <v>502</v>
      </c>
      <c r="R175" s="17" t="s">
        <v>4474</v>
      </c>
      <c r="S175" s="18" t="s">
        <v>45</v>
      </c>
      <c r="T175" s="11">
        <v>23</v>
      </c>
    </row>
    <row r="176" s="3" customFormat="1" customHeight="1" spans="1:20">
      <c r="A176" s="167" t="s">
        <v>4036</v>
      </c>
      <c r="B176" s="167" t="s">
        <v>165</v>
      </c>
      <c r="C176" s="167" t="s">
        <v>4037</v>
      </c>
      <c r="D176" s="11">
        <v>13755593629</v>
      </c>
      <c r="E176" s="167" t="s">
        <v>156</v>
      </c>
      <c r="F176" s="167" t="s">
        <v>14</v>
      </c>
      <c r="G176" s="11">
        <v>202102001</v>
      </c>
      <c r="H176" s="167" t="s">
        <v>279</v>
      </c>
      <c r="I176" s="167" t="s">
        <v>1545</v>
      </c>
      <c r="J176" s="167" t="s">
        <v>348</v>
      </c>
      <c r="K176" s="167" t="s">
        <v>170</v>
      </c>
      <c r="L176" s="167" t="s">
        <v>216</v>
      </c>
      <c r="M176" s="167" t="s">
        <v>14</v>
      </c>
      <c r="N176" s="167" t="s">
        <v>4039</v>
      </c>
      <c r="O176" s="12" t="str">
        <f>_xlfn.DISPIMG("ID_25A2772C2A4349D4AAD4F2B8F942612C",1)</f>
        <v>=DISPIMG("ID_25A2772C2A4349D4AAD4F2B8F942612C",1)</v>
      </c>
      <c r="P176" s="11" t="s">
        <v>4040</v>
      </c>
      <c r="Q176" s="20">
        <v>516</v>
      </c>
      <c r="R176" s="17" t="s">
        <v>4475</v>
      </c>
      <c r="S176" s="18" t="s">
        <v>45</v>
      </c>
      <c r="T176" s="11">
        <v>26</v>
      </c>
    </row>
    <row r="177" s="3" customFormat="1" customHeight="1" spans="1:20">
      <c r="A177" s="167" t="s">
        <v>4082</v>
      </c>
      <c r="B177" s="167" t="s">
        <v>165</v>
      </c>
      <c r="C177" s="167" t="s">
        <v>4083</v>
      </c>
      <c r="D177" s="11">
        <v>17352963741</v>
      </c>
      <c r="E177" s="167" t="s">
        <v>506</v>
      </c>
      <c r="F177" s="167" t="s">
        <v>14</v>
      </c>
      <c r="G177" s="11">
        <v>202102014</v>
      </c>
      <c r="H177" s="167" t="s">
        <v>157</v>
      </c>
      <c r="I177" s="167" t="s">
        <v>178</v>
      </c>
      <c r="J177" s="167" t="s">
        <v>348</v>
      </c>
      <c r="K177" s="167" t="s">
        <v>170</v>
      </c>
      <c r="L177" s="167" t="s">
        <v>548</v>
      </c>
      <c r="M177" s="167" t="s">
        <v>4084</v>
      </c>
      <c r="N177" s="167" t="s">
        <v>4085</v>
      </c>
      <c r="O177" s="12" t="str">
        <f>_xlfn.DISPIMG("ID_C5311387C2FF404D8FA717D4979E175B",1)</f>
        <v>=DISPIMG("ID_C5311387C2FF404D8FA717D4979E175B",1)</v>
      </c>
      <c r="P177" s="11" t="s">
        <v>4086</v>
      </c>
      <c r="Q177" s="20">
        <v>522</v>
      </c>
      <c r="R177" s="17" t="s">
        <v>4476</v>
      </c>
      <c r="S177" s="18" t="s">
        <v>45</v>
      </c>
      <c r="T177" s="11">
        <v>1</v>
      </c>
    </row>
    <row r="178" s="4" customFormat="1" customHeight="1" spans="1:20">
      <c r="A178" s="163" t="s">
        <v>4103</v>
      </c>
      <c r="B178" s="164" t="s">
        <v>165</v>
      </c>
      <c r="C178" s="164" t="s">
        <v>4104</v>
      </c>
      <c r="D178" s="22">
        <v>15270173371</v>
      </c>
      <c r="E178" s="164" t="s">
        <v>384</v>
      </c>
      <c r="F178" s="164" t="s">
        <v>14</v>
      </c>
      <c r="G178" s="22">
        <v>202102001</v>
      </c>
      <c r="H178" s="164" t="s">
        <v>157</v>
      </c>
      <c r="I178" s="164" t="s">
        <v>233</v>
      </c>
      <c r="J178" s="164" t="s">
        <v>454</v>
      </c>
      <c r="K178" s="164" t="s">
        <v>170</v>
      </c>
      <c r="L178" s="164" t="s">
        <v>4106</v>
      </c>
      <c r="M178" s="164" t="s">
        <v>14</v>
      </c>
      <c r="N178" s="164" t="s">
        <v>4107</v>
      </c>
      <c r="O178" s="23" t="str">
        <f>_xlfn.DISPIMG("ID_EDE9A315C64A4BE2AC2F986557EA53FC",1)</f>
        <v>=DISPIMG("ID_EDE9A315C64A4BE2AC2F986557EA53FC",1)</v>
      </c>
      <c r="P178" s="22" t="s">
        <v>4108</v>
      </c>
      <c r="Q178" s="24">
        <v>525</v>
      </c>
      <c r="R178" s="17" t="s">
        <v>4477</v>
      </c>
      <c r="S178" s="18" t="s">
        <v>45</v>
      </c>
      <c r="T178" s="11">
        <v>12</v>
      </c>
    </row>
    <row r="179" s="3" customFormat="1" customHeight="1" spans="1:20">
      <c r="A179" s="167" t="s">
        <v>4177</v>
      </c>
      <c r="B179" s="167" t="s">
        <v>165</v>
      </c>
      <c r="C179" s="167" t="s">
        <v>4178</v>
      </c>
      <c r="D179" s="11">
        <v>18759251284</v>
      </c>
      <c r="E179" s="167" t="s">
        <v>156</v>
      </c>
      <c r="F179" s="167" t="s">
        <v>14</v>
      </c>
      <c r="G179" s="11">
        <v>202102001</v>
      </c>
      <c r="H179" s="167" t="s">
        <v>157</v>
      </c>
      <c r="I179" s="167" t="s">
        <v>2363</v>
      </c>
      <c r="J179" s="167" t="s">
        <v>454</v>
      </c>
      <c r="K179" s="167" t="s">
        <v>170</v>
      </c>
      <c r="L179" s="167" t="s">
        <v>455</v>
      </c>
      <c r="M179" s="167" t="s">
        <v>26</v>
      </c>
      <c r="N179" s="167" t="s">
        <v>4180</v>
      </c>
      <c r="O179" s="12" t="str">
        <f>_xlfn.DISPIMG("ID_E9338F1098B64D83A2AE0E9576D18B92",1)</f>
        <v>=DISPIMG("ID_E9338F1098B64D83A2AE0E9576D18B92",1)</v>
      </c>
      <c r="P179" s="11" t="s">
        <v>4181</v>
      </c>
      <c r="Q179" s="20">
        <v>534</v>
      </c>
      <c r="R179" s="17" t="s">
        <v>4478</v>
      </c>
      <c r="S179" s="18" t="s">
        <v>45</v>
      </c>
      <c r="T179" s="11">
        <v>13</v>
      </c>
    </row>
    <row r="180" s="3" customFormat="1" customHeight="1" spans="1:20">
      <c r="A180" s="167" t="s">
        <v>4214</v>
      </c>
      <c r="B180" s="167" t="s">
        <v>165</v>
      </c>
      <c r="C180" s="167" t="s">
        <v>4215</v>
      </c>
      <c r="D180" s="11">
        <v>19979263918</v>
      </c>
      <c r="E180" s="167" t="s">
        <v>156</v>
      </c>
      <c r="F180" s="167" t="s">
        <v>14</v>
      </c>
      <c r="G180" s="11">
        <v>202102001</v>
      </c>
      <c r="H180" s="167" t="s">
        <v>157</v>
      </c>
      <c r="I180" s="167" t="s">
        <v>412</v>
      </c>
      <c r="J180" s="167" t="s">
        <v>4217</v>
      </c>
      <c r="K180" s="167" t="s">
        <v>160</v>
      </c>
      <c r="L180" s="167" t="s">
        <v>180</v>
      </c>
      <c r="M180" s="167" t="s">
        <v>26</v>
      </c>
      <c r="N180" s="167" t="s">
        <v>4218</v>
      </c>
      <c r="O180" s="12" t="str">
        <f>_xlfn.DISPIMG("ID_458825B7ED724C7B8EAA7308C4517BC8",1)</f>
        <v>=DISPIMG("ID_458825B7ED724C7B8EAA7308C4517BC8",1)</v>
      </c>
      <c r="P180" s="11" t="s">
        <v>4219</v>
      </c>
      <c r="Q180" s="20">
        <v>539</v>
      </c>
      <c r="R180" s="17" t="s">
        <v>4479</v>
      </c>
      <c r="S180" s="18" t="s">
        <v>45</v>
      </c>
      <c r="T180" s="11">
        <v>24</v>
      </c>
    </row>
    <row r="181" s="3" customFormat="1" customHeight="1" spans="1:20">
      <c r="A181" s="167" t="s">
        <v>4308</v>
      </c>
      <c r="B181" s="167" t="s">
        <v>165</v>
      </c>
      <c r="C181" s="167" t="s">
        <v>4309</v>
      </c>
      <c r="D181" s="11">
        <v>17770159034</v>
      </c>
      <c r="E181" s="167" t="s">
        <v>156</v>
      </c>
      <c r="F181" s="167" t="s">
        <v>14</v>
      </c>
      <c r="G181" s="11">
        <v>202102001</v>
      </c>
      <c r="H181" s="167" t="s">
        <v>279</v>
      </c>
      <c r="I181" s="167" t="s">
        <v>1237</v>
      </c>
      <c r="J181" s="167" t="s">
        <v>348</v>
      </c>
      <c r="K181" s="167" t="s">
        <v>170</v>
      </c>
      <c r="L181" s="167" t="s">
        <v>180</v>
      </c>
      <c r="M181" s="167" t="s">
        <v>2395</v>
      </c>
      <c r="N181" s="167" t="s">
        <v>4310</v>
      </c>
      <c r="O181" s="12" t="str">
        <f>_xlfn.DISPIMG("ID_E6307ECF32B442B8A8FC80EADAF6E26D",1)</f>
        <v>=DISPIMG("ID_E6307ECF32B442B8A8FC80EADAF6E26D",1)</v>
      </c>
      <c r="P181" s="11" t="s">
        <v>4311</v>
      </c>
      <c r="Q181" s="20">
        <v>552</v>
      </c>
      <c r="R181" s="17" t="s">
        <v>4480</v>
      </c>
      <c r="S181" s="18" t="s">
        <v>45</v>
      </c>
      <c r="T181" s="11">
        <v>25</v>
      </c>
    </row>
    <row r="182" s="3" customFormat="1" customHeight="1" spans="1:20">
      <c r="A182" s="166" t="s">
        <v>494</v>
      </c>
      <c r="B182" s="166" t="s">
        <v>165</v>
      </c>
      <c r="C182" s="166" t="s">
        <v>495</v>
      </c>
      <c r="D182" s="11">
        <v>13662204471</v>
      </c>
      <c r="E182" s="167" t="s">
        <v>156</v>
      </c>
      <c r="F182" s="166" t="s">
        <v>8</v>
      </c>
      <c r="G182" s="9">
        <v>202102002</v>
      </c>
      <c r="H182" s="167" t="s">
        <v>279</v>
      </c>
      <c r="I182" s="167" t="s">
        <v>158</v>
      </c>
      <c r="J182" s="167" t="s">
        <v>497</v>
      </c>
      <c r="K182" s="167" t="s">
        <v>170</v>
      </c>
      <c r="L182" s="167" t="s">
        <v>180</v>
      </c>
      <c r="M182" s="167" t="s">
        <v>498</v>
      </c>
      <c r="N182" s="167" t="s">
        <v>499</v>
      </c>
      <c r="O182" s="12" t="str">
        <f>_xlfn.DISPIMG("ID_83DE97F5DD9E4626804875394FE0FC9C",1)</f>
        <v>=DISPIMG("ID_83DE97F5DD9E4626804875394FE0FC9C",1)</v>
      </c>
      <c r="P182" s="9" t="s">
        <v>500</v>
      </c>
      <c r="Q182" s="11">
        <v>41</v>
      </c>
      <c r="R182" s="15" t="s">
        <v>4481</v>
      </c>
      <c r="S182" s="19" t="s">
        <v>46</v>
      </c>
      <c r="T182" s="9">
        <v>6</v>
      </c>
    </row>
    <row r="183" s="3" customFormat="1" customHeight="1" spans="1:20">
      <c r="A183" s="166" t="s">
        <v>565</v>
      </c>
      <c r="B183" s="166" t="s">
        <v>165</v>
      </c>
      <c r="C183" s="166" t="s">
        <v>566</v>
      </c>
      <c r="D183" s="11">
        <v>13184588975</v>
      </c>
      <c r="E183" s="167" t="s">
        <v>156</v>
      </c>
      <c r="F183" s="166" t="s">
        <v>8</v>
      </c>
      <c r="G183" s="9">
        <v>202102002</v>
      </c>
      <c r="H183" s="167" t="s">
        <v>279</v>
      </c>
      <c r="I183" s="167" t="s">
        <v>178</v>
      </c>
      <c r="J183" s="167" t="s">
        <v>497</v>
      </c>
      <c r="K183" s="167" t="s">
        <v>170</v>
      </c>
      <c r="L183" s="167" t="s">
        <v>368</v>
      </c>
      <c r="M183" s="167" t="s">
        <v>568</v>
      </c>
      <c r="N183" s="167" t="s">
        <v>569</v>
      </c>
      <c r="O183" s="12" t="str">
        <f>_xlfn.DISPIMG("ID_937169E203CF4CFF91192737B547BFCD",1)</f>
        <v>=DISPIMG("ID_937169E203CF4CFF91192737B547BFCD",1)</v>
      </c>
      <c r="P183" s="9" t="s">
        <v>570</v>
      </c>
      <c r="Q183" s="11">
        <v>49</v>
      </c>
      <c r="R183" s="15" t="s">
        <v>4482</v>
      </c>
      <c r="S183" s="19" t="s">
        <v>46</v>
      </c>
      <c r="T183" s="9">
        <v>7</v>
      </c>
    </row>
    <row r="184" s="3" customFormat="1" customHeight="1" spans="1:20">
      <c r="A184" s="166" t="s">
        <v>668</v>
      </c>
      <c r="B184" s="166" t="s">
        <v>165</v>
      </c>
      <c r="C184" s="166" t="s">
        <v>669</v>
      </c>
      <c r="D184" s="11">
        <v>19970219155</v>
      </c>
      <c r="E184" s="167" t="s">
        <v>156</v>
      </c>
      <c r="F184" s="166" t="s">
        <v>8</v>
      </c>
      <c r="G184" s="9">
        <v>202102002</v>
      </c>
      <c r="H184" s="167" t="s">
        <v>279</v>
      </c>
      <c r="I184" s="167" t="s">
        <v>671</v>
      </c>
      <c r="J184" s="167" t="s">
        <v>672</v>
      </c>
      <c r="K184" s="167" t="s">
        <v>160</v>
      </c>
      <c r="L184" s="167" t="s">
        <v>673</v>
      </c>
      <c r="M184" s="167" t="s">
        <v>674</v>
      </c>
      <c r="N184" s="167" t="s">
        <v>675</v>
      </c>
      <c r="O184" s="12" t="str">
        <f>_xlfn.DISPIMG("ID_350951056247403B99D5F5C96BCE4CA8",1)</f>
        <v>=DISPIMG("ID_350951056247403B99D5F5C96BCE4CA8",1)</v>
      </c>
      <c r="P184" s="9" t="s">
        <v>676</v>
      </c>
      <c r="Q184" s="11">
        <v>62</v>
      </c>
      <c r="R184" s="15" t="s">
        <v>4483</v>
      </c>
      <c r="S184" s="19" t="s">
        <v>46</v>
      </c>
      <c r="T184" s="9">
        <v>18</v>
      </c>
    </row>
    <row r="185" s="3" customFormat="1" customHeight="1" spans="1:20">
      <c r="A185" s="166" t="s">
        <v>779</v>
      </c>
      <c r="B185" s="166" t="s">
        <v>165</v>
      </c>
      <c r="C185" s="166" t="s">
        <v>780</v>
      </c>
      <c r="D185" s="11">
        <v>18379173946</v>
      </c>
      <c r="E185" s="167" t="s">
        <v>506</v>
      </c>
      <c r="F185" s="166" t="s">
        <v>8</v>
      </c>
      <c r="G185" s="9">
        <v>202102015</v>
      </c>
      <c r="H185" s="167" t="s">
        <v>279</v>
      </c>
      <c r="I185" s="167" t="s">
        <v>662</v>
      </c>
      <c r="J185" s="167" t="s">
        <v>497</v>
      </c>
      <c r="K185" s="167" t="s">
        <v>170</v>
      </c>
      <c r="L185" s="167" t="s">
        <v>171</v>
      </c>
      <c r="M185" s="167" t="s">
        <v>568</v>
      </c>
      <c r="N185" s="167" t="s">
        <v>782</v>
      </c>
      <c r="O185" s="12" t="str">
        <f>_xlfn.DISPIMG("ID_F2E1FDE086E6423DAF30A93C1D5DA4A4",1)</f>
        <v>=DISPIMG("ID_F2E1FDE086E6423DAF30A93C1D5DA4A4",1)</v>
      </c>
      <c r="P185" s="9" t="s">
        <v>783</v>
      </c>
      <c r="Q185" s="11">
        <v>75</v>
      </c>
      <c r="R185" s="15" t="s">
        <v>4484</v>
      </c>
      <c r="S185" s="19" t="s">
        <v>46</v>
      </c>
      <c r="T185" s="9">
        <v>19</v>
      </c>
    </row>
    <row r="186" s="3" customFormat="1" customHeight="1" spans="1:20">
      <c r="A186" s="166" t="s">
        <v>810</v>
      </c>
      <c r="B186" s="166" t="s">
        <v>165</v>
      </c>
      <c r="C186" s="166" t="s">
        <v>811</v>
      </c>
      <c r="D186" s="11">
        <v>13767213363</v>
      </c>
      <c r="E186" s="167" t="s">
        <v>156</v>
      </c>
      <c r="F186" s="166" t="s">
        <v>8</v>
      </c>
      <c r="G186" s="9">
        <v>202102002</v>
      </c>
      <c r="H186" s="167" t="s">
        <v>157</v>
      </c>
      <c r="I186" s="167" t="s">
        <v>158</v>
      </c>
      <c r="J186" s="167" t="s">
        <v>813</v>
      </c>
      <c r="K186" s="167" t="s">
        <v>160</v>
      </c>
      <c r="L186" s="167" t="s">
        <v>161</v>
      </c>
      <c r="M186" s="167" t="s">
        <v>8</v>
      </c>
      <c r="N186" s="11">
        <v>0</v>
      </c>
      <c r="O186" s="12" t="str">
        <f>_xlfn.DISPIMG("ID_5528F9D8BCB3449AB737B926D9AAB949",1)</f>
        <v>=DISPIMG("ID_5528F9D8BCB3449AB737B926D9AAB949",1)</v>
      </c>
      <c r="P186" s="9" t="s">
        <v>814</v>
      </c>
      <c r="Q186" s="11">
        <v>79</v>
      </c>
      <c r="R186" s="15" t="s">
        <v>4485</v>
      </c>
      <c r="S186" s="19" t="s">
        <v>46</v>
      </c>
      <c r="T186" s="9">
        <v>30</v>
      </c>
    </row>
    <row r="187" s="3" customFormat="1" customHeight="1" spans="1:20">
      <c r="A187" s="166" t="s">
        <v>864</v>
      </c>
      <c r="B187" s="166" t="s">
        <v>165</v>
      </c>
      <c r="C187" s="166" t="s">
        <v>865</v>
      </c>
      <c r="D187" s="11">
        <v>18958190827</v>
      </c>
      <c r="E187" s="167" t="s">
        <v>156</v>
      </c>
      <c r="F187" s="166" t="s">
        <v>8</v>
      </c>
      <c r="G187" s="9">
        <v>202102002</v>
      </c>
      <c r="H187" s="167" t="s">
        <v>157</v>
      </c>
      <c r="I187" s="167" t="s">
        <v>867</v>
      </c>
      <c r="J187" s="167" t="s">
        <v>868</v>
      </c>
      <c r="K187" s="167" t="s">
        <v>160</v>
      </c>
      <c r="L187" s="167" t="s">
        <v>548</v>
      </c>
      <c r="M187" s="167" t="s">
        <v>8</v>
      </c>
      <c r="N187" s="167" t="s">
        <v>869</v>
      </c>
      <c r="O187" s="12" t="str">
        <f>_xlfn.DISPIMG("ID_019B47D80B6342B48EC2873E3CE82AE8",1)</f>
        <v>=DISPIMG("ID_019B47D80B6342B48EC2873E3CE82AE8",1)</v>
      </c>
      <c r="P187" s="9" t="s">
        <v>870</v>
      </c>
      <c r="Q187" s="11">
        <v>86</v>
      </c>
      <c r="R187" s="15" t="s">
        <v>4486</v>
      </c>
      <c r="S187" s="19" t="s">
        <v>46</v>
      </c>
      <c r="T187" s="9">
        <v>5</v>
      </c>
    </row>
    <row r="188" s="3" customFormat="1" customHeight="1" spans="1:20">
      <c r="A188" s="166" t="s">
        <v>941</v>
      </c>
      <c r="B188" s="166" t="s">
        <v>165</v>
      </c>
      <c r="C188" s="166" t="s">
        <v>942</v>
      </c>
      <c r="D188" s="11">
        <v>18379646602</v>
      </c>
      <c r="E188" s="167" t="s">
        <v>156</v>
      </c>
      <c r="F188" s="166" t="s">
        <v>8</v>
      </c>
      <c r="G188" s="9">
        <v>202102002</v>
      </c>
      <c r="H188" s="167" t="s">
        <v>157</v>
      </c>
      <c r="I188" s="167" t="s">
        <v>269</v>
      </c>
      <c r="J188" s="167" t="s">
        <v>944</v>
      </c>
      <c r="K188" s="167" t="s">
        <v>170</v>
      </c>
      <c r="L188" s="167" t="s">
        <v>261</v>
      </c>
      <c r="M188" s="167" t="s">
        <v>945</v>
      </c>
      <c r="N188" s="11">
        <v>0</v>
      </c>
      <c r="O188" s="12" t="str">
        <f>_xlfn.DISPIMG("ID_BCCBED5385A54C5D88278A56BF2ABF99",1)</f>
        <v>=DISPIMG("ID_BCCBED5385A54C5D88278A56BF2ABF99",1)</v>
      </c>
      <c r="P188" s="9" t="s">
        <v>946</v>
      </c>
      <c r="Q188" s="11">
        <v>95</v>
      </c>
      <c r="R188" s="15" t="s">
        <v>4487</v>
      </c>
      <c r="S188" s="19" t="s">
        <v>46</v>
      </c>
      <c r="T188" s="9">
        <v>8</v>
      </c>
    </row>
    <row r="189" s="4" customFormat="1" customHeight="1" spans="1:20">
      <c r="A189" s="166" t="s">
        <v>983</v>
      </c>
      <c r="B189" s="166" t="s">
        <v>165</v>
      </c>
      <c r="C189" s="166" t="s">
        <v>984</v>
      </c>
      <c r="D189" s="11">
        <v>18170988745</v>
      </c>
      <c r="E189" s="167" t="s">
        <v>156</v>
      </c>
      <c r="F189" s="166" t="s">
        <v>8</v>
      </c>
      <c r="G189" s="9">
        <v>202102002</v>
      </c>
      <c r="H189" s="167" t="s">
        <v>157</v>
      </c>
      <c r="I189" s="167" t="s">
        <v>986</v>
      </c>
      <c r="J189" s="167" t="s">
        <v>987</v>
      </c>
      <c r="K189" s="167" t="s">
        <v>160</v>
      </c>
      <c r="L189" s="167" t="s">
        <v>988</v>
      </c>
      <c r="M189" s="167" t="s">
        <v>989</v>
      </c>
      <c r="N189" s="167" t="s">
        <v>990</v>
      </c>
      <c r="O189" s="12" t="str">
        <f>_xlfn.DISPIMG("ID_21AE3772EA6B45FAA68CF356346534B7",1)</f>
        <v>=DISPIMG("ID_21AE3772EA6B45FAA68CF356346534B7",1)</v>
      </c>
      <c r="P189" s="9" t="s">
        <v>991</v>
      </c>
      <c r="Q189" s="11">
        <v>100</v>
      </c>
      <c r="R189" s="15" t="s">
        <v>4488</v>
      </c>
      <c r="S189" s="19" t="s">
        <v>46</v>
      </c>
      <c r="T189" s="9">
        <v>17</v>
      </c>
    </row>
    <row r="190" s="3" customFormat="1" customHeight="1" spans="1:20">
      <c r="A190" s="166" t="s">
        <v>1002</v>
      </c>
      <c r="B190" s="166" t="s">
        <v>165</v>
      </c>
      <c r="C190" s="166" t="s">
        <v>1003</v>
      </c>
      <c r="D190" s="11">
        <v>16607008286</v>
      </c>
      <c r="E190" s="167" t="s">
        <v>156</v>
      </c>
      <c r="F190" s="166" t="s">
        <v>8</v>
      </c>
      <c r="G190" s="9">
        <v>202102002</v>
      </c>
      <c r="H190" s="167" t="s">
        <v>157</v>
      </c>
      <c r="I190" s="167" t="s">
        <v>233</v>
      </c>
      <c r="J190" s="167" t="s">
        <v>1005</v>
      </c>
      <c r="K190" s="167" t="s">
        <v>170</v>
      </c>
      <c r="L190" s="167" t="s">
        <v>180</v>
      </c>
      <c r="M190" s="167" t="s">
        <v>8</v>
      </c>
      <c r="N190" s="167" t="s">
        <v>1006</v>
      </c>
      <c r="O190" s="12" t="str">
        <f>_xlfn.DISPIMG("ID_AB18BB501DAF4CA0AB480E453554BF60",1)</f>
        <v>=DISPIMG("ID_AB18BB501DAF4CA0AB480E453554BF60",1)</v>
      </c>
      <c r="P190" s="9" t="s">
        <v>1007</v>
      </c>
      <c r="Q190" s="11">
        <v>102</v>
      </c>
      <c r="R190" s="15" t="s">
        <v>4489</v>
      </c>
      <c r="S190" s="19" t="s">
        <v>46</v>
      </c>
      <c r="T190" s="9">
        <v>20</v>
      </c>
    </row>
    <row r="191" s="5" customFormat="1" customHeight="1" spans="1:20">
      <c r="A191" s="166" t="s">
        <v>1127</v>
      </c>
      <c r="B191" s="166" t="s">
        <v>153</v>
      </c>
      <c r="C191" s="166" t="s">
        <v>1128</v>
      </c>
      <c r="D191" s="11">
        <v>13698023687</v>
      </c>
      <c r="E191" s="167" t="s">
        <v>156</v>
      </c>
      <c r="F191" s="166" t="s">
        <v>8</v>
      </c>
      <c r="G191" s="9">
        <v>202102002</v>
      </c>
      <c r="H191" s="167" t="s">
        <v>157</v>
      </c>
      <c r="I191" s="167" t="s">
        <v>158</v>
      </c>
      <c r="J191" s="167" t="s">
        <v>270</v>
      </c>
      <c r="K191" s="167" t="s">
        <v>170</v>
      </c>
      <c r="L191" s="167" t="s">
        <v>548</v>
      </c>
      <c r="M191" s="167" t="s">
        <v>1130</v>
      </c>
      <c r="N191" s="167" t="s">
        <v>1131</v>
      </c>
      <c r="O191" s="12" t="str">
        <f>_xlfn.DISPIMG("ID_2ABFF7AF1BF04D95953E32E5250DE953",1)</f>
        <v>=DISPIMG("ID_2ABFF7AF1BF04D95953E32E5250DE953",1)</v>
      </c>
      <c r="P191" s="9" t="s">
        <v>1132</v>
      </c>
      <c r="Q191" s="11">
        <v>118</v>
      </c>
      <c r="R191" s="15" t="s">
        <v>4490</v>
      </c>
      <c r="S191" s="19" t="s">
        <v>46</v>
      </c>
      <c r="T191" s="9">
        <v>29</v>
      </c>
    </row>
    <row r="192" s="3" customFormat="1" customHeight="1" spans="1:20">
      <c r="A192" s="166" t="s">
        <v>1200</v>
      </c>
      <c r="B192" s="166" t="s">
        <v>165</v>
      </c>
      <c r="C192" s="166" t="s">
        <v>1201</v>
      </c>
      <c r="D192" s="11">
        <v>15270186776</v>
      </c>
      <c r="E192" s="167" t="s">
        <v>156</v>
      </c>
      <c r="F192" s="166" t="s">
        <v>8</v>
      </c>
      <c r="G192" s="9">
        <v>202102002</v>
      </c>
      <c r="H192" s="167" t="s">
        <v>157</v>
      </c>
      <c r="I192" s="167" t="s">
        <v>1203</v>
      </c>
      <c r="J192" s="167" t="s">
        <v>1204</v>
      </c>
      <c r="K192" s="167" t="s">
        <v>160</v>
      </c>
      <c r="L192" s="167" t="s">
        <v>1089</v>
      </c>
      <c r="M192" s="167" t="s">
        <v>1205</v>
      </c>
      <c r="N192" s="167" t="s">
        <v>1206</v>
      </c>
      <c r="O192" s="12" t="str">
        <f>_xlfn.DISPIMG("ID_0C966700704E44E6A4C50F763206BC81",1)</f>
        <v>=DISPIMG("ID_0C966700704E44E6A4C50F763206BC81",1)</v>
      </c>
      <c r="P192" s="9" t="s">
        <v>1207</v>
      </c>
      <c r="Q192" s="11">
        <v>127</v>
      </c>
      <c r="R192" s="15" t="s">
        <v>4491</v>
      </c>
      <c r="S192" s="19" t="s">
        <v>46</v>
      </c>
      <c r="T192" s="9">
        <v>4</v>
      </c>
    </row>
    <row r="193" s="3" customFormat="1" customHeight="1" spans="1:20">
      <c r="A193" s="166" t="s">
        <v>1262</v>
      </c>
      <c r="B193" s="166" t="s">
        <v>165</v>
      </c>
      <c r="C193" s="166" t="s">
        <v>1263</v>
      </c>
      <c r="D193" s="11">
        <v>18897926715</v>
      </c>
      <c r="E193" s="167" t="s">
        <v>156</v>
      </c>
      <c r="F193" s="166" t="s">
        <v>8</v>
      </c>
      <c r="G193" s="9">
        <v>202102002</v>
      </c>
      <c r="H193" s="167" t="s">
        <v>157</v>
      </c>
      <c r="I193" s="167" t="s">
        <v>1265</v>
      </c>
      <c r="J193" s="167" t="s">
        <v>813</v>
      </c>
      <c r="K193" s="167" t="s">
        <v>160</v>
      </c>
      <c r="L193" s="167" t="s">
        <v>199</v>
      </c>
      <c r="M193" s="167" t="s">
        <v>1266</v>
      </c>
      <c r="N193" s="11">
        <v>0</v>
      </c>
      <c r="O193" s="12" t="str">
        <f>_xlfn.DISPIMG("ID_5DC2209F39824089B70DAE46CB942DD1",1)</f>
        <v>=DISPIMG("ID_5DC2209F39824089B70DAE46CB942DD1",1)</v>
      </c>
      <c r="P193" s="9" t="s">
        <v>1267</v>
      </c>
      <c r="Q193" s="11">
        <v>135</v>
      </c>
      <c r="R193" s="15" t="s">
        <v>4492</v>
      </c>
      <c r="S193" s="19" t="s">
        <v>46</v>
      </c>
      <c r="T193" s="9">
        <v>9</v>
      </c>
    </row>
    <row r="194" s="3" customFormat="1" customHeight="1" spans="1:20">
      <c r="A194" s="166" t="s">
        <v>1318</v>
      </c>
      <c r="B194" s="166" t="s">
        <v>165</v>
      </c>
      <c r="C194" s="166" t="s">
        <v>1319</v>
      </c>
      <c r="D194" s="11">
        <v>18270633854</v>
      </c>
      <c r="E194" s="167" t="s">
        <v>156</v>
      </c>
      <c r="F194" s="166" t="s">
        <v>8</v>
      </c>
      <c r="G194" s="9">
        <v>202102002</v>
      </c>
      <c r="H194" s="167" t="s">
        <v>157</v>
      </c>
      <c r="I194" s="167" t="s">
        <v>1258</v>
      </c>
      <c r="J194" s="167" t="s">
        <v>1321</v>
      </c>
      <c r="K194" s="167" t="s">
        <v>160</v>
      </c>
      <c r="L194" s="167" t="s">
        <v>516</v>
      </c>
      <c r="M194" s="167" t="s">
        <v>1322</v>
      </c>
      <c r="N194" s="167" t="s">
        <v>1323</v>
      </c>
      <c r="O194" s="12" t="str">
        <f>_xlfn.DISPIMG("ID_D86A3E1B243D4E47B731958FB3B82FC3",1)</f>
        <v>=DISPIMG("ID_D86A3E1B243D4E47B731958FB3B82FC3",1)</v>
      </c>
      <c r="P194" s="9" t="s">
        <v>1324</v>
      </c>
      <c r="Q194" s="11">
        <v>143</v>
      </c>
      <c r="R194" s="15" t="s">
        <v>4493</v>
      </c>
      <c r="S194" s="19" t="s">
        <v>46</v>
      </c>
      <c r="T194" s="9">
        <v>16</v>
      </c>
    </row>
    <row r="195" s="3" customFormat="1" customHeight="1" spans="1:20">
      <c r="A195" s="166" t="s">
        <v>1471</v>
      </c>
      <c r="B195" s="166" t="s">
        <v>165</v>
      </c>
      <c r="C195" s="166" t="s">
        <v>1472</v>
      </c>
      <c r="D195" s="11">
        <v>13687036753</v>
      </c>
      <c r="E195" s="167" t="s">
        <v>156</v>
      </c>
      <c r="F195" s="166" t="s">
        <v>8</v>
      </c>
      <c r="G195" s="9">
        <v>202102002</v>
      </c>
      <c r="H195" s="167" t="s">
        <v>157</v>
      </c>
      <c r="I195" s="167" t="s">
        <v>269</v>
      </c>
      <c r="J195" s="167" t="s">
        <v>1204</v>
      </c>
      <c r="K195" s="167" t="s">
        <v>160</v>
      </c>
      <c r="L195" s="167" t="s">
        <v>171</v>
      </c>
      <c r="M195" s="167" t="s">
        <v>20</v>
      </c>
      <c r="N195" s="167" t="s">
        <v>1474</v>
      </c>
      <c r="O195" s="12" t="str">
        <f>_xlfn.DISPIMG("ID_282C99EDDFB743068B1F4514F99C7126",1)</f>
        <v>=DISPIMG("ID_282C99EDDFB743068B1F4514F99C7126",1)</v>
      </c>
      <c r="P195" s="9" t="s">
        <v>1475</v>
      </c>
      <c r="Q195" s="11">
        <v>163</v>
      </c>
      <c r="R195" s="15" t="s">
        <v>4494</v>
      </c>
      <c r="S195" s="19" t="s">
        <v>46</v>
      </c>
      <c r="T195" s="9">
        <v>21</v>
      </c>
    </row>
    <row r="196" s="3" customFormat="1" customHeight="1" spans="1:20">
      <c r="A196" s="166" t="s">
        <v>1613</v>
      </c>
      <c r="B196" s="166" t="s">
        <v>165</v>
      </c>
      <c r="C196" s="166" t="s">
        <v>1614</v>
      </c>
      <c r="D196" s="11">
        <v>18296280573</v>
      </c>
      <c r="E196" s="167" t="s">
        <v>156</v>
      </c>
      <c r="F196" s="166" t="s">
        <v>8</v>
      </c>
      <c r="G196" s="9">
        <v>202102002</v>
      </c>
      <c r="H196" s="167" t="s">
        <v>157</v>
      </c>
      <c r="I196" s="167" t="s">
        <v>233</v>
      </c>
      <c r="J196" s="167" t="s">
        <v>1616</v>
      </c>
      <c r="K196" s="167" t="s">
        <v>170</v>
      </c>
      <c r="L196" s="167" t="s">
        <v>235</v>
      </c>
      <c r="M196" s="167" t="s">
        <v>1617</v>
      </c>
      <c r="N196" s="167" t="s">
        <v>1618</v>
      </c>
      <c r="O196" s="12" t="str">
        <f>_xlfn.DISPIMG("ID_2062AD8B56DF4C85BF68D2846493F2B2",1)</f>
        <v>=DISPIMG("ID_2062AD8B56DF4C85BF68D2846493F2B2",1)</v>
      </c>
      <c r="P196" s="9" t="s">
        <v>1619</v>
      </c>
      <c r="Q196" s="11">
        <v>181</v>
      </c>
      <c r="R196" s="15" t="s">
        <v>4495</v>
      </c>
      <c r="S196" s="19" t="s">
        <v>46</v>
      </c>
      <c r="T196" s="9">
        <v>28</v>
      </c>
    </row>
    <row r="197" s="3" customFormat="1" customHeight="1" spans="1:20">
      <c r="A197" s="166" t="s">
        <v>1766</v>
      </c>
      <c r="B197" s="166" t="s">
        <v>165</v>
      </c>
      <c r="C197" s="166" t="s">
        <v>1767</v>
      </c>
      <c r="D197" s="11">
        <v>18370038373</v>
      </c>
      <c r="E197" s="167" t="s">
        <v>156</v>
      </c>
      <c r="F197" s="166" t="s">
        <v>8</v>
      </c>
      <c r="G197" s="9">
        <v>202102002</v>
      </c>
      <c r="H197" s="167" t="s">
        <v>157</v>
      </c>
      <c r="I197" s="167" t="s">
        <v>269</v>
      </c>
      <c r="J197" s="167" t="s">
        <v>813</v>
      </c>
      <c r="K197" s="167" t="s">
        <v>160</v>
      </c>
      <c r="L197" s="167" t="s">
        <v>180</v>
      </c>
      <c r="M197" s="167" t="s">
        <v>8</v>
      </c>
      <c r="N197" s="167" t="s">
        <v>1769</v>
      </c>
      <c r="O197" s="12" t="str">
        <f>_xlfn.DISPIMG("ID_DCEB7245249347F4A2C197E5AB7C6C11",1)</f>
        <v>=DISPIMG("ID_DCEB7245249347F4A2C197E5AB7C6C11",1)</v>
      </c>
      <c r="P197" s="9" t="s">
        <v>1770</v>
      </c>
      <c r="Q197" s="11">
        <v>201</v>
      </c>
      <c r="R197" s="15" t="s">
        <v>4496</v>
      </c>
      <c r="S197" s="19" t="s">
        <v>46</v>
      </c>
      <c r="T197" s="9">
        <v>3</v>
      </c>
    </row>
    <row r="198" s="3" customFormat="1" customHeight="1" spans="1:20">
      <c r="A198" s="166" t="s">
        <v>1837</v>
      </c>
      <c r="B198" s="166" t="s">
        <v>165</v>
      </c>
      <c r="C198" s="166" t="s">
        <v>1838</v>
      </c>
      <c r="D198" s="11">
        <v>13480509971</v>
      </c>
      <c r="E198" s="167" t="s">
        <v>156</v>
      </c>
      <c r="F198" s="166" t="s">
        <v>8</v>
      </c>
      <c r="G198" s="9">
        <v>202102002</v>
      </c>
      <c r="H198" s="167" t="s">
        <v>157</v>
      </c>
      <c r="I198" s="167" t="s">
        <v>540</v>
      </c>
      <c r="J198" s="167" t="s">
        <v>1840</v>
      </c>
      <c r="K198" s="167" t="s">
        <v>160</v>
      </c>
      <c r="L198" s="167" t="s">
        <v>587</v>
      </c>
      <c r="M198" s="167" t="s">
        <v>1841</v>
      </c>
      <c r="N198" s="167" t="s">
        <v>1842</v>
      </c>
      <c r="O198" s="12" t="str">
        <f>_xlfn.DISPIMG("ID_0F8BA8686B8D4F92BF1EF6F4CB55E695",1)</f>
        <v>=DISPIMG("ID_0F8BA8686B8D4F92BF1EF6F4CB55E695",1)</v>
      </c>
      <c r="P198" s="9" t="s">
        <v>1843</v>
      </c>
      <c r="Q198" s="11">
        <v>210</v>
      </c>
      <c r="R198" s="15" t="s">
        <v>4497</v>
      </c>
      <c r="S198" s="19" t="s">
        <v>46</v>
      </c>
      <c r="T198" s="9">
        <v>10</v>
      </c>
    </row>
    <row r="199" s="3" customFormat="1" customHeight="1" spans="1:20">
      <c r="A199" s="166" t="s">
        <v>1904</v>
      </c>
      <c r="B199" s="166" t="s">
        <v>165</v>
      </c>
      <c r="C199" s="166" t="s">
        <v>1905</v>
      </c>
      <c r="D199" s="11">
        <v>15070412978</v>
      </c>
      <c r="E199" s="167" t="s">
        <v>156</v>
      </c>
      <c r="F199" s="166" t="s">
        <v>8</v>
      </c>
      <c r="G199" s="9">
        <v>202102002</v>
      </c>
      <c r="H199" s="167" t="s">
        <v>157</v>
      </c>
      <c r="I199" s="167" t="s">
        <v>233</v>
      </c>
      <c r="J199" s="167" t="s">
        <v>454</v>
      </c>
      <c r="K199" s="167" t="s">
        <v>170</v>
      </c>
      <c r="L199" s="167" t="s">
        <v>1907</v>
      </c>
      <c r="M199" s="167" t="s">
        <v>8</v>
      </c>
      <c r="N199" s="167" t="s">
        <v>1908</v>
      </c>
      <c r="O199" s="12" t="str">
        <f>_xlfn.DISPIMG("ID_02D14B5C83BE4DBBBCAAA0B55D7FE392",1)</f>
        <v>=DISPIMG("ID_02D14B5C83BE4DBBBCAAA0B55D7FE392",1)</v>
      </c>
      <c r="P199" s="9" t="s">
        <v>1909</v>
      </c>
      <c r="Q199" s="11">
        <v>219</v>
      </c>
      <c r="R199" s="15" t="s">
        <v>4498</v>
      </c>
      <c r="S199" s="19" t="s">
        <v>46</v>
      </c>
      <c r="T199" s="9">
        <v>15</v>
      </c>
    </row>
    <row r="200" s="3" customFormat="1" customHeight="1" spans="1:20">
      <c r="A200" s="166" t="s">
        <v>1977</v>
      </c>
      <c r="B200" s="166" t="s">
        <v>165</v>
      </c>
      <c r="C200" s="166" t="s">
        <v>1978</v>
      </c>
      <c r="D200" s="11">
        <v>15070907830</v>
      </c>
      <c r="E200" s="167" t="s">
        <v>156</v>
      </c>
      <c r="F200" s="166" t="s">
        <v>8</v>
      </c>
      <c r="G200" s="9">
        <v>202102002</v>
      </c>
      <c r="H200" s="167" t="s">
        <v>157</v>
      </c>
      <c r="I200" s="167" t="s">
        <v>827</v>
      </c>
      <c r="J200" s="167" t="s">
        <v>243</v>
      </c>
      <c r="K200" s="167" t="s">
        <v>160</v>
      </c>
      <c r="L200" s="167" t="s">
        <v>161</v>
      </c>
      <c r="M200" s="167" t="s">
        <v>8</v>
      </c>
      <c r="N200" s="167" t="s">
        <v>1979</v>
      </c>
      <c r="O200" s="12" t="str">
        <f>_xlfn.DISPIMG("ID_4F2775F35FF241D1A9320534AD0F9FD6",1)</f>
        <v>=DISPIMG("ID_4F2775F35FF241D1A9320534AD0F9FD6",1)</v>
      </c>
      <c r="P200" s="9" t="s">
        <v>1980</v>
      </c>
      <c r="Q200" s="11">
        <v>229</v>
      </c>
      <c r="R200" s="15" t="s">
        <v>4499</v>
      </c>
      <c r="S200" s="19" t="s">
        <v>46</v>
      </c>
      <c r="T200" s="9">
        <v>22</v>
      </c>
    </row>
    <row r="201" s="3" customFormat="1" customHeight="1" spans="1:20">
      <c r="A201" s="166" t="s">
        <v>2076</v>
      </c>
      <c r="B201" s="166" t="s">
        <v>153</v>
      </c>
      <c r="C201" s="166" t="s">
        <v>2077</v>
      </c>
      <c r="D201" s="11">
        <v>19951510515</v>
      </c>
      <c r="E201" s="167" t="s">
        <v>156</v>
      </c>
      <c r="F201" s="166" t="s">
        <v>8</v>
      </c>
      <c r="G201" s="9">
        <v>202102002</v>
      </c>
      <c r="H201" s="167" t="s">
        <v>279</v>
      </c>
      <c r="I201" s="167" t="s">
        <v>507</v>
      </c>
      <c r="J201" s="167" t="s">
        <v>497</v>
      </c>
      <c r="K201" s="167" t="s">
        <v>170</v>
      </c>
      <c r="L201" s="167" t="s">
        <v>224</v>
      </c>
      <c r="M201" s="167" t="s">
        <v>989</v>
      </c>
      <c r="N201" s="167" t="s">
        <v>2079</v>
      </c>
      <c r="O201" s="12" t="str">
        <f>_xlfn.DISPIMG("ID_55D50712BDA742E9BE089E9AEF5CFD56",1)</f>
        <v>=DISPIMG("ID_55D50712BDA742E9BE089E9AEF5CFD56",1)</v>
      </c>
      <c r="P201" s="9" t="s">
        <v>2080</v>
      </c>
      <c r="Q201" s="11">
        <v>242</v>
      </c>
      <c r="R201" s="15" t="s">
        <v>4500</v>
      </c>
      <c r="S201" s="19" t="s">
        <v>46</v>
      </c>
      <c r="T201" s="9">
        <v>27</v>
      </c>
    </row>
    <row r="202" s="3" customFormat="1" customHeight="1" spans="1:20">
      <c r="A202" s="166" t="s">
        <v>2126</v>
      </c>
      <c r="B202" s="166" t="s">
        <v>165</v>
      </c>
      <c r="C202" s="166" t="s">
        <v>2127</v>
      </c>
      <c r="D202" s="11">
        <v>18370269701</v>
      </c>
      <c r="E202" s="167" t="s">
        <v>156</v>
      </c>
      <c r="F202" s="166" t="s">
        <v>8</v>
      </c>
      <c r="G202" s="9">
        <v>202102002</v>
      </c>
      <c r="H202" s="167" t="s">
        <v>157</v>
      </c>
      <c r="I202" s="167" t="s">
        <v>789</v>
      </c>
      <c r="J202" s="167" t="s">
        <v>2129</v>
      </c>
      <c r="K202" s="167" t="s">
        <v>160</v>
      </c>
      <c r="L202" s="167" t="s">
        <v>252</v>
      </c>
      <c r="M202" s="167" t="s">
        <v>20</v>
      </c>
      <c r="N202" s="11">
        <v>0</v>
      </c>
      <c r="O202" s="12" t="str">
        <f>_xlfn.DISPIMG("ID_03579C230E4B4D1F94606FFA97C412A2",1)</f>
        <v>=DISPIMG("ID_03579C230E4B4D1F94606FFA97C412A2",1)</v>
      </c>
      <c r="P202" s="9" t="s">
        <v>2130</v>
      </c>
      <c r="Q202" s="11">
        <v>249</v>
      </c>
      <c r="R202" s="15" t="s">
        <v>4501</v>
      </c>
      <c r="S202" s="19" t="s">
        <v>46</v>
      </c>
      <c r="T202" s="9">
        <v>2</v>
      </c>
    </row>
    <row r="203" s="3" customFormat="1" customHeight="1" spans="1:20">
      <c r="A203" s="166" t="s">
        <v>2133</v>
      </c>
      <c r="B203" s="166" t="s">
        <v>165</v>
      </c>
      <c r="C203" s="166" t="s">
        <v>2134</v>
      </c>
      <c r="D203" s="11">
        <v>15079264291</v>
      </c>
      <c r="E203" s="167" t="s">
        <v>156</v>
      </c>
      <c r="F203" s="166" t="s">
        <v>8</v>
      </c>
      <c r="G203" s="9">
        <v>202102002</v>
      </c>
      <c r="H203" s="167" t="s">
        <v>157</v>
      </c>
      <c r="I203" s="167" t="s">
        <v>876</v>
      </c>
      <c r="J203" s="167" t="s">
        <v>270</v>
      </c>
      <c r="K203" s="167" t="s">
        <v>170</v>
      </c>
      <c r="L203" s="167" t="s">
        <v>455</v>
      </c>
      <c r="M203" s="167" t="s">
        <v>20</v>
      </c>
      <c r="N203" s="167" t="s">
        <v>2136</v>
      </c>
      <c r="O203" s="12" t="str">
        <f>_xlfn.DISPIMG("ID_96FF4E1240E04D98ACBC33F8D3EE9C8F",1)</f>
        <v>=DISPIMG("ID_96FF4E1240E04D98ACBC33F8D3EE9C8F",1)</v>
      </c>
      <c r="P203" s="9" t="s">
        <v>2137</v>
      </c>
      <c r="Q203" s="11">
        <v>250</v>
      </c>
      <c r="R203" s="15" t="s">
        <v>4502</v>
      </c>
      <c r="S203" s="19" t="s">
        <v>46</v>
      </c>
      <c r="T203" s="9">
        <v>11</v>
      </c>
    </row>
    <row r="204" s="3" customFormat="1" customHeight="1" spans="1:20">
      <c r="A204" s="166" t="s">
        <v>2194</v>
      </c>
      <c r="B204" s="166" t="s">
        <v>165</v>
      </c>
      <c r="C204" s="166" t="s">
        <v>2195</v>
      </c>
      <c r="D204" s="11">
        <v>13617094078</v>
      </c>
      <c r="E204" s="167" t="s">
        <v>156</v>
      </c>
      <c r="F204" s="166" t="s">
        <v>8</v>
      </c>
      <c r="G204" s="9">
        <v>202102002</v>
      </c>
      <c r="H204" s="167" t="s">
        <v>157</v>
      </c>
      <c r="I204" s="167" t="s">
        <v>2197</v>
      </c>
      <c r="J204" s="167" t="s">
        <v>2198</v>
      </c>
      <c r="K204" s="167" t="s">
        <v>160</v>
      </c>
      <c r="L204" s="167" t="s">
        <v>281</v>
      </c>
      <c r="M204" s="167" t="s">
        <v>8</v>
      </c>
      <c r="N204" s="167" t="s">
        <v>2199</v>
      </c>
      <c r="O204" s="12" t="str">
        <f>_xlfn.DISPIMG("ID_C169A98BEF614A41ADF43CA619535221",1)</f>
        <v>=DISPIMG("ID_C169A98BEF614A41ADF43CA619535221",1)</v>
      </c>
      <c r="P204" s="9" t="s">
        <v>2200</v>
      </c>
      <c r="Q204" s="11">
        <v>258</v>
      </c>
      <c r="R204" s="15" t="s">
        <v>4503</v>
      </c>
      <c r="S204" s="19" t="s">
        <v>46</v>
      </c>
      <c r="T204" s="9">
        <v>14</v>
      </c>
    </row>
    <row r="205" s="3" customFormat="1" customHeight="1" spans="1:20">
      <c r="A205" s="166" t="s">
        <v>2309</v>
      </c>
      <c r="B205" s="166" t="s">
        <v>165</v>
      </c>
      <c r="C205" s="166" t="s">
        <v>2310</v>
      </c>
      <c r="D205" s="11">
        <v>15279968703</v>
      </c>
      <c r="E205" s="167" t="s">
        <v>156</v>
      </c>
      <c r="F205" s="166" t="s">
        <v>8</v>
      </c>
      <c r="G205" s="9">
        <v>202102002</v>
      </c>
      <c r="H205" s="167" t="s">
        <v>279</v>
      </c>
      <c r="I205" s="167" t="s">
        <v>1424</v>
      </c>
      <c r="J205" s="167" t="s">
        <v>497</v>
      </c>
      <c r="K205" s="167" t="s">
        <v>170</v>
      </c>
      <c r="L205" s="167" t="s">
        <v>180</v>
      </c>
      <c r="M205" s="167" t="s">
        <v>8</v>
      </c>
      <c r="N205" s="167" t="s">
        <v>2312</v>
      </c>
      <c r="O205" s="12" t="str">
        <f>_xlfn.DISPIMG("ID_987FF0FA37F44BD9A4B0BCCB3CF13E1D",1)</f>
        <v>=DISPIMG("ID_987FF0FA37F44BD9A4B0BCCB3CF13E1D",1)</v>
      </c>
      <c r="P205" s="9" t="s">
        <v>2313</v>
      </c>
      <c r="Q205" s="11">
        <v>273</v>
      </c>
      <c r="R205" s="15" t="s">
        <v>4504</v>
      </c>
      <c r="S205" s="19" t="s">
        <v>46</v>
      </c>
      <c r="T205" s="9">
        <v>23</v>
      </c>
    </row>
    <row r="206" s="3" customFormat="1" customHeight="1" spans="1:20">
      <c r="A206" s="166" t="s">
        <v>2337</v>
      </c>
      <c r="B206" s="166" t="s">
        <v>165</v>
      </c>
      <c r="C206" s="166" t="s">
        <v>2338</v>
      </c>
      <c r="D206" s="11">
        <v>15779252368</v>
      </c>
      <c r="E206" s="167" t="s">
        <v>156</v>
      </c>
      <c r="F206" s="166" t="s">
        <v>8</v>
      </c>
      <c r="G206" s="9">
        <v>202102002</v>
      </c>
      <c r="H206" s="167" t="s">
        <v>157</v>
      </c>
      <c r="I206" s="167" t="s">
        <v>2340</v>
      </c>
      <c r="J206" s="167" t="s">
        <v>270</v>
      </c>
      <c r="K206" s="167" t="s">
        <v>170</v>
      </c>
      <c r="L206" s="167" t="s">
        <v>548</v>
      </c>
      <c r="M206" s="167" t="s">
        <v>1322</v>
      </c>
      <c r="N206" s="167" t="s">
        <v>2341</v>
      </c>
      <c r="O206" s="12" t="str">
        <f>_xlfn.DISPIMG("ID_590DFB2A64AB463E915AA57C80368398",1)</f>
        <v>=DISPIMG("ID_590DFB2A64AB463E915AA57C80368398",1)</v>
      </c>
      <c r="P206" s="9" t="s">
        <v>2342</v>
      </c>
      <c r="Q206" s="11">
        <v>277</v>
      </c>
      <c r="R206" s="15" t="s">
        <v>4505</v>
      </c>
      <c r="S206" s="19" t="s">
        <v>46</v>
      </c>
      <c r="T206" s="9">
        <v>26</v>
      </c>
    </row>
    <row r="207" s="3" customFormat="1" customHeight="1" spans="1:20">
      <c r="A207" s="166" t="s">
        <v>2345</v>
      </c>
      <c r="B207" s="166" t="s">
        <v>153</v>
      </c>
      <c r="C207" s="166" t="s">
        <v>2346</v>
      </c>
      <c r="D207" s="11">
        <v>15267177470</v>
      </c>
      <c r="E207" s="167" t="s">
        <v>156</v>
      </c>
      <c r="F207" s="166" t="s">
        <v>8</v>
      </c>
      <c r="G207" s="9">
        <v>202102002</v>
      </c>
      <c r="H207" s="167" t="s">
        <v>279</v>
      </c>
      <c r="I207" s="167" t="s">
        <v>2348</v>
      </c>
      <c r="J207" s="167" t="s">
        <v>1950</v>
      </c>
      <c r="K207" s="167" t="s">
        <v>170</v>
      </c>
      <c r="L207" s="167" t="s">
        <v>2047</v>
      </c>
      <c r="M207" s="167" t="s">
        <v>2349</v>
      </c>
      <c r="N207" s="167" t="s">
        <v>2350</v>
      </c>
      <c r="O207" s="12" t="str">
        <f>_xlfn.DISPIMG("ID_5E2BE4A32E0C443299D86A217DB8E55F",1)</f>
        <v>=DISPIMG("ID_5E2BE4A32E0C443299D86A217DB8E55F",1)</v>
      </c>
      <c r="P207" s="9" t="s">
        <v>2351</v>
      </c>
      <c r="Q207" s="11">
        <v>278</v>
      </c>
      <c r="R207" s="15" t="s">
        <v>4506</v>
      </c>
      <c r="S207" s="19" t="s">
        <v>46</v>
      </c>
      <c r="T207" s="9">
        <v>1</v>
      </c>
    </row>
    <row r="208" s="3" customFormat="1" customHeight="1" spans="1:20">
      <c r="A208" s="166" t="s">
        <v>2376</v>
      </c>
      <c r="B208" s="166" t="s">
        <v>165</v>
      </c>
      <c r="C208" s="166" t="s">
        <v>2377</v>
      </c>
      <c r="D208" s="11">
        <v>15779112128</v>
      </c>
      <c r="E208" s="167" t="s">
        <v>156</v>
      </c>
      <c r="F208" s="166" t="s">
        <v>8</v>
      </c>
      <c r="G208" s="9">
        <v>202102002</v>
      </c>
      <c r="H208" s="167" t="s">
        <v>157</v>
      </c>
      <c r="I208" s="167" t="s">
        <v>603</v>
      </c>
      <c r="J208" s="167" t="s">
        <v>2379</v>
      </c>
      <c r="K208" s="167" t="s">
        <v>160</v>
      </c>
      <c r="L208" s="167" t="s">
        <v>180</v>
      </c>
      <c r="M208" s="167" t="s">
        <v>8</v>
      </c>
      <c r="N208" s="167" t="s">
        <v>2380</v>
      </c>
      <c r="O208" s="12" t="str">
        <f>_xlfn.DISPIMG("ID_9499CE74334F4664AC42AD98401CDCF8",1)</f>
        <v>=DISPIMG("ID_9499CE74334F4664AC42AD98401CDCF8",1)</v>
      </c>
      <c r="P208" s="9" t="s">
        <v>2381</v>
      </c>
      <c r="Q208" s="11">
        <v>282</v>
      </c>
      <c r="R208" s="15" t="s">
        <v>4507</v>
      </c>
      <c r="S208" s="19" t="s">
        <v>46</v>
      </c>
      <c r="T208" s="9">
        <v>12</v>
      </c>
    </row>
    <row r="209" s="3" customFormat="1" customHeight="1" spans="1:20">
      <c r="A209" s="166" t="s">
        <v>2391</v>
      </c>
      <c r="B209" s="166" t="s">
        <v>165</v>
      </c>
      <c r="C209" s="166" t="s">
        <v>2392</v>
      </c>
      <c r="D209" s="11">
        <v>18779160835</v>
      </c>
      <c r="E209" s="167" t="s">
        <v>156</v>
      </c>
      <c r="F209" s="166" t="s">
        <v>8</v>
      </c>
      <c r="G209" s="9">
        <v>202102002</v>
      </c>
      <c r="H209" s="167" t="s">
        <v>157</v>
      </c>
      <c r="I209" s="167" t="s">
        <v>385</v>
      </c>
      <c r="J209" s="167" t="s">
        <v>2394</v>
      </c>
      <c r="K209" s="167" t="s">
        <v>160</v>
      </c>
      <c r="L209" s="167" t="s">
        <v>306</v>
      </c>
      <c r="M209" s="167" t="s">
        <v>2395</v>
      </c>
      <c r="N209" s="167" t="s">
        <v>2396</v>
      </c>
      <c r="O209" s="12" t="str">
        <f>_xlfn.DISPIMG("ID_E59FBD148CC0458789196A3F7371E3AC",1)</f>
        <v>=DISPIMG("ID_E59FBD148CC0458789196A3F7371E3AC",1)</v>
      </c>
      <c r="P209" s="9" t="s">
        <v>2397</v>
      </c>
      <c r="Q209" s="11">
        <v>284</v>
      </c>
      <c r="R209" s="15" t="s">
        <v>4508</v>
      </c>
      <c r="S209" s="19" t="s">
        <v>46</v>
      </c>
      <c r="T209" s="9">
        <v>13</v>
      </c>
    </row>
    <row r="210" s="3" customFormat="1" customHeight="1" spans="1:20">
      <c r="A210" s="166" t="s">
        <v>2437</v>
      </c>
      <c r="B210" s="166" t="s">
        <v>165</v>
      </c>
      <c r="C210" s="166" t="s">
        <v>2438</v>
      </c>
      <c r="D210" s="11">
        <v>13657919316</v>
      </c>
      <c r="E210" s="167" t="s">
        <v>156</v>
      </c>
      <c r="F210" s="166" t="s">
        <v>8</v>
      </c>
      <c r="G210" s="9">
        <v>202102002</v>
      </c>
      <c r="H210" s="167" t="s">
        <v>705</v>
      </c>
      <c r="I210" s="167" t="s">
        <v>2440</v>
      </c>
      <c r="J210" s="167" t="s">
        <v>2441</v>
      </c>
      <c r="K210" s="167" t="s">
        <v>160</v>
      </c>
      <c r="L210" s="167" t="s">
        <v>189</v>
      </c>
      <c r="M210" s="167" t="s">
        <v>8</v>
      </c>
      <c r="N210" s="11">
        <v>0</v>
      </c>
      <c r="O210" s="12" t="str">
        <f>_xlfn.DISPIMG("ID_840140DEA4BE4280A385428CC67C44E3",1)</f>
        <v>=DISPIMG("ID_840140DEA4BE4280A385428CC67C44E3",1)</v>
      </c>
      <c r="P210" s="9" t="s">
        <v>2442</v>
      </c>
      <c r="Q210" s="11">
        <v>290</v>
      </c>
      <c r="R210" s="15" t="s">
        <v>4509</v>
      </c>
      <c r="S210" s="19" t="s">
        <v>46</v>
      </c>
      <c r="T210" s="9">
        <v>24</v>
      </c>
    </row>
    <row r="211" s="3" customFormat="1" customHeight="1" spans="1:20">
      <c r="A211" s="166" t="s">
        <v>2473</v>
      </c>
      <c r="B211" s="166" t="s">
        <v>153</v>
      </c>
      <c r="C211" s="166" t="s">
        <v>2474</v>
      </c>
      <c r="D211" s="11">
        <v>18079290506</v>
      </c>
      <c r="E211" s="167" t="s">
        <v>156</v>
      </c>
      <c r="F211" s="166" t="s">
        <v>8</v>
      </c>
      <c r="G211" s="9">
        <v>202102002</v>
      </c>
      <c r="H211" s="167" t="s">
        <v>157</v>
      </c>
      <c r="I211" s="167" t="s">
        <v>935</v>
      </c>
      <c r="J211" s="167" t="s">
        <v>270</v>
      </c>
      <c r="K211" s="167" t="s">
        <v>170</v>
      </c>
      <c r="L211" s="167" t="s">
        <v>281</v>
      </c>
      <c r="M211" s="167" t="s">
        <v>1322</v>
      </c>
      <c r="N211" s="167" t="s">
        <v>2476</v>
      </c>
      <c r="O211" s="12" t="str">
        <f>_xlfn.DISPIMG("ID_DDCFE953EBFD4779B7FAA3122A1B85C5",1)</f>
        <v>=DISPIMG("ID_DDCFE953EBFD4779B7FAA3122A1B85C5",1)</v>
      </c>
      <c r="P211" s="9" t="s">
        <v>2477</v>
      </c>
      <c r="Q211" s="11">
        <v>295</v>
      </c>
      <c r="R211" s="15" t="s">
        <v>4510</v>
      </c>
      <c r="S211" s="19" t="s">
        <v>46</v>
      </c>
      <c r="T211" s="9">
        <v>25</v>
      </c>
    </row>
    <row r="212" s="3" customFormat="1" customHeight="1" spans="1:20">
      <c r="A212" s="167" t="s">
        <v>2480</v>
      </c>
      <c r="B212" s="167" t="s">
        <v>165</v>
      </c>
      <c r="C212" s="167" t="s">
        <v>2481</v>
      </c>
      <c r="D212" s="11">
        <v>15179240952</v>
      </c>
      <c r="E212" s="167" t="s">
        <v>156</v>
      </c>
      <c r="F212" s="167" t="s">
        <v>8</v>
      </c>
      <c r="G212" s="11">
        <v>202102002</v>
      </c>
      <c r="H212" s="167" t="s">
        <v>157</v>
      </c>
      <c r="I212" s="167" t="s">
        <v>2483</v>
      </c>
      <c r="J212" s="167" t="s">
        <v>2379</v>
      </c>
      <c r="K212" s="167" t="s">
        <v>160</v>
      </c>
      <c r="L212" s="167" t="s">
        <v>199</v>
      </c>
      <c r="M212" s="167" t="s">
        <v>8</v>
      </c>
      <c r="N212" s="167" t="s">
        <v>2484</v>
      </c>
      <c r="O212" s="12" t="str">
        <f>_xlfn.DISPIMG("ID_6EB4CC10A54B4F2AAD1518F1F500F570",1)</f>
        <v>=DISPIMG("ID_6EB4CC10A54B4F2AAD1518F1F500F570",1)</v>
      </c>
      <c r="P212" s="11" t="s">
        <v>2485</v>
      </c>
      <c r="Q212" s="11">
        <v>296</v>
      </c>
      <c r="R212" s="17" t="s">
        <v>4511</v>
      </c>
      <c r="S212" s="18" t="s">
        <v>48</v>
      </c>
      <c r="T212" s="11">
        <v>6</v>
      </c>
    </row>
    <row r="213" s="3" customFormat="1" customHeight="1" spans="1:20">
      <c r="A213" s="167" t="s">
        <v>2556</v>
      </c>
      <c r="B213" s="167" t="s">
        <v>165</v>
      </c>
      <c r="C213" s="167" t="s">
        <v>2557</v>
      </c>
      <c r="D213" s="11">
        <v>15770775780</v>
      </c>
      <c r="E213" s="167" t="s">
        <v>156</v>
      </c>
      <c r="F213" s="167" t="s">
        <v>8</v>
      </c>
      <c r="G213" s="11">
        <v>202102002</v>
      </c>
      <c r="H213" s="167" t="s">
        <v>157</v>
      </c>
      <c r="I213" s="167" t="s">
        <v>1413</v>
      </c>
      <c r="J213" s="167" t="s">
        <v>169</v>
      </c>
      <c r="K213" s="167" t="s">
        <v>170</v>
      </c>
      <c r="L213" s="167" t="s">
        <v>235</v>
      </c>
      <c r="M213" s="167" t="s">
        <v>8</v>
      </c>
      <c r="N213" s="11">
        <v>0</v>
      </c>
      <c r="O213" s="12" t="str">
        <f>_xlfn.DISPIMG("ID_BF27FE8641A74810A1152D199B9359D9",1)</f>
        <v>=DISPIMG("ID_BF27FE8641A74810A1152D199B9359D9",1)</v>
      </c>
      <c r="P213" s="11" t="s">
        <v>2559</v>
      </c>
      <c r="Q213" s="11">
        <v>306</v>
      </c>
      <c r="R213" s="17" t="s">
        <v>4512</v>
      </c>
      <c r="S213" s="18" t="s">
        <v>48</v>
      </c>
      <c r="T213" s="11">
        <v>7</v>
      </c>
    </row>
    <row r="214" s="3" customFormat="1" customHeight="1" spans="1:20">
      <c r="A214" s="167" t="s">
        <v>2839</v>
      </c>
      <c r="B214" s="167" t="s">
        <v>165</v>
      </c>
      <c r="C214" s="167" t="s">
        <v>2840</v>
      </c>
      <c r="D214" s="11">
        <v>15979055139</v>
      </c>
      <c r="E214" s="167" t="s">
        <v>156</v>
      </c>
      <c r="F214" s="167" t="s">
        <v>8</v>
      </c>
      <c r="G214" s="11">
        <v>202102002</v>
      </c>
      <c r="H214" s="167" t="s">
        <v>157</v>
      </c>
      <c r="I214" s="167" t="s">
        <v>827</v>
      </c>
      <c r="J214" s="167" t="s">
        <v>270</v>
      </c>
      <c r="K214" s="167" t="s">
        <v>170</v>
      </c>
      <c r="L214" s="167" t="s">
        <v>587</v>
      </c>
      <c r="M214" s="167" t="s">
        <v>2842</v>
      </c>
      <c r="N214" s="167" t="s">
        <v>2843</v>
      </c>
      <c r="O214" s="12" t="str">
        <f>_xlfn.DISPIMG("ID_D0E61411E52441859AFE69B7874CA20C",1)</f>
        <v>=DISPIMG("ID_D0E61411E52441859AFE69B7874CA20C",1)</v>
      </c>
      <c r="P214" s="11" t="s">
        <v>2844</v>
      </c>
      <c r="Q214" s="11">
        <v>345</v>
      </c>
      <c r="R214" s="17" t="s">
        <v>4513</v>
      </c>
      <c r="S214" s="18" t="s">
        <v>48</v>
      </c>
      <c r="T214" s="11">
        <v>18</v>
      </c>
    </row>
    <row r="215" s="3" customFormat="1" customHeight="1" spans="1:20">
      <c r="A215" s="167" t="s">
        <v>2847</v>
      </c>
      <c r="B215" s="167" t="s">
        <v>165</v>
      </c>
      <c r="C215" s="167" t="s">
        <v>2848</v>
      </c>
      <c r="D215" s="11">
        <v>18720087898</v>
      </c>
      <c r="E215" s="167" t="s">
        <v>156</v>
      </c>
      <c r="F215" s="167" t="s">
        <v>8</v>
      </c>
      <c r="G215" s="11">
        <v>202102002</v>
      </c>
      <c r="H215" s="167" t="s">
        <v>157</v>
      </c>
      <c r="I215" s="167" t="s">
        <v>1654</v>
      </c>
      <c r="J215" s="167" t="s">
        <v>813</v>
      </c>
      <c r="K215" s="167" t="s">
        <v>160</v>
      </c>
      <c r="L215" s="167" t="s">
        <v>516</v>
      </c>
      <c r="M215" s="167" t="s">
        <v>8</v>
      </c>
      <c r="N215" s="167" t="s">
        <v>2850</v>
      </c>
      <c r="O215" s="12" t="str">
        <f>_xlfn.DISPIMG("ID_B4574457B7EA4998BCE46939492C25E1",1)</f>
        <v>=DISPIMG("ID_B4574457B7EA4998BCE46939492C25E1",1)</v>
      </c>
      <c r="P215" s="11" t="s">
        <v>2851</v>
      </c>
      <c r="Q215" s="11">
        <v>346</v>
      </c>
      <c r="R215" s="17" t="s">
        <v>4514</v>
      </c>
      <c r="S215" s="18" t="s">
        <v>48</v>
      </c>
      <c r="T215" s="11">
        <v>19</v>
      </c>
    </row>
    <row r="216" s="3" customFormat="1" customHeight="1" spans="2:20">
      <c r="B216" s="11"/>
      <c r="C216" s="11"/>
      <c r="D216" s="11"/>
      <c r="E216" s="11"/>
      <c r="F216" s="11"/>
      <c r="G216" s="11"/>
      <c r="H216" s="11"/>
      <c r="I216" s="11"/>
      <c r="J216" s="11"/>
      <c r="K216" s="11"/>
      <c r="L216" s="11"/>
      <c r="M216" s="11"/>
      <c r="N216" s="11"/>
      <c r="O216" s="12"/>
      <c r="P216" s="11" t="s">
        <v>4409</v>
      </c>
      <c r="Q216" s="11"/>
      <c r="R216" s="11" t="s">
        <v>4410</v>
      </c>
      <c r="S216" s="18" t="s">
        <v>48</v>
      </c>
      <c r="T216" s="11">
        <v>30</v>
      </c>
    </row>
    <row r="217" s="3" customFormat="1" customHeight="1" spans="1:20">
      <c r="A217" s="167" t="s">
        <v>2180</v>
      </c>
      <c r="B217" s="167" t="s">
        <v>153</v>
      </c>
      <c r="C217" s="167" t="s">
        <v>2181</v>
      </c>
      <c r="D217" s="11">
        <v>18779219080</v>
      </c>
      <c r="E217" s="167" t="s">
        <v>506</v>
      </c>
      <c r="F217" s="167" t="s">
        <v>8</v>
      </c>
      <c r="G217" s="11">
        <v>202102015</v>
      </c>
      <c r="H217" s="167" t="s">
        <v>279</v>
      </c>
      <c r="I217" s="167" t="s">
        <v>158</v>
      </c>
      <c r="J217" s="167" t="s">
        <v>497</v>
      </c>
      <c r="K217" s="167" t="s">
        <v>170</v>
      </c>
      <c r="L217" s="167" t="s">
        <v>919</v>
      </c>
      <c r="M217" s="167" t="s">
        <v>2183</v>
      </c>
      <c r="N217" s="167" t="s">
        <v>2184</v>
      </c>
      <c r="O217" s="12" t="str">
        <f>_xlfn.DISPIMG("ID_59BF2512FDA845A780519BF3EE363C98",1)</f>
        <v>=DISPIMG("ID_59BF2512FDA845A780519BF3EE363C98",1)</v>
      </c>
      <c r="P217" s="11" t="s">
        <v>2185</v>
      </c>
      <c r="Q217" s="11">
        <v>358</v>
      </c>
      <c r="R217" s="17" t="s">
        <v>4515</v>
      </c>
      <c r="S217" s="18" t="s">
        <v>48</v>
      </c>
      <c r="T217" s="11">
        <v>5</v>
      </c>
    </row>
    <row r="218" s="3" customFormat="1" customHeight="1" spans="1:20">
      <c r="A218" s="167" t="s">
        <v>2947</v>
      </c>
      <c r="B218" s="167" t="s">
        <v>165</v>
      </c>
      <c r="C218" s="167" t="s">
        <v>2948</v>
      </c>
      <c r="D218" s="11">
        <v>17370852983</v>
      </c>
      <c r="E218" s="167" t="s">
        <v>156</v>
      </c>
      <c r="F218" s="167" t="s">
        <v>8</v>
      </c>
      <c r="G218" s="11">
        <v>202102002</v>
      </c>
      <c r="H218" s="167" t="s">
        <v>157</v>
      </c>
      <c r="I218" s="167" t="s">
        <v>611</v>
      </c>
      <c r="J218" s="167" t="s">
        <v>1832</v>
      </c>
      <c r="K218" s="167" t="s">
        <v>160</v>
      </c>
      <c r="L218" s="167" t="s">
        <v>306</v>
      </c>
      <c r="M218" s="167" t="s">
        <v>2950</v>
      </c>
      <c r="N218" s="167" t="s">
        <v>2951</v>
      </c>
      <c r="O218" s="12" t="str">
        <f>_xlfn.DISPIMG("ID_53C3410979BA49538F1410917AAC183C",1)</f>
        <v>=DISPIMG("ID_53C3410979BA49538F1410917AAC183C",1)</v>
      </c>
      <c r="P218" s="11" t="s">
        <v>2952</v>
      </c>
      <c r="Q218" s="11">
        <v>362</v>
      </c>
      <c r="R218" s="17" t="s">
        <v>4516</v>
      </c>
      <c r="S218" s="18" t="s">
        <v>48</v>
      </c>
      <c r="T218" s="11">
        <v>8</v>
      </c>
    </row>
    <row r="219" s="3" customFormat="1" customHeight="1" spans="1:20">
      <c r="A219" s="167" t="s">
        <v>2983</v>
      </c>
      <c r="B219" s="167" t="s">
        <v>165</v>
      </c>
      <c r="C219" s="167" t="s">
        <v>2984</v>
      </c>
      <c r="D219" s="11">
        <v>13699860392</v>
      </c>
      <c r="E219" s="167" t="s">
        <v>156</v>
      </c>
      <c r="F219" s="167" t="s">
        <v>8</v>
      </c>
      <c r="G219" s="11">
        <v>202102002</v>
      </c>
      <c r="H219" s="167" t="s">
        <v>157</v>
      </c>
      <c r="I219" s="167" t="s">
        <v>187</v>
      </c>
      <c r="J219" s="167" t="s">
        <v>2986</v>
      </c>
      <c r="K219" s="167" t="s">
        <v>160</v>
      </c>
      <c r="L219" s="167" t="s">
        <v>516</v>
      </c>
      <c r="M219" s="167" t="s">
        <v>20</v>
      </c>
      <c r="N219" s="167" t="s">
        <v>2987</v>
      </c>
      <c r="O219" s="12" t="str">
        <f>_xlfn.DISPIMG("ID_60E91D8703D740D9A8AE531BE158A22D",1)</f>
        <v>=DISPIMG("ID_60E91D8703D740D9A8AE531BE158A22D",1)</v>
      </c>
      <c r="P219" s="11" t="s">
        <v>2988</v>
      </c>
      <c r="Q219" s="11">
        <v>367</v>
      </c>
      <c r="R219" s="17" t="s">
        <v>4517</v>
      </c>
      <c r="S219" s="18" t="s">
        <v>48</v>
      </c>
      <c r="T219" s="11">
        <v>17</v>
      </c>
    </row>
    <row r="220" s="3" customFormat="1" customHeight="1" spans="1:20">
      <c r="A220" s="167" t="s">
        <v>2996</v>
      </c>
      <c r="B220" s="167" t="s">
        <v>165</v>
      </c>
      <c r="C220" s="167" t="s">
        <v>2997</v>
      </c>
      <c r="D220" s="11">
        <v>17379208038</v>
      </c>
      <c r="E220" s="167" t="s">
        <v>156</v>
      </c>
      <c r="F220" s="167" t="s">
        <v>8</v>
      </c>
      <c r="G220" s="11">
        <v>202102002</v>
      </c>
      <c r="H220" s="167" t="s">
        <v>157</v>
      </c>
      <c r="I220" s="167" t="s">
        <v>437</v>
      </c>
      <c r="J220" s="167" t="s">
        <v>1481</v>
      </c>
      <c r="K220" s="167" t="s">
        <v>160</v>
      </c>
      <c r="L220" s="167" t="s">
        <v>281</v>
      </c>
      <c r="M220" s="167" t="s">
        <v>8</v>
      </c>
      <c r="N220" s="11">
        <v>0</v>
      </c>
      <c r="O220" s="12" t="str">
        <f>_xlfn.DISPIMG("ID_A119020A43A6495588BAFB55CB082F01",1)</f>
        <v>=DISPIMG("ID_A119020A43A6495588BAFB55CB082F01",1)</v>
      </c>
      <c r="P220" s="11" t="s">
        <v>2999</v>
      </c>
      <c r="Q220" s="11">
        <v>369</v>
      </c>
      <c r="R220" s="17" t="s">
        <v>4518</v>
      </c>
      <c r="S220" s="18" t="s">
        <v>48</v>
      </c>
      <c r="T220" s="11">
        <v>20</v>
      </c>
    </row>
    <row r="221" s="3" customFormat="1" customHeight="1" spans="1:20">
      <c r="A221" s="167" t="s">
        <v>425</v>
      </c>
      <c r="B221" s="167" t="s">
        <v>165</v>
      </c>
      <c r="C221" s="167" t="s">
        <v>426</v>
      </c>
      <c r="D221" s="11">
        <v>18720147865</v>
      </c>
      <c r="E221" s="167" t="s">
        <v>297</v>
      </c>
      <c r="F221" s="167" t="s">
        <v>29</v>
      </c>
      <c r="G221" s="11">
        <v>202101008</v>
      </c>
      <c r="H221" s="167" t="s">
        <v>157</v>
      </c>
      <c r="I221" s="167" t="s">
        <v>428</v>
      </c>
      <c r="J221" s="167" t="s">
        <v>429</v>
      </c>
      <c r="K221" s="167" t="s">
        <v>160</v>
      </c>
      <c r="L221" s="167" t="s">
        <v>235</v>
      </c>
      <c r="M221" s="167" t="s">
        <v>430</v>
      </c>
      <c r="N221" s="11">
        <v>0</v>
      </c>
      <c r="O221" s="12" t="str">
        <f>_xlfn.DISPIMG("ID_9C21E529A1D946A49AECBF1B4E991CC9",1)</f>
        <v>=DISPIMG("ID_9C21E529A1D946A49AECBF1B4E991CC9",1)</v>
      </c>
      <c r="P221" s="11" t="s">
        <v>431</v>
      </c>
      <c r="Q221" s="20">
        <v>32</v>
      </c>
      <c r="R221" s="17" t="s">
        <v>4542</v>
      </c>
      <c r="S221" s="18" t="s">
        <v>48</v>
      </c>
      <c r="T221" s="11">
        <v>29</v>
      </c>
    </row>
    <row r="222" s="3" customFormat="1" customHeight="1" spans="1:20">
      <c r="A222" s="167" t="s">
        <v>3075</v>
      </c>
      <c r="B222" s="167" t="s">
        <v>165</v>
      </c>
      <c r="C222" s="167" t="s">
        <v>3076</v>
      </c>
      <c r="D222" s="11">
        <v>13122383919</v>
      </c>
      <c r="E222" s="167" t="s">
        <v>156</v>
      </c>
      <c r="F222" s="167" t="s">
        <v>8</v>
      </c>
      <c r="G222" s="11">
        <v>202102002</v>
      </c>
      <c r="H222" s="167" t="s">
        <v>157</v>
      </c>
      <c r="I222" s="167" t="s">
        <v>3078</v>
      </c>
      <c r="J222" s="167" t="s">
        <v>3079</v>
      </c>
      <c r="K222" s="167" t="s">
        <v>160</v>
      </c>
      <c r="L222" s="167" t="s">
        <v>252</v>
      </c>
      <c r="M222" s="167" t="s">
        <v>8</v>
      </c>
      <c r="N222" s="11">
        <v>0</v>
      </c>
      <c r="O222" s="12" t="str">
        <f>_xlfn.DISPIMG("ID_0C5BA3A4E8B245D6AB6AE82F368BFF6A",1)</f>
        <v>=DISPIMG("ID_0C5BA3A4E8B245D6AB6AE82F368BFF6A",1)</v>
      </c>
      <c r="P222" s="11" t="s">
        <v>3080</v>
      </c>
      <c r="Q222" s="11">
        <v>380</v>
      </c>
      <c r="R222" s="17" t="s">
        <v>4519</v>
      </c>
      <c r="S222" s="18" t="s">
        <v>48</v>
      </c>
      <c r="T222" s="11">
        <v>4</v>
      </c>
    </row>
    <row r="223" s="3" customFormat="1" customHeight="1" spans="1:20">
      <c r="A223" s="167" t="s">
        <v>3083</v>
      </c>
      <c r="B223" s="167" t="s">
        <v>165</v>
      </c>
      <c r="C223" s="167" t="s">
        <v>3084</v>
      </c>
      <c r="D223" s="11">
        <v>15070231776</v>
      </c>
      <c r="E223" s="167" t="s">
        <v>156</v>
      </c>
      <c r="F223" s="167" t="s">
        <v>8</v>
      </c>
      <c r="G223" s="11">
        <v>202102002</v>
      </c>
      <c r="H223" s="167" t="s">
        <v>157</v>
      </c>
      <c r="I223" s="167" t="s">
        <v>3086</v>
      </c>
      <c r="J223" s="167" t="s">
        <v>3087</v>
      </c>
      <c r="K223" s="167" t="s">
        <v>160</v>
      </c>
      <c r="L223" s="167" t="s">
        <v>455</v>
      </c>
      <c r="M223" s="167" t="s">
        <v>8</v>
      </c>
      <c r="N223" s="11">
        <v>0</v>
      </c>
      <c r="O223" s="12" t="str">
        <f>_xlfn.DISPIMG("ID_FE0A8F210AE74D2ABEA83714575A775F",1)</f>
        <v>=DISPIMG("ID_FE0A8F210AE74D2ABEA83714575A775F",1)</v>
      </c>
      <c r="P223" s="11" t="s">
        <v>3088</v>
      </c>
      <c r="Q223" s="20">
        <v>381</v>
      </c>
      <c r="R223" s="17" t="s">
        <v>4520</v>
      </c>
      <c r="S223" s="18" t="s">
        <v>48</v>
      </c>
      <c r="T223" s="11">
        <v>9</v>
      </c>
    </row>
    <row r="224" s="3" customFormat="1" customHeight="1" spans="1:20">
      <c r="A224" s="167" t="s">
        <v>3226</v>
      </c>
      <c r="B224" s="167" t="s">
        <v>165</v>
      </c>
      <c r="C224" s="167" t="s">
        <v>3227</v>
      </c>
      <c r="D224" s="11">
        <v>18279226554</v>
      </c>
      <c r="E224" s="167" t="s">
        <v>156</v>
      </c>
      <c r="F224" s="167" t="s">
        <v>8</v>
      </c>
      <c r="G224" s="11">
        <v>202102002</v>
      </c>
      <c r="H224" s="167" t="s">
        <v>157</v>
      </c>
      <c r="I224" s="167" t="s">
        <v>3229</v>
      </c>
      <c r="J224" s="167" t="s">
        <v>1832</v>
      </c>
      <c r="K224" s="167" t="s">
        <v>160</v>
      </c>
      <c r="L224" s="167" t="s">
        <v>235</v>
      </c>
      <c r="M224" s="167" t="s">
        <v>3230</v>
      </c>
      <c r="N224" s="11">
        <v>0</v>
      </c>
      <c r="O224" s="12" t="str">
        <f>_xlfn.DISPIMG("ID_E38CE29681DB4326A5DB290E49AD4AFC",1)</f>
        <v>=DISPIMG("ID_E38CE29681DB4326A5DB290E49AD4AFC",1)</v>
      </c>
      <c r="P224" s="11" t="s">
        <v>3231</v>
      </c>
      <c r="Q224" s="11">
        <v>402</v>
      </c>
      <c r="R224" s="17" t="s">
        <v>4522</v>
      </c>
      <c r="S224" s="18" t="s">
        <v>48</v>
      </c>
      <c r="T224" s="11">
        <v>16</v>
      </c>
    </row>
    <row r="225" s="3" customFormat="1" customHeight="1" spans="1:20">
      <c r="A225" s="167" t="s">
        <v>3416</v>
      </c>
      <c r="B225" s="167" t="s">
        <v>165</v>
      </c>
      <c r="C225" s="167" t="s">
        <v>3417</v>
      </c>
      <c r="D225" s="11">
        <v>15179885806</v>
      </c>
      <c r="E225" s="167" t="s">
        <v>156</v>
      </c>
      <c r="F225" s="167" t="s">
        <v>8</v>
      </c>
      <c r="G225" s="11">
        <v>202102002</v>
      </c>
      <c r="H225" s="167" t="s">
        <v>157</v>
      </c>
      <c r="I225" s="167" t="s">
        <v>242</v>
      </c>
      <c r="J225" s="167" t="s">
        <v>3087</v>
      </c>
      <c r="K225" s="167" t="s">
        <v>160</v>
      </c>
      <c r="L225" s="167" t="s">
        <v>180</v>
      </c>
      <c r="M225" s="167" t="s">
        <v>3418</v>
      </c>
      <c r="N225" s="167" t="s">
        <v>3419</v>
      </c>
      <c r="O225" s="12" t="str">
        <f>_xlfn.DISPIMG("ID_7663A71771F44500AC5AF2DBC8366CB5",1)</f>
        <v>=DISPIMG("ID_7663A71771F44500AC5AF2DBC8366CB5",1)</v>
      </c>
      <c r="P225" s="11" t="s">
        <v>3420</v>
      </c>
      <c r="Q225" s="11">
        <v>431</v>
      </c>
      <c r="R225" s="17" t="s">
        <v>4523</v>
      </c>
      <c r="S225" s="18" t="s">
        <v>48</v>
      </c>
      <c r="T225" s="11">
        <v>21</v>
      </c>
    </row>
    <row r="226" s="3" customFormat="1" customHeight="1" spans="1:20">
      <c r="A226" s="167" t="s">
        <v>2210</v>
      </c>
      <c r="B226" s="167" t="s">
        <v>165</v>
      </c>
      <c r="C226" s="167" t="s">
        <v>2211</v>
      </c>
      <c r="D226" s="11">
        <v>15770710161</v>
      </c>
      <c r="E226" s="167" t="s">
        <v>384</v>
      </c>
      <c r="F226" s="167" t="s">
        <v>27</v>
      </c>
      <c r="G226" s="11">
        <v>202101016</v>
      </c>
      <c r="H226" s="167" t="s">
        <v>157</v>
      </c>
      <c r="I226" s="167" t="s">
        <v>1413</v>
      </c>
      <c r="J226" s="167" t="s">
        <v>215</v>
      </c>
      <c r="K226" s="167" t="s">
        <v>170</v>
      </c>
      <c r="L226" s="167" t="s">
        <v>171</v>
      </c>
      <c r="M226" s="167" t="s">
        <v>2213</v>
      </c>
      <c r="N226" s="167" t="s">
        <v>2214</v>
      </c>
      <c r="O226" s="12" t="str">
        <f>_xlfn.DISPIMG("ID_0AC7D7DC948D4142BC7E39C07F0EB7F8",1)</f>
        <v>=DISPIMG("ID_0AC7D7DC948D4142BC7E39C07F0EB7F8",1)</v>
      </c>
      <c r="P226" s="11" t="s">
        <v>2215</v>
      </c>
      <c r="Q226" s="11">
        <v>260</v>
      </c>
      <c r="R226" s="17" t="s">
        <v>4540</v>
      </c>
      <c r="S226" s="18" t="s">
        <v>48</v>
      </c>
      <c r="T226" s="11">
        <v>28</v>
      </c>
    </row>
    <row r="227" s="3" customFormat="1" customHeight="1" spans="1:20">
      <c r="A227" s="167" t="s">
        <v>3594</v>
      </c>
      <c r="B227" s="167" t="s">
        <v>165</v>
      </c>
      <c r="C227" s="167" t="s">
        <v>3595</v>
      </c>
      <c r="D227" s="11">
        <v>13635983416</v>
      </c>
      <c r="E227" s="167" t="s">
        <v>156</v>
      </c>
      <c r="F227" s="167" t="s">
        <v>8</v>
      </c>
      <c r="G227" s="11">
        <v>202102002</v>
      </c>
      <c r="H227" s="167" t="s">
        <v>279</v>
      </c>
      <c r="I227" s="167" t="s">
        <v>3597</v>
      </c>
      <c r="J227" s="167" t="s">
        <v>497</v>
      </c>
      <c r="K227" s="167" t="s">
        <v>170</v>
      </c>
      <c r="L227" s="167" t="s">
        <v>189</v>
      </c>
      <c r="M227" s="167" t="s">
        <v>989</v>
      </c>
      <c r="N227" s="167" t="s">
        <v>3598</v>
      </c>
      <c r="O227" s="12" t="str">
        <f>_xlfn.DISPIMG("ID_DB80027A676342B6B8178A0E756378C3",1)</f>
        <v>=DISPIMG("ID_DB80027A676342B6B8178A0E756378C3",1)</v>
      </c>
      <c r="P227" s="11" t="s">
        <v>3599</v>
      </c>
      <c r="Q227" s="11">
        <v>457</v>
      </c>
      <c r="R227" s="17" t="s">
        <v>4524</v>
      </c>
      <c r="S227" s="18" t="s">
        <v>48</v>
      </c>
      <c r="T227" s="11">
        <v>3</v>
      </c>
    </row>
    <row r="228" s="4" customFormat="1" customHeight="1" spans="1:20">
      <c r="A228" s="167" t="s">
        <v>1027</v>
      </c>
      <c r="B228" s="167" t="s">
        <v>165</v>
      </c>
      <c r="C228" s="167" t="s">
        <v>3692</v>
      </c>
      <c r="D228" s="11">
        <v>15779259710</v>
      </c>
      <c r="E228" s="167" t="s">
        <v>156</v>
      </c>
      <c r="F228" s="167" t="s">
        <v>8</v>
      </c>
      <c r="G228" s="11">
        <v>202102002</v>
      </c>
      <c r="H228" s="167" t="s">
        <v>279</v>
      </c>
      <c r="I228" s="167" t="s">
        <v>3694</v>
      </c>
      <c r="J228" s="167" t="s">
        <v>497</v>
      </c>
      <c r="K228" s="167" t="s">
        <v>170</v>
      </c>
      <c r="L228" s="167" t="s">
        <v>180</v>
      </c>
      <c r="M228" s="167" t="s">
        <v>8</v>
      </c>
      <c r="N228" s="167" t="s">
        <v>3695</v>
      </c>
      <c r="O228" s="12" t="str">
        <f>_xlfn.DISPIMG("ID_57DB6C2F5BCD45498E344599D2C7D1D8",1)</f>
        <v>=DISPIMG("ID_57DB6C2F5BCD45498E344599D2C7D1D8",1)</v>
      </c>
      <c r="P228" s="11" t="s">
        <v>3696</v>
      </c>
      <c r="Q228" s="20">
        <v>470</v>
      </c>
      <c r="R228" s="17" t="s">
        <v>4525</v>
      </c>
      <c r="S228" s="18" t="s">
        <v>48</v>
      </c>
      <c r="T228" s="11">
        <v>10</v>
      </c>
    </row>
    <row r="229" s="3" customFormat="1" customHeight="1" spans="1:20">
      <c r="A229" s="167" t="s">
        <v>3734</v>
      </c>
      <c r="B229" s="167" t="s">
        <v>165</v>
      </c>
      <c r="C229" s="167" t="s">
        <v>3735</v>
      </c>
      <c r="D229" s="11">
        <v>15070233072</v>
      </c>
      <c r="E229" s="167" t="s">
        <v>156</v>
      </c>
      <c r="F229" s="167" t="s">
        <v>8</v>
      </c>
      <c r="G229" s="11">
        <v>202102002</v>
      </c>
      <c r="H229" s="167" t="s">
        <v>157</v>
      </c>
      <c r="I229" s="167" t="s">
        <v>3737</v>
      </c>
      <c r="J229" s="167" t="s">
        <v>3738</v>
      </c>
      <c r="K229" s="167" t="s">
        <v>160</v>
      </c>
      <c r="L229" s="167" t="s">
        <v>171</v>
      </c>
      <c r="M229" s="167" t="s">
        <v>8</v>
      </c>
      <c r="N229" s="167" t="s">
        <v>3739</v>
      </c>
      <c r="O229" s="12" t="str">
        <f>_xlfn.DISPIMG("ID_B7F470084B4940CBBF67BF60A043E6F0",1)</f>
        <v>=DISPIMG("ID_B7F470084B4940CBBF67BF60A043E6F0",1)</v>
      </c>
      <c r="P229" s="11" t="s">
        <v>3740</v>
      </c>
      <c r="Q229" s="11">
        <v>476</v>
      </c>
      <c r="R229" s="17" t="s">
        <v>4527</v>
      </c>
      <c r="S229" s="18" t="s">
        <v>48</v>
      </c>
      <c r="T229" s="11">
        <v>15</v>
      </c>
    </row>
    <row r="230" s="3" customFormat="1" customHeight="1" spans="1:20">
      <c r="A230" s="167" t="s">
        <v>3766</v>
      </c>
      <c r="B230" s="167" t="s">
        <v>165</v>
      </c>
      <c r="C230" s="167" t="s">
        <v>3767</v>
      </c>
      <c r="D230" s="11">
        <v>18079224740</v>
      </c>
      <c r="E230" s="167" t="s">
        <v>156</v>
      </c>
      <c r="F230" s="167" t="s">
        <v>8</v>
      </c>
      <c r="G230" s="11">
        <v>202102002</v>
      </c>
      <c r="H230" s="167" t="s">
        <v>157</v>
      </c>
      <c r="I230" s="167" t="s">
        <v>233</v>
      </c>
      <c r="J230" s="167" t="s">
        <v>3769</v>
      </c>
      <c r="K230" s="167" t="s">
        <v>160</v>
      </c>
      <c r="L230" s="167" t="s">
        <v>1089</v>
      </c>
      <c r="M230" s="167" t="s">
        <v>8</v>
      </c>
      <c r="N230" s="11">
        <v>0</v>
      </c>
      <c r="O230" s="12" t="str">
        <f>_xlfn.DISPIMG("ID_2E7FF83B7D12427491B1BA1300A2CD7A",1)</f>
        <v>=DISPIMG("ID_2E7FF83B7D12427491B1BA1300A2CD7A",1)</v>
      </c>
      <c r="P230" s="11" t="s">
        <v>3770</v>
      </c>
      <c r="Q230" s="11">
        <v>480</v>
      </c>
      <c r="R230" s="17" t="s">
        <v>4528</v>
      </c>
      <c r="S230" s="18" t="s">
        <v>48</v>
      </c>
      <c r="T230" s="11">
        <v>22</v>
      </c>
    </row>
    <row r="231" s="3" customFormat="1" customHeight="1" spans="1:20">
      <c r="A231" s="167" t="s">
        <v>3667</v>
      </c>
      <c r="B231" s="167" t="s">
        <v>153</v>
      </c>
      <c r="C231" s="167" t="s">
        <v>3668</v>
      </c>
      <c r="D231" s="11">
        <v>15604248160</v>
      </c>
      <c r="E231" s="167" t="s">
        <v>384</v>
      </c>
      <c r="F231" s="167" t="s">
        <v>27</v>
      </c>
      <c r="G231" s="11">
        <v>202101016</v>
      </c>
      <c r="H231" s="167" t="s">
        <v>705</v>
      </c>
      <c r="I231" s="167" t="s">
        <v>3670</v>
      </c>
      <c r="J231" s="167" t="s">
        <v>215</v>
      </c>
      <c r="K231" s="167" t="s">
        <v>160</v>
      </c>
      <c r="L231" s="167" t="s">
        <v>910</v>
      </c>
      <c r="M231" s="167" t="s">
        <v>3671</v>
      </c>
      <c r="N231" s="167" t="s">
        <v>3672</v>
      </c>
      <c r="O231" s="12" t="str">
        <f>_xlfn.DISPIMG("ID_FBBE15C9E10944F892C3BCC99A8EDA31",1)</f>
        <v>=DISPIMG("ID_FBBE15C9E10944F892C3BCC99A8EDA31",1)</v>
      </c>
      <c r="P231" s="11" t="s">
        <v>3673</v>
      </c>
      <c r="Q231" s="20">
        <v>467</v>
      </c>
      <c r="R231" s="17" t="s">
        <v>4541</v>
      </c>
      <c r="S231" s="18" t="s">
        <v>48</v>
      </c>
      <c r="T231" s="11">
        <v>27</v>
      </c>
    </row>
    <row r="232" s="3" customFormat="1" customHeight="1" spans="1:20">
      <c r="A232" s="167" t="s">
        <v>3811</v>
      </c>
      <c r="B232" s="167" t="s">
        <v>165</v>
      </c>
      <c r="C232" s="167" t="s">
        <v>3812</v>
      </c>
      <c r="D232" s="11">
        <v>18970830560</v>
      </c>
      <c r="E232" s="167" t="s">
        <v>156</v>
      </c>
      <c r="F232" s="167" t="s">
        <v>8</v>
      </c>
      <c r="G232" s="11">
        <v>202102002</v>
      </c>
      <c r="H232" s="167" t="s">
        <v>157</v>
      </c>
      <c r="I232" s="167" t="s">
        <v>2483</v>
      </c>
      <c r="J232" s="167" t="s">
        <v>1832</v>
      </c>
      <c r="K232" s="167" t="s">
        <v>160</v>
      </c>
      <c r="L232" s="167" t="s">
        <v>349</v>
      </c>
      <c r="M232" s="167" t="s">
        <v>8</v>
      </c>
      <c r="N232" s="11">
        <v>0</v>
      </c>
      <c r="O232" s="12" t="str">
        <f>_xlfn.DISPIMG("ID_E15E0A7D91AC4C3983241BCD063880D6",1)</f>
        <v>=DISPIMG("ID_E15E0A7D91AC4C3983241BCD063880D6",1)</v>
      </c>
      <c r="P232" s="11" t="s">
        <v>3814</v>
      </c>
      <c r="Q232" s="11">
        <v>486</v>
      </c>
      <c r="R232" s="17" t="s">
        <v>4529</v>
      </c>
      <c r="S232" s="18" t="s">
        <v>48</v>
      </c>
      <c r="T232" s="11">
        <v>2</v>
      </c>
    </row>
    <row r="233" s="3" customFormat="1" customHeight="1" spans="1:20">
      <c r="A233" s="167" t="s">
        <v>3850</v>
      </c>
      <c r="B233" s="167" t="s">
        <v>165</v>
      </c>
      <c r="C233" s="167" t="s">
        <v>3851</v>
      </c>
      <c r="D233" s="11">
        <v>15797695028</v>
      </c>
      <c r="E233" s="167" t="s">
        <v>156</v>
      </c>
      <c r="F233" s="167" t="s">
        <v>8</v>
      </c>
      <c r="G233" s="11">
        <v>202102002</v>
      </c>
      <c r="H233" s="167" t="s">
        <v>157</v>
      </c>
      <c r="I233" s="167" t="s">
        <v>233</v>
      </c>
      <c r="J233" s="167" t="s">
        <v>3853</v>
      </c>
      <c r="K233" s="167" t="s">
        <v>160</v>
      </c>
      <c r="L233" s="167" t="s">
        <v>235</v>
      </c>
      <c r="M233" s="167" t="s">
        <v>3854</v>
      </c>
      <c r="N233" s="11">
        <v>0</v>
      </c>
      <c r="O233" s="12" t="str">
        <f>_xlfn.DISPIMG("ID_84872379004C4F22BC15C75702A4DBC9",1)</f>
        <v>=DISPIMG("ID_84872379004C4F22BC15C75702A4DBC9",1)</v>
      </c>
      <c r="P233" s="11" t="s">
        <v>3855</v>
      </c>
      <c r="Q233" s="20">
        <v>491</v>
      </c>
      <c r="R233" s="17" t="s">
        <v>4530</v>
      </c>
      <c r="S233" s="18" t="s">
        <v>48</v>
      </c>
      <c r="T233" s="11">
        <v>11</v>
      </c>
    </row>
    <row r="234" s="3" customFormat="1" customHeight="1" spans="1:20">
      <c r="A234" s="167" t="s">
        <v>3865</v>
      </c>
      <c r="B234" s="167" t="s">
        <v>165</v>
      </c>
      <c r="C234" s="167" t="s">
        <v>3866</v>
      </c>
      <c r="D234" s="11">
        <v>18879267212</v>
      </c>
      <c r="E234" s="167" t="s">
        <v>156</v>
      </c>
      <c r="F234" s="167" t="s">
        <v>8</v>
      </c>
      <c r="G234" s="11">
        <v>202102002</v>
      </c>
      <c r="H234" s="167" t="s">
        <v>157</v>
      </c>
      <c r="I234" s="167" t="s">
        <v>827</v>
      </c>
      <c r="J234" s="167" t="s">
        <v>270</v>
      </c>
      <c r="K234" s="167" t="s">
        <v>170</v>
      </c>
      <c r="L234" s="167" t="s">
        <v>171</v>
      </c>
      <c r="M234" s="167" t="s">
        <v>3868</v>
      </c>
      <c r="N234" s="167" t="s">
        <v>3869</v>
      </c>
      <c r="O234" s="12" t="str">
        <f>_xlfn.DISPIMG("ID_60BA691C89BB46A3A629500DC48B1B82",1)</f>
        <v>=DISPIMG("ID_60BA691C89BB46A3A629500DC48B1B82",1)</v>
      </c>
      <c r="P234" s="11" t="s">
        <v>3870</v>
      </c>
      <c r="Q234" s="20">
        <v>493</v>
      </c>
      <c r="R234" s="17" t="s">
        <v>4532</v>
      </c>
      <c r="S234" s="18" t="s">
        <v>48</v>
      </c>
      <c r="T234" s="11">
        <v>14</v>
      </c>
    </row>
    <row r="235" s="3" customFormat="1" customHeight="1" spans="1:20">
      <c r="A235" s="167" t="s">
        <v>3904</v>
      </c>
      <c r="B235" s="167" t="s">
        <v>153</v>
      </c>
      <c r="C235" s="167" t="s">
        <v>3905</v>
      </c>
      <c r="D235" s="11">
        <v>15007027769</v>
      </c>
      <c r="E235" s="167" t="s">
        <v>156</v>
      </c>
      <c r="F235" s="167" t="s">
        <v>8</v>
      </c>
      <c r="G235" s="11">
        <v>202102002</v>
      </c>
      <c r="H235" s="167" t="s">
        <v>157</v>
      </c>
      <c r="I235" s="167" t="s">
        <v>158</v>
      </c>
      <c r="J235" s="167" t="s">
        <v>1481</v>
      </c>
      <c r="K235" s="167" t="s">
        <v>160</v>
      </c>
      <c r="L235" s="167" t="s">
        <v>216</v>
      </c>
      <c r="M235" s="167" t="s">
        <v>8</v>
      </c>
      <c r="N235" s="11">
        <v>0</v>
      </c>
      <c r="O235" s="12" t="str">
        <f>_xlfn.DISPIMG("ID_9F8C123E434549AABE94648B98FC4902",1)</f>
        <v>=DISPIMG("ID_9F8C123E434549AABE94648B98FC4902",1)</v>
      </c>
      <c r="P235" s="11" t="s">
        <v>3907</v>
      </c>
      <c r="Q235" s="20">
        <v>498</v>
      </c>
      <c r="R235" s="17" t="s">
        <v>4533</v>
      </c>
      <c r="S235" s="18" t="s">
        <v>48</v>
      </c>
      <c r="T235" s="11">
        <v>23</v>
      </c>
    </row>
    <row r="236" s="3" customFormat="1" customHeight="1" spans="1:20">
      <c r="A236" s="167" t="s">
        <v>3924</v>
      </c>
      <c r="B236" s="167" t="s">
        <v>165</v>
      </c>
      <c r="C236" s="167" t="s">
        <v>3925</v>
      </c>
      <c r="D236" s="11">
        <v>15797691720</v>
      </c>
      <c r="E236" s="167" t="s">
        <v>156</v>
      </c>
      <c r="F236" s="167" t="s">
        <v>8</v>
      </c>
      <c r="G236" s="11">
        <v>202102002</v>
      </c>
      <c r="H236" s="167" t="s">
        <v>157</v>
      </c>
      <c r="I236" s="167" t="s">
        <v>603</v>
      </c>
      <c r="J236" s="167" t="s">
        <v>2379</v>
      </c>
      <c r="K236" s="167" t="s">
        <v>160</v>
      </c>
      <c r="L236" s="167" t="s">
        <v>306</v>
      </c>
      <c r="M236" s="167" t="s">
        <v>989</v>
      </c>
      <c r="N236" s="167" t="s">
        <v>3927</v>
      </c>
      <c r="O236" s="12" t="str">
        <f>_xlfn.DISPIMG("ID_514B3145E6BD4A2498C42CFECAEF98E2",1)</f>
        <v>=DISPIMG("ID_514B3145E6BD4A2498C42CFECAEF98E2",1)</v>
      </c>
      <c r="P236" s="11" t="s">
        <v>3928</v>
      </c>
      <c r="Q236" s="20">
        <v>501</v>
      </c>
      <c r="R236" s="17" t="s">
        <v>4534</v>
      </c>
      <c r="S236" s="18" t="s">
        <v>48</v>
      </c>
      <c r="T236" s="11">
        <v>26</v>
      </c>
    </row>
    <row r="237" s="3" customFormat="1" customHeight="1" spans="1:20">
      <c r="A237" s="167" t="s">
        <v>3948</v>
      </c>
      <c r="B237" s="167" t="s">
        <v>165</v>
      </c>
      <c r="C237" s="167" t="s">
        <v>3949</v>
      </c>
      <c r="D237" s="11">
        <v>13803563575</v>
      </c>
      <c r="E237" s="167" t="s">
        <v>156</v>
      </c>
      <c r="F237" s="167" t="s">
        <v>8</v>
      </c>
      <c r="G237" s="11">
        <v>202102002</v>
      </c>
      <c r="H237" s="167" t="s">
        <v>279</v>
      </c>
      <c r="I237" s="167" t="s">
        <v>158</v>
      </c>
      <c r="J237" s="167" t="s">
        <v>497</v>
      </c>
      <c r="K237" s="167" t="s">
        <v>170</v>
      </c>
      <c r="L237" s="167" t="s">
        <v>180</v>
      </c>
      <c r="M237" s="167" t="s">
        <v>3230</v>
      </c>
      <c r="N237" s="167" t="s">
        <v>3951</v>
      </c>
      <c r="O237" s="12" t="str">
        <f>_xlfn.DISPIMG("ID_997BB006A29449FB8D35751C6152A872",1)</f>
        <v>=DISPIMG("ID_997BB006A29449FB8D35751C6152A872",1)</v>
      </c>
      <c r="P237" s="11" t="s">
        <v>3952</v>
      </c>
      <c r="Q237" s="11">
        <v>504</v>
      </c>
      <c r="R237" s="17" t="s">
        <v>4535</v>
      </c>
      <c r="S237" s="18" t="s">
        <v>48</v>
      </c>
      <c r="T237" s="11">
        <v>1</v>
      </c>
    </row>
    <row r="238" s="3" customFormat="1" customHeight="1" spans="1:20">
      <c r="A238" s="167" t="s">
        <v>4043</v>
      </c>
      <c r="B238" s="167" t="s">
        <v>165</v>
      </c>
      <c r="C238" s="167" t="s">
        <v>4044</v>
      </c>
      <c r="D238" s="11">
        <v>18046771974</v>
      </c>
      <c r="E238" s="167" t="s">
        <v>156</v>
      </c>
      <c r="F238" s="167" t="s">
        <v>8</v>
      </c>
      <c r="G238" s="11">
        <v>202102002</v>
      </c>
      <c r="H238" s="167" t="s">
        <v>157</v>
      </c>
      <c r="I238" s="167" t="s">
        <v>1368</v>
      </c>
      <c r="J238" s="167" t="s">
        <v>4046</v>
      </c>
      <c r="K238" s="167" t="s">
        <v>170</v>
      </c>
      <c r="L238" s="167" t="s">
        <v>281</v>
      </c>
      <c r="M238" s="167" t="s">
        <v>20</v>
      </c>
      <c r="N238" s="167" t="s">
        <v>4047</v>
      </c>
      <c r="O238" s="12" t="str">
        <f>_xlfn.DISPIMG("ID_5DC4628448F54176A5FF91EC25B128F5",1)</f>
        <v>=DISPIMG("ID_5DC4628448F54176A5FF91EC25B128F5",1)</v>
      </c>
      <c r="P238" s="11" t="s">
        <v>4048</v>
      </c>
      <c r="Q238" s="20">
        <v>517</v>
      </c>
      <c r="R238" s="17" t="s">
        <v>4536</v>
      </c>
      <c r="S238" s="18" t="s">
        <v>48</v>
      </c>
      <c r="T238" s="11">
        <v>12</v>
      </c>
    </row>
    <row r="239" s="3" customFormat="1" customHeight="1" spans="1:20">
      <c r="A239" s="167" t="s">
        <v>4089</v>
      </c>
      <c r="B239" s="167" t="s">
        <v>165</v>
      </c>
      <c r="C239" s="167" t="s">
        <v>4090</v>
      </c>
      <c r="D239" s="11">
        <v>15979951702</v>
      </c>
      <c r="E239" s="167" t="s">
        <v>156</v>
      </c>
      <c r="F239" s="167" t="s">
        <v>8</v>
      </c>
      <c r="G239" s="11">
        <v>202102002</v>
      </c>
      <c r="H239" s="167" t="s">
        <v>157</v>
      </c>
      <c r="I239" s="167" t="s">
        <v>385</v>
      </c>
      <c r="J239" s="167" t="s">
        <v>270</v>
      </c>
      <c r="K239" s="167" t="s">
        <v>170</v>
      </c>
      <c r="L239" s="167" t="s">
        <v>161</v>
      </c>
      <c r="M239" s="167" t="s">
        <v>20</v>
      </c>
      <c r="N239" s="167" t="s">
        <v>4092</v>
      </c>
      <c r="O239" s="12" t="str">
        <f>_xlfn.DISPIMG("ID_9B43E41106094708AAB8E2C3D51BAF21",1)</f>
        <v>=DISPIMG("ID_9B43E41106094708AAB8E2C3D51BAF21",1)</v>
      </c>
      <c r="P239" s="11" t="s">
        <v>4093</v>
      </c>
      <c r="Q239" s="20">
        <v>523</v>
      </c>
      <c r="R239" s="17" t="s">
        <v>4537</v>
      </c>
      <c r="S239" s="18" t="s">
        <v>48</v>
      </c>
      <c r="T239" s="11">
        <v>13</v>
      </c>
    </row>
    <row r="240" s="3" customFormat="1" customHeight="1" spans="1:20">
      <c r="A240" s="167" t="s">
        <v>4191</v>
      </c>
      <c r="B240" s="167" t="s">
        <v>153</v>
      </c>
      <c r="C240" s="167" t="s">
        <v>4192</v>
      </c>
      <c r="D240" s="11">
        <v>15979988511</v>
      </c>
      <c r="E240" s="167" t="s">
        <v>156</v>
      </c>
      <c r="F240" s="167" t="s">
        <v>8</v>
      </c>
      <c r="G240" s="11">
        <v>202102002</v>
      </c>
      <c r="H240" s="167" t="s">
        <v>157</v>
      </c>
      <c r="I240" s="167" t="s">
        <v>789</v>
      </c>
      <c r="J240" s="167" t="s">
        <v>270</v>
      </c>
      <c r="K240" s="167" t="s">
        <v>160</v>
      </c>
      <c r="L240" s="167" t="s">
        <v>180</v>
      </c>
      <c r="M240" s="167" t="s">
        <v>8</v>
      </c>
      <c r="N240" s="167" t="s">
        <v>4194</v>
      </c>
      <c r="O240" s="12" t="str">
        <f>_xlfn.DISPIMG("ID_0D01E0F1A35045CF8FA47A6F17C3312E",1)</f>
        <v>=DISPIMG("ID_0D01E0F1A35045CF8FA47A6F17C3312E",1)</v>
      </c>
      <c r="P240" s="11" t="s">
        <v>4195</v>
      </c>
      <c r="Q240" s="20">
        <v>536</v>
      </c>
      <c r="R240" s="17" t="s">
        <v>4538</v>
      </c>
      <c r="S240" s="18" t="s">
        <v>48</v>
      </c>
      <c r="T240" s="11">
        <v>24</v>
      </c>
    </row>
    <row r="241" s="3" customFormat="1" customHeight="1" spans="1:20">
      <c r="A241" s="167" t="s">
        <v>4230</v>
      </c>
      <c r="B241" s="167" t="s">
        <v>165</v>
      </c>
      <c r="C241" s="167" t="s">
        <v>4231</v>
      </c>
      <c r="D241" s="11">
        <v>15797679627</v>
      </c>
      <c r="E241" s="167" t="s">
        <v>156</v>
      </c>
      <c r="F241" s="167" t="s">
        <v>8</v>
      </c>
      <c r="G241" s="11">
        <v>202102002</v>
      </c>
      <c r="H241" s="167" t="s">
        <v>157</v>
      </c>
      <c r="I241" s="167" t="s">
        <v>876</v>
      </c>
      <c r="J241" s="167" t="s">
        <v>1204</v>
      </c>
      <c r="K241" s="167" t="s">
        <v>160</v>
      </c>
      <c r="L241" s="167" t="s">
        <v>171</v>
      </c>
      <c r="M241" s="167" t="s">
        <v>4233</v>
      </c>
      <c r="N241" s="11">
        <v>0</v>
      </c>
      <c r="O241" s="12" t="str">
        <f>_xlfn.DISPIMG("ID_866D1667729041288352BAC0C5E9F611",1)</f>
        <v>=DISPIMG("ID_866D1667729041288352BAC0C5E9F611",1)</v>
      </c>
      <c r="P241" s="11" t="s">
        <v>4234</v>
      </c>
      <c r="Q241" s="20">
        <v>541</v>
      </c>
      <c r="R241" s="17" t="s">
        <v>4531</v>
      </c>
      <c r="S241" s="18" t="s">
        <v>48</v>
      </c>
      <c r="T241" s="11">
        <v>25</v>
      </c>
    </row>
    <row r="242" s="3" customFormat="1" customHeight="1" spans="1:20">
      <c r="A242" s="166" t="s">
        <v>194</v>
      </c>
      <c r="B242" s="166" t="s">
        <v>165</v>
      </c>
      <c r="C242" s="166" t="s">
        <v>195</v>
      </c>
      <c r="D242" s="11">
        <v>15079132548</v>
      </c>
      <c r="E242" s="167" t="s">
        <v>156</v>
      </c>
      <c r="F242" s="166" t="s">
        <v>13</v>
      </c>
      <c r="G242" s="9">
        <v>202102003</v>
      </c>
      <c r="H242" s="167" t="s">
        <v>157</v>
      </c>
      <c r="I242" s="167" t="s">
        <v>197</v>
      </c>
      <c r="J242" s="167" t="s">
        <v>198</v>
      </c>
      <c r="K242" s="167" t="s">
        <v>160</v>
      </c>
      <c r="L242" s="167" t="s">
        <v>199</v>
      </c>
      <c r="M242" s="167" t="s">
        <v>13</v>
      </c>
      <c r="N242" s="11">
        <v>0</v>
      </c>
      <c r="O242" s="12" t="str">
        <f>_xlfn.DISPIMG("ID_07DCBF9A6CCC43E7BDA66377D7B2A516",1)</f>
        <v>=DISPIMG("ID_07DCBF9A6CCC43E7BDA66377D7B2A516",1)</v>
      </c>
      <c r="P242" s="9" t="s">
        <v>200</v>
      </c>
      <c r="Q242" s="11">
        <v>6</v>
      </c>
      <c r="R242" s="15" t="s">
        <v>4543</v>
      </c>
      <c r="S242" s="19" t="s">
        <v>52</v>
      </c>
      <c r="T242" s="9">
        <v>6</v>
      </c>
    </row>
    <row r="243" s="3" customFormat="1" customHeight="1" spans="1:20">
      <c r="A243" s="166" t="s">
        <v>220</v>
      </c>
      <c r="B243" s="166" t="s">
        <v>165</v>
      </c>
      <c r="C243" s="166" t="s">
        <v>221</v>
      </c>
      <c r="D243" s="11">
        <v>13330102770</v>
      </c>
      <c r="E243" s="167" t="s">
        <v>156</v>
      </c>
      <c r="F243" s="166" t="s">
        <v>13</v>
      </c>
      <c r="G243" s="9">
        <v>202102003</v>
      </c>
      <c r="H243" s="167" t="s">
        <v>157</v>
      </c>
      <c r="I243" s="167" t="s">
        <v>178</v>
      </c>
      <c r="J243" s="167" t="s">
        <v>223</v>
      </c>
      <c r="K243" s="167" t="s">
        <v>170</v>
      </c>
      <c r="L243" s="167" t="s">
        <v>224</v>
      </c>
      <c r="M243" s="167" t="s">
        <v>225</v>
      </c>
      <c r="N243" s="167" t="s">
        <v>226</v>
      </c>
      <c r="O243" s="12" t="str">
        <f>_xlfn.DISPIMG("ID_331C6355B784470AAD84DC8B9EBD3F4C",1)</f>
        <v>=DISPIMG("ID_331C6355B784470AAD84DC8B9EBD3F4C",1)</v>
      </c>
      <c r="P243" s="9" t="s">
        <v>227</v>
      </c>
      <c r="Q243" s="11">
        <v>9</v>
      </c>
      <c r="R243" s="15" t="s">
        <v>4526</v>
      </c>
      <c r="S243" s="19" t="s">
        <v>52</v>
      </c>
      <c r="T243" s="9">
        <v>7</v>
      </c>
    </row>
    <row r="244" s="3" customFormat="1" customHeight="1" spans="1:20">
      <c r="A244" s="166" t="s">
        <v>230</v>
      </c>
      <c r="B244" s="166" t="s">
        <v>165</v>
      </c>
      <c r="C244" s="166" t="s">
        <v>231</v>
      </c>
      <c r="D244" s="11">
        <v>18317923585</v>
      </c>
      <c r="E244" s="167" t="s">
        <v>156</v>
      </c>
      <c r="F244" s="166" t="s">
        <v>13</v>
      </c>
      <c r="G244" s="9">
        <v>202102003</v>
      </c>
      <c r="H244" s="167" t="s">
        <v>157</v>
      </c>
      <c r="I244" s="167" t="s">
        <v>233</v>
      </c>
      <c r="J244" s="167" t="s">
        <v>234</v>
      </c>
      <c r="K244" s="167" t="s">
        <v>170</v>
      </c>
      <c r="L244" s="167" t="s">
        <v>235</v>
      </c>
      <c r="M244" s="167" t="s">
        <v>13</v>
      </c>
      <c r="N244" s="167" t="s">
        <v>236</v>
      </c>
      <c r="O244" s="12" t="str">
        <f>_xlfn.DISPIMG("ID_5F2C40BDD5324AC2917B018DDF4B26D9",1)</f>
        <v>=DISPIMG("ID_5F2C40BDD5324AC2917B018DDF4B26D9",1)</v>
      </c>
      <c r="P244" s="9" t="s">
        <v>237</v>
      </c>
      <c r="Q244" s="11">
        <v>10</v>
      </c>
      <c r="R244" s="15" t="s">
        <v>4545</v>
      </c>
      <c r="S244" s="19" t="s">
        <v>52</v>
      </c>
      <c r="T244" s="9">
        <v>18</v>
      </c>
    </row>
    <row r="245" s="3" customFormat="1" customHeight="1" spans="1:20">
      <c r="A245" s="166" t="s">
        <v>258</v>
      </c>
      <c r="B245" s="166" t="s">
        <v>165</v>
      </c>
      <c r="C245" s="166" t="s">
        <v>259</v>
      </c>
      <c r="D245" s="11">
        <v>15079252433</v>
      </c>
      <c r="E245" s="167" t="s">
        <v>156</v>
      </c>
      <c r="F245" s="166" t="s">
        <v>13</v>
      </c>
      <c r="G245" s="9">
        <v>202102003</v>
      </c>
      <c r="H245" s="167" t="s">
        <v>157</v>
      </c>
      <c r="I245" s="167" t="s">
        <v>158</v>
      </c>
      <c r="J245" s="167" t="s">
        <v>179</v>
      </c>
      <c r="K245" s="167" t="s">
        <v>170</v>
      </c>
      <c r="L245" s="167" t="s">
        <v>261</v>
      </c>
      <c r="M245" s="167" t="s">
        <v>13</v>
      </c>
      <c r="N245" s="11">
        <v>0</v>
      </c>
      <c r="O245" s="12" t="str">
        <f>_xlfn.DISPIMG("ID_6612D67BD9E1456A9FAE3B7BC6ABC79B",1)</f>
        <v>=DISPIMG("ID_6612D67BD9E1456A9FAE3B7BC6ABC79B",1)</v>
      </c>
      <c r="P245" s="9" t="s">
        <v>262</v>
      </c>
      <c r="Q245" s="11">
        <v>13</v>
      </c>
      <c r="R245" s="15" t="s">
        <v>4546</v>
      </c>
      <c r="S245" s="19" t="s">
        <v>52</v>
      </c>
      <c r="T245" s="9">
        <v>19</v>
      </c>
    </row>
    <row r="246" s="3" customFormat="1" customHeight="1" spans="1:20">
      <c r="A246" s="166" t="s">
        <v>302</v>
      </c>
      <c r="B246" s="166" t="s">
        <v>165</v>
      </c>
      <c r="C246" s="166" t="s">
        <v>303</v>
      </c>
      <c r="D246" s="11">
        <v>18270729426</v>
      </c>
      <c r="E246" s="167" t="s">
        <v>156</v>
      </c>
      <c r="F246" s="166" t="s">
        <v>13</v>
      </c>
      <c r="G246" s="9">
        <v>202102003</v>
      </c>
      <c r="H246" s="167" t="s">
        <v>157</v>
      </c>
      <c r="I246" s="167" t="s">
        <v>305</v>
      </c>
      <c r="J246" s="167" t="s">
        <v>179</v>
      </c>
      <c r="K246" s="167" t="s">
        <v>170</v>
      </c>
      <c r="L246" s="167" t="s">
        <v>306</v>
      </c>
      <c r="M246" s="167" t="s">
        <v>307</v>
      </c>
      <c r="N246" s="167" t="s">
        <v>308</v>
      </c>
      <c r="O246" s="12" t="str">
        <f>_xlfn.DISPIMG("ID_BFA65A737AA14FBDAE88EFBDD5E2990B",1)</f>
        <v>=DISPIMG("ID_BFA65A737AA14FBDAE88EFBDD5E2990B",1)</v>
      </c>
      <c r="P246" s="9" t="s">
        <v>309</v>
      </c>
      <c r="Q246" s="11">
        <v>18</v>
      </c>
      <c r="R246" s="15" t="s">
        <v>4539</v>
      </c>
      <c r="S246" s="19" t="s">
        <v>52</v>
      </c>
      <c r="T246" s="9">
        <v>30</v>
      </c>
    </row>
    <row r="247" s="3" customFormat="1" customHeight="1" spans="1:20">
      <c r="A247" s="166" t="s">
        <v>355</v>
      </c>
      <c r="B247" s="166" t="s">
        <v>165</v>
      </c>
      <c r="C247" s="166" t="s">
        <v>356</v>
      </c>
      <c r="D247" s="11">
        <v>18311315751</v>
      </c>
      <c r="E247" s="167" t="s">
        <v>156</v>
      </c>
      <c r="F247" s="166" t="s">
        <v>13</v>
      </c>
      <c r="G247" s="9">
        <v>202102003</v>
      </c>
      <c r="H247" s="167" t="s">
        <v>157</v>
      </c>
      <c r="I247" s="167" t="s">
        <v>358</v>
      </c>
      <c r="J247" s="167" t="s">
        <v>179</v>
      </c>
      <c r="K247" s="167" t="s">
        <v>160</v>
      </c>
      <c r="L247" s="167" t="s">
        <v>306</v>
      </c>
      <c r="M247" s="167" t="s">
        <v>359</v>
      </c>
      <c r="N247" s="167" t="s">
        <v>360</v>
      </c>
      <c r="O247" s="12" t="str">
        <f>_xlfn.DISPIMG("ID_FD9EEFBCD596495DACB8A95ACD5E222F",1)</f>
        <v>=DISPIMG("ID_FD9EEFBCD596495DACB8A95ACD5E222F",1)</v>
      </c>
      <c r="P247" s="9" t="s">
        <v>361</v>
      </c>
      <c r="Q247" s="11">
        <v>24</v>
      </c>
      <c r="R247" s="15" t="s">
        <v>4544</v>
      </c>
      <c r="S247" s="19" t="s">
        <v>52</v>
      </c>
      <c r="T247" s="9">
        <v>5</v>
      </c>
    </row>
    <row r="248" s="3" customFormat="1" customHeight="1" spans="1:20">
      <c r="A248" s="166" t="s">
        <v>434</v>
      </c>
      <c r="B248" s="166" t="s">
        <v>165</v>
      </c>
      <c r="C248" s="166" t="s">
        <v>435</v>
      </c>
      <c r="D248" s="11">
        <v>18707020389</v>
      </c>
      <c r="E248" s="167" t="s">
        <v>156</v>
      </c>
      <c r="F248" s="166" t="s">
        <v>13</v>
      </c>
      <c r="G248" s="9">
        <v>202102003</v>
      </c>
      <c r="H248" s="167" t="s">
        <v>157</v>
      </c>
      <c r="I248" s="167" t="s">
        <v>437</v>
      </c>
      <c r="J248" s="167" t="s">
        <v>179</v>
      </c>
      <c r="K248" s="167" t="s">
        <v>160</v>
      </c>
      <c r="L248" s="167" t="s">
        <v>161</v>
      </c>
      <c r="M248" s="167" t="s">
        <v>13</v>
      </c>
      <c r="N248" s="167" t="s">
        <v>438</v>
      </c>
      <c r="O248" s="12" t="str">
        <f>_xlfn.DISPIMG("ID_A9E5DA8466964C2D98F0B0FFCCE562D8",1)</f>
        <v>=DISPIMG("ID_A9E5DA8466964C2D98F0B0FFCCE562D8",1)</v>
      </c>
      <c r="P248" s="9" t="s">
        <v>439</v>
      </c>
      <c r="Q248" s="11">
        <v>33</v>
      </c>
      <c r="R248" s="15" t="s">
        <v>4521</v>
      </c>
      <c r="S248" s="19" t="s">
        <v>52</v>
      </c>
      <c r="T248" s="9">
        <v>8</v>
      </c>
    </row>
    <row r="249" s="3" customFormat="1" customHeight="1" spans="1:20">
      <c r="A249" s="166" t="s">
        <v>484</v>
      </c>
      <c r="B249" s="166" t="s">
        <v>165</v>
      </c>
      <c r="C249" s="166" t="s">
        <v>485</v>
      </c>
      <c r="D249" s="11">
        <v>15079175289</v>
      </c>
      <c r="E249" s="167" t="s">
        <v>156</v>
      </c>
      <c r="F249" s="166" t="s">
        <v>13</v>
      </c>
      <c r="G249" s="9">
        <v>202102003</v>
      </c>
      <c r="H249" s="167" t="s">
        <v>279</v>
      </c>
      <c r="I249" s="167" t="s">
        <v>178</v>
      </c>
      <c r="J249" s="167" t="s">
        <v>223</v>
      </c>
      <c r="K249" s="167" t="s">
        <v>170</v>
      </c>
      <c r="L249" s="167" t="s">
        <v>180</v>
      </c>
      <c r="M249" s="167" t="s">
        <v>487</v>
      </c>
      <c r="N249" s="167" t="s">
        <v>488</v>
      </c>
      <c r="O249" s="12" t="str">
        <f>_xlfn.DISPIMG("ID_090E35C53BC1424DB22E97EDD7B66993",1)</f>
        <v>=DISPIMG("ID_090E35C53BC1424DB22E97EDD7B66993",1)</v>
      </c>
      <c r="P249" s="9" t="s">
        <v>489</v>
      </c>
      <c r="Q249" s="11">
        <v>39</v>
      </c>
      <c r="R249" s="15" t="s">
        <v>4547</v>
      </c>
      <c r="S249" s="19" t="s">
        <v>52</v>
      </c>
      <c r="T249" s="9">
        <v>17</v>
      </c>
    </row>
    <row r="250" s="3" customFormat="1" customHeight="1" spans="1:20">
      <c r="A250" s="166" t="s">
        <v>503</v>
      </c>
      <c r="B250" s="166" t="s">
        <v>165</v>
      </c>
      <c r="C250" s="166" t="s">
        <v>504</v>
      </c>
      <c r="D250" s="11">
        <v>18279271412</v>
      </c>
      <c r="E250" s="167" t="s">
        <v>506</v>
      </c>
      <c r="F250" s="166" t="s">
        <v>13</v>
      </c>
      <c r="G250" s="9">
        <v>202102016</v>
      </c>
      <c r="H250" s="167" t="s">
        <v>157</v>
      </c>
      <c r="I250" s="167" t="s">
        <v>507</v>
      </c>
      <c r="J250" s="167" t="s">
        <v>298</v>
      </c>
      <c r="K250" s="167" t="s">
        <v>160</v>
      </c>
      <c r="L250" s="167" t="s">
        <v>252</v>
      </c>
      <c r="M250" s="167" t="s">
        <v>13</v>
      </c>
      <c r="N250" s="167" t="s">
        <v>508</v>
      </c>
      <c r="O250" s="12" t="str">
        <f>_xlfn.DISPIMG("ID_40FEE490C2E64411A9F9A70FED108C60",1)</f>
        <v>=DISPIMG("ID_40FEE490C2E64411A9F9A70FED108C60",1)</v>
      </c>
      <c r="P250" s="9" t="s">
        <v>509</v>
      </c>
      <c r="Q250" s="11">
        <v>42</v>
      </c>
      <c r="R250" s="15" t="s">
        <v>4548</v>
      </c>
      <c r="S250" s="19" t="s">
        <v>52</v>
      </c>
      <c r="T250" s="9">
        <v>20</v>
      </c>
    </row>
    <row r="251" s="3" customFormat="1" customHeight="1" spans="1:20">
      <c r="A251" s="166" t="s">
        <v>537</v>
      </c>
      <c r="B251" s="166" t="s">
        <v>165</v>
      </c>
      <c r="C251" s="166" t="s">
        <v>538</v>
      </c>
      <c r="D251" s="11">
        <v>18720218990</v>
      </c>
      <c r="E251" s="167" t="s">
        <v>156</v>
      </c>
      <c r="F251" s="166" t="s">
        <v>13</v>
      </c>
      <c r="G251" s="9">
        <v>202102003</v>
      </c>
      <c r="H251" s="167" t="s">
        <v>157</v>
      </c>
      <c r="I251" s="167" t="s">
        <v>540</v>
      </c>
      <c r="J251" s="167" t="s">
        <v>179</v>
      </c>
      <c r="K251" s="167" t="s">
        <v>160</v>
      </c>
      <c r="L251" s="167" t="s">
        <v>541</v>
      </c>
      <c r="M251" s="167" t="s">
        <v>25</v>
      </c>
      <c r="N251" s="11">
        <v>0</v>
      </c>
      <c r="O251" s="12" t="str">
        <f>_xlfn.DISPIMG("ID_9605826B48E04C21832E1CDFB6E0AF15",1)</f>
        <v>=DISPIMG("ID_9605826B48E04C21832E1CDFB6E0AF15",1)</v>
      </c>
      <c r="P251" s="9" t="s">
        <v>542</v>
      </c>
      <c r="Q251" s="11">
        <v>46</v>
      </c>
      <c r="R251" s="15" t="s">
        <v>4549</v>
      </c>
      <c r="S251" s="19" t="s">
        <v>52</v>
      </c>
      <c r="T251" s="9">
        <v>29</v>
      </c>
    </row>
    <row r="252" s="3" customFormat="1" customHeight="1" spans="1:20">
      <c r="A252" s="166" t="s">
        <v>600</v>
      </c>
      <c r="B252" s="166" t="s">
        <v>165</v>
      </c>
      <c r="C252" s="166" t="s">
        <v>601</v>
      </c>
      <c r="D252" s="11">
        <v>18170238971</v>
      </c>
      <c r="E252" s="167" t="s">
        <v>506</v>
      </c>
      <c r="F252" s="166" t="s">
        <v>13</v>
      </c>
      <c r="G252" s="9">
        <v>202102016</v>
      </c>
      <c r="H252" s="167" t="s">
        <v>157</v>
      </c>
      <c r="I252" s="167" t="s">
        <v>603</v>
      </c>
      <c r="J252" s="167" t="s">
        <v>179</v>
      </c>
      <c r="K252" s="167" t="s">
        <v>160</v>
      </c>
      <c r="L252" s="167" t="s">
        <v>216</v>
      </c>
      <c r="M252" s="167" t="s">
        <v>13</v>
      </c>
      <c r="N252" s="167" t="s">
        <v>604</v>
      </c>
      <c r="O252" s="12" t="str">
        <f>_xlfn.DISPIMG("ID_274A21E15DE94C9DB65D865C0AE50BA3",1)</f>
        <v>=DISPIMG("ID_274A21E15DE94C9DB65D865C0AE50BA3",1)</v>
      </c>
      <c r="P252" s="9" t="s">
        <v>605</v>
      </c>
      <c r="Q252" s="11">
        <v>53</v>
      </c>
      <c r="R252" s="15" t="s">
        <v>4550</v>
      </c>
      <c r="S252" s="19" t="s">
        <v>52</v>
      </c>
      <c r="T252" s="9">
        <v>4</v>
      </c>
    </row>
    <row r="253" s="3" customFormat="1" customHeight="1" spans="1:20">
      <c r="A253" s="166" t="s">
        <v>608</v>
      </c>
      <c r="B253" s="166" t="s">
        <v>165</v>
      </c>
      <c r="C253" s="166" t="s">
        <v>609</v>
      </c>
      <c r="D253" s="11">
        <v>18779299502</v>
      </c>
      <c r="E253" s="167" t="s">
        <v>156</v>
      </c>
      <c r="F253" s="166" t="s">
        <v>13</v>
      </c>
      <c r="G253" s="9">
        <v>202102003</v>
      </c>
      <c r="H253" s="167" t="s">
        <v>157</v>
      </c>
      <c r="I253" s="167" t="s">
        <v>611</v>
      </c>
      <c r="J253" s="167" t="s">
        <v>179</v>
      </c>
      <c r="K253" s="167" t="s">
        <v>160</v>
      </c>
      <c r="L253" s="167" t="s">
        <v>261</v>
      </c>
      <c r="M253" s="167" t="s">
        <v>13</v>
      </c>
      <c r="N253" s="11">
        <v>0</v>
      </c>
      <c r="O253" s="12" t="str">
        <f>_xlfn.DISPIMG("ID_AED44616ADF34083BED4818BEE7F954D",1)</f>
        <v>=DISPIMG("ID_AED44616ADF34083BED4818BEE7F954D",1)</v>
      </c>
      <c r="P253" s="9" t="s">
        <v>612</v>
      </c>
      <c r="Q253" s="11">
        <v>54</v>
      </c>
      <c r="R253" s="15" t="s">
        <v>4551</v>
      </c>
      <c r="S253" s="19" t="s">
        <v>52</v>
      </c>
      <c r="T253" s="9">
        <v>9</v>
      </c>
    </row>
    <row r="254" s="3" customFormat="1" customHeight="1" spans="1:20">
      <c r="A254" s="166" t="s">
        <v>833</v>
      </c>
      <c r="B254" s="166" t="s">
        <v>165</v>
      </c>
      <c r="C254" s="166" t="s">
        <v>834</v>
      </c>
      <c r="D254" s="11">
        <v>13517923087</v>
      </c>
      <c r="E254" s="167" t="s">
        <v>156</v>
      </c>
      <c r="F254" s="166" t="s">
        <v>13</v>
      </c>
      <c r="G254" s="9">
        <v>202102003</v>
      </c>
      <c r="H254" s="167" t="s">
        <v>279</v>
      </c>
      <c r="I254" s="167" t="s">
        <v>339</v>
      </c>
      <c r="J254" s="167" t="s">
        <v>223</v>
      </c>
      <c r="K254" s="167" t="s">
        <v>170</v>
      </c>
      <c r="L254" s="167" t="s">
        <v>224</v>
      </c>
      <c r="M254" s="167" t="s">
        <v>13</v>
      </c>
      <c r="N254" s="167" t="s">
        <v>836</v>
      </c>
      <c r="O254" s="12" t="str">
        <f>_xlfn.DISPIMG("ID_89C7FFEC948F45D4B7C91F290C37CCB6",1)</f>
        <v>=DISPIMG("ID_89C7FFEC948F45D4B7C91F290C37CCB6",1)</v>
      </c>
      <c r="P254" s="9" t="s">
        <v>837</v>
      </c>
      <c r="Q254" s="11">
        <v>82</v>
      </c>
      <c r="R254" s="15" t="s">
        <v>4552</v>
      </c>
      <c r="S254" s="19" t="s">
        <v>52</v>
      </c>
      <c r="T254" s="9">
        <v>16</v>
      </c>
    </row>
    <row r="255" s="3" customFormat="1" customHeight="1" spans="1:20">
      <c r="A255" s="166" t="s">
        <v>994</v>
      </c>
      <c r="B255" s="166" t="s">
        <v>165</v>
      </c>
      <c r="C255" s="166" t="s">
        <v>995</v>
      </c>
      <c r="D255" s="11">
        <v>15079132554</v>
      </c>
      <c r="E255" s="167" t="s">
        <v>156</v>
      </c>
      <c r="F255" s="166" t="s">
        <v>13</v>
      </c>
      <c r="G255" s="9">
        <v>202102003</v>
      </c>
      <c r="H255" s="167" t="s">
        <v>157</v>
      </c>
      <c r="I255" s="167" t="s">
        <v>197</v>
      </c>
      <c r="J255" s="167" t="s">
        <v>179</v>
      </c>
      <c r="K255" s="167" t="s">
        <v>160</v>
      </c>
      <c r="L255" s="167" t="s">
        <v>180</v>
      </c>
      <c r="M255" s="167" t="s">
        <v>997</v>
      </c>
      <c r="N255" s="167" t="s">
        <v>998</v>
      </c>
      <c r="O255" s="12" t="str">
        <f>_xlfn.DISPIMG("ID_10318FA0EB2E4E7ABCD18627E825B2DF",1)</f>
        <v>=DISPIMG("ID_10318FA0EB2E4E7ABCD18627E825B2DF",1)</v>
      </c>
      <c r="P255" s="9" t="s">
        <v>999</v>
      </c>
      <c r="Q255" s="11">
        <v>101</v>
      </c>
      <c r="R255" s="15" t="s">
        <v>4553</v>
      </c>
      <c r="S255" s="19" t="s">
        <v>52</v>
      </c>
      <c r="T255" s="9">
        <v>21</v>
      </c>
    </row>
    <row r="256" s="3" customFormat="1" customHeight="1" spans="1:20">
      <c r="A256" s="166" t="s">
        <v>1018</v>
      </c>
      <c r="B256" s="166" t="s">
        <v>165</v>
      </c>
      <c r="C256" s="166" t="s">
        <v>1019</v>
      </c>
      <c r="D256" s="11">
        <v>18270832760</v>
      </c>
      <c r="E256" s="167" t="s">
        <v>156</v>
      </c>
      <c r="F256" s="166" t="s">
        <v>13</v>
      </c>
      <c r="G256" s="9">
        <v>202102003</v>
      </c>
      <c r="H256" s="167" t="s">
        <v>157</v>
      </c>
      <c r="I256" s="167" t="s">
        <v>827</v>
      </c>
      <c r="J256" s="167" t="s">
        <v>1021</v>
      </c>
      <c r="K256" s="167" t="s">
        <v>160</v>
      </c>
      <c r="L256" s="167" t="s">
        <v>281</v>
      </c>
      <c r="M256" s="167" t="s">
        <v>1022</v>
      </c>
      <c r="N256" s="167" t="s">
        <v>1023</v>
      </c>
      <c r="O256" s="12" t="str">
        <f>_xlfn.DISPIMG("ID_8ABFE7CB3D4544BB889DAF8FFFAF27BC",1)</f>
        <v>=DISPIMG("ID_8ABFE7CB3D4544BB889DAF8FFFAF27BC",1)</v>
      </c>
      <c r="P256" s="9" t="s">
        <v>1024</v>
      </c>
      <c r="Q256" s="11">
        <v>104</v>
      </c>
      <c r="R256" s="15" t="s">
        <v>4554</v>
      </c>
      <c r="S256" s="19" t="s">
        <v>52</v>
      </c>
      <c r="T256" s="9">
        <v>28</v>
      </c>
    </row>
    <row r="257" s="3" customFormat="1" customHeight="1" spans="1:20">
      <c r="A257" s="166" t="s">
        <v>1118</v>
      </c>
      <c r="B257" s="166" t="s">
        <v>165</v>
      </c>
      <c r="C257" s="166" t="s">
        <v>1119</v>
      </c>
      <c r="D257" s="11">
        <v>15170931048</v>
      </c>
      <c r="E257" s="167" t="s">
        <v>156</v>
      </c>
      <c r="F257" s="166" t="s">
        <v>13</v>
      </c>
      <c r="G257" s="9">
        <v>202102003</v>
      </c>
      <c r="H257" s="167" t="s">
        <v>157</v>
      </c>
      <c r="I257" s="167" t="s">
        <v>1121</v>
      </c>
      <c r="J257" s="167" t="s">
        <v>1122</v>
      </c>
      <c r="K257" s="167" t="s">
        <v>160</v>
      </c>
      <c r="L257" s="167" t="s">
        <v>577</v>
      </c>
      <c r="M257" s="167" t="s">
        <v>13</v>
      </c>
      <c r="N257" s="167" t="s">
        <v>1123</v>
      </c>
      <c r="O257" s="12" t="str">
        <f>_xlfn.DISPIMG("ID_FE9003ADDBCE49A4979CC74582466077",1)</f>
        <v>=DISPIMG("ID_FE9003ADDBCE49A4979CC74582466077",1)</v>
      </c>
      <c r="P257" s="9" t="s">
        <v>1124</v>
      </c>
      <c r="Q257" s="11">
        <v>117</v>
      </c>
      <c r="R257" s="15" t="s">
        <v>4555</v>
      </c>
      <c r="S257" s="19" t="s">
        <v>52</v>
      </c>
      <c r="T257" s="9">
        <v>3</v>
      </c>
    </row>
    <row r="258" s="3" customFormat="1" customHeight="1" spans="1:20">
      <c r="A258" s="166" t="s">
        <v>1176</v>
      </c>
      <c r="B258" s="166" t="s">
        <v>165</v>
      </c>
      <c r="C258" s="166" t="s">
        <v>1177</v>
      </c>
      <c r="D258" s="11">
        <v>13782906805</v>
      </c>
      <c r="E258" s="167" t="s">
        <v>156</v>
      </c>
      <c r="F258" s="166" t="s">
        <v>13</v>
      </c>
      <c r="G258" s="9">
        <v>202102003</v>
      </c>
      <c r="H258" s="167" t="s">
        <v>157</v>
      </c>
      <c r="I258" s="167" t="s">
        <v>1179</v>
      </c>
      <c r="J258" s="167" t="s">
        <v>298</v>
      </c>
      <c r="K258" s="167" t="s">
        <v>160</v>
      </c>
      <c r="L258" s="167" t="s">
        <v>171</v>
      </c>
      <c r="M258" s="167" t="s">
        <v>13</v>
      </c>
      <c r="N258" s="167" t="s">
        <v>1180</v>
      </c>
      <c r="O258" s="12" t="str">
        <f>_xlfn.DISPIMG("ID_DB5AD54F043740C8B3AEB4879C927DCC",1)</f>
        <v>=DISPIMG("ID_DB5AD54F043740C8B3AEB4879C927DCC",1)</v>
      </c>
      <c r="P258" s="9" t="s">
        <v>1181</v>
      </c>
      <c r="Q258" s="11">
        <v>124</v>
      </c>
      <c r="R258" s="15" t="s">
        <v>4556</v>
      </c>
      <c r="S258" s="19" t="s">
        <v>52</v>
      </c>
      <c r="T258" s="9">
        <v>10</v>
      </c>
    </row>
    <row r="259" s="3" customFormat="1" customHeight="1" spans="1:20">
      <c r="A259" s="166" t="s">
        <v>1184</v>
      </c>
      <c r="B259" s="166" t="s">
        <v>165</v>
      </c>
      <c r="C259" s="166" t="s">
        <v>1185</v>
      </c>
      <c r="D259" s="11">
        <v>18379170197</v>
      </c>
      <c r="E259" s="167" t="s">
        <v>156</v>
      </c>
      <c r="F259" s="166" t="s">
        <v>13</v>
      </c>
      <c r="G259" s="9">
        <v>202102003</v>
      </c>
      <c r="H259" s="167" t="s">
        <v>157</v>
      </c>
      <c r="I259" s="167" t="s">
        <v>197</v>
      </c>
      <c r="J259" s="167" t="s">
        <v>179</v>
      </c>
      <c r="K259" s="167" t="s">
        <v>160</v>
      </c>
      <c r="L259" s="167" t="s">
        <v>577</v>
      </c>
      <c r="M259" s="167" t="s">
        <v>1187</v>
      </c>
      <c r="N259" s="167" t="s">
        <v>1188</v>
      </c>
      <c r="O259" s="12" t="str">
        <f>_xlfn.DISPIMG("ID_CF1AB7C1F93745BDBA48E23E3B3C5BFF",1)</f>
        <v>=DISPIMG("ID_CF1AB7C1F93745BDBA48E23E3B3C5BFF",1)</v>
      </c>
      <c r="P259" s="9" t="s">
        <v>1189</v>
      </c>
      <c r="Q259" s="11">
        <v>125</v>
      </c>
      <c r="R259" s="15" t="s">
        <v>4557</v>
      </c>
      <c r="S259" s="19" t="s">
        <v>52</v>
      </c>
      <c r="T259" s="9">
        <v>15</v>
      </c>
    </row>
    <row r="260" s="3" customFormat="1" customHeight="1" spans="1:20">
      <c r="A260" s="166" t="s">
        <v>1192</v>
      </c>
      <c r="B260" s="166" t="s">
        <v>165</v>
      </c>
      <c r="C260" s="166" t="s">
        <v>1193</v>
      </c>
      <c r="D260" s="11">
        <v>18079223375</v>
      </c>
      <c r="E260" s="167" t="s">
        <v>156</v>
      </c>
      <c r="F260" s="166" t="s">
        <v>13</v>
      </c>
      <c r="G260" s="9">
        <v>202102003</v>
      </c>
      <c r="H260" s="167" t="s">
        <v>157</v>
      </c>
      <c r="I260" s="167" t="s">
        <v>233</v>
      </c>
      <c r="J260" s="167" t="s">
        <v>1195</v>
      </c>
      <c r="K260" s="167" t="s">
        <v>170</v>
      </c>
      <c r="L260" s="167" t="s">
        <v>587</v>
      </c>
      <c r="M260" s="167" t="s">
        <v>13</v>
      </c>
      <c r="N260" s="167" t="s">
        <v>1196</v>
      </c>
      <c r="O260" s="12" t="str">
        <f>_xlfn.DISPIMG("ID_1776A5AD18184E18978F80ADFFF4A0AF",1)</f>
        <v>=DISPIMG("ID_1776A5AD18184E18978F80ADFFF4A0AF",1)</v>
      </c>
      <c r="P260" s="9" t="s">
        <v>1197</v>
      </c>
      <c r="Q260" s="11">
        <v>126</v>
      </c>
      <c r="R260" s="15" t="s">
        <v>4558</v>
      </c>
      <c r="S260" s="19" t="s">
        <v>52</v>
      </c>
      <c r="T260" s="9">
        <v>22</v>
      </c>
    </row>
    <row r="261" s="3" customFormat="1" customHeight="1" spans="1:20">
      <c r="A261" s="166" t="s">
        <v>1210</v>
      </c>
      <c r="B261" s="166" t="s">
        <v>165</v>
      </c>
      <c r="C261" s="166" t="s">
        <v>1211</v>
      </c>
      <c r="D261" s="11">
        <v>18279901604</v>
      </c>
      <c r="E261" s="167" t="s">
        <v>156</v>
      </c>
      <c r="F261" s="166" t="s">
        <v>13</v>
      </c>
      <c r="G261" s="9">
        <v>202102003</v>
      </c>
      <c r="H261" s="167" t="s">
        <v>157</v>
      </c>
      <c r="I261" s="167" t="s">
        <v>1213</v>
      </c>
      <c r="J261" s="167" t="s">
        <v>1214</v>
      </c>
      <c r="K261" s="167" t="s">
        <v>160</v>
      </c>
      <c r="L261" s="167" t="s">
        <v>252</v>
      </c>
      <c r="M261" s="167" t="s">
        <v>13</v>
      </c>
      <c r="N261" s="11">
        <v>0</v>
      </c>
      <c r="O261" s="12" t="str">
        <f>_xlfn.DISPIMG("ID_FBB70D9010F74144B210C02BDB9CE6A1",1)</f>
        <v>=DISPIMG("ID_FBB70D9010F74144B210C02BDB9CE6A1",1)</v>
      </c>
      <c r="P261" s="9" t="s">
        <v>1215</v>
      </c>
      <c r="Q261" s="11">
        <v>128</v>
      </c>
      <c r="R261" s="15" t="s">
        <v>4559</v>
      </c>
      <c r="S261" s="19" t="s">
        <v>52</v>
      </c>
      <c r="T261" s="9">
        <v>27</v>
      </c>
    </row>
    <row r="262" s="3" customFormat="1" customHeight="1" spans="1:20">
      <c r="A262" s="166" t="s">
        <v>1270</v>
      </c>
      <c r="B262" s="166" t="s">
        <v>153</v>
      </c>
      <c r="C262" s="166" t="s">
        <v>1271</v>
      </c>
      <c r="D262" s="11">
        <v>18879347903</v>
      </c>
      <c r="E262" s="167" t="s">
        <v>156</v>
      </c>
      <c r="F262" s="166" t="s">
        <v>13</v>
      </c>
      <c r="G262" s="9">
        <v>202102003</v>
      </c>
      <c r="H262" s="167" t="s">
        <v>279</v>
      </c>
      <c r="I262" s="167" t="s">
        <v>1273</v>
      </c>
      <c r="J262" s="167" t="s">
        <v>223</v>
      </c>
      <c r="K262" s="167" t="s">
        <v>170</v>
      </c>
      <c r="L262" s="167" t="s">
        <v>548</v>
      </c>
      <c r="M262" s="167" t="s">
        <v>13</v>
      </c>
      <c r="N262" s="167" t="s">
        <v>1274</v>
      </c>
      <c r="O262" s="12" t="str">
        <f>_xlfn.DISPIMG("ID_DF04DBFB481D40418B898CD7AB20784A",1)</f>
        <v>=DISPIMG("ID_DF04DBFB481D40418B898CD7AB20784A",1)</v>
      </c>
      <c r="P262" s="9" t="s">
        <v>1275</v>
      </c>
      <c r="Q262" s="11">
        <v>136</v>
      </c>
      <c r="R262" s="15" t="s">
        <v>4560</v>
      </c>
      <c r="S262" s="19" t="s">
        <v>52</v>
      </c>
      <c r="T262" s="9">
        <v>2</v>
      </c>
    </row>
    <row r="263" s="3" customFormat="1" customHeight="1" spans="1:20">
      <c r="A263" s="166" t="s">
        <v>1311</v>
      </c>
      <c r="B263" s="166" t="s">
        <v>165</v>
      </c>
      <c r="C263" s="166" t="s">
        <v>1312</v>
      </c>
      <c r="D263" s="11">
        <v>13672224425</v>
      </c>
      <c r="E263" s="167" t="s">
        <v>156</v>
      </c>
      <c r="F263" s="166" t="s">
        <v>13</v>
      </c>
      <c r="G263" s="9">
        <v>202102003</v>
      </c>
      <c r="H263" s="167" t="s">
        <v>157</v>
      </c>
      <c r="I263" s="167" t="s">
        <v>697</v>
      </c>
      <c r="J263" s="167" t="s">
        <v>243</v>
      </c>
      <c r="K263" s="167" t="s">
        <v>160</v>
      </c>
      <c r="L263" s="167" t="s">
        <v>368</v>
      </c>
      <c r="M263" s="167" t="s">
        <v>13</v>
      </c>
      <c r="N263" s="167" t="s">
        <v>1314</v>
      </c>
      <c r="O263" s="12" t="str">
        <f>_xlfn.DISPIMG("ID_7D2290FD7009470AB45B6E90DB94AE0B",1)</f>
        <v>=DISPIMG("ID_7D2290FD7009470AB45B6E90DB94AE0B",1)</v>
      </c>
      <c r="P263" s="9" t="s">
        <v>1315</v>
      </c>
      <c r="Q263" s="11">
        <v>142</v>
      </c>
      <c r="R263" s="15" t="s">
        <v>4561</v>
      </c>
      <c r="S263" s="19" t="s">
        <v>52</v>
      </c>
      <c r="T263" s="9">
        <v>11</v>
      </c>
    </row>
    <row r="264" s="3" customFormat="1" customHeight="1" spans="1:20">
      <c r="A264" s="166" t="s">
        <v>1357</v>
      </c>
      <c r="B264" s="166" t="s">
        <v>165</v>
      </c>
      <c r="C264" s="166" t="s">
        <v>1358</v>
      </c>
      <c r="D264" s="11">
        <v>19977181836</v>
      </c>
      <c r="E264" s="167" t="s">
        <v>156</v>
      </c>
      <c r="F264" s="166" t="s">
        <v>13</v>
      </c>
      <c r="G264" s="9">
        <v>202102003</v>
      </c>
      <c r="H264" s="167" t="s">
        <v>157</v>
      </c>
      <c r="I264" s="167" t="s">
        <v>1360</v>
      </c>
      <c r="J264" s="167" t="s">
        <v>223</v>
      </c>
      <c r="K264" s="167" t="s">
        <v>170</v>
      </c>
      <c r="L264" s="167" t="s">
        <v>587</v>
      </c>
      <c r="M264" s="167" t="s">
        <v>1361</v>
      </c>
      <c r="N264" s="167" t="s">
        <v>1362</v>
      </c>
      <c r="O264" s="12" t="str">
        <f>_xlfn.DISPIMG("ID_F234455BC8F04A26B7C1140CBE7FB1F1",1)</f>
        <v>=DISPIMG("ID_F234455BC8F04A26B7C1140CBE7FB1F1",1)</v>
      </c>
      <c r="P264" s="9" t="s">
        <v>1363</v>
      </c>
      <c r="Q264" s="11">
        <v>148</v>
      </c>
      <c r="R264" s="15" t="s">
        <v>4562</v>
      </c>
      <c r="S264" s="19" t="s">
        <v>52</v>
      </c>
      <c r="T264" s="9">
        <v>14</v>
      </c>
    </row>
    <row r="265" s="3" customFormat="1" customHeight="1" spans="1:20">
      <c r="A265" s="166" t="s">
        <v>1463</v>
      </c>
      <c r="B265" s="166" t="s">
        <v>165</v>
      </c>
      <c r="C265" s="166" t="s">
        <v>1464</v>
      </c>
      <c r="D265" s="11">
        <v>18279171935</v>
      </c>
      <c r="E265" s="167" t="s">
        <v>156</v>
      </c>
      <c r="F265" s="166" t="s">
        <v>13</v>
      </c>
      <c r="G265" s="9">
        <v>202102003</v>
      </c>
      <c r="H265" s="167" t="s">
        <v>157</v>
      </c>
      <c r="I265" s="167" t="s">
        <v>1466</v>
      </c>
      <c r="J265" s="167" t="s">
        <v>179</v>
      </c>
      <c r="K265" s="167" t="s">
        <v>160</v>
      </c>
      <c r="L265" s="167" t="s">
        <v>281</v>
      </c>
      <c r="M265" s="167" t="s">
        <v>1467</v>
      </c>
      <c r="N265" s="167" t="s">
        <v>1468</v>
      </c>
      <c r="O265" s="12" t="str">
        <f>_xlfn.DISPIMG("ID_050656778A6D494197B2CC367B7C8BBA",1)</f>
        <v>=DISPIMG("ID_050656778A6D494197B2CC367B7C8BBA",1)</v>
      </c>
      <c r="P265" s="9" t="s">
        <v>1469</v>
      </c>
      <c r="Q265" s="11">
        <v>162</v>
      </c>
      <c r="R265" s="15" t="s">
        <v>4563</v>
      </c>
      <c r="S265" s="19" t="s">
        <v>52</v>
      </c>
      <c r="T265" s="9">
        <v>23</v>
      </c>
    </row>
    <row r="266" s="3" customFormat="1" customHeight="1" spans="1:20">
      <c r="A266" s="166" t="s">
        <v>1477</v>
      </c>
      <c r="B266" s="166" t="s">
        <v>153</v>
      </c>
      <c r="C266" s="166" t="s">
        <v>1478</v>
      </c>
      <c r="D266" s="11">
        <v>15779705216</v>
      </c>
      <c r="E266" s="167" t="s">
        <v>156</v>
      </c>
      <c r="F266" s="166" t="s">
        <v>13</v>
      </c>
      <c r="G266" s="9">
        <v>202102003</v>
      </c>
      <c r="H266" s="167" t="s">
        <v>157</v>
      </c>
      <c r="I266" s="167" t="s">
        <v>1480</v>
      </c>
      <c r="J266" s="167" t="s">
        <v>1481</v>
      </c>
      <c r="K266" s="167" t="s">
        <v>160</v>
      </c>
      <c r="L266" s="167" t="s">
        <v>235</v>
      </c>
      <c r="M266" s="167" t="s">
        <v>13</v>
      </c>
      <c r="N266" s="167" t="s">
        <v>1482</v>
      </c>
      <c r="O266" s="12" t="str">
        <f>_xlfn.DISPIMG("ID_7EA9DB823A764F28A536B4FEC9EB2A2B",1)</f>
        <v>=DISPIMG("ID_7EA9DB823A764F28A536B4FEC9EB2A2B",1)</v>
      </c>
      <c r="P266" s="9" t="s">
        <v>1483</v>
      </c>
      <c r="Q266" s="11">
        <v>164</v>
      </c>
      <c r="R266" s="15" t="s">
        <v>4564</v>
      </c>
      <c r="S266" s="19" t="s">
        <v>52</v>
      </c>
      <c r="T266" s="9">
        <v>26</v>
      </c>
    </row>
    <row r="267" s="3" customFormat="1" customHeight="1" spans="1:20">
      <c r="A267" s="166" t="s">
        <v>1486</v>
      </c>
      <c r="B267" s="166" t="s">
        <v>165</v>
      </c>
      <c r="C267" s="166" t="s">
        <v>1487</v>
      </c>
      <c r="D267" s="11">
        <v>13979859802</v>
      </c>
      <c r="E267" s="167" t="s">
        <v>156</v>
      </c>
      <c r="F267" s="166" t="s">
        <v>13</v>
      </c>
      <c r="G267" s="9">
        <v>202102003</v>
      </c>
      <c r="H267" s="167" t="s">
        <v>157</v>
      </c>
      <c r="I267" s="167" t="s">
        <v>233</v>
      </c>
      <c r="J267" s="167" t="s">
        <v>1489</v>
      </c>
      <c r="K267" s="167" t="s">
        <v>170</v>
      </c>
      <c r="L267" s="167" t="s">
        <v>1490</v>
      </c>
      <c r="M267" s="167" t="s">
        <v>1491</v>
      </c>
      <c r="N267" s="167" t="s">
        <v>1492</v>
      </c>
      <c r="O267" s="12" t="str">
        <f>_xlfn.DISPIMG("ID_8C3008D7D3C74B79A4E1698AF4E9725F",1)</f>
        <v>=DISPIMG("ID_8C3008D7D3C74B79A4E1698AF4E9725F",1)</v>
      </c>
      <c r="P267" s="9" t="s">
        <v>1493</v>
      </c>
      <c r="Q267" s="11">
        <v>165</v>
      </c>
      <c r="R267" s="15" t="s">
        <v>4565</v>
      </c>
      <c r="S267" s="19" t="s">
        <v>52</v>
      </c>
      <c r="T267" s="9">
        <v>1</v>
      </c>
    </row>
    <row r="268" s="3" customFormat="1" customHeight="1" spans="1:20">
      <c r="A268" s="166" t="s">
        <v>1503</v>
      </c>
      <c r="B268" s="166" t="s">
        <v>165</v>
      </c>
      <c r="C268" s="166" t="s">
        <v>1504</v>
      </c>
      <c r="D268" s="11">
        <v>15070911038</v>
      </c>
      <c r="E268" s="167" t="s">
        <v>156</v>
      </c>
      <c r="F268" s="166" t="s">
        <v>13</v>
      </c>
      <c r="G268" s="9">
        <v>202102003</v>
      </c>
      <c r="H268" s="167" t="s">
        <v>157</v>
      </c>
      <c r="I268" s="167" t="s">
        <v>827</v>
      </c>
      <c r="J268" s="167" t="s">
        <v>223</v>
      </c>
      <c r="K268" s="167" t="s">
        <v>170</v>
      </c>
      <c r="L268" s="167" t="s">
        <v>180</v>
      </c>
      <c r="M268" s="167" t="s">
        <v>1506</v>
      </c>
      <c r="N268" s="167" t="s">
        <v>1507</v>
      </c>
      <c r="O268" s="12" t="str">
        <f>_xlfn.DISPIMG("ID_ADCECB4C3BFF4D9FA761F0B3617DDB20",1)</f>
        <v>=DISPIMG("ID_ADCECB4C3BFF4D9FA761F0B3617DDB20",1)</v>
      </c>
      <c r="P268" s="9" t="s">
        <v>1508</v>
      </c>
      <c r="Q268" s="11">
        <v>167</v>
      </c>
      <c r="R268" s="15" t="s">
        <v>4566</v>
      </c>
      <c r="S268" s="19" t="s">
        <v>52</v>
      </c>
      <c r="T268" s="9">
        <v>12</v>
      </c>
    </row>
    <row r="269" s="3" customFormat="1" customHeight="1" spans="1:20">
      <c r="A269" s="166" t="s">
        <v>1528</v>
      </c>
      <c r="B269" s="166" t="s">
        <v>165</v>
      </c>
      <c r="C269" s="166" t="s">
        <v>1529</v>
      </c>
      <c r="D269" s="11">
        <v>13247705960</v>
      </c>
      <c r="E269" s="167" t="s">
        <v>156</v>
      </c>
      <c r="F269" s="166" t="s">
        <v>13</v>
      </c>
      <c r="G269" s="9">
        <v>202102003</v>
      </c>
      <c r="H269" s="167" t="s">
        <v>157</v>
      </c>
      <c r="I269" s="167" t="s">
        <v>385</v>
      </c>
      <c r="J269" s="167" t="s">
        <v>179</v>
      </c>
      <c r="K269" s="167" t="s">
        <v>160</v>
      </c>
      <c r="L269" s="167" t="s">
        <v>548</v>
      </c>
      <c r="M269" s="167" t="s">
        <v>25</v>
      </c>
      <c r="N269" s="167" t="s">
        <v>1531</v>
      </c>
      <c r="O269" s="12" t="str">
        <f>_xlfn.DISPIMG("ID_8A933BECC5A94F3D8B394A9689736C52",1)</f>
        <v>=DISPIMG("ID_8A933BECC5A94F3D8B394A9689736C52",1)</v>
      </c>
      <c r="P269" s="9" t="s">
        <v>1532</v>
      </c>
      <c r="Q269" s="11">
        <v>170</v>
      </c>
      <c r="R269" s="15" t="s">
        <v>4567</v>
      </c>
      <c r="S269" s="19" t="s">
        <v>52</v>
      </c>
      <c r="T269" s="9">
        <v>13</v>
      </c>
    </row>
    <row r="270" s="3" customFormat="1" customHeight="1" spans="1:20">
      <c r="A270" s="166" t="s">
        <v>1643</v>
      </c>
      <c r="B270" s="166" t="s">
        <v>153</v>
      </c>
      <c r="C270" s="166" t="s">
        <v>1644</v>
      </c>
      <c r="D270" s="11">
        <v>18351336229</v>
      </c>
      <c r="E270" s="167" t="s">
        <v>156</v>
      </c>
      <c r="F270" s="166" t="s">
        <v>13</v>
      </c>
      <c r="G270" s="9">
        <v>202102003</v>
      </c>
      <c r="H270" s="167" t="s">
        <v>157</v>
      </c>
      <c r="I270" s="167" t="s">
        <v>1646</v>
      </c>
      <c r="J270" s="167" t="s">
        <v>1647</v>
      </c>
      <c r="K270" s="167" t="s">
        <v>160</v>
      </c>
      <c r="L270" s="167" t="s">
        <v>261</v>
      </c>
      <c r="M270" s="167" t="s">
        <v>1506</v>
      </c>
      <c r="N270" s="11">
        <v>0</v>
      </c>
      <c r="O270" s="12" t="str">
        <f>_xlfn.DISPIMG("ID_B4AD11310DDA4138B05F8034BA3D88DD",1)</f>
        <v>=DISPIMG("ID_B4AD11310DDA4138B05F8034BA3D88DD",1)</v>
      </c>
      <c r="P270" s="9" t="s">
        <v>1648</v>
      </c>
      <c r="Q270" s="11">
        <v>185</v>
      </c>
      <c r="R270" s="15" t="s">
        <v>4568</v>
      </c>
      <c r="S270" s="19" t="s">
        <v>52</v>
      </c>
      <c r="T270" s="9">
        <v>24</v>
      </c>
    </row>
    <row r="271" s="3" customFormat="1" customHeight="1" spans="1:20">
      <c r="A271" s="166" t="s">
        <v>1651</v>
      </c>
      <c r="B271" s="166" t="s">
        <v>165</v>
      </c>
      <c r="C271" s="166" t="s">
        <v>1652</v>
      </c>
      <c r="D271" s="11">
        <v>15870862742</v>
      </c>
      <c r="E271" s="167" t="s">
        <v>156</v>
      </c>
      <c r="F271" s="166" t="s">
        <v>13</v>
      </c>
      <c r="G271" s="9">
        <v>202102003</v>
      </c>
      <c r="H271" s="167" t="s">
        <v>157</v>
      </c>
      <c r="I271" s="167" t="s">
        <v>1654</v>
      </c>
      <c r="J271" s="167" t="s">
        <v>179</v>
      </c>
      <c r="K271" s="167" t="s">
        <v>160</v>
      </c>
      <c r="L271" s="167" t="s">
        <v>235</v>
      </c>
      <c r="M271" s="167" t="s">
        <v>13</v>
      </c>
      <c r="N271" s="11">
        <v>0</v>
      </c>
      <c r="O271" s="12" t="str">
        <f>_xlfn.DISPIMG("ID_3972EE6FED8B40BFAB5CECB7F30981FD",1)</f>
        <v>=DISPIMG("ID_3972EE6FED8B40BFAB5CECB7F30981FD",1)</v>
      </c>
      <c r="P271" s="9" t="s">
        <v>1655</v>
      </c>
      <c r="Q271" s="11">
        <v>186</v>
      </c>
      <c r="R271" s="15" t="s">
        <v>4569</v>
      </c>
      <c r="S271" s="19" t="s">
        <v>52</v>
      </c>
      <c r="T271" s="9">
        <v>25</v>
      </c>
    </row>
    <row r="272" s="3" customFormat="1" customHeight="1" spans="1:20">
      <c r="A272" s="167" t="s">
        <v>1715</v>
      </c>
      <c r="B272" s="167" t="s">
        <v>165</v>
      </c>
      <c r="C272" s="167" t="s">
        <v>1716</v>
      </c>
      <c r="D272" s="11">
        <v>15070075457</v>
      </c>
      <c r="E272" s="167" t="s">
        <v>156</v>
      </c>
      <c r="F272" s="167" t="s">
        <v>13</v>
      </c>
      <c r="G272" s="11">
        <v>202102003</v>
      </c>
      <c r="H272" s="167" t="s">
        <v>157</v>
      </c>
      <c r="I272" s="167" t="s">
        <v>1718</v>
      </c>
      <c r="J272" s="167" t="s">
        <v>1195</v>
      </c>
      <c r="K272" s="167" t="s">
        <v>170</v>
      </c>
      <c r="L272" s="167" t="s">
        <v>281</v>
      </c>
      <c r="M272" s="167" t="s">
        <v>13</v>
      </c>
      <c r="N272" s="167" t="s">
        <v>1719</v>
      </c>
      <c r="O272" s="12" t="str">
        <f>_xlfn.DISPIMG("ID_33BA8978EFEE4AA59909527B43B2E1C1",1)</f>
        <v>=DISPIMG("ID_33BA8978EFEE4AA59909527B43B2E1C1",1)</v>
      </c>
      <c r="P272" s="11" t="s">
        <v>1720</v>
      </c>
      <c r="Q272" s="11">
        <v>194</v>
      </c>
      <c r="R272" s="17" t="s">
        <v>4570</v>
      </c>
      <c r="S272" s="18" t="s">
        <v>54</v>
      </c>
      <c r="T272" s="11">
        <v>6</v>
      </c>
    </row>
    <row r="273" s="3" customFormat="1" customHeight="1" spans="1:20">
      <c r="A273" s="167" t="s">
        <v>1759</v>
      </c>
      <c r="B273" s="167" t="s">
        <v>165</v>
      </c>
      <c r="C273" s="167" t="s">
        <v>1760</v>
      </c>
      <c r="D273" s="11">
        <v>13450834436</v>
      </c>
      <c r="E273" s="167" t="s">
        <v>156</v>
      </c>
      <c r="F273" s="167" t="s">
        <v>13</v>
      </c>
      <c r="G273" s="11">
        <v>202102003</v>
      </c>
      <c r="H273" s="167" t="s">
        <v>279</v>
      </c>
      <c r="I273" s="167" t="s">
        <v>158</v>
      </c>
      <c r="J273" s="167" t="s">
        <v>298</v>
      </c>
      <c r="K273" s="167" t="s">
        <v>160</v>
      </c>
      <c r="L273" s="167" t="s">
        <v>910</v>
      </c>
      <c r="M273" s="167" t="s">
        <v>13</v>
      </c>
      <c r="N273" s="167" t="s">
        <v>1762</v>
      </c>
      <c r="O273" s="12" t="str">
        <f>_xlfn.DISPIMG("ID_6061453C50E94D60AD50D7D119779DE5",1)</f>
        <v>=DISPIMG("ID_6061453C50E94D60AD50D7D119779DE5",1)</v>
      </c>
      <c r="P273" s="11" t="s">
        <v>1763</v>
      </c>
      <c r="Q273" s="11">
        <v>200</v>
      </c>
      <c r="R273" s="17" t="s">
        <v>4571</v>
      </c>
      <c r="S273" s="18" t="s">
        <v>54</v>
      </c>
      <c r="T273" s="11">
        <v>7</v>
      </c>
    </row>
    <row r="274" s="3" customFormat="1" customHeight="1" spans="1:20">
      <c r="A274" s="167" t="s">
        <v>1781</v>
      </c>
      <c r="B274" s="167" t="s">
        <v>165</v>
      </c>
      <c r="C274" s="167" t="s">
        <v>1782</v>
      </c>
      <c r="D274" s="11">
        <v>18379139309</v>
      </c>
      <c r="E274" s="167" t="s">
        <v>156</v>
      </c>
      <c r="F274" s="167" t="s">
        <v>13</v>
      </c>
      <c r="G274" s="11">
        <v>202102003</v>
      </c>
      <c r="H274" s="167" t="s">
        <v>157</v>
      </c>
      <c r="I274" s="167" t="s">
        <v>1784</v>
      </c>
      <c r="J274" s="167" t="s">
        <v>243</v>
      </c>
      <c r="K274" s="167" t="s">
        <v>160</v>
      </c>
      <c r="L274" s="167" t="s">
        <v>516</v>
      </c>
      <c r="M274" s="167" t="s">
        <v>25</v>
      </c>
      <c r="N274" s="167" t="s">
        <v>1785</v>
      </c>
      <c r="O274" s="12" t="str">
        <f>_xlfn.DISPIMG("ID_FAA9DF7D97144F66A8EC0127C6ABD49F",1)</f>
        <v>=DISPIMG("ID_FAA9DF7D97144F66A8EC0127C6ABD49F",1)</v>
      </c>
      <c r="P274" s="11" t="s">
        <v>1786</v>
      </c>
      <c r="Q274" s="11">
        <v>203</v>
      </c>
      <c r="R274" s="17" t="s">
        <v>4572</v>
      </c>
      <c r="S274" s="18" t="s">
        <v>54</v>
      </c>
      <c r="T274" s="11">
        <v>18</v>
      </c>
    </row>
    <row r="275" s="3" customFormat="1" customHeight="1" spans="1:20">
      <c r="A275" s="167" t="s">
        <v>1868</v>
      </c>
      <c r="B275" s="167" t="s">
        <v>165</v>
      </c>
      <c r="C275" s="167" t="s">
        <v>1869</v>
      </c>
      <c r="D275" s="11">
        <v>18270285866</v>
      </c>
      <c r="E275" s="167" t="s">
        <v>156</v>
      </c>
      <c r="F275" s="167" t="s">
        <v>13</v>
      </c>
      <c r="G275" s="11">
        <v>202102003</v>
      </c>
      <c r="H275" s="167" t="s">
        <v>157</v>
      </c>
      <c r="I275" s="167" t="s">
        <v>697</v>
      </c>
      <c r="J275" s="167" t="s">
        <v>179</v>
      </c>
      <c r="K275" s="167" t="s">
        <v>160</v>
      </c>
      <c r="L275" s="167" t="s">
        <v>161</v>
      </c>
      <c r="M275" s="167" t="s">
        <v>13</v>
      </c>
      <c r="N275" s="167" t="s">
        <v>1871</v>
      </c>
      <c r="O275" s="12" t="str">
        <f>_xlfn.DISPIMG("ID_8FA08A92AF314DECB56C8C1E101E9B2E",1)</f>
        <v>=DISPIMG("ID_8FA08A92AF314DECB56C8C1E101E9B2E",1)</v>
      </c>
      <c r="P275" s="11" t="s">
        <v>1872</v>
      </c>
      <c r="Q275" s="11">
        <v>214</v>
      </c>
      <c r="R275" s="17" t="s">
        <v>4573</v>
      </c>
      <c r="S275" s="18" t="s">
        <v>54</v>
      </c>
      <c r="T275" s="11">
        <v>19</v>
      </c>
    </row>
    <row r="276" s="3" customFormat="1" customHeight="1" spans="1:20">
      <c r="A276" s="167" t="s">
        <v>1890</v>
      </c>
      <c r="B276" s="167" t="s">
        <v>165</v>
      </c>
      <c r="C276" s="167" t="s">
        <v>1891</v>
      </c>
      <c r="D276" s="11">
        <v>18770267494</v>
      </c>
      <c r="E276" s="167" t="s">
        <v>156</v>
      </c>
      <c r="F276" s="167" t="s">
        <v>13</v>
      </c>
      <c r="G276" s="11">
        <v>202102003</v>
      </c>
      <c r="H276" s="167" t="s">
        <v>157</v>
      </c>
      <c r="I276" s="167" t="s">
        <v>646</v>
      </c>
      <c r="J276" s="167" t="s">
        <v>179</v>
      </c>
      <c r="K276" s="167" t="s">
        <v>160</v>
      </c>
      <c r="L276" s="167" t="s">
        <v>161</v>
      </c>
      <c r="M276" s="167" t="s">
        <v>25</v>
      </c>
      <c r="N276" s="167" t="s">
        <v>1893</v>
      </c>
      <c r="O276" s="12" t="str">
        <f>_xlfn.DISPIMG("ID_E3FEEF4304AD40319195B6CB72FAB7DA",1)</f>
        <v>=DISPIMG("ID_E3FEEF4304AD40319195B6CB72FAB7DA",1)</v>
      </c>
      <c r="P276" s="11" t="s">
        <v>1894</v>
      </c>
      <c r="Q276" s="11">
        <v>217</v>
      </c>
      <c r="R276" s="17" t="s">
        <v>4574</v>
      </c>
      <c r="S276" s="18" t="s">
        <v>54</v>
      </c>
      <c r="T276" s="11">
        <v>30</v>
      </c>
    </row>
    <row r="277" s="3" customFormat="1" customHeight="1" spans="1:20">
      <c r="A277" s="167" t="s">
        <v>1925</v>
      </c>
      <c r="B277" s="167" t="s">
        <v>165</v>
      </c>
      <c r="C277" s="167" t="s">
        <v>1926</v>
      </c>
      <c r="D277" s="11">
        <v>18000203663</v>
      </c>
      <c r="E277" s="167" t="s">
        <v>156</v>
      </c>
      <c r="F277" s="167" t="s">
        <v>13</v>
      </c>
      <c r="G277" s="11">
        <v>202102003</v>
      </c>
      <c r="H277" s="167" t="s">
        <v>157</v>
      </c>
      <c r="I277" s="167" t="s">
        <v>611</v>
      </c>
      <c r="J277" s="167" t="s">
        <v>179</v>
      </c>
      <c r="K277" s="167" t="s">
        <v>160</v>
      </c>
      <c r="L277" s="167" t="s">
        <v>281</v>
      </c>
      <c r="M277" s="167" t="s">
        <v>13</v>
      </c>
      <c r="N277" s="167" t="s">
        <v>1928</v>
      </c>
      <c r="O277" s="12" t="str">
        <f>_xlfn.DISPIMG("ID_F763BF131F364181A17D865B8B797D97",1)</f>
        <v>=DISPIMG("ID_F763BF131F364181A17D865B8B797D97",1)</v>
      </c>
      <c r="P277" s="11" t="s">
        <v>1929</v>
      </c>
      <c r="Q277" s="11">
        <v>222</v>
      </c>
      <c r="R277" s="17" t="s">
        <v>4575</v>
      </c>
      <c r="S277" s="18" t="s">
        <v>54</v>
      </c>
      <c r="T277" s="11">
        <v>5</v>
      </c>
    </row>
    <row r="278" s="3" customFormat="1" customHeight="1" spans="1:20">
      <c r="A278" s="167" t="s">
        <v>1997</v>
      </c>
      <c r="B278" s="167" t="s">
        <v>165</v>
      </c>
      <c r="C278" s="167" t="s">
        <v>1998</v>
      </c>
      <c r="D278" s="11">
        <v>15270177023</v>
      </c>
      <c r="E278" s="167" t="s">
        <v>156</v>
      </c>
      <c r="F278" s="167" t="s">
        <v>13</v>
      </c>
      <c r="G278" s="11">
        <v>202102003</v>
      </c>
      <c r="H278" s="167" t="s">
        <v>157</v>
      </c>
      <c r="I278" s="167" t="s">
        <v>158</v>
      </c>
      <c r="J278" s="167" t="s">
        <v>2000</v>
      </c>
      <c r="K278" s="167" t="s">
        <v>160</v>
      </c>
      <c r="L278" s="167" t="s">
        <v>161</v>
      </c>
      <c r="M278" s="167" t="s">
        <v>13</v>
      </c>
      <c r="N278" s="11">
        <v>0</v>
      </c>
      <c r="O278" s="12" t="str">
        <f>_xlfn.DISPIMG("ID_08A4D05852A0412E805E12227EDF1C33",1)</f>
        <v>=DISPIMG("ID_08A4D05852A0412E805E12227EDF1C33",1)</v>
      </c>
      <c r="P278" s="11" t="s">
        <v>2001</v>
      </c>
      <c r="Q278" s="11">
        <v>232</v>
      </c>
      <c r="R278" s="17" t="s">
        <v>4576</v>
      </c>
      <c r="S278" s="18" t="s">
        <v>54</v>
      </c>
      <c r="T278" s="11">
        <v>8</v>
      </c>
    </row>
    <row r="279" s="3" customFormat="1" customHeight="1" spans="1:20">
      <c r="A279" s="167" t="s">
        <v>2012</v>
      </c>
      <c r="B279" s="167" t="s">
        <v>165</v>
      </c>
      <c r="C279" s="167" t="s">
        <v>2013</v>
      </c>
      <c r="D279" s="11">
        <v>18970612776</v>
      </c>
      <c r="E279" s="167" t="s">
        <v>156</v>
      </c>
      <c r="F279" s="167" t="s">
        <v>13</v>
      </c>
      <c r="G279" s="11">
        <v>202102003</v>
      </c>
      <c r="H279" s="167" t="s">
        <v>279</v>
      </c>
      <c r="I279" s="167" t="s">
        <v>2015</v>
      </c>
      <c r="J279" s="167" t="s">
        <v>223</v>
      </c>
      <c r="K279" s="167" t="s">
        <v>170</v>
      </c>
      <c r="L279" s="167" t="s">
        <v>216</v>
      </c>
      <c r="M279" s="167" t="s">
        <v>2016</v>
      </c>
      <c r="N279" s="167" t="s">
        <v>2017</v>
      </c>
      <c r="O279" s="12" t="str">
        <f>_xlfn.DISPIMG("ID_DBB8A81F2D854EDC847C805211582887",1)</f>
        <v>=DISPIMG("ID_DBB8A81F2D854EDC847C805211582887",1)</v>
      </c>
      <c r="P279" s="11" t="s">
        <v>2018</v>
      </c>
      <c r="Q279" s="11">
        <v>234</v>
      </c>
      <c r="R279" s="17" t="s">
        <v>4577</v>
      </c>
      <c r="S279" s="18" t="s">
        <v>54</v>
      </c>
      <c r="T279" s="11">
        <v>17</v>
      </c>
    </row>
    <row r="280" s="3" customFormat="1" customHeight="1" spans="1:20">
      <c r="A280" s="167" t="s">
        <v>2020</v>
      </c>
      <c r="B280" s="167" t="s">
        <v>165</v>
      </c>
      <c r="C280" s="167" t="s">
        <v>2021</v>
      </c>
      <c r="D280" s="11">
        <v>13607094902</v>
      </c>
      <c r="E280" s="167" t="s">
        <v>506</v>
      </c>
      <c r="F280" s="167" t="s">
        <v>13</v>
      </c>
      <c r="G280" s="11">
        <v>202102016</v>
      </c>
      <c r="H280" s="167" t="s">
        <v>157</v>
      </c>
      <c r="I280" s="167" t="s">
        <v>2015</v>
      </c>
      <c r="J280" s="167" t="s">
        <v>179</v>
      </c>
      <c r="K280" s="167" t="s">
        <v>170</v>
      </c>
      <c r="L280" s="167" t="s">
        <v>2023</v>
      </c>
      <c r="M280" s="167" t="s">
        <v>13</v>
      </c>
      <c r="N280" s="167" t="s">
        <v>2024</v>
      </c>
      <c r="O280" s="12" t="str">
        <f>_xlfn.DISPIMG("ID_391065F92F2843D5ABEC64E49971BF9B",1)</f>
        <v>=DISPIMG("ID_391065F92F2843D5ABEC64E49971BF9B",1)</v>
      </c>
      <c r="P280" s="11" t="s">
        <v>2025</v>
      </c>
      <c r="Q280" s="11">
        <v>235</v>
      </c>
      <c r="R280" s="17" t="s">
        <v>4578</v>
      </c>
      <c r="S280" s="18" t="s">
        <v>54</v>
      </c>
      <c r="T280" s="11">
        <v>20</v>
      </c>
    </row>
    <row r="281" s="3" customFormat="1" customHeight="1" spans="1:20">
      <c r="A281" s="167" t="s">
        <v>2090</v>
      </c>
      <c r="B281" s="167" t="s">
        <v>153</v>
      </c>
      <c r="C281" s="167" t="s">
        <v>2091</v>
      </c>
      <c r="D281" s="11">
        <v>18079635877</v>
      </c>
      <c r="E281" s="167" t="s">
        <v>156</v>
      </c>
      <c r="F281" s="167" t="s">
        <v>13</v>
      </c>
      <c r="G281" s="11">
        <v>202102003</v>
      </c>
      <c r="H281" s="167" t="s">
        <v>157</v>
      </c>
      <c r="I281" s="167" t="s">
        <v>507</v>
      </c>
      <c r="J281" s="167" t="s">
        <v>2093</v>
      </c>
      <c r="K281" s="167" t="s">
        <v>160</v>
      </c>
      <c r="L281" s="167" t="s">
        <v>281</v>
      </c>
      <c r="M281" s="167" t="s">
        <v>25</v>
      </c>
      <c r="N281" s="167" t="s">
        <v>2094</v>
      </c>
      <c r="O281" s="12" t="str">
        <f>_xlfn.DISPIMG("ID_C4F6E9DAFE344DCCAABCAAE0A2F04564",1)</f>
        <v>=DISPIMG("ID_C4F6E9DAFE344DCCAABCAAE0A2F04564",1)</v>
      </c>
      <c r="P281" s="11" t="s">
        <v>2095</v>
      </c>
      <c r="Q281" s="11">
        <v>244</v>
      </c>
      <c r="R281" s="17" t="s">
        <v>4579</v>
      </c>
      <c r="S281" s="18" t="s">
        <v>54</v>
      </c>
      <c r="T281" s="11">
        <v>29</v>
      </c>
    </row>
    <row r="282" s="3" customFormat="1" customHeight="1" spans="1:20">
      <c r="A282" s="167" t="s">
        <v>2113</v>
      </c>
      <c r="B282" s="167" t="s">
        <v>165</v>
      </c>
      <c r="C282" s="167" t="s">
        <v>2114</v>
      </c>
      <c r="D282" s="11">
        <v>18779262393</v>
      </c>
      <c r="E282" s="167" t="s">
        <v>156</v>
      </c>
      <c r="F282" s="167" t="s">
        <v>13</v>
      </c>
      <c r="G282" s="11">
        <v>202102003</v>
      </c>
      <c r="H282" s="167" t="s">
        <v>157</v>
      </c>
      <c r="I282" s="167" t="s">
        <v>168</v>
      </c>
      <c r="J282" s="167" t="s">
        <v>179</v>
      </c>
      <c r="K282" s="167" t="s">
        <v>170</v>
      </c>
      <c r="L282" s="167" t="s">
        <v>261</v>
      </c>
      <c r="M282" s="167" t="s">
        <v>13</v>
      </c>
      <c r="N282" s="167" t="s">
        <v>2116</v>
      </c>
      <c r="O282" s="12" t="str">
        <f>_xlfn.DISPIMG("ID_FD96452CC72B491AA69A0DC966FE8814",1)</f>
        <v>=DISPIMG("ID_FD96452CC72B491AA69A0DC966FE8814",1)</v>
      </c>
      <c r="P282" s="11" t="s">
        <v>2117</v>
      </c>
      <c r="Q282" s="11">
        <v>247</v>
      </c>
      <c r="R282" s="17" t="s">
        <v>4580</v>
      </c>
      <c r="S282" s="18" t="s">
        <v>54</v>
      </c>
      <c r="T282" s="11">
        <v>4</v>
      </c>
    </row>
    <row r="283" s="3" customFormat="1" customHeight="1" spans="1:20">
      <c r="A283" s="167" t="s">
        <v>2120</v>
      </c>
      <c r="B283" s="167" t="s">
        <v>165</v>
      </c>
      <c r="C283" s="167" t="s">
        <v>2121</v>
      </c>
      <c r="D283" s="11">
        <v>15070693643</v>
      </c>
      <c r="E283" s="167" t="s">
        <v>156</v>
      </c>
      <c r="F283" s="167" t="s">
        <v>13</v>
      </c>
      <c r="G283" s="11">
        <v>202102003</v>
      </c>
      <c r="H283" s="167" t="s">
        <v>157</v>
      </c>
      <c r="I283" s="167" t="s">
        <v>197</v>
      </c>
      <c r="J283" s="167" t="s">
        <v>179</v>
      </c>
      <c r="K283" s="167" t="s">
        <v>160</v>
      </c>
      <c r="L283" s="167" t="s">
        <v>455</v>
      </c>
      <c r="M283" s="167" t="s">
        <v>225</v>
      </c>
      <c r="N283" s="11">
        <v>0</v>
      </c>
      <c r="O283" s="12" t="str">
        <f>_xlfn.DISPIMG("ID_BB45129897024B4183D09C0AA547B197",1)</f>
        <v>=DISPIMG("ID_BB45129897024B4183D09C0AA547B197",1)</v>
      </c>
      <c r="P283" s="11" t="s">
        <v>2123</v>
      </c>
      <c r="Q283" s="11">
        <v>248</v>
      </c>
      <c r="R283" s="17" t="s">
        <v>4581</v>
      </c>
      <c r="S283" s="18" t="s">
        <v>54</v>
      </c>
      <c r="T283" s="11">
        <v>9</v>
      </c>
    </row>
    <row r="284" s="3" customFormat="1" customHeight="1" spans="1:20">
      <c r="A284" s="167" t="s">
        <v>2140</v>
      </c>
      <c r="B284" s="167" t="s">
        <v>165</v>
      </c>
      <c r="C284" s="167" t="s">
        <v>2141</v>
      </c>
      <c r="D284" s="11">
        <v>13576909746</v>
      </c>
      <c r="E284" s="167" t="s">
        <v>156</v>
      </c>
      <c r="F284" s="167" t="s">
        <v>13</v>
      </c>
      <c r="G284" s="11">
        <v>202102003</v>
      </c>
      <c r="H284" s="167" t="s">
        <v>157</v>
      </c>
      <c r="I284" s="167" t="s">
        <v>540</v>
      </c>
      <c r="J284" s="167" t="s">
        <v>298</v>
      </c>
      <c r="K284" s="167" t="s">
        <v>160</v>
      </c>
      <c r="L284" s="167" t="s">
        <v>180</v>
      </c>
      <c r="M284" s="167" t="s">
        <v>13</v>
      </c>
      <c r="N284" s="167" t="s">
        <v>2143</v>
      </c>
      <c r="O284" s="12" t="str">
        <f>_xlfn.DISPIMG("ID_5B22FFE3C77C4E8C9BD243D72EC649E2",1)</f>
        <v>=DISPIMG("ID_5B22FFE3C77C4E8C9BD243D72EC649E2",1)</v>
      </c>
      <c r="P284" s="11" t="s">
        <v>2144</v>
      </c>
      <c r="Q284" s="11">
        <v>251</v>
      </c>
      <c r="R284" s="17" t="s">
        <v>4582</v>
      </c>
      <c r="S284" s="18" t="s">
        <v>54</v>
      </c>
      <c r="T284" s="11">
        <v>16</v>
      </c>
    </row>
    <row r="285" s="3" customFormat="1" customHeight="1" spans="1:20">
      <c r="A285" s="167" t="s">
        <v>2147</v>
      </c>
      <c r="B285" s="167" t="s">
        <v>165</v>
      </c>
      <c r="C285" s="167" t="s">
        <v>2148</v>
      </c>
      <c r="D285" s="11">
        <v>18870849075</v>
      </c>
      <c r="E285" s="167" t="s">
        <v>156</v>
      </c>
      <c r="F285" s="167" t="s">
        <v>13</v>
      </c>
      <c r="G285" s="11">
        <v>202102003</v>
      </c>
      <c r="H285" s="167" t="s">
        <v>157</v>
      </c>
      <c r="I285" s="167" t="s">
        <v>2150</v>
      </c>
      <c r="J285" s="167" t="s">
        <v>1832</v>
      </c>
      <c r="K285" s="167" t="s">
        <v>160</v>
      </c>
      <c r="L285" s="167" t="s">
        <v>2151</v>
      </c>
      <c r="M285" s="167" t="s">
        <v>13</v>
      </c>
      <c r="N285" s="167" t="s">
        <v>2152</v>
      </c>
      <c r="O285" s="12" t="str">
        <f>_xlfn.DISPIMG("ID_AE861B6E26D2460C9E654A52BE43B6F4",1)</f>
        <v>=DISPIMG("ID_AE861B6E26D2460C9E654A52BE43B6F4",1)</v>
      </c>
      <c r="P285" s="11" t="s">
        <v>2153</v>
      </c>
      <c r="Q285" s="11">
        <v>252</v>
      </c>
      <c r="R285" s="17" t="s">
        <v>4583</v>
      </c>
      <c r="S285" s="18" t="s">
        <v>54</v>
      </c>
      <c r="T285" s="11">
        <v>21</v>
      </c>
    </row>
    <row r="286" s="3" customFormat="1" customHeight="1" spans="1:20">
      <c r="A286" s="167" t="s">
        <v>2156</v>
      </c>
      <c r="B286" s="167" t="s">
        <v>165</v>
      </c>
      <c r="C286" s="167" t="s">
        <v>2157</v>
      </c>
      <c r="D286" s="11">
        <v>17707083376</v>
      </c>
      <c r="E286" s="167" t="s">
        <v>156</v>
      </c>
      <c r="F286" s="167" t="s">
        <v>13</v>
      </c>
      <c r="G286" s="11">
        <v>202102003</v>
      </c>
      <c r="H286" s="167" t="s">
        <v>157</v>
      </c>
      <c r="I286" s="167" t="s">
        <v>2159</v>
      </c>
      <c r="J286" s="167" t="s">
        <v>179</v>
      </c>
      <c r="K286" s="167" t="s">
        <v>170</v>
      </c>
      <c r="L286" s="167" t="s">
        <v>2160</v>
      </c>
      <c r="M286" s="167" t="s">
        <v>13</v>
      </c>
      <c r="N286" s="167" t="s">
        <v>2161</v>
      </c>
      <c r="O286" s="12" t="str">
        <f>_xlfn.DISPIMG("ID_40A8AEA41DF44D5AB3229E18DF729A74",1)</f>
        <v>=DISPIMG("ID_40A8AEA41DF44D5AB3229E18DF729A74",1)</v>
      </c>
      <c r="P286" s="11" t="s">
        <v>2162</v>
      </c>
      <c r="Q286" s="11">
        <v>253</v>
      </c>
      <c r="R286" s="17" t="s">
        <v>4584</v>
      </c>
      <c r="S286" s="18" t="s">
        <v>54</v>
      </c>
      <c r="T286" s="11">
        <v>28</v>
      </c>
    </row>
    <row r="287" s="3" customFormat="1" customHeight="1" spans="1:20">
      <c r="A287" s="167" t="s">
        <v>2188</v>
      </c>
      <c r="B287" s="167" t="s">
        <v>165</v>
      </c>
      <c r="C287" s="167" t="s">
        <v>2189</v>
      </c>
      <c r="D287" s="11">
        <v>15297925516</v>
      </c>
      <c r="E287" s="167" t="s">
        <v>156</v>
      </c>
      <c r="F287" s="167" t="s">
        <v>13</v>
      </c>
      <c r="G287" s="11">
        <v>202102003</v>
      </c>
      <c r="H287" s="167" t="s">
        <v>157</v>
      </c>
      <c r="I287" s="167" t="s">
        <v>178</v>
      </c>
      <c r="J287" s="167" t="s">
        <v>179</v>
      </c>
      <c r="K287" s="167" t="s">
        <v>170</v>
      </c>
      <c r="L287" s="167" t="s">
        <v>161</v>
      </c>
      <c r="M287" s="167" t="s">
        <v>25</v>
      </c>
      <c r="N287" s="11">
        <v>0</v>
      </c>
      <c r="O287" s="12" t="str">
        <f>_xlfn.DISPIMG("ID_D5F43AB9EBAD44A4B07E87AF936A6299",1)</f>
        <v>=DISPIMG("ID_D5F43AB9EBAD44A4B07E87AF936A6299",1)</v>
      </c>
      <c r="P287" s="11" t="s">
        <v>2191</v>
      </c>
      <c r="Q287" s="11">
        <v>257</v>
      </c>
      <c r="R287" s="17" t="s">
        <v>4585</v>
      </c>
      <c r="S287" s="18" t="s">
        <v>54</v>
      </c>
      <c r="T287" s="11">
        <v>3</v>
      </c>
    </row>
    <row r="288" s="3" customFormat="1" customHeight="1" spans="1:20">
      <c r="A288" s="167" t="s">
        <v>2203</v>
      </c>
      <c r="B288" s="167" t="s">
        <v>165</v>
      </c>
      <c r="C288" s="167" t="s">
        <v>2204</v>
      </c>
      <c r="D288" s="11">
        <v>18702523558</v>
      </c>
      <c r="E288" s="167" t="s">
        <v>156</v>
      </c>
      <c r="F288" s="167" t="s">
        <v>13</v>
      </c>
      <c r="G288" s="11">
        <v>202102003</v>
      </c>
      <c r="H288" s="167" t="s">
        <v>157</v>
      </c>
      <c r="I288" s="167" t="s">
        <v>646</v>
      </c>
      <c r="J288" s="167" t="s">
        <v>179</v>
      </c>
      <c r="K288" s="167" t="s">
        <v>170</v>
      </c>
      <c r="L288" s="167" t="s">
        <v>368</v>
      </c>
      <c r="M288" s="167" t="s">
        <v>25</v>
      </c>
      <c r="N288" s="167" t="s">
        <v>2206</v>
      </c>
      <c r="O288" s="12" t="str">
        <f>_xlfn.DISPIMG("ID_06812EDB7CE84D14BCAEC56B86A3FB64",1)</f>
        <v>=DISPIMG("ID_06812EDB7CE84D14BCAEC56B86A3FB64",1)</v>
      </c>
      <c r="P288" s="11" t="s">
        <v>2207</v>
      </c>
      <c r="Q288" s="11">
        <v>259</v>
      </c>
      <c r="R288" s="17" t="s">
        <v>4586</v>
      </c>
      <c r="S288" s="18" t="s">
        <v>54</v>
      </c>
      <c r="T288" s="11">
        <v>10</v>
      </c>
    </row>
    <row r="289" s="3" customFormat="1" customHeight="1" spans="1:20">
      <c r="A289" s="167" t="s">
        <v>2256</v>
      </c>
      <c r="B289" s="167" t="s">
        <v>165</v>
      </c>
      <c r="C289" s="167" t="s">
        <v>2257</v>
      </c>
      <c r="D289" s="11">
        <v>18379620695</v>
      </c>
      <c r="E289" s="167" t="s">
        <v>156</v>
      </c>
      <c r="F289" s="167" t="s">
        <v>13</v>
      </c>
      <c r="G289" s="11">
        <v>202102003</v>
      </c>
      <c r="H289" s="167" t="s">
        <v>157</v>
      </c>
      <c r="I289" s="167" t="s">
        <v>2259</v>
      </c>
      <c r="J289" s="167" t="s">
        <v>2260</v>
      </c>
      <c r="K289" s="167" t="s">
        <v>170</v>
      </c>
      <c r="L289" s="167" t="s">
        <v>252</v>
      </c>
      <c r="M289" s="167" t="s">
        <v>13</v>
      </c>
      <c r="N289" s="167" t="s">
        <v>2261</v>
      </c>
      <c r="O289" s="12" t="str">
        <f>_xlfn.DISPIMG("ID_796E86B7DB7B4E23A74B2B041E7E25B9",1)</f>
        <v>=DISPIMG("ID_796E86B7DB7B4E23A74B2B041E7E25B9",1)</v>
      </c>
      <c r="P289" s="11" t="s">
        <v>2262</v>
      </c>
      <c r="Q289" s="11">
        <v>266</v>
      </c>
      <c r="R289" s="17" t="s">
        <v>4587</v>
      </c>
      <c r="S289" s="18" t="s">
        <v>54</v>
      </c>
      <c r="T289" s="11">
        <v>15</v>
      </c>
    </row>
    <row r="290" s="3" customFormat="1" customHeight="1" spans="1:20">
      <c r="A290" s="167" t="s">
        <v>2280</v>
      </c>
      <c r="B290" s="167" t="s">
        <v>153</v>
      </c>
      <c r="C290" s="167" t="s">
        <v>2281</v>
      </c>
      <c r="D290" s="11">
        <v>18679290186</v>
      </c>
      <c r="E290" s="167" t="s">
        <v>156</v>
      </c>
      <c r="F290" s="167" t="s">
        <v>13</v>
      </c>
      <c r="G290" s="11">
        <v>202102003</v>
      </c>
      <c r="H290" s="167" t="s">
        <v>279</v>
      </c>
      <c r="I290" s="167" t="s">
        <v>233</v>
      </c>
      <c r="J290" s="167" t="s">
        <v>223</v>
      </c>
      <c r="K290" s="167" t="s">
        <v>170</v>
      </c>
      <c r="L290" s="167" t="s">
        <v>2283</v>
      </c>
      <c r="M290" s="167" t="s">
        <v>2284</v>
      </c>
      <c r="N290" s="167" t="s">
        <v>2285</v>
      </c>
      <c r="O290" s="12" t="str">
        <f>_xlfn.DISPIMG("ID_89FA20207CD0456DA5278484203F3141",1)</f>
        <v>=DISPIMG("ID_89FA20207CD0456DA5278484203F3141",1)</v>
      </c>
      <c r="P290" s="11" t="s">
        <v>2286</v>
      </c>
      <c r="Q290" s="11">
        <v>269</v>
      </c>
      <c r="R290" s="17" t="s">
        <v>4588</v>
      </c>
      <c r="S290" s="18" t="s">
        <v>54</v>
      </c>
      <c r="T290" s="11">
        <v>22</v>
      </c>
    </row>
    <row r="291" s="3" customFormat="1" customHeight="1" spans="1:20">
      <c r="A291" s="167" t="s">
        <v>2289</v>
      </c>
      <c r="B291" s="167" t="s">
        <v>165</v>
      </c>
      <c r="C291" s="167" t="s">
        <v>2290</v>
      </c>
      <c r="D291" s="11">
        <v>18170815855</v>
      </c>
      <c r="E291" s="167" t="s">
        <v>156</v>
      </c>
      <c r="F291" s="167" t="s">
        <v>13</v>
      </c>
      <c r="G291" s="11">
        <v>202102003</v>
      </c>
      <c r="H291" s="167" t="s">
        <v>157</v>
      </c>
      <c r="I291" s="167" t="s">
        <v>158</v>
      </c>
      <c r="J291" s="167" t="s">
        <v>223</v>
      </c>
      <c r="K291" s="167" t="s">
        <v>170</v>
      </c>
      <c r="L291" s="167" t="s">
        <v>349</v>
      </c>
      <c r="M291" s="167" t="s">
        <v>1692</v>
      </c>
      <c r="N291" s="167" t="s">
        <v>2290</v>
      </c>
      <c r="O291" s="12" t="str">
        <f>_xlfn.DISPIMG("ID_BC3CD3F4A07B4F5DB131E901992815BA",1)</f>
        <v>=DISPIMG("ID_BC3CD3F4A07B4F5DB131E901992815BA",1)</v>
      </c>
      <c r="P291" s="11" t="s">
        <v>2291</v>
      </c>
      <c r="Q291" s="11">
        <v>270</v>
      </c>
      <c r="R291" s="17" t="s">
        <v>4589</v>
      </c>
      <c r="S291" s="18" t="s">
        <v>54</v>
      </c>
      <c r="T291" s="11">
        <v>27</v>
      </c>
    </row>
    <row r="292" s="3" customFormat="1" customHeight="1" spans="1:20">
      <c r="A292" s="167" t="s">
        <v>2303</v>
      </c>
      <c r="B292" s="167" t="s">
        <v>165</v>
      </c>
      <c r="C292" s="167" t="s">
        <v>2304</v>
      </c>
      <c r="D292" s="11">
        <v>18397921329</v>
      </c>
      <c r="E292" s="167" t="s">
        <v>156</v>
      </c>
      <c r="F292" s="167" t="s">
        <v>13</v>
      </c>
      <c r="G292" s="11">
        <v>202102003</v>
      </c>
      <c r="H292" s="167" t="s">
        <v>157</v>
      </c>
      <c r="I292" s="167" t="s">
        <v>233</v>
      </c>
      <c r="J292" s="167" t="s">
        <v>1832</v>
      </c>
      <c r="K292" s="167" t="s">
        <v>160</v>
      </c>
      <c r="L292" s="167" t="s">
        <v>161</v>
      </c>
      <c r="M292" s="167" t="s">
        <v>2284</v>
      </c>
      <c r="N292" s="11">
        <v>0</v>
      </c>
      <c r="O292" s="12" t="str">
        <f>_xlfn.DISPIMG("ID_D3E1E42587914F6EA2229B8441CD1EF2",1)</f>
        <v>=DISPIMG("ID_D3E1E42587914F6EA2229B8441CD1EF2",1)</v>
      </c>
      <c r="P292" s="11" t="s">
        <v>2306</v>
      </c>
      <c r="Q292" s="11">
        <v>272</v>
      </c>
      <c r="R292" s="17" t="s">
        <v>4590</v>
      </c>
      <c r="S292" s="18" t="s">
        <v>54</v>
      </c>
      <c r="T292" s="11">
        <v>2</v>
      </c>
    </row>
    <row r="293" s="3" customFormat="1" customHeight="1" spans="1:20">
      <c r="A293" s="167" t="s">
        <v>2422</v>
      </c>
      <c r="B293" s="167" t="s">
        <v>165</v>
      </c>
      <c r="C293" s="167" t="s">
        <v>2423</v>
      </c>
      <c r="D293" s="11">
        <v>18720291058</v>
      </c>
      <c r="E293" s="167" t="s">
        <v>156</v>
      </c>
      <c r="F293" s="167" t="s">
        <v>13</v>
      </c>
      <c r="G293" s="11">
        <v>202102003</v>
      </c>
      <c r="H293" s="167" t="s">
        <v>157</v>
      </c>
      <c r="I293" s="167" t="s">
        <v>2425</v>
      </c>
      <c r="J293" s="167" t="s">
        <v>395</v>
      </c>
      <c r="K293" s="167" t="s">
        <v>160</v>
      </c>
      <c r="L293" s="167" t="s">
        <v>577</v>
      </c>
      <c r="M293" s="167" t="s">
        <v>324</v>
      </c>
      <c r="N293" s="167" t="s">
        <v>2426</v>
      </c>
      <c r="O293" s="12" t="str">
        <f>_xlfn.DISPIMG("ID_93FC4398D0D24B119D9D1B8E0038C2BD",1)</f>
        <v>=DISPIMG("ID_93FC4398D0D24B119D9D1B8E0038C2BD",1)</v>
      </c>
      <c r="P293" s="11" t="s">
        <v>2427</v>
      </c>
      <c r="Q293" s="11">
        <v>288</v>
      </c>
      <c r="R293" s="17" t="s">
        <v>4591</v>
      </c>
      <c r="S293" s="18" t="s">
        <v>54</v>
      </c>
      <c r="T293" s="11">
        <v>11</v>
      </c>
    </row>
    <row r="294" s="3" customFormat="1" customHeight="1" spans="1:20">
      <c r="A294" s="167" t="s">
        <v>2532</v>
      </c>
      <c r="B294" s="167" t="s">
        <v>165</v>
      </c>
      <c r="C294" s="167" t="s">
        <v>2533</v>
      </c>
      <c r="D294" s="11">
        <v>13687926524</v>
      </c>
      <c r="E294" s="167" t="s">
        <v>156</v>
      </c>
      <c r="F294" s="167" t="s">
        <v>13</v>
      </c>
      <c r="G294" s="11">
        <v>202102003</v>
      </c>
      <c r="H294" s="167" t="s">
        <v>157</v>
      </c>
      <c r="I294" s="167" t="s">
        <v>2535</v>
      </c>
      <c r="J294" s="167" t="s">
        <v>179</v>
      </c>
      <c r="K294" s="167" t="s">
        <v>160</v>
      </c>
      <c r="L294" s="167" t="s">
        <v>161</v>
      </c>
      <c r="M294" s="167" t="s">
        <v>13</v>
      </c>
      <c r="N294" s="11">
        <v>0</v>
      </c>
      <c r="O294" s="12" t="str">
        <f>_xlfn.DISPIMG("ID_B2A378810E7443059EBD825CE991BFE9",1)</f>
        <v>=DISPIMG("ID_B2A378810E7443059EBD825CE991BFE9",1)</v>
      </c>
      <c r="P294" s="11" t="s">
        <v>2536</v>
      </c>
      <c r="Q294" s="11">
        <v>303</v>
      </c>
      <c r="R294" s="17" t="s">
        <v>4592</v>
      </c>
      <c r="S294" s="18" t="s">
        <v>54</v>
      </c>
      <c r="T294" s="11">
        <v>14</v>
      </c>
    </row>
    <row r="295" s="3" customFormat="1" customHeight="1" spans="1:20">
      <c r="A295" s="167" t="s">
        <v>2547</v>
      </c>
      <c r="B295" s="167" t="s">
        <v>165</v>
      </c>
      <c r="C295" s="167" t="s">
        <v>2548</v>
      </c>
      <c r="D295" s="11">
        <v>18779213164</v>
      </c>
      <c r="E295" s="167" t="s">
        <v>156</v>
      </c>
      <c r="F295" s="167" t="s">
        <v>13</v>
      </c>
      <c r="G295" s="11">
        <v>202102003</v>
      </c>
      <c r="H295" s="167" t="s">
        <v>157</v>
      </c>
      <c r="I295" s="167" t="s">
        <v>158</v>
      </c>
      <c r="J295" s="167" t="s">
        <v>179</v>
      </c>
      <c r="K295" s="167" t="s">
        <v>170</v>
      </c>
      <c r="L295" s="167" t="s">
        <v>2550</v>
      </c>
      <c r="M295" s="167" t="s">
        <v>2551</v>
      </c>
      <c r="N295" s="167" t="s">
        <v>2552</v>
      </c>
      <c r="O295" s="12" t="str">
        <f>_xlfn.DISPIMG("ID_4531DA1F574D4F7CA2AF28BAD514AF1A",1)</f>
        <v>=DISPIMG("ID_4531DA1F574D4F7CA2AF28BAD514AF1A",1)</v>
      </c>
      <c r="P295" s="11" t="s">
        <v>2553</v>
      </c>
      <c r="Q295" s="11">
        <v>305</v>
      </c>
      <c r="R295" s="17" t="s">
        <v>4593</v>
      </c>
      <c r="S295" s="18" t="s">
        <v>54</v>
      </c>
      <c r="T295" s="11">
        <v>23</v>
      </c>
    </row>
    <row r="296" s="3" customFormat="1" customHeight="1" spans="1:20">
      <c r="A296" s="167" t="s">
        <v>2578</v>
      </c>
      <c r="B296" s="167" t="s">
        <v>165</v>
      </c>
      <c r="C296" s="167" t="s">
        <v>2579</v>
      </c>
      <c r="D296" s="11">
        <v>13907924069</v>
      </c>
      <c r="E296" s="167" t="s">
        <v>506</v>
      </c>
      <c r="F296" s="167" t="s">
        <v>13</v>
      </c>
      <c r="G296" s="11">
        <v>202102016</v>
      </c>
      <c r="H296" s="167" t="s">
        <v>279</v>
      </c>
      <c r="I296" s="167" t="s">
        <v>1237</v>
      </c>
      <c r="J296" s="167" t="s">
        <v>169</v>
      </c>
      <c r="K296" s="167" t="s">
        <v>170</v>
      </c>
      <c r="L296" s="167" t="s">
        <v>161</v>
      </c>
      <c r="M296" s="167" t="s">
        <v>2284</v>
      </c>
      <c r="N296" s="167" t="s">
        <v>2581</v>
      </c>
      <c r="O296" s="12" t="str">
        <f>_xlfn.DISPIMG("ID_1B69D0009E5944278A43199D519E50CB",1)</f>
        <v>=DISPIMG("ID_1B69D0009E5944278A43199D519E50CB",1)</v>
      </c>
      <c r="P296" s="11" t="s">
        <v>2582</v>
      </c>
      <c r="Q296" s="11">
        <v>309</v>
      </c>
      <c r="R296" s="17" t="s">
        <v>4594</v>
      </c>
      <c r="S296" s="18" t="s">
        <v>54</v>
      </c>
      <c r="T296" s="11">
        <v>26</v>
      </c>
    </row>
    <row r="297" s="3" customFormat="1" customHeight="1" spans="1:20">
      <c r="A297" s="167" t="s">
        <v>2585</v>
      </c>
      <c r="B297" s="167" t="s">
        <v>153</v>
      </c>
      <c r="C297" s="167" t="s">
        <v>2586</v>
      </c>
      <c r="D297" s="11">
        <v>18870098307</v>
      </c>
      <c r="E297" s="167" t="s">
        <v>156</v>
      </c>
      <c r="F297" s="167" t="s">
        <v>13</v>
      </c>
      <c r="G297" s="11">
        <v>202102003</v>
      </c>
      <c r="H297" s="167" t="s">
        <v>157</v>
      </c>
      <c r="I297" s="167" t="s">
        <v>233</v>
      </c>
      <c r="J297" s="167" t="s">
        <v>179</v>
      </c>
      <c r="K297" s="167" t="s">
        <v>160</v>
      </c>
      <c r="L297" s="167" t="s">
        <v>2298</v>
      </c>
      <c r="M297" s="167" t="s">
        <v>1692</v>
      </c>
      <c r="N297" s="167" t="s">
        <v>2588</v>
      </c>
      <c r="O297" s="12" t="str">
        <f>_xlfn.DISPIMG("ID_C226BACFF043492F9C2831E3F2035CBF",1)</f>
        <v>=DISPIMG("ID_C226BACFF043492F9C2831E3F2035CBF",1)</v>
      </c>
      <c r="P297" s="11" t="s">
        <v>2589</v>
      </c>
      <c r="Q297" s="11">
        <v>310</v>
      </c>
      <c r="R297" s="17" t="s">
        <v>4595</v>
      </c>
      <c r="S297" s="18" t="s">
        <v>54</v>
      </c>
      <c r="T297" s="11">
        <v>1</v>
      </c>
    </row>
    <row r="298" s="3" customFormat="1" customHeight="1" spans="1:20">
      <c r="A298" s="167" t="s">
        <v>2592</v>
      </c>
      <c r="B298" s="167" t="s">
        <v>165</v>
      </c>
      <c r="C298" s="167" t="s">
        <v>2593</v>
      </c>
      <c r="D298" s="11">
        <v>15179254283</v>
      </c>
      <c r="E298" s="167" t="s">
        <v>156</v>
      </c>
      <c r="F298" s="167" t="s">
        <v>13</v>
      </c>
      <c r="G298" s="11">
        <v>202102003</v>
      </c>
      <c r="H298" s="167" t="s">
        <v>157</v>
      </c>
      <c r="I298" s="167" t="s">
        <v>269</v>
      </c>
      <c r="J298" s="167" t="s">
        <v>298</v>
      </c>
      <c r="K298" s="167" t="s">
        <v>160</v>
      </c>
      <c r="L298" s="167" t="s">
        <v>161</v>
      </c>
      <c r="M298" s="167" t="s">
        <v>13</v>
      </c>
      <c r="N298" s="167" t="s">
        <v>2595</v>
      </c>
      <c r="O298" s="12" t="str">
        <f>_xlfn.DISPIMG("ID_4B5E37E946EA4E60BDCBA196E50050B9",1)</f>
        <v>=DISPIMG("ID_4B5E37E946EA4E60BDCBA196E50050B9",1)</v>
      </c>
      <c r="P298" s="11" t="s">
        <v>2596</v>
      </c>
      <c r="Q298" s="11">
        <v>311</v>
      </c>
      <c r="R298" s="17" t="s">
        <v>4596</v>
      </c>
      <c r="S298" s="18" t="s">
        <v>54</v>
      </c>
      <c r="T298" s="11">
        <v>12</v>
      </c>
    </row>
    <row r="299" s="3" customFormat="1" customHeight="1" spans="1:20">
      <c r="A299" s="167" t="s">
        <v>2620</v>
      </c>
      <c r="B299" s="167" t="s">
        <v>165</v>
      </c>
      <c r="C299" s="167" t="s">
        <v>2621</v>
      </c>
      <c r="D299" s="11">
        <v>15374326855</v>
      </c>
      <c r="E299" s="167" t="s">
        <v>156</v>
      </c>
      <c r="F299" s="167" t="s">
        <v>13</v>
      </c>
      <c r="G299" s="11">
        <v>202102003</v>
      </c>
      <c r="H299" s="167" t="s">
        <v>279</v>
      </c>
      <c r="I299" s="167" t="s">
        <v>2623</v>
      </c>
      <c r="J299" s="167" t="s">
        <v>223</v>
      </c>
      <c r="K299" s="167" t="s">
        <v>170</v>
      </c>
      <c r="L299" s="167" t="s">
        <v>587</v>
      </c>
      <c r="M299" s="167" t="s">
        <v>487</v>
      </c>
      <c r="N299" s="167" t="s">
        <v>2624</v>
      </c>
      <c r="O299" s="12" t="str">
        <f>_xlfn.DISPIMG("ID_2F48B8B967A44C168C6D69CE2A1FBAF0",1)</f>
        <v>=DISPIMG("ID_2F48B8B967A44C168C6D69CE2A1FBAF0",1)</v>
      </c>
      <c r="P299" s="11" t="s">
        <v>2625</v>
      </c>
      <c r="Q299" s="11">
        <v>315</v>
      </c>
      <c r="R299" s="17" t="s">
        <v>4597</v>
      </c>
      <c r="S299" s="18" t="s">
        <v>54</v>
      </c>
      <c r="T299" s="11">
        <v>13</v>
      </c>
    </row>
    <row r="300" s="3" customFormat="1" customHeight="1" spans="1:20">
      <c r="A300" s="167" t="s">
        <v>2698</v>
      </c>
      <c r="B300" s="167" t="s">
        <v>165</v>
      </c>
      <c r="C300" s="167" t="s">
        <v>2699</v>
      </c>
      <c r="D300" s="11">
        <v>17879865970</v>
      </c>
      <c r="E300" s="167" t="s">
        <v>156</v>
      </c>
      <c r="F300" s="167" t="s">
        <v>13</v>
      </c>
      <c r="G300" s="11">
        <v>202102003</v>
      </c>
      <c r="H300" s="167" t="s">
        <v>157</v>
      </c>
      <c r="I300" s="167" t="s">
        <v>603</v>
      </c>
      <c r="J300" s="167" t="s">
        <v>179</v>
      </c>
      <c r="K300" s="167" t="s">
        <v>160</v>
      </c>
      <c r="L300" s="167" t="s">
        <v>161</v>
      </c>
      <c r="M300" s="167" t="s">
        <v>13</v>
      </c>
      <c r="N300" s="167" t="s">
        <v>2701</v>
      </c>
      <c r="O300" s="12" t="str">
        <f>_xlfn.DISPIMG("ID_F144CD0E4B7B43F08EC41420B132D7BF",1)</f>
        <v>=DISPIMG("ID_F144CD0E4B7B43F08EC41420B132D7BF",1)</v>
      </c>
      <c r="P300" s="11" t="s">
        <v>2702</v>
      </c>
      <c r="Q300" s="11">
        <v>325</v>
      </c>
      <c r="R300" s="17" t="s">
        <v>4598</v>
      </c>
      <c r="S300" s="18" t="s">
        <v>54</v>
      </c>
      <c r="T300" s="11">
        <v>24</v>
      </c>
    </row>
    <row r="301" s="3" customFormat="1" customHeight="1" spans="1:20">
      <c r="A301" s="167" t="s">
        <v>2711</v>
      </c>
      <c r="B301" s="167" t="s">
        <v>165</v>
      </c>
      <c r="C301" s="167" t="s">
        <v>2712</v>
      </c>
      <c r="D301" s="11">
        <v>17722507024</v>
      </c>
      <c r="E301" s="167" t="s">
        <v>156</v>
      </c>
      <c r="F301" s="167" t="s">
        <v>13</v>
      </c>
      <c r="G301" s="11">
        <v>202102003</v>
      </c>
      <c r="H301" s="167" t="s">
        <v>157</v>
      </c>
      <c r="I301" s="167" t="s">
        <v>2714</v>
      </c>
      <c r="J301" s="167" t="s">
        <v>179</v>
      </c>
      <c r="K301" s="167" t="s">
        <v>160</v>
      </c>
      <c r="L301" s="167" t="s">
        <v>216</v>
      </c>
      <c r="M301" s="167" t="s">
        <v>13</v>
      </c>
      <c r="N301" s="11">
        <v>0</v>
      </c>
      <c r="O301" s="12" t="str">
        <f>_xlfn.DISPIMG("ID_8518D0C3018F4000B213F1115E41EEAA",1)</f>
        <v>=DISPIMG("ID_8518D0C3018F4000B213F1115E41EEAA",1)</v>
      </c>
      <c r="P301" s="11" t="s">
        <v>2715</v>
      </c>
      <c r="Q301" s="11">
        <v>327</v>
      </c>
      <c r="R301" s="17" t="s">
        <v>4599</v>
      </c>
      <c r="S301" s="18" t="s">
        <v>54</v>
      </c>
      <c r="T301" s="11">
        <v>25</v>
      </c>
    </row>
    <row r="302" s="3" customFormat="1" customHeight="1" spans="1:20">
      <c r="A302" s="166" t="s">
        <v>2753</v>
      </c>
      <c r="B302" s="166" t="s">
        <v>165</v>
      </c>
      <c r="C302" s="166" t="s">
        <v>2754</v>
      </c>
      <c r="D302" s="11">
        <v>18770057517</v>
      </c>
      <c r="E302" s="167" t="s">
        <v>156</v>
      </c>
      <c r="F302" s="166" t="s">
        <v>13</v>
      </c>
      <c r="G302" s="9">
        <v>202102003</v>
      </c>
      <c r="H302" s="167" t="s">
        <v>157</v>
      </c>
      <c r="I302" s="167" t="s">
        <v>646</v>
      </c>
      <c r="J302" s="167" t="s">
        <v>179</v>
      </c>
      <c r="K302" s="167" t="s">
        <v>160</v>
      </c>
      <c r="L302" s="167" t="s">
        <v>548</v>
      </c>
      <c r="M302" s="167" t="s">
        <v>2284</v>
      </c>
      <c r="N302" s="167" t="s">
        <v>2756</v>
      </c>
      <c r="O302" s="12" t="str">
        <f>_xlfn.DISPIMG("ID_2E6C674524F0427FBB4E2C3FFA53D3DF",1)</f>
        <v>=DISPIMG("ID_2E6C674524F0427FBB4E2C3FFA53D3DF",1)</v>
      </c>
      <c r="P302" s="9" t="s">
        <v>2757</v>
      </c>
      <c r="Q302" s="11">
        <v>333</v>
      </c>
      <c r="R302" s="15" t="s">
        <v>4600</v>
      </c>
      <c r="S302" s="19" t="s">
        <v>55</v>
      </c>
      <c r="T302" s="9">
        <v>6</v>
      </c>
    </row>
    <row r="303" s="3" customFormat="1" customHeight="1" spans="1:20">
      <c r="A303" s="166" t="s">
        <v>2760</v>
      </c>
      <c r="B303" s="166" t="s">
        <v>165</v>
      </c>
      <c r="C303" s="166" t="s">
        <v>2761</v>
      </c>
      <c r="D303" s="11">
        <v>18296291050</v>
      </c>
      <c r="E303" s="167" t="s">
        <v>156</v>
      </c>
      <c r="F303" s="166" t="s">
        <v>13</v>
      </c>
      <c r="G303" s="9">
        <v>202102003</v>
      </c>
      <c r="H303" s="167" t="s">
        <v>157</v>
      </c>
      <c r="I303" s="167" t="s">
        <v>2763</v>
      </c>
      <c r="J303" s="167" t="s">
        <v>179</v>
      </c>
      <c r="K303" s="167" t="s">
        <v>160</v>
      </c>
      <c r="L303" s="167" t="s">
        <v>261</v>
      </c>
      <c r="M303" s="167" t="s">
        <v>487</v>
      </c>
      <c r="N303" s="11">
        <v>0</v>
      </c>
      <c r="O303" s="12" t="str">
        <f>_xlfn.DISPIMG("ID_345E5ECE839B455186CF8C80E701C44C",1)</f>
        <v>=DISPIMG("ID_345E5ECE839B455186CF8C80E701C44C",1)</v>
      </c>
      <c r="P303" s="9" t="s">
        <v>2764</v>
      </c>
      <c r="Q303" s="11">
        <v>334</v>
      </c>
      <c r="R303" s="15" t="s">
        <v>4601</v>
      </c>
      <c r="S303" s="19" t="s">
        <v>55</v>
      </c>
      <c r="T303" s="9">
        <v>7</v>
      </c>
    </row>
    <row r="304" s="3" customFormat="1" customHeight="1" spans="1:20">
      <c r="A304" s="166" t="s">
        <v>2781</v>
      </c>
      <c r="B304" s="166" t="s">
        <v>165</v>
      </c>
      <c r="C304" s="166" t="s">
        <v>2782</v>
      </c>
      <c r="D304" s="11">
        <v>15720953943</v>
      </c>
      <c r="E304" s="167" t="s">
        <v>156</v>
      </c>
      <c r="F304" s="166" t="s">
        <v>13</v>
      </c>
      <c r="G304" s="9">
        <v>202102003</v>
      </c>
      <c r="H304" s="167" t="s">
        <v>279</v>
      </c>
      <c r="I304" s="167" t="s">
        <v>178</v>
      </c>
      <c r="J304" s="167" t="s">
        <v>223</v>
      </c>
      <c r="K304" s="167" t="s">
        <v>170</v>
      </c>
      <c r="L304" s="167" t="s">
        <v>281</v>
      </c>
      <c r="M304" s="167" t="s">
        <v>13</v>
      </c>
      <c r="N304" s="167" t="s">
        <v>2784</v>
      </c>
      <c r="O304" s="12" t="str">
        <f>_xlfn.DISPIMG("ID_88B18CBF153241AE8E07B8EDC59079D6",1)</f>
        <v>=DISPIMG("ID_88B18CBF153241AE8E07B8EDC59079D6",1)</v>
      </c>
      <c r="P304" s="9" t="s">
        <v>2785</v>
      </c>
      <c r="Q304" s="11">
        <v>337</v>
      </c>
      <c r="R304" s="15" t="s">
        <v>4602</v>
      </c>
      <c r="S304" s="19" t="s">
        <v>55</v>
      </c>
      <c r="T304" s="9">
        <v>18</v>
      </c>
    </row>
    <row r="305" s="3" customFormat="1" customHeight="1" spans="1:20">
      <c r="A305" s="166" t="s">
        <v>2788</v>
      </c>
      <c r="B305" s="166" t="s">
        <v>165</v>
      </c>
      <c r="C305" s="166" t="s">
        <v>2789</v>
      </c>
      <c r="D305" s="11">
        <v>15727651558</v>
      </c>
      <c r="E305" s="167" t="s">
        <v>156</v>
      </c>
      <c r="F305" s="166" t="s">
        <v>13</v>
      </c>
      <c r="G305" s="9">
        <v>202102003</v>
      </c>
      <c r="H305" s="167" t="s">
        <v>157</v>
      </c>
      <c r="I305" s="167" t="s">
        <v>827</v>
      </c>
      <c r="J305" s="167" t="s">
        <v>223</v>
      </c>
      <c r="K305" s="167" t="s">
        <v>170</v>
      </c>
      <c r="L305" s="167" t="s">
        <v>306</v>
      </c>
      <c r="M305" s="167" t="s">
        <v>2791</v>
      </c>
      <c r="N305" s="167" t="s">
        <v>2792</v>
      </c>
      <c r="O305" s="12" t="str">
        <f>_xlfn.DISPIMG("ID_5273CD0F4AF44426A565D4F4C926815B",1)</f>
        <v>=DISPIMG("ID_5273CD0F4AF44426A565D4F4C926815B",1)</v>
      </c>
      <c r="P305" s="9" t="s">
        <v>2793</v>
      </c>
      <c r="Q305" s="11">
        <v>338</v>
      </c>
      <c r="R305" s="15" t="s">
        <v>4603</v>
      </c>
      <c r="S305" s="19" t="s">
        <v>55</v>
      </c>
      <c r="T305" s="9">
        <v>19</v>
      </c>
    </row>
    <row r="306" s="3" customFormat="1" customHeight="1" spans="1:20">
      <c r="A306" s="166" t="s">
        <v>2812</v>
      </c>
      <c r="B306" s="166" t="s">
        <v>165</v>
      </c>
      <c r="C306" s="166" t="s">
        <v>2813</v>
      </c>
      <c r="D306" s="11">
        <v>17770890987</v>
      </c>
      <c r="E306" s="167" t="s">
        <v>156</v>
      </c>
      <c r="F306" s="166" t="s">
        <v>13</v>
      </c>
      <c r="G306" s="9">
        <v>202102003</v>
      </c>
      <c r="H306" s="167" t="s">
        <v>157</v>
      </c>
      <c r="I306" s="167" t="s">
        <v>385</v>
      </c>
      <c r="J306" s="167" t="s">
        <v>179</v>
      </c>
      <c r="K306" s="167" t="s">
        <v>170</v>
      </c>
      <c r="L306" s="167" t="s">
        <v>2047</v>
      </c>
      <c r="M306" s="167" t="s">
        <v>1692</v>
      </c>
      <c r="N306" s="167" t="s">
        <v>2815</v>
      </c>
      <c r="O306" s="12" t="str">
        <f>_xlfn.DISPIMG("ID_5757AB93890A4F58A4EA7B46206D2416",1)</f>
        <v>=DISPIMG("ID_5757AB93890A4F58A4EA7B46206D2416",1)</v>
      </c>
      <c r="P306" s="9" t="s">
        <v>2816</v>
      </c>
      <c r="Q306" s="11">
        <v>341</v>
      </c>
      <c r="R306" s="15" t="s">
        <v>4604</v>
      </c>
      <c r="S306" s="19" t="s">
        <v>55</v>
      </c>
      <c r="T306" s="9">
        <v>30</v>
      </c>
    </row>
    <row r="307" s="3" customFormat="1" customHeight="1" spans="1:20">
      <c r="A307" s="166" t="s">
        <v>2819</v>
      </c>
      <c r="B307" s="166" t="s">
        <v>165</v>
      </c>
      <c r="C307" s="166" t="s">
        <v>2820</v>
      </c>
      <c r="D307" s="11">
        <v>18720151872</v>
      </c>
      <c r="E307" s="167" t="s">
        <v>156</v>
      </c>
      <c r="F307" s="166" t="s">
        <v>13</v>
      </c>
      <c r="G307" s="9">
        <v>202102003</v>
      </c>
      <c r="H307" s="167" t="s">
        <v>157</v>
      </c>
      <c r="I307" s="167" t="s">
        <v>269</v>
      </c>
      <c r="J307" s="167" t="s">
        <v>2821</v>
      </c>
      <c r="K307" s="167" t="s">
        <v>170</v>
      </c>
      <c r="L307" s="167" t="s">
        <v>455</v>
      </c>
      <c r="M307" s="167" t="s">
        <v>13</v>
      </c>
      <c r="N307" s="11">
        <v>0</v>
      </c>
      <c r="O307" s="12" t="str">
        <f>_xlfn.DISPIMG("ID_3C9269A8B40D486AA589E83B191F62F8",1)</f>
        <v>=DISPIMG("ID_3C9269A8B40D486AA589E83B191F62F8",1)</v>
      </c>
      <c r="P307" s="9" t="s">
        <v>2822</v>
      </c>
      <c r="Q307" s="11">
        <v>342</v>
      </c>
      <c r="R307" s="15" t="s">
        <v>4605</v>
      </c>
      <c r="S307" s="19" t="s">
        <v>55</v>
      </c>
      <c r="T307" s="9">
        <v>5</v>
      </c>
    </row>
    <row r="308" s="3" customFormat="1" customHeight="1" spans="1:20">
      <c r="A308" s="166" t="s">
        <v>2895</v>
      </c>
      <c r="B308" s="166" t="s">
        <v>165</v>
      </c>
      <c r="C308" s="166" t="s">
        <v>2896</v>
      </c>
      <c r="D308" s="11">
        <v>13667020095</v>
      </c>
      <c r="E308" s="167" t="s">
        <v>156</v>
      </c>
      <c r="F308" s="166" t="s">
        <v>13</v>
      </c>
      <c r="G308" s="9">
        <v>202102003</v>
      </c>
      <c r="H308" s="167" t="s">
        <v>157</v>
      </c>
      <c r="I308" s="167" t="s">
        <v>1413</v>
      </c>
      <c r="J308" s="167" t="s">
        <v>298</v>
      </c>
      <c r="K308" s="167" t="s">
        <v>160</v>
      </c>
      <c r="L308" s="167" t="s">
        <v>455</v>
      </c>
      <c r="M308" s="167" t="s">
        <v>13</v>
      </c>
      <c r="N308" s="11">
        <v>0</v>
      </c>
      <c r="O308" s="12" t="str">
        <f>_xlfn.DISPIMG("ID_C271EED4B7664E51B0603E12A2C5BA93",1)</f>
        <v>=DISPIMG("ID_C271EED4B7664E51B0603E12A2C5BA93",1)</v>
      </c>
      <c r="P308" s="9" t="s">
        <v>2898</v>
      </c>
      <c r="Q308" s="11">
        <v>352</v>
      </c>
      <c r="R308" s="15" t="s">
        <v>4606</v>
      </c>
      <c r="S308" s="19" t="s">
        <v>55</v>
      </c>
      <c r="T308" s="9">
        <v>8</v>
      </c>
    </row>
    <row r="309" s="3" customFormat="1" customHeight="1" spans="1:20">
      <c r="A309" s="166" t="s">
        <v>2901</v>
      </c>
      <c r="B309" s="166" t="s">
        <v>165</v>
      </c>
      <c r="C309" s="166" t="s">
        <v>2902</v>
      </c>
      <c r="D309" s="11">
        <v>18070124707</v>
      </c>
      <c r="E309" s="167" t="s">
        <v>156</v>
      </c>
      <c r="F309" s="166" t="s">
        <v>13</v>
      </c>
      <c r="G309" s="9">
        <v>202102003</v>
      </c>
      <c r="H309" s="167" t="s">
        <v>157</v>
      </c>
      <c r="I309" s="167" t="s">
        <v>2904</v>
      </c>
      <c r="J309" s="167" t="s">
        <v>2379</v>
      </c>
      <c r="K309" s="167" t="s">
        <v>160</v>
      </c>
      <c r="L309" s="167" t="s">
        <v>396</v>
      </c>
      <c r="M309" s="167" t="s">
        <v>13</v>
      </c>
      <c r="N309" s="11">
        <v>0</v>
      </c>
      <c r="O309" s="12" t="str">
        <f>_xlfn.DISPIMG("ID_C611D78CF3534BF4A6063B88C3B55BD9",1)</f>
        <v>=DISPIMG("ID_C611D78CF3534BF4A6063B88C3B55BD9",1)</v>
      </c>
      <c r="P309" s="9" t="s">
        <v>2905</v>
      </c>
      <c r="Q309" s="11">
        <v>353</v>
      </c>
      <c r="R309" s="15" t="s">
        <v>4607</v>
      </c>
      <c r="S309" s="19" t="s">
        <v>55</v>
      </c>
      <c r="T309" s="9">
        <v>17</v>
      </c>
    </row>
    <row r="310" s="6" customFormat="1" customHeight="1" spans="1:20">
      <c r="A310" s="166" t="s">
        <v>2932</v>
      </c>
      <c r="B310" s="166" t="s">
        <v>165</v>
      </c>
      <c r="C310" s="166" t="s">
        <v>2933</v>
      </c>
      <c r="D310" s="11">
        <v>13870255583</v>
      </c>
      <c r="E310" s="167" t="s">
        <v>156</v>
      </c>
      <c r="F310" s="166" t="s">
        <v>13</v>
      </c>
      <c r="G310" s="9">
        <v>202102003</v>
      </c>
      <c r="H310" s="167" t="s">
        <v>157</v>
      </c>
      <c r="I310" s="167" t="s">
        <v>385</v>
      </c>
      <c r="J310" s="167" t="s">
        <v>1832</v>
      </c>
      <c r="K310" s="167" t="s">
        <v>160</v>
      </c>
      <c r="L310" s="167" t="s">
        <v>2935</v>
      </c>
      <c r="M310" s="167" t="s">
        <v>487</v>
      </c>
      <c r="N310" s="167" t="s">
        <v>2936</v>
      </c>
      <c r="O310" s="12" t="str">
        <f>_xlfn.DISPIMG("ID_63C75D62D3BC4F35AC4FD3D224F21D03",1)</f>
        <v>=DISPIMG("ID_63C75D62D3BC4F35AC4FD3D224F21D03",1)</v>
      </c>
      <c r="P310" s="9" t="s">
        <v>2937</v>
      </c>
      <c r="Q310" s="11">
        <v>360</v>
      </c>
      <c r="R310" s="15" t="s">
        <v>4608</v>
      </c>
      <c r="S310" s="19" t="s">
        <v>55</v>
      </c>
      <c r="T310" s="9">
        <v>20</v>
      </c>
    </row>
    <row r="311" s="3" customFormat="1" customHeight="1" spans="1:20">
      <c r="A311" s="166" t="s">
        <v>3008</v>
      </c>
      <c r="B311" s="166" t="s">
        <v>165</v>
      </c>
      <c r="C311" s="166" t="s">
        <v>3009</v>
      </c>
      <c r="D311" s="11">
        <v>15180626109</v>
      </c>
      <c r="E311" s="167" t="s">
        <v>156</v>
      </c>
      <c r="F311" s="166" t="s">
        <v>13</v>
      </c>
      <c r="G311" s="9">
        <v>202102003</v>
      </c>
      <c r="H311" s="167" t="s">
        <v>157</v>
      </c>
      <c r="I311" s="167" t="s">
        <v>197</v>
      </c>
      <c r="J311" s="167" t="s">
        <v>179</v>
      </c>
      <c r="K311" s="167" t="s">
        <v>160</v>
      </c>
      <c r="L311" s="167" t="s">
        <v>261</v>
      </c>
      <c r="M311" s="167" t="s">
        <v>3011</v>
      </c>
      <c r="N311" s="11">
        <v>0</v>
      </c>
      <c r="O311" s="12" t="str">
        <f>_xlfn.DISPIMG("ID_81E01CE746794A43971E9E864E9A0098",1)</f>
        <v>=DISPIMG("ID_81E01CE746794A43971E9E864E9A0098",1)</v>
      </c>
      <c r="P311" s="9" t="s">
        <v>3012</v>
      </c>
      <c r="Q311" s="11">
        <v>371</v>
      </c>
      <c r="R311" s="15" t="s">
        <v>4609</v>
      </c>
      <c r="S311" s="19" t="s">
        <v>55</v>
      </c>
      <c r="T311" s="9">
        <v>29</v>
      </c>
    </row>
    <row r="312" s="3" customFormat="1" customHeight="1" spans="1:20">
      <c r="A312" s="166" t="s">
        <v>3151</v>
      </c>
      <c r="B312" s="166" t="s">
        <v>165</v>
      </c>
      <c r="C312" s="166" t="s">
        <v>3152</v>
      </c>
      <c r="D312" s="11">
        <v>15807046137</v>
      </c>
      <c r="E312" s="167" t="s">
        <v>156</v>
      </c>
      <c r="F312" s="166" t="s">
        <v>13</v>
      </c>
      <c r="G312" s="9">
        <v>202102003</v>
      </c>
      <c r="H312" s="167" t="s">
        <v>157</v>
      </c>
      <c r="I312" s="167" t="s">
        <v>611</v>
      </c>
      <c r="J312" s="167" t="s">
        <v>179</v>
      </c>
      <c r="K312" s="167" t="s">
        <v>160</v>
      </c>
      <c r="L312" s="167" t="s">
        <v>261</v>
      </c>
      <c r="M312" s="167" t="s">
        <v>13</v>
      </c>
      <c r="N312" s="167" t="s">
        <v>3154</v>
      </c>
      <c r="O312" s="12" t="str">
        <f>_xlfn.DISPIMG("ID_677BA8871B344518950747C60527229E",1)</f>
        <v>=DISPIMG("ID_677BA8871B344518950747C60527229E",1)</v>
      </c>
      <c r="P312" s="9" t="s">
        <v>3155</v>
      </c>
      <c r="Q312" s="11">
        <v>390</v>
      </c>
      <c r="R312" s="15" t="s">
        <v>4610</v>
      </c>
      <c r="S312" s="19" t="s">
        <v>55</v>
      </c>
      <c r="T312" s="9">
        <v>4</v>
      </c>
    </row>
    <row r="313" s="3" customFormat="1" customHeight="1" spans="1:20">
      <c r="A313" s="166" t="s">
        <v>3204</v>
      </c>
      <c r="B313" s="166" t="s">
        <v>165</v>
      </c>
      <c r="C313" s="166" t="s">
        <v>3205</v>
      </c>
      <c r="D313" s="11">
        <v>18270304769</v>
      </c>
      <c r="E313" s="167" t="s">
        <v>156</v>
      </c>
      <c r="F313" s="166" t="s">
        <v>13</v>
      </c>
      <c r="G313" s="9">
        <v>202102003</v>
      </c>
      <c r="H313" s="167" t="s">
        <v>279</v>
      </c>
      <c r="I313" s="167" t="s">
        <v>168</v>
      </c>
      <c r="J313" s="167" t="s">
        <v>223</v>
      </c>
      <c r="K313" s="167" t="s">
        <v>170</v>
      </c>
      <c r="L313" s="167" t="s">
        <v>171</v>
      </c>
      <c r="M313" s="167" t="s">
        <v>13</v>
      </c>
      <c r="N313" s="167" t="s">
        <v>3207</v>
      </c>
      <c r="O313" s="12" t="str">
        <f>_xlfn.DISPIMG("ID_51BC672EACDF4F87BCFEE4B4000126C2",1)</f>
        <v>=DISPIMG("ID_51BC672EACDF4F87BCFEE4B4000126C2",1)</v>
      </c>
      <c r="P313" s="9" t="s">
        <v>3208</v>
      </c>
      <c r="Q313" s="11">
        <v>399</v>
      </c>
      <c r="R313" s="15" t="s">
        <v>4611</v>
      </c>
      <c r="S313" s="19" t="s">
        <v>55</v>
      </c>
      <c r="T313" s="9">
        <v>9</v>
      </c>
    </row>
    <row r="314" s="3" customFormat="1" customHeight="1" spans="1:20">
      <c r="A314" s="166" t="s">
        <v>3241</v>
      </c>
      <c r="B314" s="166" t="s">
        <v>165</v>
      </c>
      <c r="C314" s="166" t="s">
        <v>3242</v>
      </c>
      <c r="D314" s="11">
        <v>15390868523</v>
      </c>
      <c r="E314" s="167" t="s">
        <v>156</v>
      </c>
      <c r="F314" s="166" t="s">
        <v>13</v>
      </c>
      <c r="G314" s="9">
        <v>202102003</v>
      </c>
      <c r="H314" s="167" t="s">
        <v>157</v>
      </c>
      <c r="I314" s="167" t="s">
        <v>3244</v>
      </c>
      <c r="J314" s="167" t="s">
        <v>179</v>
      </c>
      <c r="K314" s="167" t="s">
        <v>160</v>
      </c>
      <c r="L314" s="167" t="s">
        <v>161</v>
      </c>
      <c r="M314" s="167" t="s">
        <v>190</v>
      </c>
      <c r="N314" s="11">
        <v>0</v>
      </c>
      <c r="O314" s="12" t="str">
        <f>_xlfn.DISPIMG("ID_AED07D8F3E8D4336A7B785D8FBC52BF4",1)</f>
        <v>=DISPIMG("ID_AED07D8F3E8D4336A7B785D8FBC52BF4",1)</v>
      </c>
      <c r="P314" s="9" t="s">
        <v>3245</v>
      </c>
      <c r="Q314" s="11">
        <v>404</v>
      </c>
      <c r="R314" s="15" t="s">
        <v>4612</v>
      </c>
      <c r="S314" s="19" t="s">
        <v>55</v>
      </c>
      <c r="T314" s="9">
        <v>16</v>
      </c>
    </row>
    <row r="315" s="4" customFormat="1" customHeight="1" spans="1:20">
      <c r="A315" s="166" t="s">
        <v>3255</v>
      </c>
      <c r="B315" s="166" t="s">
        <v>165</v>
      </c>
      <c r="C315" s="166" t="s">
        <v>3256</v>
      </c>
      <c r="D315" s="11">
        <v>18770283607</v>
      </c>
      <c r="E315" s="167" t="s">
        <v>156</v>
      </c>
      <c r="F315" s="166" t="s">
        <v>13</v>
      </c>
      <c r="G315" s="9">
        <v>202102003</v>
      </c>
      <c r="H315" s="167" t="s">
        <v>157</v>
      </c>
      <c r="I315" s="167" t="s">
        <v>611</v>
      </c>
      <c r="J315" s="167" t="s">
        <v>179</v>
      </c>
      <c r="K315" s="167" t="s">
        <v>160</v>
      </c>
      <c r="L315" s="167" t="s">
        <v>577</v>
      </c>
      <c r="M315" s="167" t="s">
        <v>3258</v>
      </c>
      <c r="N315" s="167" t="s">
        <v>3259</v>
      </c>
      <c r="O315" s="12" t="str">
        <f>_xlfn.DISPIMG("ID_9640DE1808F9498F8612547EA44506E8",1)</f>
        <v>=DISPIMG("ID_9640DE1808F9498F8612547EA44506E8",1)</v>
      </c>
      <c r="P315" s="9" t="s">
        <v>3260</v>
      </c>
      <c r="Q315" s="11">
        <v>406</v>
      </c>
      <c r="R315" s="15" t="s">
        <v>4613</v>
      </c>
      <c r="S315" s="19" t="s">
        <v>55</v>
      </c>
      <c r="T315" s="9">
        <v>21</v>
      </c>
    </row>
    <row r="316" s="3" customFormat="1" customHeight="1" spans="1:20">
      <c r="A316" s="166" t="s">
        <v>3314</v>
      </c>
      <c r="B316" s="166" t="s">
        <v>165</v>
      </c>
      <c r="C316" s="166" t="s">
        <v>3315</v>
      </c>
      <c r="D316" s="11">
        <v>18070403284</v>
      </c>
      <c r="E316" s="167" t="s">
        <v>156</v>
      </c>
      <c r="F316" s="166" t="s">
        <v>13</v>
      </c>
      <c r="G316" s="9">
        <v>202102003</v>
      </c>
      <c r="H316" s="167" t="s">
        <v>157</v>
      </c>
      <c r="I316" s="167" t="s">
        <v>385</v>
      </c>
      <c r="J316" s="167" t="s">
        <v>2821</v>
      </c>
      <c r="K316" s="167" t="s">
        <v>170</v>
      </c>
      <c r="L316" s="167" t="s">
        <v>281</v>
      </c>
      <c r="M316" s="167" t="s">
        <v>25</v>
      </c>
      <c r="N316" s="167" t="s">
        <v>3317</v>
      </c>
      <c r="O316" s="12" t="str">
        <f>_xlfn.DISPIMG("ID_395A3D0BD71445EA85EA2ACA292A2801",1)</f>
        <v>=DISPIMG("ID_395A3D0BD71445EA85EA2ACA292A2801",1)</v>
      </c>
      <c r="P316" s="9" t="s">
        <v>3318</v>
      </c>
      <c r="Q316" s="11">
        <v>416</v>
      </c>
      <c r="R316" s="15" t="s">
        <v>4614</v>
      </c>
      <c r="S316" s="19" t="s">
        <v>55</v>
      </c>
      <c r="T316" s="9">
        <v>28</v>
      </c>
    </row>
    <row r="317" s="3" customFormat="1" customHeight="1" spans="1:20">
      <c r="A317" s="166" t="s">
        <v>3351</v>
      </c>
      <c r="B317" s="166" t="s">
        <v>165</v>
      </c>
      <c r="C317" s="166" t="s">
        <v>3352</v>
      </c>
      <c r="D317" s="11">
        <v>18720295129</v>
      </c>
      <c r="E317" s="167" t="s">
        <v>156</v>
      </c>
      <c r="F317" s="166" t="s">
        <v>13</v>
      </c>
      <c r="G317" s="9">
        <v>202102003</v>
      </c>
      <c r="H317" s="167" t="s">
        <v>279</v>
      </c>
      <c r="I317" s="167" t="s">
        <v>158</v>
      </c>
      <c r="J317" s="167" t="s">
        <v>223</v>
      </c>
      <c r="K317" s="167" t="s">
        <v>170</v>
      </c>
      <c r="L317" s="167" t="s">
        <v>180</v>
      </c>
      <c r="M317" s="167" t="s">
        <v>3354</v>
      </c>
      <c r="N317" s="167" t="s">
        <v>3355</v>
      </c>
      <c r="O317" s="12" t="str">
        <f>_xlfn.DISPIMG("ID_74A8F2037BB844E7BAC2F04950084CD2",1)</f>
        <v>=DISPIMG("ID_74A8F2037BB844E7BAC2F04950084CD2",1)</v>
      </c>
      <c r="P317" s="9" t="s">
        <v>3356</v>
      </c>
      <c r="Q317" s="11">
        <v>422</v>
      </c>
      <c r="R317" s="15" t="s">
        <v>4615</v>
      </c>
      <c r="S317" s="19" t="s">
        <v>55</v>
      </c>
      <c r="T317" s="9">
        <v>3</v>
      </c>
    </row>
    <row r="318" s="3" customFormat="1" customHeight="1" spans="1:20">
      <c r="A318" s="166" t="s">
        <v>3409</v>
      </c>
      <c r="B318" s="166" t="s">
        <v>165</v>
      </c>
      <c r="C318" s="166" t="s">
        <v>3410</v>
      </c>
      <c r="D318" s="11">
        <v>15079270221</v>
      </c>
      <c r="E318" s="167" t="s">
        <v>156</v>
      </c>
      <c r="F318" s="166" t="s">
        <v>13</v>
      </c>
      <c r="G318" s="9">
        <v>202102003</v>
      </c>
      <c r="H318" s="167" t="s">
        <v>157</v>
      </c>
      <c r="I318" s="167" t="s">
        <v>158</v>
      </c>
      <c r="J318" s="167" t="s">
        <v>298</v>
      </c>
      <c r="K318" s="167" t="s">
        <v>160</v>
      </c>
      <c r="L318" s="167" t="s">
        <v>306</v>
      </c>
      <c r="M318" s="167" t="s">
        <v>13</v>
      </c>
      <c r="N318" s="167" t="s">
        <v>3412</v>
      </c>
      <c r="O318" s="12" t="str">
        <f>_xlfn.DISPIMG("ID_36F8A707A81B40EC83CC116E77C5C07D",1)</f>
        <v>=DISPIMG("ID_36F8A707A81B40EC83CC116E77C5C07D",1)</v>
      </c>
      <c r="P318" s="9" t="s">
        <v>3413</v>
      </c>
      <c r="Q318" s="11">
        <v>430</v>
      </c>
      <c r="R318" s="15" t="s">
        <v>4616</v>
      </c>
      <c r="S318" s="19" t="s">
        <v>55</v>
      </c>
      <c r="T318" s="9">
        <v>10</v>
      </c>
    </row>
    <row r="319" s="3" customFormat="1" customHeight="1" spans="1:20">
      <c r="A319" s="166" t="s">
        <v>3458</v>
      </c>
      <c r="B319" s="166" t="s">
        <v>165</v>
      </c>
      <c r="C319" s="166" t="s">
        <v>3459</v>
      </c>
      <c r="D319" s="11">
        <v>18207577354</v>
      </c>
      <c r="E319" s="167" t="s">
        <v>156</v>
      </c>
      <c r="F319" s="166" t="s">
        <v>13</v>
      </c>
      <c r="G319" s="9">
        <v>202102003</v>
      </c>
      <c r="H319" s="167" t="s">
        <v>157</v>
      </c>
      <c r="I319" s="167" t="s">
        <v>385</v>
      </c>
      <c r="J319" s="167" t="s">
        <v>3461</v>
      </c>
      <c r="K319" s="167" t="s">
        <v>160</v>
      </c>
      <c r="L319" s="167" t="s">
        <v>368</v>
      </c>
      <c r="M319" s="167" t="s">
        <v>3011</v>
      </c>
      <c r="N319" s="167" t="s">
        <v>3462</v>
      </c>
      <c r="O319" s="12" t="str">
        <f>_xlfn.DISPIMG("ID_D2C4D691F93F4717949BB5BBCD3994DD",1)</f>
        <v>=DISPIMG("ID_D2C4D691F93F4717949BB5BBCD3994DD",1)</v>
      </c>
      <c r="P319" s="9" t="s">
        <v>3463</v>
      </c>
      <c r="Q319" s="11">
        <v>437</v>
      </c>
      <c r="R319" s="15" t="s">
        <v>4617</v>
      </c>
      <c r="S319" s="19" t="s">
        <v>55</v>
      </c>
      <c r="T319" s="9">
        <v>15</v>
      </c>
    </row>
    <row r="320" s="3" customFormat="1" customHeight="1" spans="1:20">
      <c r="A320" s="166" t="s">
        <v>3481</v>
      </c>
      <c r="B320" s="166" t="s">
        <v>153</v>
      </c>
      <c r="C320" s="166" t="s">
        <v>3482</v>
      </c>
      <c r="D320" s="11">
        <v>13119548929</v>
      </c>
      <c r="E320" s="167" t="s">
        <v>506</v>
      </c>
      <c r="F320" s="166" t="s">
        <v>13</v>
      </c>
      <c r="G320" s="9">
        <v>202102016</v>
      </c>
      <c r="H320" s="167" t="s">
        <v>157</v>
      </c>
      <c r="I320" s="167" t="s">
        <v>1112</v>
      </c>
      <c r="J320" s="167" t="s">
        <v>3484</v>
      </c>
      <c r="K320" s="167" t="s">
        <v>160</v>
      </c>
      <c r="L320" s="167" t="s">
        <v>216</v>
      </c>
      <c r="M320" s="167" t="s">
        <v>2284</v>
      </c>
      <c r="N320" s="167" t="s">
        <v>3485</v>
      </c>
      <c r="O320" s="12" t="str">
        <f>_xlfn.DISPIMG("ID_9C9702A9D71D49F4A0D4283BE0B57A8D",1)</f>
        <v>=DISPIMG("ID_9C9702A9D71D49F4A0D4283BE0B57A8D",1)</v>
      </c>
      <c r="P320" s="9" t="s">
        <v>3486</v>
      </c>
      <c r="Q320" s="11">
        <v>440</v>
      </c>
      <c r="R320" s="15" t="s">
        <v>4618</v>
      </c>
      <c r="S320" s="19" t="s">
        <v>55</v>
      </c>
      <c r="T320" s="9">
        <v>22</v>
      </c>
    </row>
    <row r="321" s="3" customFormat="1" customHeight="1" spans="1:20">
      <c r="A321" s="166" t="s">
        <v>3647</v>
      </c>
      <c r="B321" s="166" t="s">
        <v>165</v>
      </c>
      <c r="C321" s="166" t="s">
        <v>3648</v>
      </c>
      <c r="D321" s="11">
        <v>19914728112</v>
      </c>
      <c r="E321" s="167" t="s">
        <v>156</v>
      </c>
      <c r="F321" s="166" t="s">
        <v>13</v>
      </c>
      <c r="G321" s="9">
        <v>202102003</v>
      </c>
      <c r="H321" s="167" t="s">
        <v>705</v>
      </c>
      <c r="I321" s="167" t="s">
        <v>1413</v>
      </c>
      <c r="J321" s="167" t="s">
        <v>3650</v>
      </c>
      <c r="K321" s="167" t="s">
        <v>170</v>
      </c>
      <c r="L321" s="167" t="s">
        <v>455</v>
      </c>
      <c r="M321" s="167" t="s">
        <v>3651</v>
      </c>
      <c r="N321" s="11">
        <v>0</v>
      </c>
      <c r="O321" s="12" t="str">
        <f>_xlfn.DISPIMG("ID_5D17E050202348DFAA14EEF8D985F66D",1)</f>
        <v>=DISPIMG("ID_5D17E050202348DFAA14EEF8D985F66D",1)</v>
      </c>
      <c r="P321" s="9" t="s">
        <v>3652</v>
      </c>
      <c r="Q321" s="11">
        <v>464</v>
      </c>
      <c r="R321" s="15" t="s">
        <v>4619</v>
      </c>
      <c r="S321" s="19" t="s">
        <v>55</v>
      </c>
      <c r="T321" s="9">
        <v>27</v>
      </c>
    </row>
    <row r="322" s="3" customFormat="1" customHeight="1" spans="1:20">
      <c r="A322" s="166" t="s">
        <v>3804</v>
      </c>
      <c r="B322" s="166" t="s">
        <v>165</v>
      </c>
      <c r="C322" s="166" t="s">
        <v>3805</v>
      </c>
      <c r="D322" s="11">
        <v>18859568610</v>
      </c>
      <c r="E322" s="167" t="s">
        <v>156</v>
      </c>
      <c r="F322" s="166" t="s">
        <v>13</v>
      </c>
      <c r="G322" s="9">
        <v>202102003</v>
      </c>
      <c r="H322" s="167" t="s">
        <v>157</v>
      </c>
      <c r="I322" s="167" t="s">
        <v>2943</v>
      </c>
      <c r="J322" s="167" t="s">
        <v>179</v>
      </c>
      <c r="K322" s="167" t="s">
        <v>160</v>
      </c>
      <c r="L322" s="167" t="s">
        <v>235</v>
      </c>
      <c r="M322" s="167" t="s">
        <v>1187</v>
      </c>
      <c r="N322" s="167" t="s">
        <v>3807</v>
      </c>
      <c r="O322" s="12" t="str">
        <f>_xlfn.DISPIMG("ID_958C237DE20E4119882FD97115456597",1)</f>
        <v>=DISPIMG("ID_958C237DE20E4119882FD97115456597",1)</v>
      </c>
      <c r="P322" s="9" t="s">
        <v>3808</v>
      </c>
      <c r="Q322" s="20">
        <v>485</v>
      </c>
      <c r="R322" s="15" t="s">
        <v>4620</v>
      </c>
      <c r="S322" s="19" t="s">
        <v>55</v>
      </c>
      <c r="T322" s="9">
        <v>2</v>
      </c>
    </row>
    <row r="323" s="3" customFormat="1" customHeight="1" spans="1:20">
      <c r="A323" s="166" t="s">
        <v>3826</v>
      </c>
      <c r="B323" s="166" t="s">
        <v>165</v>
      </c>
      <c r="C323" s="166" t="s">
        <v>3827</v>
      </c>
      <c r="D323" s="11">
        <v>18379207307</v>
      </c>
      <c r="E323" s="167" t="s">
        <v>156</v>
      </c>
      <c r="F323" s="166" t="s">
        <v>13</v>
      </c>
      <c r="G323" s="9">
        <v>202102003</v>
      </c>
      <c r="H323" s="167" t="s">
        <v>279</v>
      </c>
      <c r="I323" s="167" t="s">
        <v>158</v>
      </c>
      <c r="J323" s="167" t="s">
        <v>223</v>
      </c>
      <c r="K323" s="167" t="s">
        <v>170</v>
      </c>
      <c r="L323" s="167" t="s">
        <v>180</v>
      </c>
      <c r="M323" s="167" t="s">
        <v>487</v>
      </c>
      <c r="N323" s="167" t="s">
        <v>3829</v>
      </c>
      <c r="O323" s="12" t="str">
        <f>_xlfn.DISPIMG("ID_0F27C17184DB40E4ADCCEAF2E242F8D5",1)</f>
        <v>=DISPIMG("ID_0F27C17184DB40E4ADCCEAF2E242F8D5",1)</v>
      </c>
      <c r="P323" s="9" t="s">
        <v>3830</v>
      </c>
      <c r="Q323" s="20">
        <v>488</v>
      </c>
      <c r="R323" s="15" t="s">
        <v>4621</v>
      </c>
      <c r="S323" s="19" t="s">
        <v>55</v>
      </c>
      <c r="T323" s="9">
        <v>11</v>
      </c>
    </row>
    <row r="324" s="3" customFormat="1" customHeight="1" spans="1:20">
      <c r="A324" s="166" t="s">
        <v>3970</v>
      </c>
      <c r="B324" s="166" t="s">
        <v>165</v>
      </c>
      <c r="C324" s="166" t="s">
        <v>3971</v>
      </c>
      <c r="D324" s="11">
        <v>18279298177</v>
      </c>
      <c r="E324" s="167" t="s">
        <v>156</v>
      </c>
      <c r="F324" s="166" t="s">
        <v>13</v>
      </c>
      <c r="G324" s="9">
        <v>202102003</v>
      </c>
      <c r="H324" s="167" t="s">
        <v>157</v>
      </c>
      <c r="I324" s="167" t="s">
        <v>233</v>
      </c>
      <c r="J324" s="167" t="s">
        <v>3973</v>
      </c>
      <c r="K324" s="167" t="s">
        <v>160</v>
      </c>
      <c r="L324" s="167" t="s">
        <v>161</v>
      </c>
      <c r="M324" s="167" t="s">
        <v>25</v>
      </c>
      <c r="N324" s="167" t="s">
        <v>3974</v>
      </c>
      <c r="O324" s="12" t="str">
        <f>_xlfn.DISPIMG("ID_B1F0BA2C377444B08B7692E1B53E42C5",1)</f>
        <v>=DISPIMG("ID_B1F0BA2C377444B08B7692E1B53E42C5",1)</v>
      </c>
      <c r="P324" s="9" t="s">
        <v>3975</v>
      </c>
      <c r="Q324" s="20">
        <v>507</v>
      </c>
      <c r="R324" s="15" t="s">
        <v>4622</v>
      </c>
      <c r="S324" s="19" t="s">
        <v>55</v>
      </c>
      <c r="T324" s="9">
        <v>14</v>
      </c>
    </row>
    <row r="325" s="3" customFormat="1" customHeight="1" spans="1:20">
      <c r="A325" s="166" t="s">
        <v>3991</v>
      </c>
      <c r="B325" s="166" t="s">
        <v>165</v>
      </c>
      <c r="C325" s="166" t="s">
        <v>3992</v>
      </c>
      <c r="D325" s="11">
        <v>15779276924</v>
      </c>
      <c r="E325" s="167" t="s">
        <v>156</v>
      </c>
      <c r="F325" s="166" t="s">
        <v>13</v>
      </c>
      <c r="G325" s="9">
        <v>202102003</v>
      </c>
      <c r="H325" s="167" t="s">
        <v>157</v>
      </c>
      <c r="I325" s="167" t="s">
        <v>158</v>
      </c>
      <c r="J325" s="167" t="s">
        <v>298</v>
      </c>
      <c r="K325" s="167" t="s">
        <v>160</v>
      </c>
      <c r="L325" s="167" t="s">
        <v>171</v>
      </c>
      <c r="M325" s="167" t="s">
        <v>1692</v>
      </c>
      <c r="N325" s="167" t="s">
        <v>3994</v>
      </c>
      <c r="O325" s="12" t="str">
        <f>_xlfn.DISPIMG("ID_78A88502741143D5850B496E71BE5DA0",1)</f>
        <v>=DISPIMG("ID_78A88502741143D5850B496E71BE5DA0",1)</v>
      </c>
      <c r="P325" s="9" t="s">
        <v>3995</v>
      </c>
      <c r="Q325" s="20">
        <v>510</v>
      </c>
      <c r="R325" s="15" t="s">
        <v>4623</v>
      </c>
      <c r="S325" s="19" t="s">
        <v>55</v>
      </c>
      <c r="T325" s="9">
        <v>23</v>
      </c>
    </row>
    <row r="326" s="3" customFormat="1" customHeight="1" spans="1:20">
      <c r="A326" s="166" t="s">
        <v>4013</v>
      </c>
      <c r="B326" s="166" t="s">
        <v>165</v>
      </c>
      <c r="C326" s="166" t="s">
        <v>4014</v>
      </c>
      <c r="D326" s="11">
        <v>18870236365</v>
      </c>
      <c r="E326" s="167" t="s">
        <v>156</v>
      </c>
      <c r="F326" s="166" t="s">
        <v>13</v>
      </c>
      <c r="G326" s="9">
        <v>202102003</v>
      </c>
      <c r="H326" s="167" t="s">
        <v>279</v>
      </c>
      <c r="I326" s="167" t="s">
        <v>158</v>
      </c>
      <c r="J326" s="167" t="s">
        <v>223</v>
      </c>
      <c r="K326" s="167" t="s">
        <v>170</v>
      </c>
      <c r="L326" s="167" t="s">
        <v>306</v>
      </c>
      <c r="M326" s="167" t="s">
        <v>4016</v>
      </c>
      <c r="N326" s="167" t="s">
        <v>4017</v>
      </c>
      <c r="O326" s="12" t="str">
        <f>_xlfn.DISPIMG("ID_4B6C2F7765194334A42FC9F1088827FE",1)</f>
        <v>=DISPIMG("ID_4B6C2F7765194334A42FC9F1088827FE",1)</v>
      </c>
      <c r="P326" s="9" t="s">
        <v>4018</v>
      </c>
      <c r="Q326" s="20">
        <v>513</v>
      </c>
      <c r="R326" s="15" t="s">
        <v>4624</v>
      </c>
      <c r="S326" s="19" t="s">
        <v>55</v>
      </c>
      <c r="T326" s="9">
        <v>26</v>
      </c>
    </row>
    <row r="327" s="3" customFormat="1" customHeight="1" spans="1:20">
      <c r="A327" s="166" t="s">
        <v>4021</v>
      </c>
      <c r="B327" s="166" t="s">
        <v>165</v>
      </c>
      <c r="C327" s="166" t="s">
        <v>4022</v>
      </c>
      <c r="D327" s="11">
        <v>15870639139</v>
      </c>
      <c r="E327" s="167" t="s">
        <v>156</v>
      </c>
      <c r="F327" s="166" t="s">
        <v>13</v>
      </c>
      <c r="G327" s="9">
        <v>202102003</v>
      </c>
      <c r="H327" s="167" t="s">
        <v>157</v>
      </c>
      <c r="I327" s="167" t="s">
        <v>1413</v>
      </c>
      <c r="J327" s="167" t="s">
        <v>1122</v>
      </c>
      <c r="K327" s="167" t="s">
        <v>160</v>
      </c>
      <c r="L327" s="167" t="s">
        <v>235</v>
      </c>
      <c r="M327" s="167" t="s">
        <v>487</v>
      </c>
      <c r="N327" s="167" t="s">
        <v>4024</v>
      </c>
      <c r="O327" s="12" t="str">
        <f>_xlfn.DISPIMG("ID_678965A481D64CEABA15E59CA2B84698",1)</f>
        <v>=DISPIMG("ID_678965A481D64CEABA15E59CA2B84698",1)</v>
      </c>
      <c r="P327" s="9" t="s">
        <v>4025</v>
      </c>
      <c r="Q327" s="20">
        <v>514</v>
      </c>
      <c r="R327" s="15" t="s">
        <v>4625</v>
      </c>
      <c r="S327" s="19" t="s">
        <v>55</v>
      </c>
      <c r="T327" s="9">
        <v>1</v>
      </c>
    </row>
    <row r="328" s="3" customFormat="1" customHeight="1" spans="1:20">
      <c r="A328" s="166" t="s">
        <v>4065</v>
      </c>
      <c r="B328" s="166" t="s">
        <v>165</v>
      </c>
      <c r="C328" s="166" t="s">
        <v>4066</v>
      </c>
      <c r="D328" s="11">
        <v>15797987795</v>
      </c>
      <c r="E328" s="167" t="s">
        <v>506</v>
      </c>
      <c r="F328" s="166" t="s">
        <v>13</v>
      </c>
      <c r="G328" s="9">
        <v>202102016</v>
      </c>
      <c r="H328" s="167" t="s">
        <v>279</v>
      </c>
      <c r="I328" s="167" t="s">
        <v>158</v>
      </c>
      <c r="J328" s="167" t="s">
        <v>223</v>
      </c>
      <c r="K328" s="167" t="s">
        <v>170</v>
      </c>
      <c r="L328" s="167" t="s">
        <v>368</v>
      </c>
      <c r="M328" s="167" t="s">
        <v>4068</v>
      </c>
      <c r="N328" s="167" t="s">
        <v>4069</v>
      </c>
      <c r="O328" s="12" t="str">
        <f>_xlfn.DISPIMG("ID_699B420D06BD4D209FB40A52E07C758F",1)</f>
        <v>=DISPIMG("ID_699B420D06BD4D209FB40A52E07C758F",1)</v>
      </c>
      <c r="P328" s="9" t="s">
        <v>4070</v>
      </c>
      <c r="Q328" s="11">
        <v>520</v>
      </c>
      <c r="R328" s="15" t="s">
        <v>4626</v>
      </c>
      <c r="S328" s="19" t="s">
        <v>55</v>
      </c>
      <c r="T328" s="9">
        <v>12</v>
      </c>
    </row>
    <row r="329" s="3" customFormat="1" customHeight="1" spans="1:20">
      <c r="A329" s="166" t="s">
        <v>4096</v>
      </c>
      <c r="B329" s="166" t="s">
        <v>165</v>
      </c>
      <c r="C329" s="166" t="s">
        <v>4097</v>
      </c>
      <c r="D329" s="11">
        <v>18279205166</v>
      </c>
      <c r="E329" s="167" t="s">
        <v>506</v>
      </c>
      <c r="F329" s="166" t="s">
        <v>13</v>
      </c>
      <c r="G329" s="9">
        <v>202102016</v>
      </c>
      <c r="H329" s="167" t="s">
        <v>157</v>
      </c>
      <c r="I329" s="167" t="s">
        <v>1121</v>
      </c>
      <c r="J329" s="167" t="s">
        <v>179</v>
      </c>
      <c r="K329" s="167" t="s">
        <v>160</v>
      </c>
      <c r="L329" s="167" t="s">
        <v>199</v>
      </c>
      <c r="M329" s="167" t="s">
        <v>13</v>
      </c>
      <c r="N329" s="167" t="s">
        <v>4099</v>
      </c>
      <c r="O329" s="12" t="str">
        <f>_xlfn.DISPIMG("ID_AF2EA5B71B5B4904B17F83B386FDD8B5",1)</f>
        <v>=DISPIMG("ID_AF2EA5B71B5B4904B17F83B386FDD8B5",1)</v>
      </c>
      <c r="P329" s="9" t="s">
        <v>4100</v>
      </c>
      <c r="Q329" s="11">
        <v>524</v>
      </c>
      <c r="R329" s="15" t="s">
        <v>4627</v>
      </c>
      <c r="S329" s="19" t="s">
        <v>55</v>
      </c>
      <c r="T329" s="9">
        <v>13</v>
      </c>
    </row>
    <row r="330" s="3" customFormat="1" customHeight="1" spans="1:20">
      <c r="A330" s="166" t="s">
        <v>4120</v>
      </c>
      <c r="B330" s="166" t="s">
        <v>153</v>
      </c>
      <c r="C330" s="166" t="s">
        <v>4121</v>
      </c>
      <c r="D330" s="11">
        <v>15070281790</v>
      </c>
      <c r="E330" s="167" t="s">
        <v>506</v>
      </c>
      <c r="F330" s="166" t="s">
        <v>13</v>
      </c>
      <c r="G330" s="9">
        <v>202102016</v>
      </c>
      <c r="H330" s="167" t="s">
        <v>157</v>
      </c>
      <c r="I330" s="167" t="s">
        <v>269</v>
      </c>
      <c r="J330" s="167" t="s">
        <v>179</v>
      </c>
      <c r="K330" s="167" t="s">
        <v>170</v>
      </c>
      <c r="L330" s="167" t="s">
        <v>3039</v>
      </c>
      <c r="M330" s="167" t="s">
        <v>307</v>
      </c>
      <c r="N330" s="167" t="s">
        <v>4123</v>
      </c>
      <c r="O330" s="12" t="str">
        <f>_xlfn.DISPIMG("ID_E27C6548F4194D02B9DC397724E0FA4F",1)</f>
        <v>=DISPIMG("ID_E27C6548F4194D02B9DC397724E0FA4F",1)</v>
      </c>
      <c r="P330" s="9" t="s">
        <v>4124</v>
      </c>
      <c r="Q330" s="11">
        <v>527</v>
      </c>
      <c r="R330" s="15" t="s">
        <v>4628</v>
      </c>
      <c r="S330" s="19" t="s">
        <v>55</v>
      </c>
      <c r="T330" s="9">
        <v>24</v>
      </c>
    </row>
    <row r="331" s="3" customFormat="1" customHeight="1" spans="1:20">
      <c r="A331" s="166" t="s">
        <v>4169</v>
      </c>
      <c r="B331" s="166" t="s">
        <v>165</v>
      </c>
      <c r="C331" s="166" t="s">
        <v>4170</v>
      </c>
      <c r="D331" s="11">
        <v>13970241382</v>
      </c>
      <c r="E331" s="167" t="s">
        <v>156</v>
      </c>
      <c r="F331" s="166" t="s">
        <v>13</v>
      </c>
      <c r="G331" s="9">
        <v>202102003</v>
      </c>
      <c r="H331" s="167" t="s">
        <v>157</v>
      </c>
      <c r="I331" s="167" t="s">
        <v>233</v>
      </c>
      <c r="J331" s="167" t="s">
        <v>4172</v>
      </c>
      <c r="K331" s="167" t="s">
        <v>170</v>
      </c>
      <c r="L331" s="167" t="s">
        <v>161</v>
      </c>
      <c r="M331" s="167" t="s">
        <v>4173</v>
      </c>
      <c r="N331" s="11">
        <v>0</v>
      </c>
      <c r="O331" s="12" t="str">
        <f>_xlfn.DISPIMG("ID_5B6CA2E5A2044344BC4069C94E27DF22",1)</f>
        <v>=DISPIMG("ID_5B6CA2E5A2044344BC4069C94E27DF22",1)</v>
      </c>
      <c r="P331" s="9" t="s">
        <v>4174</v>
      </c>
      <c r="Q331" s="20">
        <v>533</v>
      </c>
      <c r="R331" s="15" t="s">
        <v>4629</v>
      </c>
      <c r="S331" s="19" t="s">
        <v>55</v>
      </c>
      <c r="T331" s="9">
        <v>25</v>
      </c>
    </row>
    <row r="332" s="3" customFormat="1" customHeight="1" spans="1:20">
      <c r="A332" s="167" t="s">
        <v>4244</v>
      </c>
      <c r="B332" s="167" t="s">
        <v>165</v>
      </c>
      <c r="C332" s="167" t="s">
        <v>4245</v>
      </c>
      <c r="D332" s="11">
        <v>18296230426</v>
      </c>
      <c r="E332" s="167" t="s">
        <v>156</v>
      </c>
      <c r="F332" s="167" t="s">
        <v>13</v>
      </c>
      <c r="G332" s="11">
        <v>202102003</v>
      </c>
      <c r="H332" s="167" t="s">
        <v>157</v>
      </c>
      <c r="I332" s="167" t="s">
        <v>646</v>
      </c>
      <c r="J332" s="167" t="s">
        <v>179</v>
      </c>
      <c r="K332" s="167" t="s">
        <v>160</v>
      </c>
      <c r="L332" s="167" t="s">
        <v>180</v>
      </c>
      <c r="M332" s="167" t="s">
        <v>25</v>
      </c>
      <c r="N332" s="167" t="s">
        <v>4247</v>
      </c>
      <c r="O332" s="12" t="str">
        <f>_xlfn.DISPIMG("ID_36DA19808F4346CB8F6359485B7E0248",1)</f>
        <v>=DISPIMG("ID_36DA19808F4346CB8F6359485B7E0248",1)</v>
      </c>
      <c r="P332" s="11" t="s">
        <v>4248</v>
      </c>
      <c r="Q332" s="20">
        <v>543</v>
      </c>
      <c r="R332" s="17" t="s">
        <v>4630</v>
      </c>
      <c r="S332" s="18" t="s">
        <v>56</v>
      </c>
      <c r="T332" s="25">
        <v>6</v>
      </c>
    </row>
    <row r="333" s="3" customFormat="1" customHeight="1" spans="1:20">
      <c r="A333" s="167" t="s">
        <v>441</v>
      </c>
      <c r="B333" s="167" t="s">
        <v>165</v>
      </c>
      <c r="C333" s="167" t="s">
        <v>442</v>
      </c>
      <c r="D333" s="11">
        <v>15172397471</v>
      </c>
      <c r="E333" s="167" t="s">
        <v>156</v>
      </c>
      <c r="F333" s="167" t="s">
        <v>12</v>
      </c>
      <c r="G333" s="11">
        <v>202102010</v>
      </c>
      <c r="H333" s="167" t="s">
        <v>157</v>
      </c>
      <c r="I333" s="167" t="s">
        <v>444</v>
      </c>
      <c r="J333" s="167" t="s">
        <v>445</v>
      </c>
      <c r="K333" s="167" t="s">
        <v>160</v>
      </c>
      <c r="L333" s="167" t="s">
        <v>252</v>
      </c>
      <c r="M333" s="167" t="s">
        <v>446</v>
      </c>
      <c r="N333" s="167" t="s">
        <v>447</v>
      </c>
      <c r="O333" s="12" t="str">
        <f>_xlfn.DISPIMG("ID_8FDFD8CDACA94911BFEF3051E2235221",1)</f>
        <v>=DISPIMG("ID_8FDFD8CDACA94911BFEF3051E2235221",1)</v>
      </c>
      <c r="P333" s="11" t="s">
        <v>448</v>
      </c>
      <c r="Q333" s="11">
        <v>34</v>
      </c>
      <c r="R333" s="17" t="s">
        <v>4636</v>
      </c>
      <c r="S333" s="18" t="s">
        <v>56</v>
      </c>
      <c r="T333" s="25">
        <v>7</v>
      </c>
    </row>
    <row r="334" s="3" customFormat="1" customHeight="1" spans="1:20">
      <c r="A334" s="167" t="s">
        <v>239</v>
      </c>
      <c r="B334" s="167" t="s">
        <v>165</v>
      </c>
      <c r="C334" s="167" t="s">
        <v>240</v>
      </c>
      <c r="D334" s="11">
        <v>13697988167</v>
      </c>
      <c r="E334" s="167" t="s">
        <v>156</v>
      </c>
      <c r="F334" s="167" t="s">
        <v>5</v>
      </c>
      <c r="G334" s="11">
        <v>202102008</v>
      </c>
      <c r="H334" s="167" t="s">
        <v>157</v>
      </c>
      <c r="I334" s="167" t="s">
        <v>242</v>
      </c>
      <c r="J334" s="167" t="s">
        <v>243</v>
      </c>
      <c r="K334" s="167" t="s">
        <v>160</v>
      </c>
      <c r="L334" s="167" t="s">
        <v>161</v>
      </c>
      <c r="M334" s="167" t="s">
        <v>5</v>
      </c>
      <c r="N334" s="11">
        <v>0</v>
      </c>
      <c r="O334" s="12" t="str">
        <f>_xlfn.DISPIMG("ID_9CBFB21D3F5B4658948522EF0C2AECE4",1)</f>
        <v>=DISPIMG("ID_9CBFB21D3F5B4658948522EF0C2AECE4",1)</v>
      </c>
      <c r="P334" s="11" t="s">
        <v>244</v>
      </c>
      <c r="Q334" s="20">
        <v>11</v>
      </c>
      <c r="R334" s="17" t="s">
        <v>4657</v>
      </c>
      <c r="S334" s="18" t="s">
        <v>56</v>
      </c>
      <c r="T334" s="25">
        <v>18</v>
      </c>
    </row>
    <row r="335" s="3" customFormat="1" customHeight="1" spans="1:20">
      <c r="A335" s="167" t="s">
        <v>286</v>
      </c>
      <c r="B335" s="167" t="s">
        <v>153</v>
      </c>
      <c r="C335" s="167" t="s">
        <v>287</v>
      </c>
      <c r="D335" s="11">
        <v>18755672832</v>
      </c>
      <c r="E335" s="167" t="s">
        <v>156</v>
      </c>
      <c r="F335" s="167" t="s">
        <v>5</v>
      </c>
      <c r="G335" s="11">
        <v>202102008</v>
      </c>
      <c r="H335" s="167" t="s">
        <v>157</v>
      </c>
      <c r="I335" s="167" t="s">
        <v>289</v>
      </c>
      <c r="J335" s="167" t="s">
        <v>290</v>
      </c>
      <c r="K335" s="167" t="s">
        <v>170</v>
      </c>
      <c r="L335" s="167" t="s">
        <v>261</v>
      </c>
      <c r="M335" s="167" t="s">
        <v>5</v>
      </c>
      <c r="N335" s="11">
        <v>0</v>
      </c>
      <c r="O335" s="12" t="str">
        <f>_xlfn.DISPIMG("ID_5BB4AA0F377240A584934BCE0D4B941B",1)</f>
        <v>=DISPIMG("ID_5BB4AA0F377240A584934BCE0D4B941B",1)</v>
      </c>
      <c r="P335" s="11" t="s">
        <v>291</v>
      </c>
      <c r="Q335" s="20">
        <v>16</v>
      </c>
      <c r="R335" s="17" t="s">
        <v>4658</v>
      </c>
      <c r="S335" s="18" t="s">
        <v>56</v>
      </c>
      <c r="T335" s="25">
        <v>19</v>
      </c>
    </row>
    <row r="336" s="3" customFormat="1" customHeight="1" spans="2:20">
      <c r="B336" s="11"/>
      <c r="C336" s="11"/>
      <c r="D336" s="11"/>
      <c r="E336" s="11"/>
      <c r="F336" s="11"/>
      <c r="G336" s="11"/>
      <c r="H336" s="11"/>
      <c r="I336" s="11"/>
      <c r="J336" s="11"/>
      <c r="K336" s="11"/>
      <c r="L336" s="11"/>
      <c r="M336" s="11"/>
      <c r="N336" s="11"/>
      <c r="O336" s="12"/>
      <c r="P336" s="11" t="s">
        <v>4409</v>
      </c>
      <c r="Q336" s="20"/>
      <c r="R336" s="11" t="s">
        <v>4410</v>
      </c>
      <c r="S336" s="18" t="s">
        <v>56</v>
      </c>
      <c r="T336" s="25">
        <v>30</v>
      </c>
    </row>
    <row r="337" s="3" customFormat="1" customHeight="1" spans="1:20">
      <c r="A337" s="167" t="s">
        <v>4273</v>
      </c>
      <c r="B337" s="167" t="s">
        <v>165</v>
      </c>
      <c r="C337" s="167" t="s">
        <v>4274</v>
      </c>
      <c r="D337" s="11">
        <v>18317912297</v>
      </c>
      <c r="E337" s="167" t="s">
        <v>156</v>
      </c>
      <c r="F337" s="167" t="s">
        <v>13</v>
      </c>
      <c r="G337" s="11">
        <v>202102003</v>
      </c>
      <c r="H337" s="167" t="s">
        <v>157</v>
      </c>
      <c r="I337" s="167" t="s">
        <v>1513</v>
      </c>
      <c r="J337" s="167" t="s">
        <v>1331</v>
      </c>
      <c r="K337" s="167" t="s">
        <v>160</v>
      </c>
      <c r="L337" s="167" t="s">
        <v>368</v>
      </c>
      <c r="M337" s="167" t="s">
        <v>13</v>
      </c>
      <c r="N337" s="167" t="s">
        <v>4276</v>
      </c>
      <c r="O337" s="12" t="str">
        <f>_xlfn.DISPIMG("ID_BFA48D3AEAE641428A104A2BB93F50F8",1)</f>
        <v>=DISPIMG("ID_BFA48D3AEAE641428A104A2BB93F50F8",1)</v>
      </c>
      <c r="P337" s="11" t="s">
        <v>4277</v>
      </c>
      <c r="Q337" s="20">
        <v>547</v>
      </c>
      <c r="R337" s="17" t="s">
        <v>4631</v>
      </c>
      <c r="S337" s="18" t="s">
        <v>56</v>
      </c>
      <c r="T337" s="25">
        <v>5</v>
      </c>
    </row>
    <row r="338" s="3" customFormat="1" customHeight="1" spans="1:20">
      <c r="A338" s="167" t="s">
        <v>906</v>
      </c>
      <c r="B338" s="167" t="s">
        <v>165</v>
      </c>
      <c r="C338" s="167" t="s">
        <v>907</v>
      </c>
      <c r="D338" s="11">
        <v>18872969481</v>
      </c>
      <c r="E338" s="167" t="s">
        <v>156</v>
      </c>
      <c r="F338" s="167" t="s">
        <v>12</v>
      </c>
      <c r="G338" s="11">
        <v>202102010</v>
      </c>
      <c r="H338" s="167" t="s">
        <v>157</v>
      </c>
      <c r="I338" s="167" t="s">
        <v>909</v>
      </c>
      <c r="J338" s="167" t="s">
        <v>445</v>
      </c>
      <c r="K338" s="167" t="s">
        <v>170</v>
      </c>
      <c r="L338" s="167" t="s">
        <v>910</v>
      </c>
      <c r="M338" s="167" t="s">
        <v>911</v>
      </c>
      <c r="N338" s="167" t="s">
        <v>912</v>
      </c>
      <c r="O338" s="12" t="str">
        <f>_xlfn.DISPIMG("ID_5478E78BEF25454AA0569457DA503AEE",1)</f>
        <v>=DISPIMG("ID_5478E78BEF25454AA0569457DA503AEE",1)</v>
      </c>
      <c r="P338" s="11" t="s">
        <v>913</v>
      </c>
      <c r="Q338" s="11">
        <v>91</v>
      </c>
      <c r="R338" s="17" t="s">
        <v>4637</v>
      </c>
      <c r="S338" s="18" t="s">
        <v>56</v>
      </c>
      <c r="T338" s="25">
        <v>8</v>
      </c>
    </row>
    <row r="339" s="3" customFormat="1" customHeight="1" spans="1:20">
      <c r="A339" s="167" t="s">
        <v>1630</v>
      </c>
      <c r="B339" s="167" t="s">
        <v>153</v>
      </c>
      <c r="C339" s="167" t="s">
        <v>1631</v>
      </c>
      <c r="D339" s="11">
        <v>18437922593</v>
      </c>
      <c r="E339" s="167" t="s">
        <v>156</v>
      </c>
      <c r="F339" s="167" t="s">
        <v>5</v>
      </c>
      <c r="G339" s="11">
        <v>202102008</v>
      </c>
      <c r="H339" s="167" t="s">
        <v>157</v>
      </c>
      <c r="I339" s="167" t="s">
        <v>1633</v>
      </c>
      <c r="J339" s="167" t="s">
        <v>280</v>
      </c>
      <c r="K339" s="167" t="s">
        <v>170</v>
      </c>
      <c r="L339" s="167" t="s">
        <v>199</v>
      </c>
      <c r="M339" s="167" t="s">
        <v>5</v>
      </c>
      <c r="N339" s="11">
        <v>0</v>
      </c>
      <c r="O339" s="12" t="str">
        <f>_xlfn.DISPIMG("ID_30389EE5D2254B4693F3D201E2C25479",1)</f>
        <v>=DISPIMG("ID_30389EE5D2254B4693F3D201E2C25479",1)</v>
      </c>
      <c r="P339" s="11" t="s">
        <v>1634</v>
      </c>
      <c r="Q339" s="20">
        <v>183</v>
      </c>
      <c r="R339" s="17" t="s">
        <v>4662</v>
      </c>
      <c r="S339" s="18" t="s">
        <v>56</v>
      </c>
      <c r="T339" s="25">
        <v>17</v>
      </c>
    </row>
    <row r="340" s="3" customFormat="1" customHeight="1" spans="1:20">
      <c r="A340" s="167" t="s">
        <v>1706</v>
      </c>
      <c r="B340" s="167" t="s">
        <v>153</v>
      </c>
      <c r="C340" s="167" t="s">
        <v>1707</v>
      </c>
      <c r="D340" s="11">
        <v>15070040825</v>
      </c>
      <c r="E340" s="167" t="s">
        <v>506</v>
      </c>
      <c r="F340" s="167" t="s">
        <v>5</v>
      </c>
      <c r="G340" s="11">
        <v>202102020</v>
      </c>
      <c r="H340" s="167" t="s">
        <v>157</v>
      </c>
      <c r="I340" s="167" t="s">
        <v>789</v>
      </c>
      <c r="J340" s="167" t="s">
        <v>1709</v>
      </c>
      <c r="K340" s="167" t="s">
        <v>160</v>
      </c>
      <c r="L340" s="167" t="s">
        <v>1346</v>
      </c>
      <c r="M340" s="167" t="s">
        <v>1710</v>
      </c>
      <c r="N340" s="167" t="s">
        <v>1711</v>
      </c>
      <c r="O340" s="12" t="str">
        <f>_xlfn.DISPIMG("ID_B3E8781AF7454377842FD7EC53A6E781",1)</f>
        <v>=DISPIMG("ID_B3E8781AF7454377842FD7EC53A6E781",1)</v>
      </c>
      <c r="P340" s="11" t="s">
        <v>1712</v>
      </c>
      <c r="Q340" s="20">
        <v>193</v>
      </c>
      <c r="R340" s="17" t="s">
        <v>4663</v>
      </c>
      <c r="S340" s="18" t="s">
        <v>56</v>
      </c>
      <c r="T340" s="25">
        <v>20</v>
      </c>
    </row>
    <row r="341" s="3" customFormat="1" customHeight="1" spans="2:20">
      <c r="B341" s="11"/>
      <c r="C341" s="11"/>
      <c r="D341" s="11"/>
      <c r="E341" s="11"/>
      <c r="F341" s="11"/>
      <c r="G341" s="11"/>
      <c r="H341" s="11"/>
      <c r="I341" s="11"/>
      <c r="J341" s="11"/>
      <c r="K341" s="11"/>
      <c r="L341" s="11"/>
      <c r="M341" s="11"/>
      <c r="N341" s="11"/>
      <c r="O341" s="12"/>
      <c r="P341" s="11" t="s">
        <v>4409</v>
      </c>
      <c r="Q341" s="20"/>
      <c r="R341" s="11" t="s">
        <v>4410</v>
      </c>
      <c r="S341" s="18" t="s">
        <v>56</v>
      </c>
      <c r="T341" s="25">
        <v>29</v>
      </c>
    </row>
    <row r="342" s="3" customFormat="1" customHeight="1" spans="1:20">
      <c r="A342" s="167" t="s">
        <v>4280</v>
      </c>
      <c r="B342" s="167" t="s">
        <v>165</v>
      </c>
      <c r="C342" s="167" t="s">
        <v>4281</v>
      </c>
      <c r="D342" s="11">
        <v>15949551660</v>
      </c>
      <c r="E342" s="167" t="s">
        <v>156</v>
      </c>
      <c r="F342" s="167" t="s">
        <v>13</v>
      </c>
      <c r="G342" s="11">
        <v>202102003</v>
      </c>
      <c r="H342" s="167" t="s">
        <v>157</v>
      </c>
      <c r="I342" s="167" t="s">
        <v>158</v>
      </c>
      <c r="J342" s="167" t="s">
        <v>298</v>
      </c>
      <c r="K342" s="167" t="s">
        <v>160</v>
      </c>
      <c r="L342" s="167" t="s">
        <v>252</v>
      </c>
      <c r="M342" s="167" t="s">
        <v>13</v>
      </c>
      <c r="N342" s="167" t="s">
        <v>4283</v>
      </c>
      <c r="O342" s="12" t="str">
        <f>_xlfn.DISPIMG("ID_0A7C024448EB4671A840FBA92AB35983",1)</f>
        <v>=DISPIMG("ID_0A7C024448EB4671A840FBA92AB35983",1)</v>
      </c>
      <c r="P342" s="11" t="s">
        <v>4284</v>
      </c>
      <c r="Q342" s="11">
        <v>548</v>
      </c>
      <c r="R342" s="17" t="s">
        <v>4632</v>
      </c>
      <c r="S342" s="18" t="s">
        <v>56</v>
      </c>
      <c r="T342" s="25">
        <v>4</v>
      </c>
    </row>
    <row r="343" s="3" customFormat="1" customHeight="1" spans="1:20">
      <c r="A343" s="167" t="s">
        <v>1034</v>
      </c>
      <c r="B343" s="167" t="s">
        <v>165</v>
      </c>
      <c r="C343" s="167" t="s">
        <v>1035</v>
      </c>
      <c r="D343" s="11">
        <v>18270651805</v>
      </c>
      <c r="E343" s="167" t="s">
        <v>156</v>
      </c>
      <c r="F343" s="167" t="s">
        <v>12</v>
      </c>
      <c r="G343" s="11">
        <v>202102010</v>
      </c>
      <c r="H343" s="167" t="s">
        <v>157</v>
      </c>
      <c r="I343" s="167" t="s">
        <v>178</v>
      </c>
      <c r="J343" s="167" t="s">
        <v>1037</v>
      </c>
      <c r="K343" s="167" t="s">
        <v>170</v>
      </c>
      <c r="L343" s="167" t="s">
        <v>161</v>
      </c>
      <c r="M343" s="167" t="s">
        <v>1038</v>
      </c>
      <c r="N343" s="167" t="s">
        <v>1039</v>
      </c>
      <c r="O343" s="12" t="str">
        <f>_xlfn.DISPIMG("ID_0FA5FFDB4D0442D5AB7C6CB6A0A51E2D",1)</f>
        <v>=DISPIMG("ID_0FA5FFDB4D0442D5AB7C6CB6A0A51E2D",1)</v>
      </c>
      <c r="P343" s="11" t="s">
        <v>1040</v>
      </c>
      <c r="Q343" s="20">
        <v>106</v>
      </c>
      <c r="R343" s="17" t="s">
        <v>4638</v>
      </c>
      <c r="S343" s="18" t="s">
        <v>56</v>
      </c>
      <c r="T343" s="25">
        <v>9</v>
      </c>
    </row>
    <row r="344" s="3" customFormat="1" customHeight="1" spans="1:20">
      <c r="A344" s="167" t="s">
        <v>1846</v>
      </c>
      <c r="B344" s="167" t="s">
        <v>165</v>
      </c>
      <c r="C344" s="167" t="s">
        <v>1847</v>
      </c>
      <c r="D344" s="11">
        <v>18879254089</v>
      </c>
      <c r="E344" s="167" t="s">
        <v>156</v>
      </c>
      <c r="F344" s="167" t="s">
        <v>5</v>
      </c>
      <c r="G344" s="11">
        <v>202102008</v>
      </c>
      <c r="H344" s="167" t="s">
        <v>279</v>
      </c>
      <c r="I344" s="167" t="s">
        <v>158</v>
      </c>
      <c r="J344" s="167" t="s">
        <v>1849</v>
      </c>
      <c r="K344" s="167" t="s">
        <v>170</v>
      </c>
      <c r="L344" s="167" t="s">
        <v>396</v>
      </c>
      <c r="M344" s="167" t="s">
        <v>1850</v>
      </c>
      <c r="N344" s="167" t="s">
        <v>1851</v>
      </c>
      <c r="O344" s="12" t="str">
        <f>_xlfn.DISPIMG("ID_19DBAF911A5F41D795A3B7585DA543D3",1)</f>
        <v>=DISPIMG("ID_19DBAF911A5F41D795A3B7585DA543D3",1)</v>
      </c>
      <c r="P344" s="11" t="s">
        <v>1852</v>
      </c>
      <c r="Q344" s="20">
        <v>211</v>
      </c>
      <c r="R344" s="17" t="s">
        <v>4664</v>
      </c>
      <c r="S344" s="18" t="s">
        <v>56</v>
      </c>
      <c r="T344" s="25">
        <v>16</v>
      </c>
    </row>
    <row r="345" s="3" customFormat="1" customHeight="1" spans="1:20">
      <c r="A345" s="167" t="s">
        <v>2294</v>
      </c>
      <c r="B345" s="167" t="s">
        <v>153</v>
      </c>
      <c r="C345" s="167" t="s">
        <v>2295</v>
      </c>
      <c r="D345" s="11">
        <v>18179457855</v>
      </c>
      <c r="E345" s="167" t="s">
        <v>156</v>
      </c>
      <c r="F345" s="167" t="s">
        <v>5</v>
      </c>
      <c r="G345" s="11">
        <v>202102008</v>
      </c>
      <c r="H345" s="167" t="s">
        <v>157</v>
      </c>
      <c r="I345" s="167" t="s">
        <v>1654</v>
      </c>
      <c r="J345" s="167" t="s">
        <v>2297</v>
      </c>
      <c r="K345" s="167" t="s">
        <v>160</v>
      </c>
      <c r="L345" s="167" t="s">
        <v>2298</v>
      </c>
      <c r="M345" s="167" t="s">
        <v>2299</v>
      </c>
      <c r="N345" s="11">
        <v>0</v>
      </c>
      <c r="O345" s="12" t="str">
        <f>_xlfn.DISPIMG("ID_2348B3C3CCB6443B92AD1A08F0A487FA",1)</f>
        <v>=DISPIMG("ID_2348B3C3CCB6443B92AD1A08F0A487FA",1)</v>
      </c>
      <c r="P345" s="11" t="s">
        <v>2300</v>
      </c>
      <c r="Q345" s="11">
        <v>271</v>
      </c>
      <c r="R345" s="17" t="s">
        <v>4639</v>
      </c>
      <c r="S345" s="18" t="s">
        <v>56</v>
      </c>
      <c r="T345" s="25">
        <v>21</v>
      </c>
    </row>
    <row r="346" s="3" customFormat="1" customHeight="1" spans="2:20">
      <c r="B346" s="11"/>
      <c r="C346" s="11"/>
      <c r="D346" s="11"/>
      <c r="E346" s="11"/>
      <c r="F346" s="11"/>
      <c r="G346" s="11"/>
      <c r="H346" s="11"/>
      <c r="I346" s="11"/>
      <c r="J346" s="11"/>
      <c r="K346" s="11"/>
      <c r="L346" s="11"/>
      <c r="M346" s="11"/>
      <c r="N346" s="11"/>
      <c r="O346" s="12"/>
      <c r="P346" s="11" t="s">
        <v>4409</v>
      </c>
      <c r="Q346" s="11"/>
      <c r="R346" s="11" t="s">
        <v>4410</v>
      </c>
      <c r="S346" s="18" t="s">
        <v>56</v>
      </c>
      <c r="T346" s="25">
        <v>28</v>
      </c>
    </row>
    <row r="347" s="3" customFormat="1" customHeight="1" spans="1:20">
      <c r="A347" s="167" t="s">
        <v>4287</v>
      </c>
      <c r="B347" s="167" t="s">
        <v>165</v>
      </c>
      <c r="C347" s="167" t="s">
        <v>4288</v>
      </c>
      <c r="D347" s="11">
        <v>15067121965</v>
      </c>
      <c r="E347" s="167" t="s">
        <v>156</v>
      </c>
      <c r="F347" s="167" t="s">
        <v>13</v>
      </c>
      <c r="G347" s="11">
        <v>202102003</v>
      </c>
      <c r="H347" s="167" t="s">
        <v>279</v>
      </c>
      <c r="I347" s="167" t="s">
        <v>4290</v>
      </c>
      <c r="J347" s="167" t="s">
        <v>4291</v>
      </c>
      <c r="K347" s="167" t="s">
        <v>170</v>
      </c>
      <c r="L347" s="167" t="s">
        <v>224</v>
      </c>
      <c r="M347" s="167" t="s">
        <v>1398</v>
      </c>
      <c r="N347" s="11">
        <v>0</v>
      </c>
      <c r="O347" s="12" t="str">
        <f>_xlfn.DISPIMG("ID_722A9A1419ED4209B5078EB200B4615A",1)</f>
        <v>=DISPIMG("ID_722A9A1419ED4209B5078EB200B4615A",1)</v>
      </c>
      <c r="P347" s="11" t="s">
        <v>4292</v>
      </c>
      <c r="Q347" s="11">
        <v>549</v>
      </c>
      <c r="R347" s="17" t="s">
        <v>4633</v>
      </c>
      <c r="S347" s="18" t="s">
        <v>56</v>
      </c>
      <c r="T347" s="25">
        <v>3</v>
      </c>
    </row>
    <row r="348" s="3" customFormat="1" customHeight="1" spans="1:20">
      <c r="A348" s="167" t="s">
        <v>1153</v>
      </c>
      <c r="B348" s="167" t="s">
        <v>165</v>
      </c>
      <c r="C348" s="167" t="s">
        <v>1154</v>
      </c>
      <c r="D348" s="11">
        <v>13803552587</v>
      </c>
      <c r="E348" s="167" t="s">
        <v>156</v>
      </c>
      <c r="F348" s="167" t="s">
        <v>12</v>
      </c>
      <c r="G348" s="11">
        <v>202102010</v>
      </c>
      <c r="H348" s="167" t="s">
        <v>157</v>
      </c>
      <c r="I348" s="167" t="s">
        <v>385</v>
      </c>
      <c r="J348" s="167" t="s">
        <v>445</v>
      </c>
      <c r="K348" s="167" t="s">
        <v>160</v>
      </c>
      <c r="L348" s="167" t="s">
        <v>261</v>
      </c>
      <c r="M348" s="167" t="s">
        <v>1156</v>
      </c>
      <c r="N348" s="167" t="s">
        <v>1157</v>
      </c>
      <c r="O348" s="12" t="str">
        <f>_xlfn.DISPIMG("ID_2A6402E44B2C4CB5B00B003CEEB85AA0",1)</f>
        <v>=DISPIMG("ID_2A6402E44B2C4CB5B00B003CEEB85AA0",1)</v>
      </c>
      <c r="P348" s="11" t="s">
        <v>1158</v>
      </c>
      <c r="Q348" s="11">
        <v>121</v>
      </c>
      <c r="R348" s="17" t="s">
        <v>4642</v>
      </c>
      <c r="S348" s="18" t="s">
        <v>56</v>
      </c>
      <c r="T348" s="25">
        <v>10</v>
      </c>
    </row>
    <row r="349" s="3" customFormat="1" customHeight="1" spans="1:20">
      <c r="A349" s="167" t="s">
        <v>1439</v>
      </c>
      <c r="B349" s="167" t="s">
        <v>165</v>
      </c>
      <c r="C349" s="167" t="s">
        <v>1440</v>
      </c>
      <c r="D349" s="11">
        <v>13687083396</v>
      </c>
      <c r="E349" s="167" t="s">
        <v>156</v>
      </c>
      <c r="F349" s="167" t="s">
        <v>12</v>
      </c>
      <c r="G349" s="11">
        <v>202102010</v>
      </c>
      <c r="H349" s="167" t="s">
        <v>157</v>
      </c>
      <c r="I349" s="167" t="s">
        <v>444</v>
      </c>
      <c r="J349" s="167" t="s">
        <v>1442</v>
      </c>
      <c r="K349" s="167" t="s">
        <v>160</v>
      </c>
      <c r="L349" s="167" t="s">
        <v>396</v>
      </c>
      <c r="M349" s="167" t="s">
        <v>24</v>
      </c>
      <c r="N349" s="11">
        <v>0</v>
      </c>
      <c r="O349" s="12" t="str">
        <f>_xlfn.DISPIMG("ID_4F7FAD79CF244D82AC4A116B39238E93",1)</f>
        <v>=DISPIMG("ID_4F7FAD79CF244D82AC4A116B39238E93",1)</v>
      </c>
      <c r="P349" s="11" t="s">
        <v>1443</v>
      </c>
      <c r="Q349" s="11">
        <v>159</v>
      </c>
      <c r="R349" s="17" t="s">
        <v>4643</v>
      </c>
      <c r="S349" s="18" t="s">
        <v>56</v>
      </c>
      <c r="T349" s="25">
        <v>15</v>
      </c>
    </row>
    <row r="350" s="3" customFormat="1" customHeight="1" spans="1:20">
      <c r="A350" s="167" t="s">
        <v>2459</v>
      </c>
      <c r="B350" s="167" t="s">
        <v>165</v>
      </c>
      <c r="C350" s="167" t="s">
        <v>2460</v>
      </c>
      <c r="D350" s="11">
        <v>18702519372</v>
      </c>
      <c r="E350" s="167" t="s">
        <v>156</v>
      </c>
      <c r="F350" s="167" t="s">
        <v>5</v>
      </c>
      <c r="G350" s="11">
        <v>202102008</v>
      </c>
      <c r="H350" s="167" t="s">
        <v>279</v>
      </c>
      <c r="I350" s="167" t="s">
        <v>662</v>
      </c>
      <c r="J350" s="167" t="s">
        <v>348</v>
      </c>
      <c r="K350" s="167" t="s">
        <v>170</v>
      </c>
      <c r="L350" s="167" t="s">
        <v>199</v>
      </c>
      <c r="M350" s="167" t="s">
        <v>2462</v>
      </c>
      <c r="N350" s="11">
        <v>0</v>
      </c>
      <c r="O350" s="12" t="str">
        <f>_xlfn.DISPIMG("ID_C162899F9DDD4F8CA771F69FFB2795AD",1)</f>
        <v>=DISPIMG("ID_C162899F9DDD4F8CA771F69FFB2795AD",1)</v>
      </c>
      <c r="P350" s="11" t="s">
        <v>2463</v>
      </c>
      <c r="Q350" s="20">
        <v>293</v>
      </c>
      <c r="R350" s="17" t="s">
        <v>4640</v>
      </c>
      <c r="S350" s="18" t="s">
        <v>56</v>
      </c>
      <c r="T350" s="25">
        <v>22</v>
      </c>
    </row>
    <row r="351" s="3" customFormat="1" customHeight="1" spans="2:20">
      <c r="B351" s="11"/>
      <c r="C351" s="11"/>
      <c r="D351" s="11"/>
      <c r="E351" s="11"/>
      <c r="F351" s="11"/>
      <c r="G351" s="11"/>
      <c r="H351" s="11"/>
      <c r="I351" s="11"/>
      <c r="J351" s="11"/>
      <c r="K351" s="11"/>
      <c r="L351" s="11"/>
      <c r="M351" s="11"/>
      <c r="N351" s="11"/>
      <c r="O351" s="12"/>
      <c r="P351" s="11" t="s">
        <v>4409</v>
      </c>
      <c r="Q351" s="20"/>
      <c r="R351" s="11" t="s">
        <v>4410</v>
      </c>
      <c r="S351" s="18" t="s">
        <v>56</v>
      </c>
      <c r="T351" s="25">
        <v>27</v>
      </c>
    </row>
    <row r="352" s="3" customFormat="1" customHeight="1" spans="1:20">
      <c r="A352" s="167" t="s">
        <v>4295</v>
      </c>
      <c r="B352" s="167" t="s">
        <v>165</v>
      </c>
      <c r="C352" s="167" t="s">
        <v>4296</v>
      </c>
      <c r="D352" s="11">
        <v>18174018729</v>
      </c>
      <c r="E352" s="167" t="s">
        <v>156</v>
      </c>
      <c r="F352" s="167" t="s">
        <v>13</v>
      </c>
      <c r="G352" s="11">
        <v>202102003</v>
      </c>
      <c r="H352" s="167" t="s">
        <v>157</v>
      </c>
      <c r="I352" s="167" t="s">
        <v>3054</v>
      </c>
      <c r="J352" s="167" t="s">
        <v>4298</v>
      </c>
      <c r="K352" s="167" t="s">
        <v>160</v>
      </c>
      <c r="L352" s="167" t="s">
        <v>261</v>
      </c>
      <c r="M352" s="167" t="s">
        <v>13</v>
      </c>
      <c r="N352" s="11">
        <v>0</v>
      </c>
      <c r="O352" s="12" t="str">
        <f>_xlfn.DISPIMG("ID_AB63EA744ECF442183CACE9AA5A6EA85",1)</f>
        <v>=DISPIMG("ID_AB63EA744ECF442183CACE9AA5A6EA85",1)</v>
      </c>
      <c r="P352" s="11" t="s">
        <v>4299</v>
      </c>
      <c r="Q352" s="20">
        <v>550</v>
      </c>
      <c r="R352" s="17" t="s">
        <v>4634</v>
      </c>
      <c r="S352" s="18" t="s">
        <v>56</v>
      </c>
      <c r="T352" s="25">
        <v>2</v>
      </c>
    </row>
    <row r="353" s="3" customFormat="1" customHeight="1" spans="1:20">
      <c r="A353" s="167" t="s">
        <v>2240</v>
      </c>
      <c r="B353" s="167" t="s">
        <v>153</v>
      </c>
      <c r="C353" s="167" t="s">
        <v>2241</v>
      </c>
      <c r="D353" s="11">
        <v>18079253586</v>
      </c>
      <c r="E353" s="167" t="s">
        <v>156</v>
      </c>
      <c r="F353" s="167" t="s">
        <v>12</v>
      </c>
      <c r="G353" s="11">
        <v>202102010</v>
      </c>
      <c r="H353" s="167" t="s">
        <v>157</v>
      </c>
      <c r="I353" s="167" t="s">
        <v>2243</v>
      </c>
      <c r="J353" s="167" t="s">
        <v>445</v>
      </c>
      <c r="K353" s="167" t="s">
        <v>160</v>
      </c>
      <c r="L353" s="167" t="s">
        <v>368</v>
      </c>
      <c r="M353" s="167" t="s">
        <v>2244</v>
      </c>
      <c r="N353" s="167" t="s">
        <v>2245</v>
      </c>
      <c r="O353" s="12" t="str">
        <f>_xlfn.DISPIMG("ID_36DB22886E2542F0B08D8BC7EEC58760",1)</f>
        <v>=DISPIMG("ID_36DB22886E2542F0B08D8BC7EEC58760",1)</v>
      </c>
      <c r="P353" s="11" t="s">
        <v>2246</v>
      </c>
      <c r="Q353" s="20">
        <v>264</v>
      </c>
      <c r="R353" s="17" t="s">
        <v>4647</v>
      </c>
      <c r="S353" s="18" t="s">
        <v>56</v>
      </c>
      <c r="T353" s="25">
        <v>11</v>
      </c>
    </row>
    <row r="354" s="3" customFormat="1" customHeight="1" spans="1:20">
      <c r="A354" s="167" t="s">
        <v>3274</v>
      </c>
      <c r="B354" s="167" t="s">
        <v>165</v>
      </c>
      <c r="C354" s="167" t="s">
        <v>3275</v>
      </c>
      <c r="D354" s="11">
        <v>15870802185</v>
      </c>
      <c r="E354" s="167" t="s">
        <v>156</v>
      </c>
      <c r="F354" s="167" t="s">
        <v>12</v>
      </c>
      <c r="G354" s="11">
        <v>202102010</v>
      </c>
      <c r="H354" s="167" t="s">
        <v>157</v>
      </c>
      <c r="I354" s="167" t="s">
        <v>3276</v>
      </c>
      <c r="J354" s="167" t="s">
        <v>3277</v>
      </c>
      <c r="K354" s="167" t="s">
        <v>170</v>
      </c>
      <c r="L354" s="167" t="s">
        <v>516</v>
      </c>
      <c r="M354" s="167" t="s">
        <v>3278</v>
      </c>
      <c r="N354" s="167" t="s">
        <v>3279</v>
      </c>
      <c r="O354" s="12" t="str">
        <f>_xlfn.DISPIMG("ID_CA7F81D47ACB4FA38E0278F330AEC9F9",1)</f>
        <v>=DISPIMG("ID_CA7F81D47ACB4FA38E0278F330AEC9F9",1)</v>
      </c>
      <c r="P354" s="11" t="s">
        <v>3280</v>
      </c>
      <c r="Q354" s="20">
        <v>409</v>
      </c>
      <c r="R354" s="17" t="s">
        <v>4648</v>
      </c>
      <c r="S354" s="18" t="s">
        <v>56</v>
      </c>
      <c r="T354" s="25">
        <v>14</v>
      </c>
    </row>
    <row r="355" s="3" customFormat="1" customHeight="1" spans="1:20">
      <c r="A355" s="167" t="s">
        <v>3873</v>
      </c>
      <c r="B355" s="167" t="s">
        <v>153</v>
      </c>
      <c r="C355" s="167" t="s">
        <v>3874</v>
      </c>
      <c r="D355" s="11">
        <v>13317434772</v>
      </c>
      <c r="E355" s="167" t="s">
        <v>156</v>
      </c>
      <c r="F355" s="167" t="s">
        <v>5</v>
      </c>
      <c r="G355" s="11">
        <v>202102008</v>
      </c>
      <c r="H355" s="167" t="s">
        <v>157</v>
      </c>
      <c r="I355" s="167" t="s">
        <v>3876</v>
      </c>
      <c r="J355" s="167" t="s">
        <v>290</v>
      </c>
      <c r="K355" s="167" t="s">
        <v>170</v>
      </c>
      <c r="L355" s="167" t="s">
        <v>171</v>
      </c>
      <c r="M355" s="167" t="s">
        <v>1064</v>
      </c>
      <c r="N355" s="167" t="s">
        <v>3877</v>
      </c>
      <c r="O355" s="12" t="str">
        <f>_xlfn.DISPIMG("ID_707B86616C5E4D0A96852FA2ECC7652E",1)</f>
        <v>=DISPIMG("ID_707B86616C5E4D0A96852FA2ECC7652E",1)</v>
      </c>
      <c r="P355" s="11" t="s">
        <v>3878</v>
      </c>
      <c r="Q355" s="20">
        <v>494</v>
      </c>
      <c r="R355" s="17" t="s">
        <v>4644</v>
      </c>
      <c r="S355" s="18" t="s">
        <v>56</v>
      </c>
      <c r="T355" s="25">
        <v>23</v>
      </c>
    </row>
    <row r="356" s="3" customFormat="1" customHeight="1" spans="2:20">
      <c r="B356" s="11"/>
      <c r="C356" s="11"/>
      <c r="D356" s="11"/>
      <c r="E356" s="11"/>
      <c r="F356" s="11"/>
      <c r="G356" s="11"/>
      <c r="H356" s="11"/>
      <c r="I356" s="11"/>
      <c r="J356" s="11"/>
      <c r="K356" s="11"/>
      <c r="L356" s="11"/>
      <c r="M356" s="11"/>
      <c r="N356" s="11"/>
      <c r="O356" s="12"/>
      <c r="P356" s="11" t="s">
        <v>4409</v>
      </c>
      <c r="Q356" s="20"/>
      <c r="R356" s="11" t="s">
        <v>4410</v>
      </c>
      <c r="S356" s="18" t="s">
        <v>56</v>
      </c>
      <c r="T356" s="25">
        <v>26</v>
      </c>
    </row>
    <row r="357" s="3" customFormat="1" customHeight="1" spans="1:20">
      <c r="A357" s="167" t="s">
        <v>4302</v>
      </c>
      <c r="B357" s="167" t="s">
        <v>165</v>
      </c>
      <c r="C357" s="167" t="s">
        <v>4303</v>
      </c>
      <c r="D357" s="11">
        <v>15279209806</v>
      </c>
      <c r="E357" s="167" t="s">
        <v>506</v>
      </c>
      <c r="F357" s="167" t="s">
        <v>13</v>
      </c>
      <c r="G357" s="11">
        <v>202102016</v>
      </c>
      <c r="H357" s="167" t="s">
        <v>279</v>
      </c>
      <c r="I357" s="167" t="s">
        <v>168</v>
      </c>
      <c r="J357" s="167" t="s">
        <v>223</v>
      </c>
      <c r="K357" s="167" t="s">
        <v>170</v>
      </c>
      <c r="L357" s="167" t="s">
        <v>577</v>
      </c>
      <c r="M357" s="167" t="s">
        <v>487</v>
      </c>
      <c r="N357" s="167" t="s">
        <v>4304</v>
      </c>
      <c r="O357" s="12" t="str">
        <f>_xlfn.DISPIMG("ID_2F1FB7C94C004C5BAD8EEBBBB9C7D0C9",1)</f>
        <v>=DISPIMG("ID_2F1FB7C94C004C5BAD8EEBBBB9C7D0C9",1)</v>
      </c>
      <c r="P357" s="11" t="s">
        <v>4305</v>
      </c>
      <c r="Q357" s="11">
        <v>551</v>
      </c>
      <c r="R357" s="17" t="s">
        <v>4635</v>
      </c>
      <c r="S357" s="18" t="s">
        <v>56</v>
      </c>
      <c r="T357" s="25">
        <v>1</v>
      </c>
    </row>
    <row r="358" s="3" customFormat="1" customHeight="1" spans="1:20">
      <c r="A358" s="167" t="s">
        <v>4134</v>
      </c>
      <c r="B358" s="167" t="s">
        <v>165</v>
      </c>
      <c r="C358" s="167" t="s">
        <v>4135</v>
      </c>
      <c r="D358" s="11">
        <v>15207926555</v>
      </c>
      <c r="E358" s="167" t="s">
        <v>156</v>
      </c>
      <c r="F358" s="167" t="s">
        <v>12</v>
      </c>
      <c r="G358" s="11">
        <v>202102010</v>
      </c>
      <c r="H358" s="167" t="s">
        <v>157</v>
      </c>
      <c r="I358" s="167" t="s">
        <v>4137</v>
      </c>
      <c r="J358" s="167" t="s">
        <v>1442</v>
      </c>
      <c r="K358" s="167" t="s">
        <v>160</v>
      </c>
      <c r="L358" s="167" t="s">
        <v>368</v>
      </c>
      <c r="M358" s="167" t="s">
        <v>4138</v>
      </c>
      <c r="N358" s="11">
        <v>0</v>
      </c>
      <c r="O358" s="12" t="str">
        <f>_xlfn.DISPIMG("ID_911EFC838815489D872B9030D6735741",1)</f>
        <v>=DISPIMG("ID_911EFC838815489D872B9030D6735741",1)</v>
      </c>
      <c r="P358" s="11" t="s">
        <v>4139</v>
      </c>
      <c r="Q358" s="11">
        <v>529</v>
      </c>
      <c r="R358" s="17" t="s">
        <v>4652</v>
      </c>
      <c r="S358" s="18" t="s">
        <v>56</v>
      </c>
      <c r="T358" s="25">
        <v>12</v>
      </c>
    </row>
    <row r="359" s="3" customFormat="1" customHeight="1" spans="1:20">
      <c r="A359" s="167" t="s">
        <v>4198</v>
      </c>
      <c r="B359" s="167" t="s">
        <v>165</v>
      </c>
      <c r="C359" s="167" t="s">
        <v>4199</v>
      </c>
      <c r="D359" s="11">
        <v>18160796883</v>
      </c>
      <c r="E359" s="167" t="s">
        <v>156</v>
      </c>
      <c r="F359" s="167" t="s">
        <v>12</v>
      </c>
      <c r="G359" s="11">
        <v>202102010</v>
      </c>
      <c r="H359" s="167" t="s">
        <v>157</v>
      </c>
      <c r="I359" s="167" t="s">
        <v>4201</v>
      </c>
      <c r="J359" s="167" t="s">
        <v>445</v>
      </c>
      <c r="K359" s="167" t="s">
        <v>170</v>
      </c>
      <c r="L359" s="167" t="s">
        <v>199</v>
      </c>
      <c r="M359" s="167" t="s">
        <v>359</v>
      </c>
      <c r="N359" s="167" t="s">
        <v>4202</v>
      </c>
      <c r="O359" s="12" t="str">
        <f>_xlfn.DISPIMG("ID_85E134BF0AB1468FAAB0CB1A9F9C4F34",1)</f>
        <v>=DISPIMG("ID_85E134BF0AB1468FAAB0CB1A9F9C4F34",1)</v>
      </c>
      <c r="P359" s="11" t="s">
        <v>4203</v>
      </c>
      <c r="Q359" s="11">
        <v>537</v>
      </c>
      <c r="R359" s="17" t="s">
        <v>4653</v>
      </c>
      <c r="S359" s="18" t="s">
        <v>56</v>
      </c>
      <c r="T359" s="25">
        <v>13</v>
      </c>
    </row>
    <row r="360" s="3" customFormat="1" customHeight="1" spans="2:20">
      <c r="B360" s="11"/>
      <c r="C360" s="11"/>
      <c r="D360" s="11"/>
      <c r="E360" s="11"/>
      <c r="F360" s="11"/>
      <c r="G360" s="11"/>
      <c r="H360" s="11"/>
      <c r="I360" s="11"/>
      <c r="J360" s="11"/>
      <c r="K360" s="11"/>
      <c r="L360" s="11"/>
      <c r="M360" s="11"/>
      <c r="N360" s="11"/>
      <c r="O360" s="12"/>
      <c r="P360" s="11" t="s">
        <v>4409</v>
      </c>
      <c r="Q360" s="11"/>
      <c r="R360" s="11" t="s">
        <v>4410</v>
      </c>
      <c r="S360" s="18" t="s">
        <v>56</v>
      </c>
      <c r="T360" s="25">
        <v>24</v>
      </c>
    </row>
    <row r="361" s="3" customFormat="1" customHeight="1" spans="2:20">
      <c r="B361" s="11"/>
      <c r="C361" s="11"/>
      <c r="D361" s="11"/>
      <c r="E361" s="11"/>
      <c r="F361" s="11"/>
      <c r="G361" s="11"/>
      <c r="H361" s="11"/>
      <c r="I361" s="11"/>
      <c r="J361" s="11"/>
      <c r="K361" s="11"/>
      <c r="L361" s="11"/>
      <c r="M361" s="11"/>
      <c r="N361" s="11"/>
      <c r="O361" s="12"/>
      <c r="P361" s="11" t="s">
        <v>4409</v>
      </c>
      <c r="Q361" s="11"/>
      <c r="R361" s="11" t="s">
        <v>4410</v>
      </c>
      <c r="S361" s="18" t="s">
        <v>56</v>
      </c>
      <c r="T361" s="25">
        <v>25</v>
      </c>
    </row>
    <row r="362" s="3" customFormat="1" customHeight="1" spans="1:20">
      <c r="A362" s="166" t="s">
        <v>184</v>
      </c>
      <c r="B362" s="166" t="s">
        <v>153</v>
      </c>
      <c r="C362" s="166" t="s">
        <v>185</v>
      </c>
      <c r="D362" s="11">
        <v>18038082134</v>
      </c>
      <c r="E362" s="167" t="s">
        <v>156</v>
      </c>
      <c r="F362" s="166" t="s">
        <v>6</v>
      </c>
      <c r="G362" s="9">
        <v>202102012</v>
      </c>
      <c r="H362" s="167" t="s">
        <v>157</v>
      </c>
      <c r="I362" s="167" t="s">
        <v>187</v>
      </c>
      <c r="J362" s="167" t="s">
        <v>188</v>
      </c>
      <c r="K362" s="167" t="s">
        <v>160</v>
      </c>
      <c r="L362" s="167" t="s">
        <v>189</v>
      </c>
      <c r="M362" s="167" t="s">
        <v>190</v>
      </c>
      <c r="N362" s="11">
        <v>0</v>
      </c>
      <c r="O362" s="12" t="str">
        <f>_xlfn.DISPIMG("ID_F9EC90828AC344EC8EE9AB75C1318672",1)</f>
        <v>=DISPIMG("ID_F9EC90828AC344EC8EE9AB75C1318672",1)</v>
      </c>
      <c r="P362" s="9" t="s">
        <v>191</v>
      </c>
      <c r="Q362" s="11">
        <v>5</v>
      </c>
      <c r="R362" s="15" t="s">
        <v>4645</v>
      </c>
      <c r="S362" s="19" t="s">
        <v>60</v>
      </c>
      <c r="T362" s="9">
        <v>6</v>
      </c>
    </row>
    <row r="363" s="3" customFormat="1" customHeight="1" spans="1:20">
      <c r="A363" s="166" t="s">
        <v>203</v>
      </c>
      <c r="B363" s="166" t="s">
        <v>165</v>
      </c>
      <c r="C363" s="166" t="s">
        <v>204</v>
      </c>
      <c r="D363" s="11">
        <v>18451114131</v>
      </c>
      <c r="E363" s="167" t="s">
        <v>156</v>
      </c>
      <c r="F363" s="166" t="s">
        <v>6</v>
      </c>
      <c r="G363" s="9">
        <v>202102012</v>
      </c>
      <c r="H363" s="167" t="s">
        <v>157</v>
      </c>
      <c r="I363" s="167" t="s">
        <v>206</v>
      </c>
      <c r="J363" s="167" t="s">
        <v>207</v>
      </c>
      <c r="K363" s="167" t="s">
        <v>160</v>
      </c>
      <c r="L363" s="167" t="s">
        <v>199</v>
      </c>
      <c r="M363" s="167" t="s">
        <v>6</v>
      </c>
      <c r="N363" s="167" t="s">
        <v>208</v>
      </c>
      <c r="O363" s="12" t="str">
        <f>_xlfn.DISPIMG("ID_F7457C8055E845839E12BBC94DC0151A",1)</f>
        <v>=DISPIMG("ID_F7457C8055E845839E12BBC94DC0151A",1)</v>
      </c>
      <c r="P363" s="9" t="s">
        <v>209</v>
      </c>
      <c r="Q363" s="11">
        <v>7</v>
      </c>
      <c r="R363" s="15" t="s">
        <v>4649</v>
      </c>
      <c r="S363" s="19" t="s">
        <v>60</v>
      </c>
      <c r="T363" s="9">
        <v>7</v>
      </c>
    </row>
    <row r="364" s="3" customFormat="1" customHeight="1" spans="1:20">
      <c r="A364" s="166" t="s">
        <v>247</v>
      </c>
      <c r="B364" s="166" t="s">
        <v>165</v>
      </c>
      <c r="C364" s="166" t="s">
        <v>248</v>
      </c>
      <c r="D364" s="11">
        <v>18194294670</v>
      </c>
      <c r="E364" s="167" t="s">
        <v>156</v>
      </c>
      <c r="F364" s="166" t="s">
        <v>6</v>
      </c>
      <c r="G364" s="9">
        <v>202102012</v>
      </c>
      <c r="H364" s="167" t="s">
        <v>157</v>
      </c>
      <c r="I364" s="167" t="s">
        <v>250</v>
      </c>
      <c r="J364" s="167" t="s">
        <v>251</v>
      </c>
      <c r="K364" s="167" t="s">
        <v>160</v>
      </c>
      <c r="L364" s="167" t="s">
        <v>252</v>
      </c>
      <c r="M364" s="167" t="s">
        <v>253</v>
      </c>
      <c r="N364" s="167" t="s">
        <v>254</v>
      </c>
      <c r="O364" s="12" t="str">
        <f>_xlfn.DISPIMG("ID_75E1D16F2E6F48168F32947A4DF07EC3",1)</f>
        <v>=DISPIMG("ID_75E1D16F2E6F48168F32947A4DF07EC3",1)</v>
      </c>
      <c r="P364" s="9" t="s">
        <v>255</v>
      </c>
      <c r="Q364" s="11">
        <v>12</v>
      </c>
      <c r="R364" s="15" t="s">
        <v>4650</v>
      </c>
      <c r="S364" s="19" t="s">
        <v>60</v>
      </c>
      <c r="T364" s="9">
        <v>18</v>
      </c>
    </row>
    <row r="365" s="3" customFormat="1" customHeight="1" spans="1:20">
      <c r="A365" s="166" t="s">
        <v>319</v>
      </c>
      <c r="B365" s="166" t="s">
        <v>165</v>
      </c>
      <c r="C365" s="166" t="s">
        <v>320</v>
      </c>
      <c r="D365" s="11">
        <v>18679938518</v>
      </c>
      <c r="E365" s="167" t="s">
        <v>156</v>
      </c>
      <c r="F365" s="166" t="s">
        <v>6</v>
      </c>
      <c r="G365" s="9">
        <v>202102012</v>
      </c>
      <c r="H365" s="167" t="s">
        <v>157</v>
      </c>
      <c r="I365" s="167" t="s">
        <v>322</v>
      </c>
      <c r="J365" s="167" t="s">
        <v>323</v>
      </c>
      <c r="K365" s="167" t="s">
        <v>170</v>
      </c>
      <c r="L365" s="167" t="s">
        <v>180</v>
      </c>
      <c r="M365" s="167" t="s">
        <v>324</v>
      </c>
      <c r="N365" s="167" t="s">
        <v>325</v>
      </c>
      <c r="O365" s="12" t="str">
        <f>_xlfn.DISPIMG("ID_7D94F98EB3D041FA910044FDF5DF1027",1)</f>
        <v>=DISPIMG("ID_7D94F98EB3D041FA910044FDF5DF1027",1)</v>
      </c>
      <c r="P365" s="9" t="s">
        <v>326</v>
      </c>
      <c r="Q365" s="11">
        <v>20</v>
      </c>
      <c r="R365" s="15" t="s">
        <v>4654</v>
      </c>
      <c r="S365" s="19" t="s">
        <v>60</v>
      </c>
      <c r="T365" s="9">
        <v>19</v>
      </c>
    </row>
    <row r="366" s="3" customFormat="1" customHeight="1" spans="1:20">
      <c r="A366" s="166" t="s">
        <v>400</v>
      </c>
      <c r="B366" s="166" t="s">
        <v>165</v>
      </c>
      <c r="C366" s="166" t="s">
        <v>401</v>
      </c>
      <c r="D366" s="11">
        <v>18279242907</v>
      </c>
      <c r="E366" s="167" t="s">
        <v>156</v>
      </c>
      <c r="F366" s="166" t="s">
        <v>6</v>
      </c>
      <c r="G366" s="9">
        <v>202102012</v>
      </c>
      <c r="H366" s="167" t="s">
        <v>157</v>
      </c>
      <c r="I366" s="167" t="s">
        <v>403</v>
      </c>
      <c r="J366" s="167" t="s">
        <v>404</v>
      </c>
      <c r="K366" s="167" t="s">
        <v>160</v>
      </c>
      <c r="L366" s="167" t="s">
        <v>252</v>
      </c>
      <c r="M366" s="167" t="s">
        <v>6</v>
      </c>
      <c r="N366" s="167" t="s">
        <v>405</v>
      </c>
      <c r="O366" s="12" t="str">
        <f>_xlfn.DISPIMG("ID_CF4959AF4AC44C8391DB8D257F1D8B87",1)</f>
        <v>=DISPIMG("ID_CF4959AF4AC44C8391DB8D257F1D8B87",1)</v>
      </c>
      <c r="P366" s="9" t="s">
        <v>406</v>
      </c>
      <c r="Q366" s="11">
        <v>29</v>
      </c>
      <c r="R366" s="15" t="s">
        <v>4655</v>
      </c>
      <c r="S366" s="19" t="s">
        <v>60</v>
      </c>
      <c r="T366" s="9">
        <v>30</v>
      </c>
    </row>
    <row r="367" s="3" customFormat="1" customHeight="1" spans="1:20">
      <c r="A367" s="166" t="s">
        <v>409</v>
      </c>
      <c r="B367" s="166" t="s">
        <v>153</v>
      </c>
      <c r="C367" s="166" t="s">
        <v>410</v>
      </c>
      <c r="D367" s="11">
        <v>13177702893</v>
      </c>
      <c r="E367" s="167" t="s">
        <v>156</v>
      </c>
      <c r="F367" s="166" t="s">
        <v>6</v>
      </c>
      <c r="G367" s="9">
        <v>202102012</v>
      </c>
      <c r="H367" s="167" t="s">
        <v>157</v>
      </c>
      <c r="I367" s="167" t="s">
        <v>412</v>
      </c>
      <c r="J367" s="167" t="s">
        <v>323</v>
      </c>
      <c r="K367" s="167" t="s">
        <v>170</v>
      </c>
      <c r="L367" s="167" t="s">
        <v>252</v>
      </c>
      <c r="M367" s="167" t="s">
        <v>413</v>
      </c>
      <c r="N367" s="167" t="s">
        <v>414</v>
      </c>
      <c r="O367" s="12" t="str">
        <f>_xlfn.DISPIMG("ID_C929C0A6F3B54FF18F2B98BE28643203",1)</f>
        <v>=DISPIMG("ID_C929C0A6F3B54FF18F2B98BE28643203",1)</v>
      </c>
      <c r="P367" s="9" t="s">
        <v>415</v>
      </c>
      <c r="Q367" s="11">
        <v>30</v>
      </c>
      <c r="R367" s="15" t="s">
        <v>4659</v>
      </c>
      <c r="S367" s="19" t="s">
        <v>60</v>
      </c>
      <c r="T367" s="9">
        <v>5</v>
      </c>
    </row>
    <row r="368" s="3" customFormat="1" customHeight="1" spans="1:20">
      <c r="A368" s="166" t="s">
        <v>627</v>
      </c>
      <c r="B368" s="166" t="s">
        <v>165</v>
      </c>
      <c r="C368" s="166" t="s">
        <v>628</v>
      </c>
      <c r="D368" s="11">
        <v>18162269962</v>
      </c>
      <c r="E368" s="167" t="s">
        <v>156</v>
      </c>
      <c r="F368" s="166" t="s">
        <v>6</v>
      </c>
      <c r="G368" s="9">
        <v>202102012</v>
      </c>
      <c r="H368" s="167" t="s">
        <v>157</v>
      </c>
      <c r="I368" s="167" t="s">
        <v>630</v>
      </c>
      <c r="J368" s="167" t="s">
        <v>207</v>
      </c>
      <c r="K368" s="167" t="s">
        <v>160</v>
      </c>
      <c r="L368" s="167" t="s">
        <v>541</v>
      </c>
      <c r="M368" s="167" t="s">
        <v>18</v>
      </c>
      <c r="N368" s="167" t="s">
        <v>631</v>
      </c>
      <c r="O368" s="12" t="str">
        <f>_xlfn.DISPIMG("ID_50ADA4D0B38B42B786E2DD18C78CCC60",1)</f>
        <v>=DISPIMG("ID_50ADA4D0B38B42B786E2DD18C78CCC60",1)</v>
      </c>
      <c r="P368" s="9" t="s">
        <v>632</v>
      </c>
      <c r="Q368" s="11">
        <v>57</v>
      </c>
      <c r="R368" s="15" t="s">
        <v>4641</v>
      </c>
      <c r="S368" s="19" t="s">
        <v>60</v>
      </c>
      <c r="T368" s="9">
        <v>8</v>
      </c>
    </row>
    <row r="369" s="3" customFormat="1" customHeight="1" spans="1:20">
      <c r="A369" s="166" t="s">
        <v>746</v>
      </c>
      <c r="B369" s="166" t="s">
        <v>165</v>
      </c>
      <c r="C369" s="166" t="s">
        <v>747</v>
      </c>
      <c r="D369" s="11">
        <v>15641592275</v>
      </c>
      <c r="E369" s="167" t="s">
        <v>156</v>
      </c>
      <c r="F369" s="166" t="s">
        <v>6</v>
      </c>
      <c r="G369" s="9">
        <v>202102012</v>
      </c>
      <c r="H369" s="167" t="s">
        <v>157</v>
      </c>
      <c r="I369" s="167" t="s">
        <v>749</v>
      </c>
      <c r="J369" s="167" t="s">
        <v>750</v>
      </c>
      <c r="K369" s="167" t="s">
        <v>160</v>
      </c>
      <c r="L369" s="167" t="s">
        <v>252</v>
      </c>
      <c r="M369" s="167" t="s">
        <v>6</v>
      </c>
      <c r="N369" s="11">
        <v>0</v>
      </c>
      <c r="O369" s="12" t="str">
        <f>_xlfn.DISPIMG("ID_7B1FBC3D2E8F42D28CA9AC35B8C2D010",1)</f>
        <v>=DISPIMG("ID_7B1FBC3D2E8F42D28CA9AC35B8C2D010",1)</v>
      </c>
      <c r="P369" s="9" t="s">
        <v>751</v>
      </c>
      <c r="Q369" s="11">
        <v>71</v>
      </c>
      <c r="R369" s="15" t="s">
        <v>4646</v>
      </c>
      <c r="S369" s="19" t="s">
        <v>60</v>
      </c>
      <c r="T369" s="9">
        <v>17</v>
      </c>
    </row>
    <row r="370" s="3" customFormat="1" customHeight="1" spans="1:20">
      <c r="A370" s="166" t="s">
        <v>770</v>
      </c>
      <c r="B370" s="166" t="s">
        <v>165</v>
      </c>
      <c r="C370" s="166" t="s">
        <v>771</v>
      </c>
      <c r="D370" s="11">
        <v>13360075847</v>
      </c>
      <c r="E370" s="167" t="s">
        <v>156</v>
      </c>
      <c r="F370" s="166" t="s">
        <v>6</v>
      </c>
      <c r="G370" s="9">
        <v>202102012</v>
      </c>
      <c r="H370" s="167" t="s">
        <v>157</v>
      </c>
      <c r="I370" s="167" t="s">
        <v>773</v>
      </c>
      <c r="J370" s="167" t="s">
        <v>188</v>
      </c>
      <c r="K370" s="167" t="s">
        <v>160</v>
      </c>
      <c r="L370" s="167" t="s">
        <v>516</v>
      </c>
      <c r="M370" s="167" t="s">
        <v>774</v>
      </c>
      <c r="N370" s="167" t="s">
        <v>775</v>
      </c>
      <c r="O370" s="12" t="str">
        <f>_xlfn.DISPIMG("ID_F0D9772787374E2C95921274F505EDAD",1)</f>
        <v>=DISPIMG("ID_F0D9772787374E2C95921274F505EDAD",1)</v>
      </c>
      <c r="P370" s="9" t="s">
        <v>776</v>
      </c>
      <c r="Q370" s="11">
        <v>74</v>
      </c>
      <c r="R370" s="15" t="s">
        <v>4651</v>
      </c>
      <c r="S370" s="19" t="s">
        <v>60</v>
      </c>
      <c r="T370" s="9">
        <v>20</v>
      </c>
    </row>
    <row r="371" s="3" customFormat="1" customHeight="1" spans="1:20">
      <c r="A371" s="166" t="s">
        <v>1076</v>
      </c>
      <c r="B371" s="166" t="s">
        <v>165</v>
      </c>
      <c r="C371" s="166" t="s">
        <v>1077</v>
      </c>
      <c r="D371" s="11">
        <v>18870203440</v>
      </c>
      <c r="E371" s="167" t="s">
        <v>156</v>
      </c>
      <c r="F371" s="166" t="s">
        <v>6</v>
      </c>
      <c r="G371" s="9">
        <v>202102012</v>
      </c>
      <c r="H371" s="167" t="s">
        <v>157</v>
      </c>
      <c r="I371" s="167" t="s">
        <v>1079</v>
      </c>
      <c r="J371" s="167" t="s">
        <v>1080</v>
      </c>
      <c r="K371" s="167" t="s">
        <v>160</v>
      </c>
      <c r="L371" s="167" t="s">
        <v>235</v>
      </c>
      <c r="M371" s="167" t="s">
        <v>413</v>
      </c>
      <c r="N371" s="167" t="s">
        <v>1081</v>
      </c>
      <c r="O371" s="12" t="str">
        <f>_xlfn.DISPIMG("ID_78C412614C7B42A0AA2A4D942DD9F1A2",1)</f>
        <v>=DISPIMG("ID_78C412614C7B42A0AA2A4D942DD9F1A2",1)</v>
      </c>
      <c r="P371" s="9" t="s">
        <v>1082</v>
      </c>
      <c r="Q371" s="11">
        <v>112</v>
      </c>
      <c r="R371" s="15" t="s">
        <v>4656</v>
      </c>
      <c r="S371" s="19" t="s">
        <v>60</v>
      </c>
      <c r="T371" s="9">
        <v>29</v>
      </c>
    </row>
    <row r="372" s="3" customFormat="1" customHeight="1" spans="1:20">
      <c r="A372" s="166" t="s">
        <v>1135</v>
      </c>
      <c r="B372" s="166" t="s">
        <v>165</v>
      </c>
      <c r="C372" s="166" t="s">
        <v>1136</v>
      </c>
      <c r="D372" s="11">
        <v>13767277916</v>
      </c>
      <c r="E372" s="167" t="s">
        <v>506</v>
      </c>
      <c r="F372" s="166" t="s">
        <v>6</v>
      </c>
      <c r="G372" s="9">
        <v>202102021</v>
      </c>
      <c r="H372" s="167" t="s">
        <v>279</v>
      </c>
      <c r="I372" s="167" t="s">
        <v>158</v>
      </c>
      <c r="J372" s="167" t="s">
        <v>1138</v>
      </c>
      <c r="K372" s="167" t="s">
        <v>170</v>
      </c>
      <c r="L372" s="167" t="s">
        <v>673</v>
      </c>
      <c r="M372" s="167" t="s">
        <v>6</v>
      </c>
      <c r="N372" s="167" t="s">
        <v>1139</v>
      </c>
      <c r="O372" s="12" t="str">
        <f>_xlfn.DISPIMG("ID_18B5B97762B948069F50AE4DD03BA465",1)</f>
        <v>=DISPIMG("ID_18B5B97762B948069F50AE4DD03BA465",1)</v>
      </c>
      <c r="P372" s="9" t="s">
        <v>1140</v>
      </c>
      <c r="Q372" s="11">
        <v>119</v>
      </c>
      <c r="R372" s="15" t="s">
        <v>4660</v>
      </c>
      <c r="S372" s="19" t="s">
        <v>60</v>
      </c>
      <c r="T372" s="9">
        <v>4</v>
      </c>
    </row>
    <row r="373" s="3" customFormat="1" customHeight="1" spans="1:20">
      <c r="A373" s="166" t="s">
        <v>1227</v>
      </c>
      <c r="B373" s="166" t="s">
        <v>165</v>
      </c>
      <c r="C373" s="166" t="s">
        <v>1228</v>
      </c>
      <c r="D373" s="11">
        <v>18279868722</v>
      </c>
      <c r="E373" s="167" t="s">
        <v>156</v>
      </c>
      <c r="F373" s="166" t="s">
        <v>6</v>
      </c>
      <c r="G373" s="9">
        <v>202102012</v>
      </c>
      <c r="H373" s="167" t="s">
        <v>279</v>
      </c>
      <c r="I373" s="167" t="s">
        <v>168</v>
      </c>
      <c r="J373" s="167" t="s">
        <v>1138</v>
      </c>
      <c r="K373" s="167" t="s">
        <v>170</v>
      </c>
      <c r="L373" s="167" t="s">
        <v>368</v>
      </c>
      <c r="M373" s="167" t="s">
        <v>498</v>
      </c>
      <c r="N373" s="167" t="s">
        <v>1230</v>
      </c>
      <c r="O373" s="12" t="str">
        <f>_xlfn.DISPIMG("ID_F7BC6213D6E44840BB6BEB26E73F83E9",1)</f>
        <v>=DISPIMG("ID_F7BC6213D6E44840BB6BEB26E73F83E9",1)</v>
      </c>
      <c r="P373" s="9" t="s">
        <v>1231</v>
      </c>
      <c r="Q373" s="11">
        <v>130</v>
      </c>
      <c r="R373" s="15" t="s">
        <v>4661</v>
      </c>
      <c r="S373" s="19" t="s">
        <v>60</v>
      </c>
      <c r="T373" s="9">
        <v>9</v>
      </c>
    </row>
    <row r="374" s="3" customFormat="1" customHeight="1" spans="1:20">
      <c r="A374" s="166" t="s">
        <v>1068</v>
      </c>
      <c r="B374" s="166" t="s">
        <v>165</v>
      </c>
      <c r="C374" s="166" t="s">
        <v>1069</v>
      </c>
      <c r="D374" s="11">
        <v>18279237136</v>
      </c>
      <c r="E374" s="167" t="s">
        <v>506</v>
      </c>
      <c r="F374" s="166" t="s">
        <v>6</v>
      </c>
      <c r="G374" s="9">
        <v>202102021</v>
      </c>
      <c r="H374" s="167" t="s">
        <v>157</v>
      </c>
      <c r="I374" s="167" t="s">
        <v>1071</v>
      </c>
      <c r="J374" s="167" t="s">
        <v>454</v>
      </c>
      <c r="K374" s="167" t="s">
        <v>160</v>
      </c>
      <c r="L374" s="167" t="s">
        <v>161</v>
      </c>
      <c r="M374" s="167" t="s">
        <v>413</v>
      </c>
      <c r="N374" s="167" t="s">
        <v>1072</v>
      </c>
      <c r="O374" s="12" t="str">
        <f>_xlfn.DISPIMG("ID_4A5DEA3E498746E9A9AC483CF4ABDF91",1)</f>
        <v>=DISPIMG("ID_4A5DEA3E498746E9A9AC483CF4ABDF91",1)</v>
      </c>
      <c r="P374" s="9" t="s">
        <v>1073</v>
      </c>
      <c r="Q374" s="11">
        <v>137</v>
      </c>
      <c r="R374" s="15" t="s">
        <v>4665</v>
      </c>
      <c r="S374" s="19" t="s">
        <v>60</v>
      </c>
      <c r="T374" s="9">
        <v>16</v>
      </c>
    </row>
    <row r="375" s="3" customFormat="1" customHeight="1" spans="1:20">
      <c r="A375" s="166" t="s">
        <v>1336</v>
      </c>
      <c r="B375" s="166" t="s">
        <v>165</v>
      </c>
      <c r="C375" s="166" t="s">
        <v>1337</v>
      </c>
      <c r="D375" s="11">
        <v>15827758062</v>
      </c>
      <c r="E375" s="167" t="s">
        <v>506</v>
      </c>
      <c r="F375" s="166" t="s">
        <v>6</v>
      </c>
      <c r="G375" s="9">
        <v>202102021</v>
      </c>
      <c r="H375" s="167" t="s">
        <v>157</v>
      </c>
      <c r="I375" s="167" t="s">
        <v>909</v>
      </c>
      <c r="J375" s="167" t="s">
        <v>323</v>
      </c>
      <c r="K375" s="167" t="s">
        <v>170</v>
      </c>
      <c r="L375" s="167" t="s">
        <v>235</v>
      </c>
      <c r="M375" s="167" t="s">
        <v>1339</v>
      </c>
      <c r="N375" s="167" t="s">
        <v>1340</v>
      </c>
      <c r="O375" s="12" t="str">
        <f>_xlfn.DISPIMG("ID_59602C342648425A87CF8C12540A5579",1)</f>
        <v>=DISPIMG("ID_59602C342648425A87CF8C12540A5579",1)</v>
      </c>
      <c r="P375" s="9" t="s">
        <v>1341</v>
      </c>
      <c r="Q375" s="11">
        <v>145</v>
      </c>
      <c r="R375" s="15" t="s">
        <v>4666</v>
      </c>
      <c r="S375" s="19" t="s">
        <v>60</v>
      </c>
      <c r="T375" s="9">
        <v>21</v>
      </c>
    </row>
    <row r="376" s="3" customFormat="1" customHeight="1" spans="1:20">
      <c r="A376" s="166" t="s">
        <v>1622</v>
      </c>
      <c r="B376" s="166" t="s">
        <v>165</v>
      </c>
      <c r="C376" s="166" t="s">
        <v>1623</v>
      </c>
      <c r="D376" s="11">
        <v>15170969760</v>
      </c>
      <c r="E376" s="167" t="s">
        <v>506</v>
      </c>
      <c r="F376" s="166" t="s">
        <v>6</v>
      </c>
      <c r="G376" s="9">
        <v>202102021</v>
      </c>
      <c r="H376" s="167" t="s">
        <v>157</v>
      </c>
      <c r="I376" s="167" t="s">
        <v>1625</v>
      </c>
      <c r="J376" s="167" t="s">
        <v>750</v>
      </c>
      <c r="K376" s="167" t="s">
        <v>160</v>
      </c>
      <c r="L376" s="167" t="s">
        <v>1089</v>
      </c>
      <c r="M376" s="167" t="s">
        <v>6</v>
      </c>
      <c r="N376" s="167" t="s">
        <v>1626</v>
      </c>
      <c r="O376" s="12" t="str">
        <f>_xlfn.DISPIMG("ID_F5B5B7553FD14A38A3CEAB4A3171FC0C",1)</f>
        <v>=DISPIMG("ID_F5B5B7553FD14A38A3CEAB4A3171FC0C",1)</v>
      </c>
      <c r="P376" s="9" t="s">
        <v>1627</v>
      </c>
      <c r="Q376" s="11">
        <v>182</v>
      </c>
      <c r="R376" s="15" t="s">
        <v>4667</v>
      </c>
      <c r="S376" s="19" t="s">
        <v>60</v>
      </c>
      <c r="T376" s="9">
        <v>28</v>
      </c>
    </row>
    <row r="377" s="3" customFormat="1" customHeight="1" spans="1:20">
      <c r="A377" s="166" t="s">
        <v>1798</v>
      </c>
      <c r="B377" s="166" t="s">
        <v>165</v>
      </c>
      <c r="C377" s="166" t="s">
        <v>1799</v>
      </c>
      <c r="D377" s="11">
        <v>18070223507</v>
      </c>
      <c r="E377" s="167" t="s">
        <v>506</v>
      </c>
      <c r="F377" s="166" t="s">
        <v>6</v>
      </c>
      <c r="G377" s="9">
        <v>202102021</v>
      </c>
      <c r="H377" s="167" t="s">
        <v>157</v>
      </c>
      <c r="I377" s="167" t="s">
        <v>1801</v>
      </c>
      <c r="J377" s="167" t="s">
        <v>1802</v>
      </c>
      <c r="K377" s="167" t="s">
        <v>160</v>
      </c>
      <c r="L377" s="167" t="s">
        <v>161</v>
      </c>
      <c r="M377" s="167" t="s">
        <v>6</v>
      </c>
      <c r="N377" s="167" t="s">
        <v>1803</v>
      </c>
      <c r="O377" s="12" t="str">
        <f>_xlfn.DISPIMG("ID_054E9F37DEBB4C16973D352603A54499",1)</f>
        <v>=DISPIMG("ID_054E9F37DEBB4C16973D352603A54499",1)</v>
      </c>
      <c r="P377" s="9" t="s">
        <v>1804</v>
      </c>
      <c r="Q377" s="11">
        <v>205</v>
      </c>
      <c r="R377" s="15" t="s">
        <v>4668</v>
      </c>
      <c r="S377" s="19" t="s">
        <v>60</v>
      </c>
      <c r="T377" s="9">
        <v>3</v>
      </c>
    </row>
    <row r="378" s="3" customFormat="1" customHeight="1" spans="1:20">
      <c r="A378" s="166" t="s">
        <v>2233</v>
      </c>
      <c r="B378" s="166" t="s">
        <v>165</v>
      </c>
      <c r="C378" s="166" t="s">
        <v>2234</v>
      </c>
      <c r="D378" s="11">
        <v>18279238026</v>
      </c>
      <c r="E378" s="167" t="s">
        <v>156</v>
      </c>
      <c r="F378" s="166" t="s">
        <v>6</v>
      </c>
      <c r="G378" s="9">
        <v>202102012</v>
      </c>
      <c r="H378" s="167" t="s">
        <v>157</v>
      </c>
      <c r="I378" s="167" t="s">
        <v>2236</v>
      </c>
      <c r="J378" s="167" t="s">
        <v>188</v>
      </c>
      <c r="K378" s="167" t="s">
        <v>160</v>
      </c>
      <c r="L378" s="167" t="s">
        <v>516</v>
      </c>
      <c r="M378" s="167" t="s">
        <v>18</v>
      </c>
      <c r="N378" s="11">
        <v>0</v>
      </c>
      <c r="O378" s="12" t="str">
        <f>_xlfn.DISPIMG("ID_B83409D3E833484EAA2409A5675BAA5D",1)</f>
        <v>=DISPIMG("ID_B83409D3E833484EAA2409A5675BAA5D",1)</v>
      </c>
      <c r="P378" s="9" t="s">
        <v>2237</v>
      </c>
      <c r="Q378" s="11">
        <v>263</v>
      </c>
      <c r="R378" s="15" t="s">
        <v>4669</v>
      </c>
      <c r="S378" s="19" t="s">
        <v>60</v>
      </c>
      <c r="T378" s="9">
        <v>10</v>
      </c>
    </row>
    <row r="379" s="3" customFormat="1" customHeight="1" spans="1:20">
      <c r="A379" s="166" t="s">
        <v>2264</v>
      </c>
      <c r="B379" s="166" t="s">
        <v>153</v>
      </c>
      <c r="C379" s="166" t="s">
        <v>2265</v>
      </c>
      <c r="D379" s="11">
        <v>13755257750</v>
      </c>
      <c r="E379" s="167" t="s">
        <v>506</v>
      </c>
      <c r="F379" s="166" t="s">
        <v>6</v>
      </c>
      <c r="G379" s="9">
        <v>202102021</v>
      </c>
      <c r="H379" s="167" t="s">
        <v>157</v>
      </c>
      <c r="I379" s="167" t="s">
        <v>2267</v>
      </c>
      <c r="J379" s="167" t="s">
        <v>2268</v>
      </c>
      <c r="K379" s="167" t="s">
        <v>160</v>
      </c>
      <c r="L379" s="167" t="s">
        <v>161</v>
      </c>
      <c r="M379" s="167" t="s">
        <v>2269</v>
      </c>
      <c r="N379" s="11">
        <v>0</v>
      </c>
      <c r="O379" s="12" t="str">
        <f>_xlfn.DISPIMG("ID_73D56986F7DE44CDB5B00B7AF01CF017",1)</f>
        <v>=DISPIMG("ID_73D56986F7DE44CDB5B00B7AF01CF017",1)</v>
      </c>
      <c r="P379" s="9" t="s">
        <v>2270</v>
      </c>
      <c r="Q379" s="11">
        <v>267</v>
      </c>
      <c r="R379" s="15" t="s">
        <v>4670</v>
      </c>
      <c r="S379" s="19" t="s">
        <v>60</v>
      </c>
      <c r="T379" s="9">
        <v>15</v>
      </c>
    </row>
    <row r="380" s="3" customFormat="1" customHeight="1" spans="1:20">
      <c r="A380" s="166" t="s">
        <v>2316</v>
      </c>
      <c r="B380" s="166" t="s">
        <v>165</v>
      </c>
      <c r="C380" s="166" t="s">
        <v>2317</v>
      </c>
      <c r="D380" s="11">
        <v>18790256284</v>
      </c>
      <c r="E380" s="167" t="s">
        <v>156</v>
      </c>
      <c r="F380" s="166" t="s">
        <v>6</v>
      </c>
      <c r="G380" s="9">
        <v>202102012</v>
      </c>
      <c r="H380" s="167" t="s">
        <v>157</v>
      </c>
      <c r="I380" s="167" t="s">
        <v>403</v>
      </c>
      <c r="J380" s="167" t="s">
        <v>207</v>
      </c>
      <c r="K380" s="167" t="s">
        <v>160</v>
      </c>
      <c r="L380" s="167" t="s">
        <v>161</v>
      </c>
      <c r="M380" s="167" t="s">
        <v>1156</v>
      </c>
      <c r="N380" s="167" t="s">
        <v>2319</v>
      </c>
      <c r="O380" s="12" t="str">
        <f>_xlfn.DISPIMG("ID_CE4D4038789D4DF1AB53AB5B07B379E6",1)</f>
        <v>=DISPIMG("ID_CE4D4038789D4DF1AB53AB5B07B379E6",1)</v>
      </c>
      <c r="P380" s="9" t="s">
        <v>2320</v>
      </c>
      <c r="Q380" s="11">
        <v>274</v>
      </c>
      <c r="R380" s="15" t="s">
        <v>4671</v>
      </c>
      <c r="S380" s="19" t="s">
        <v>60</v>
      </c>
      <c r="T380" s="9">
        <v>22</v>
      </c>
    </row>
    <row r="381" s="3" customFormat="1" customHeight="1" spans="1:20">
      <c r="A381" s="166" t="s">
        <v>2643</v>
      </c>
      <c r="B381" s="166" t="s">
        <v>165</v>
      </c>
      <c r="C381" s="166" t="s">
        <v>2644</v>
      </c>
      <c r="D381" s="11">
        <v>15779267017</v>
      </c>
      <c r="E381" s="167" t="s">
        <v>156</v>
      </c>
      <c r="F381" s="166" t="s">
        <v>6</v>
      </c>
      <c r="G381" s="9">
        <v>202102012</v>
      </c>
      <c r="H381" s="167" t="s">
        <v>157</v>
      </c>
      <c r="I381" s="167" t="s">
        <v>2646</v>
      </c>
      <c r="J381" s="167" t="s">
        <v>2647</v>
      </c>
      <c r="K381" s="167" t="s">
        <v>160</v>
      </c>
      <c r="L381" s="167" t="s">
        <v>306</v>
      </c>
      <c r="M381" s="167" t="s">
        <v>18</v>
      </c>
      <c r="N381" s="167" t="s">
        <v>2648</v>
      </c>
      <c r="O381" s="12" t="str">
        <f>_xlfn.DISPIMG("ID_5444703683DB4591A53B76ECB3D8FAE4",1)</f>
        <v>=DISPIMG("ID_5444703683DB4591A53B76ECB3D8FAE4",1)</v>
      </c>
      <c r="P381" s="9" t="s">
        <v>2649</v>
      </c>
      <c r="Q381" s="11">
        <v>318</v>
      </c>
      <c r="R381" s="15" t="s">
        <v>4672</v>
      </c>
      <c r="S381" s="19" t="s">
        <v>60</v>
      </c>
      <c r="T381" s="9">
        <v>27</v>
      </c>
    </row>
    <row r="382" s="3" customFormat="1" customHeight="1" spans="1:20">
      <c r="A382" s="166" t="s">
        <v>2705</v>
      </c>
      <c r="B382" s="166" t="s">
        <v>165</v>
      </c>
      <c r="C382" s="166" t="s">
        <v>2706</v>
      </c>
      <c r="D382" s="11">
        <v>18879206969</v>
      </c>
      <c r="E382" s="167" t="s">
        <v>156</v>
      </c>
      <c r="F382" s="166" t="s">
        <v>6</v>
      </c>
      <c r="G382" s="9">
        <v>202102012</v>
      </c>
      <c r="H382" s="167" t="s">
        <v>157</v>
      </c>
      <c r="I382" s="167" t="s">
        <v>2708</v>
      </c>
      <c r="J382" s="167" t="s">
        <v>750</v>
      </c>
      <c r="K382" s="167" t="s">
        <v>160</v>
      </c>
      <c r="L382" s="167" t="s">
        <v>216</v>
      </c>
      <c r="M382" s="167" t="s">
        <v>18</v>
      </c>
      <c r="N382" s="11">
        <v>0</v>
      </c>
      <c r="O382" s="12" t="str">
        <f>_xlfn.DISPIMG("ID_4ECDECBC23404DF3A6E316268C69D43E",1)</f>
        <v>=DISPIMG("ID_4ECDECBC23404DF3A6E316268C69D43E",1)</v>
      </c>
      <c r="P382" s="9" t="s">
        <v>2709</v>
      </c>
      <c r="Q382" s="11">
        <v>326</v>
      </c>
      <c r="R382" s="15" t="s">
        <v>4673</v>
      </c>
      <c r="S382" s="19" t="s">
        <v>60</v>
      </c>
      <c r="T382" s="9">
        <v>2</v>
      </c>
    </row>
    <row r="383" s="3" customFormat="1" customHeight="1" spans="1:20">
      <c r="A383" s="166" t="s">
        <v>2718</v>
      </c>
      <c r="B383" s="166" t="s">
        <v>153</v>
      </c>
      <c r="C383" s="166" t="s">
        <v>2719</v>
      </c>
      <c r="D383" s="11">
        <v>15779215230</v>
      </c>
      <c r="E383" s="167" t="s">
        <v>156</v>
      </c>
      <c r="F383" s="166" t="s">
        <v>6</v>
      </c>
      <c r="G383" s="9">
        <v>202102012</v>
      </c>
      <c r="H383" s="167" t="s">
        <v>157</v>
      </c>
      <c r="I383" s="167" t="s">
        <v>168</v>
      </c>
      <c r="J383" s="167" t="s">
        <v>2721</v>
      </c>
      <c r="K383" s="167" t="s">
        <v>160</v>
      </c>
      <c r="L383" s="167" t="s">
        <v>455</v>
      </c>
      <c r="M383" s="167" t="s">
        <v>18</v>
      </c>
      <c r="N383" s="167" t="s">
        <v>2722</v>
      </c>
      <c r="O383" s="12" t="str">
        <f>_xlfn.DISPIMG("ID_2B62698B077F4147874AB6F7E19938E7",1)</f>
        <v>=DISPIMG("ID_2B62698B077F4147874AB6F7E19938E7",1)</v>
      </c>
      <c r="P383" s="9" t="s">
        <v>2723</v>
      </c>
      <c r="Q383" s="11">
        <v>328</v>
      </c>
      <c r="R383" s="15" t="s">
        <v>4674</v>
      </c>
      <c r="S383" s="19" t="s">
        <v>60</v>
      </c>
      <c r="T383" s="9">
        <v>11</v>
      </c>
    </row>
    <row r="384" s="3" customFormat="1" customHeight="1" spans="1:20">
      <c r="A384" s="166" t="s">
        <v>2922</v>
      </c>
      <c r="B384" s="166" t="s">
        <v>165</v>
      </c>
      <c r="C384" s="166" t="s">
        <v>2923</v>
      </c>
      <c r="D384" s="11">
        <v>18079240698</v>
      </c>
      <c r="E384" s="167" t="s">
        <v>156</v>
      </c>
      <c r="F384" s="166" t="s">
        <v>6</v>
      </c>
      <c r="G384" s="9">
        <v>202102012</v>
      </c>
      <c r="H384" s="167" t="s">
        <v>157</v>
      </c>
      <c r="I384" s="167" t="s">
        <v>322</v>
      </c>
      <c r="J384" s="167" t="s">
        <v>2268</v>
      </c>
      <c r="K384" s="167" t="s">
        <v>160</v>
      </c>
      <c r="L384" s="167" t="s">
        <v>455</v>
      </c>
      <c r="M384" s="167" t="s">
        <v>2925</v>
      </c>
      <c r="N384" s="11">
        <v>0</v>
      </c>
      <c r="O384" s="12" t="str">
        <f>_xlfn.DISPIMG("ID_40B4A1C67261465298C744E0F0D93767",1)</f>
        <v>=DISPIMG("ID_40B4A1C67261465298C744E0F0D93767",1)</v>
      </c>
      <c r="P384" s="9" t="s">
        <v>2926</v>
      </c>
      <c r="Q384" s="11">
        <v>356</v>
      </c>
      <c r="R384" s="15" t="s">
        <v>4675</v>
      </c>
      <c r="S384" s="19" t="s">
        <v>60</v>
      </c>
      <c r="T384" s="9">
        <v>14</v>
      </c>
    </row>
    <row r="385" s="3" customFormat="1" customHeight="1" spans="1:20">
      <c r="A385" s="166" t="s">
        <v>3091</v>
      </c>
      <c r="B385" s="166" t="s">
        <v>165</v>
      </c>
      <c r="C385" s="166" t="s">
        <v>3092</v>
      </c>
      <c r="D385" s="11">
        <v>18679162461</v>
      </c>
      <c r="E385" s="167" t="s">
        <v>156</v>
      </c>
      <c r="F385" s="166" t="s">
        <v>6</v>
      </c>
      <c r="G385" s="9">
        <v>202102012</v>
      </c>
      <c r="H385" s="167" t="s">
        <v>157</v>
      </c>
      <c r="I385" s="167" t="s">
        <v>3094</v>
      </c>
      <c r="J385" s="167" t="s">
        <v>3095</v>
      </c>
      <c r="K385" s="167" t="s">
        <v>160</v>
      </c>
      <c r="L385" s="167" t="s">
        <v>171</v>
      </c>
      <c r="M385" s="167" t="s">
        <v>18</v>
      </c>
      <c r="N385" s="167" t="s">
        <v>3096</v>
      </c>
      <c r="O385" s="12" t="str">
        <f>_xlfn.DISPIMG("ID_26230D3A7A254FB387523A67FAC705F7",1)</f>
        <v>=DISPIMG("ID_26230D3A7A254FB387523A67FAC705F7",1)</v>
      </c>
      <c r="P385" s="9" t="s">
        <v>3097</v>
      </c>
      <c r="Q385" s="11">
        <v>382</v>
      </c>
      <c r="R385" s="15" t="s">
        <v>4676</v>
      </c>
      <c r="S385" s="19" t="s">
        <v>60</v>
      </c>
      <c r="T385" s="9">
        <v>23</v>
      </c>
    </row>
    <row r="386" s="3" customFormat="1" customHeight="1" spans="1:20">
      <c r="A386" s="166" t="s">
        <v>3123</v>
      </c>
      <c r="B386" s="166" t="s">
        <v>165</v>
      </c>
      <c r="C386" s="166" t="s">
        <v>3124</v>
      </c>
      <c r="D386" s="11">
        <v>19979611731</v>
      </c>
      <c r="E386" s="167" t="s">
        <v>156</v>
      </c>
      <c r="F386" s="166" t="s">
        <v>6</v>
      </c>
      <c r="G386" s="9">
        <v>202102012</v>
      </c>
      <c r="H386" s="167" t="s">
        <v>157</v>
      </c>
      <c r="I386" s="167" t="s">
        <v>3126</v>
      </c>
      <c r="J386" s="167" t="s">
        <v>404</v>
      </c>
      <c r="K386" s="167" t="s">
        <v>160</v>
      </c>
      <c r="L386" s="167" t="s">
        <v>199</v>
      </c>
      <c r="M386" s="167" t="s">
        <v>18</v>
      </c>
      <c r="N386" s="11">
        <v>0</v>
      </c>
      <c r="O386" s="12" t="str">
        <f>_xlfn.DISPIMG("ID_A2488CA19AE844B4BBFD68619FFEAA1D",1)</f>
        <v>=DISPIMG("ID_A2488CA19AE844B4BBFD68619FFEAA1D",1)</v>
      </c>
      <c r="P386" s="9" t="s">
        <v>3127</v>
      </c>
      <c r="Q386" s="11">
        <v>386</v>
      </c>
      <c r="R386" s="15" t="s">
        <v>4677</v>
      </c>
      <c r="S386" s="19" t="s">
        <v>60</v>
      </c>
      <c r="T386" s="9">
        <v>26</v>
      </c>
    </row>
    <row r="387" s="3" customFormat="1" customHeight="1" spans="1:20">
      <c r="A387" s="166" t="s">
        <v>3366</v>
      </c>
      <c r="B387" s="166" t="s">
        <v>153</v>
      </c>
      <c r="C387" s="166" t="s">
        <v>3367</v>
      </c>
      <c r="D387" s="11">
        <v>13755682208</v>
      </c>
      <c r="E387" s="167" t="s">
        <v>506</v>
      </c>
      <c r="F387" s="166" t="s">
        <v>6</v>
      </c>
      <c r="G387" s="9">
        <v>202102021</v>
      </c>
      <c r="H387" s="167" t="s">
        <v>279</v>
      </c>
      <c r="I387" s="167" t="s">
        <v>178</v>
      </c>
      <c r="J387" s="167" t="s">
        <v>1138</v>
      </c>
      <c r="K387" s="167" t="s">
        <v>170</v>
      </c>
      <c r="L387" s="167" t="s">
        <v>216</v>
      </c>
      <c r="M387" s="167" t="s">
        <v>3369</v>
      </c>
      <c r="N387" s="167" t="s">
        <v>3370</v>
      </c>
      <c r="O387" s="12" t="str">
        <f>_xlfn.DISPIMG("ID_5C988A3540504C69ADD9A8ABF15446E0",1)</f>
        <v>=DISPIMG("ID_5C988A3540504C69ADD9A8ABF15446E0",1)</v>
      </c>
      <c r="P387" s="9" t="s">
        <v>3371</v>
      </c>
      <c r="Q387" s="11">
        <v>424</v>
      </c>
      <c r="R387" s="15" t="s">
        <v>4678</v>
      </c>
      <c r="S387" s="19" t="s">
        <v>60</v>
      </c>
      <c r="T387" s="9">
        <v>1</v>
      </c>
    </row>
    <row r="388" s="3" customFormat="1" customHeight="1" spans="1:20">
      <c r="A388" s="166" t="s">
        <v>3423</v>
      </c>
      <c r="B388" s="166" t="s">
        <v>165</v>
      </c>
      <c r="C388" s="166" t="s">
        <v>3424</v>
      </c>
      <c r="D388" s="11">
        <v>18720214779</v>
      </c>
      <c r="E388" s="167" t="s">
        <v>156</v>
      </c>
      <c r="F388" s="166" t="s">
        <v>6</v>
      </c>
      <c r="G388" s="9">
        <v>202102012</v>
      </c>
      <c r="H388" s="167" t="s">
        <v>157</v>
      </c>
      <c r="I388" s="167" t="s">
        <v>1424</v>
      </c>
      <c r="J388" s="167" t="s">
        <v>404</v>
      </c>
      <c r="K388" s="167" t="s">
        <v>160</v>
      </c>
      <c r="L388" s="167" t="s">
        <v>171</v>
      </c>
      <c r="M388" s="167" t="s">
        <v>18</v>
      </c>
      <c r="N388" s="167" t="s">
        <v>3425</v>
      </c>
      <c r="O388" s="12" t="str">
        <f>_xlfn.DISPIMG("ID_F35EB404C32C41B8B6B9DFFF6A73D9A8",1)</f>
        <v>=DISPIMG("ID_F35EB404C32C41B8B6B9DFFF6A73D9A8",1)</v>
      </c>
      <c r="P388" s="9" t="s">
        <v>3426</v>
      </c>
      <c r="Q388" s="11">
        <v>432</v>
      </c>
      <c r="R388" s="15" t="s">
        <v>4679</v>
      </c>
      <c r="S388" s="19" t="s">
        <v>60</v>
      </c>
      <c r="T388" s="9">
        <v>12</v>
      </c>
    </row>
    <row r="389" s="3" customFormat="1" customHeight="1" spans="1:20">
      <c r="A389" s="166" t="s">
        <v>3450</v>
      </c>
      <c r="B389" s="166" t="s">
        <v>165</v>
      </c>
      <c r="C389" s="166" t="s">
        <v>3451</v>
      </c>
      <c r="D389" s="11">
        <v>13122970585</v>
      </c>
      <c r="E389" s="167" t="s">
        <v>156</v>
      </c>
      <c r="F389" s="166" t="s">
        <v>6</v>
      </c>
      <c r="G389" s="9">
        <v>202102012</v>
      </c>
      <c r="H389" s="167" t="s">
        <v>157</v>
      </c>
      <c r="I389" s="167" t="s">
        <v>3453</v>
      </c>
      <c r="J389" s="167" t="s">
        <v>323</v>
      </c>
      <c r="K389" s="167" t="s">
        <v>170</v>
      </c>
      <c r="L389" s="167" t="s">
        <v>396</v>
      </c>
      <c r="M389" s="167" t="s">
        <v>2244</v>
      </c>
      <c r="N389" s="167" t="s">
        <v>3454</v>
      </c>
      <c r="O389" s="12" t="str">
        <f>_xlfn.DISPIMG("ID_75AF34168E0448D4A462EFA2E90CB632",1)</f>
        <v>=DISPIMG("ID_75AF34168E0448D4A462EFA2E90CB632",1)</v>
      </c>
      <c r="P389" s="9" t="s">
        <v>3455</v>
      </c>
      <c r="Q389" s="11">
        <v>436</v>
      </c>
      <c r="R389" s="15" t="s">
        <v>4680</v>
      </c>
      <c r="S389" s="19" t="s">
        <v>60</v>
      </c>
      <c r="T389" s="9">
        <v>13</v>
      </c>
    </row>
    <row r="390" s="3" customFormat="1" customHeight="1" spans="1:20">
      <c r="A390" s="166" t="s">
        <v>3466</v>
      </c>
      <c r="B390" s="166" t="s">
        <v>165</v>
      </c>
      <c r="C390" s="166" t="s">
        <v>3467</v>
      </c>
      <c r="D390" s="11">
        <v>15879126790</v>
      </c>
      <c r="E390" s="167" t="s">
        <v>156</v>
      </c>
      <c r="F390" s="166" t="s">
        <v>6</v>
      </c>
      <c r="G390" s="9">
        <v>202102012</v>
      </c>
      <c r="H390" s="167" t="s">
        <v>157</v>
      </c>
      <c r="I390" s="167" t="s">
        <v>901</v>
      </c>
      <c r="J390" s="167" t="s">
        <v>188</v>
      </c>
      <c r="K390" s="167" t="s">
        <v>160</v>
      </c>
      <c r="L390" s="167" t="s">
        <v>281</v>
      </c>
      <c r="M390" s="167" t="s">
        <v>1579</v>
      </c>
      <c r="N390" s="167" t="s">
        <v>3469</v>
      </c>
      <c r="O390" s="12" t="str">
        <f>_xlfn.DISPIMG("ID_F4E1B2AC46944606B0ACE14F8CC9918C",1)</f>
        <v>=DISPIMG("ID_F4E1B2AC46944606B0ACE14F8CC9918C",1)</v>
      </c>
      <c r="P390" s="9" t="s">
        <v>3470</v>
      </c>
      <c r="Q390" s="11">
        <v>438</v>
      </c>
      <c r="R390" s="15" t="s">
        <v>4681</v>
      </c>
      <c r="S390" s="19" t="s">
        <v>60</v>
      </c>
      <c r="T390" s="9">
        <v>24</v>
      </c>
    </row>
    <row r="391" s="3" customFormat="1" customHeight="1" spans="1:20">
      <c r="A391" s="166" t="s">
        <v>3630</v>
      </c>
      <c r="B391" s="166" t="s">
        <v>153</v>
      </c>
      <c r="C391" s="166" t="s">
        <v>3631</v>
      </c>
      <c r="D391" s="11">
        <v>19979468695</v>
      </c>
      <c r="E391" s="167" t="s">
        <v>506</v>
      </c>
      <c r="F391" s="166" t="s">
        <v>6</v>
      </c>
      <c r="G391" s="9">
        <v>202102021</v>
      </c>
      <c r="H391" s="167" t="s">
        <v>157</v>
      </c>
      <c r="I391" s="167" t="s">
        <v>3633</v>
      </c>
      <c r="J391" s="167" t="s">
        <v>323</v>
      </c>
      <c r="K391" s="167" t="s">
        <v>170</v>
      </c>
      <c r="L391" s="167" t="s">
        <v>171</v>
      </c>
      <c r="M391" s="167" t="s">
        <v>3634</v>
      </c>
      <c r="N391" s="167" t="s">
        <v>3635</v>
      </c>
      <c r="O391" s="12" t="str">
        <f>_xlfn.DISPIMG("ID_7CE83E02BD574BEF88ED6441327C41EF",1)</f>
        <v>=DISPIMG("ID_7CE83E02BD574BEF88ED6441327C41EF",1)</v>
      </c>
      <c r="P391" s="9" t="s">
        <v>3636</v>
      </c>
      <c r="Q391" s="11">
        <v>462</v>
      </c>
      <c r="R391" s="15" t="s">
        <v>4682</v>
      </c>
      <c r="S391" s="19" t="s">
        <v>60</v>
      </c>
      <c r="T391" s="9">
        <v>25</v>
      </c>
    </row>
    <row r="392" s="3" customFormat="1" customHeight="1" spans="1:20">
      <c r="A392" s="167" t="s">
        <v>3743</v>
      </c>
      <c r="B392" s="167" t="s">
        <v>165</v>
      </c>
      <c r="C392" s="167" t="s">
        <v>3744</v>
      </c>
      <c r="D392" s="11">
        <v>15679201300</v>
      </c>
      <c r="E392" s="167" t="s">
        <v>156</v>
      </c>
      <c r="F392" s="167" t="s">
        <v>6</v>
      </c>
      <c r="G392" s="11">
        <v>202102012</v>
      </c>
      <c r="H392" s="167" t="s">
        <v>157</v>
      </c>
      <c r="I392" s="167" t="s">
        <v>437</v>
      </c>
      <c r="J392" s="167" t="s">
        <v>3746</v>
      </c>
      <c r="K392" s="167" t="s">
        <v>160</v>
      </c>
      <c r="L392" s="167" t="s">
        <v>216</v>
      </c>
      <c r="M392" s="167" t="s">
        <v>18</v>
      </c>
      <c r="N392" s="167" t="s">
        <v>3747</v>
      </c>
      <c r="O392" s="12" t="str">
        <f>_xlfn.DISPIMG("ID_B41ADE81115D4115B428E62357BC8F70",1)</f>
        <v>=DISPIMG("ID_B41ADE81115D4115B428E62357BC8F70",1)</v>
      </c>
      <c r="P392" s="11" t="s">
        <v>3748</v>
      </c>
      <c r="Q392" s="20">
        <v>477</v>
      </c>
      <c r="R392" s="17" t="s">
        <v>4683</v>
      </c>
      <c r="S392" s="18" t="s">
        <v>62</v>
      </c>
      <c r="T392" s="25">
        <v>6</v>
      </c>
    </row>
    <row r="393" s="3" customFormat="1" customHeight="1" spans="1:20">
      <c r="A393" s="167" t="s">
        <v>164</v>
      </c>
      <c r="B393" s="167" t="s">
        <v>165</v>
      </c>
      <c r="C393" s="167" t="s">
        <v>166</v>
      </c>
      <c r="D393" s="11">
        <v>15879299279</v>
      </c>
      <c r="E393" s="167" t="s">
        <v>156</v>
      </c>
      <c r="F393" s="167" t="s">
        <v>4</v>
      </c>
      <c r="G393" s="11">
        <v>202102005</v>
      </c>
      <c r="H393" s="167" t="s">
        <v>157</v>
      </c>
      <c r="I393" s="167" t="s">
        <v>168</v>
      </c>
      <c r="J393" s="167" t="s">
        <v>169</v>
      </c>
      <c r="K393" s="167" t="s">
        <v>170</v>
      </c>
      <c r="L393" s="167" t="s">
        <v>171</v>
      </c>
      <c r="M393" s="167" t="s">
        <v>4</v>
      </c>
      <c r="N393" s="11">
        <v>0</v>
      </c>
      <c r="O393" s="12" t="str">
        <f>_xlfn.DISPIMG("ID_7D4B330FD7544FC19CF8CAA4A42A6F11",1)</f>
        <v>=DISPIMG("ID_7D4B330FD7544FC19CF8CAA4A42A6F11",1)</v>
      </c>
      <c r="P393" s="11" t="s">
        <v>172</v>
      </c>
      <c r="Q393" s="11">
        <v>3</v>
      </c>
      <c r="R393" s="17" t="s">
        <v>4689</v>
      </c>
      <c r="S393" s="18" t="s">
        <v>62</v>
      </c>
      <c r="T393" s="25">
        <v>7</v>
      </c>
    </row>
    <row r="394" s="3" customFormat="1" customHeight="1" spans="1:20">
      <c r="A394" s="167" t="s">
        <v>1085</v>
      </c>
      <c r="B394" s="167" t="s">
        <v>165</v>
      </c>
      <c r="C394" s="167" t="s">
        <v>1086</v>
      </c>
      <c r="D394" s="11">
        <v>15179282018</v>
      </c>
      <c r="E394" s="167" t="s">
        <v>156</v>
      </c>
      <c r="F394" s="167" t="s">
        <v>4</v>
      </c>
      <c r="G394" s="11">
        <v>202102005</v>
      </c>
      <c r="H394" s="167" t="s">
        <v>279</v>
      </c>
      <c r="I394" s="167" t="s">
        <v>158</v>
      </c>
      <c r="J394" s="167" t="s">
        <v>1088</v>
      </c>
      <c r="K394" s="167" t="s">
        <v>170</v>
      </c>
      <c r="L394" s="167" t="s">
        <v>1089</v>
      </c>
      <c r="M394" s="167" t="s">
        <v>4</v>
      </c>
      <c r="N394" s="167" t="s">
        <v>1090</v>
      </c>
      <c r="O394" s="12" t="str">
        <f>_xlfn.DISPIMG("ID_2B72C85721DF4DA8A46A71B57C490F39",1)</f>
        <v>=DISPIMG("ID_2B72C85721DF4DA8A46A71B57C490F39",1)</v>
      </c>
      <c r="P394" s="11" t="s">
        <v>1091</v>
      </c>
      <c r="Q394" s="11">
        <v>113</v>
      </c>
      <c r="R394" s="17" t="s">
        <v>4690</v>
      </c>
      <c r="S394" s="18" t="s">
        <v>62</v>
      </c>
      <c r="T394" s="25">
        <v>18</v>
      </c>
    </row>
    <row r="395" s="3" customFormat="1" customHeight="1" spans="1:20">
      <c r="A395" s="167" t="s">
        <v>212</v>
      </c>
      <c r="B395" s="167" t="s">
        <v>165</v>
      </c>
      <c r="C395" s="167" t="s">
        <v>213</v>
      </c>
      <c r="D395" s="11">
        <v>13197911998</v>
      </c>
      <c r="E395" s="167" t="s">
        <v>156</v>
      </c>
      <c r="F395" s="167" t="s">
        <v>15</v>
      </c>
      <c r="G395" s="11">
        <v>202102007</v>
      </c>
      <c r="H395" s="167" t="s">
        <v>157</v>
      </c>
      <c r="I395" s="167" t="s">
        <v>178</v>
      </c>
      <c r="J395" s="167" t="s">
        <v>215</v>
      </c>
      <c r="K395" s="167" t="s">
        <v>170</v>
      </c>
      <c r="L395" s="167" t="s">
        <v>216</v>
      </c>
      <c r="M395" s="167" t="s">
        <v>15</v>
      </c>
      <c r="N395" s="11">
        <v>0</v>
      </c>
      <c r="O395" s="12" t="str">
        <f>_xlfn.DISPIMG("ID_A8B2B34FEB1F4C29AD364FF328B946F1",1)</f>
        <v>=DISPIMG("ID_A8B2B34FEB1F4C29AD364FF328B946F1",1)</v>
      </c>
      <c r="P395" s="11" t="s">
        <v>217</v>
      </c>
      <c r="Q395" s="11">
        <v>8</v>
      </c>
      <c r="R395" s="17" t="s">
        <v>4716</v>
      </c>
      <c r="S395" s="18" t="s">
        <v>62</v>
      </c>
      <c r="T395" s="25">
        <v>19</v>
      </c>
    </row>
    <row r="396" s="3" customFormat="1" customHeight="1" spans="2:20">
      <c r="B396" s="11"/>
      <c r="C396" s="11"/>
      <c r="D396" s="11"/>
      <c r="E396" s="11"/>
      <c r="F396" s="11"/>
      <c r="G396" s="11"/>
      <c r="H396" s="11"/>
      <c r="I396" s="11"/>
      <c r="J396" s="11"/>
      <c r="K396" s="11"/>
      <c r="L396" s="11"/>
      <c r="M396" s="11"/>
      <c r="N396" s="11"/>
      <c r="O396" s="12"/>
      <c r="P396" s="11" t="s">
        <v>4409</v>
      </c>
      <c r="Q396" s="11"/>
      <c r="R396" s="11" t="s">
        <v>4410</v>
      </c>
      <c r="S396" s="18" t="s">
        <v>62</v>
      </c>
      <c r="T396" s="25">
        <v>30</v>
      </c>
    </row>
    <row r="397" s="3" customFormat="1" customHeight="1" spans="1:20">
      <c r="A397" s="167" t="s">
        <v>3758</v>
      </c>
      <c r="B397" s="167" t="s">
        <v>165</v>
      </c>
      <c r="C397" s="167" t="s">
        <v>3759</v>
      </c>
      <c r="D397" s="11">
        <v>15946993908</v>
      </c>
      <c r="E397" s="167" t="s">
        <v>156</v>
      </c>
      <c r="F397" s="167" t="s">
        <v>6</v>
      </c>
      <c r="G397" s="11">
        <v>202102012</v>
      </c>
      <c r="H397" s="167" t="s">
        <v>157</v>
      </c>
      <c r="I397" s="167" t="s">
        <v>3761</v>
      </c>
      <c r="J397" s="167" t="s">
        <v>404</v>
      </c>
      <c r="K397" s="167" t="s">
        <v>160</v>
      </c>
      <c r="L397" s="167" t="s">
        <v>252</v>
      </c>
      <c r="M397" s="167" t="s">
        <v>6</v>
      </c>
      <c r="N397" s="167" t="s">
        <v>3762</v>
      </c>
      <c r="O397" s="12" t="str">
        <f>_xlfn.DISPIMG("ID_C2F02D4F7B2D4545A16075F83680F752",1)</f>
        <v>=DISPIMG("ID_C2F02D4F7B2D4545A16075F83680F752",1)</v>
      </c>
      <c r="P397" s="11" t="s">
        <v>3763</v>
      </c>
      <c r="Q397" s="11">
        <v>479</v>
      </c>
      <c r="R397" s="17" t="s">
        <v>4684</v>
      </c>
      <c r="S397" s="18" t="s">
        <v>62</v>
      </c>
      <c r="T397" s="25">
        <v>5</v>
      </c>
    </row>
    <row r="398" s="3" customFormat="1" customHeight="1" spans="1:20">
      <c r="A398" s="167" t="s">
        <v>1393</v>
      </c>
      <c r="B398" s="167" t="s">
        <v>165</v>
      </c>
      <c r="C398" s="167" t="s">
        <v>1394</v>
      </c>
      <c r="D398" s="11">
        <v>18807004721</v>
      </c>
      <c r="E398" s="167" t="s">
        <v>156</v>
      </c>
      <c r="F398" s="167" t="s">
        <v>4</v>
      </c>
      <c r="G398" s="11">
        <v>202102005</v>
      </c>
      <c r="H398" s="167" t="s">
        <v>157</v>
      </c>
      <c r="I398" s="167" t="s">
        <v>1396</v>
      </c>
      <c r="J398" s="167" t="s">
        <v>1397</v>
      </c>
      <c r="K398" s="167" t="s">
        <v>160</v>
      </c>
      <c r="L398" s="167" t="s">
        <v>548</v>
      </c>
      <c r="M398" s="167" t="s">
        <v>1398</v>
      </c>
      <c r="N398" s="167" t="s">
        <v>1399</v>
      </c>
      <c r="O398" s="12" t="str">
        <f>_xlfn.DISPIMG("ID_55E386EEE22A4F28AA3DFCB82607D0EC",1)</f>
        <v>=DISPIMG("ID_55E386EEE22A4F28AA3DFCB82607D0EC",1)</v>
      </c>
      <c r="P398" s="11" t="s">
        <v>1400</v>
      </c>
      <c r="Q398" s="11">
        <v>153</v>
      </c>
      <c r="R398" s="17" t="s">
        <v>4691</v>
      </c>
      <c r="S398" s="18" t="s">
        <v>62</v>
      </c>
      <c r="T398" s="25">
        <v>8</v>
      </c>
    </row>
    <row r="399" s="3" customFormat="1" customHeight="1" spans="1:20">
      <c r="A399" s="167" t="s">
        <v>1511</v>
      </c>
      <c r="B399" s="167" t="s">
        <v>165</v>
      </c>
      <c r="C399" s="167" t="s">
        <v>1512</v>
      </c>
      <c r="D399" s="11">
        <v>15179159428</v>
      </c>
      <c r="E399" s="167" t="s">
        <v>156</v>
      </c>
      <c r="F399" s="167" t="s">
        <v>4</v>
      </c>
      <c r="G399" s="11">
        <v>202102005</v>
      </c>
      <c r="H399" s="167" t="s">
        <v>157</v>
      </c>
      <c r="I399" s="167" t="s">
        <v>1513</v>
      </c>
      <c r="J399" s="167" t="s">
        <v>1514</v>
      </c>
      <c r="K399" s="167" t="s">
        <v>160</v>
      </c>
      <c r="L399" s="167" t="s">
        <v>396</v>
      </c>
      <c r="M399" s="167" t="s">
        <v>1515</v>
      </c>
      <c r="N399" s="167" t="s">
        <v>1516</v>
      </c>
      <c r="O399" s="12" t="str">
        <f>_xlfn.DISPIMG("ID_0409F7F95EEA403395B315D31E8491E7",1)</f>
        <v>=DISPIMG("ID_0409F7F95EEA403395B315D31E8491E7",1)</v>
      </c>
      <c r="P399" s="11" t="s">
        <v>1517</v>
      </c>
      <c r="Q399" s="20">
        <v>168</v>
      </c>
      <c r="R399" s="17" t="s">
        <v>4692</v>
      </c>
      <c r="S399" s="18" t="s">
        <v>62</v>
      </c>
      <c r="T399" s="25">
        <v>17</v>
      </c>
    </row>
    <row r="400" s="3" customFormat="1" customHeight="1" spans="1:20">
      <c r="A400" s="167" t="s">
        <v>391</v>
      </c>
      <c r="B400" s="167" t="s">
        <v>165</v>
      </c>
      <c r="C400" s="167" t="s">
        <v>392</v>
      </c>
      <c r="D400" s="11">
        <v>17620119411</v>
      </c>
      <c r="E400" s="167" t="s">
        <v>156</v>
      </c>
      <c r="F400" s="167" t="s">
        <v>15</v>
      </c>
      <c r="G400" s="11">
        <v>202102007</v>
      </c>
      <c r="H400" s="167" t="s">
        <v>157</v>
      </c>
      <c r="I400" s="167" t="s">
        <v>394</v>
      </c>
      <c r="J400" s="167" t="s">
        <v>395</v>
      </c>
      <c r="K400" s="167" t="s">
        <v>160</v>
      </c>
      <c r="L400" s="167" t="s">
        <v>396</v>
      </c>
      <c r="M400" s="167" t="s">
        <v>15</v>
      </c>
      <c r="N400" s="11">
        <v>0</v>
      </c>
      <c r="O400" s="12" t="str">
        <f>_xlfn.DISPIMG("ID_EBB3EDBB16514C57957D178C829CE459",1)</f>
        <v>=DISPIMG("ID_EBB3EDBB16514C57957D178C829CE459",1)</v>
      </c>
      <c r="P400" s="11" t="s">
        <v>397</v>
      </c>
      <c r="Q400" s="20">
        <v>28</v>
      </c>
      <c r="R400" s="17" t="s">
        <v>4721</v>
      </c>
      <c r="S400" s="18" t="s">
        <v>62</v>
      </c>
      <c r="T400" s="25">
        <v>20</v>
      </c>
    </row>
    <row r="401" s="3" customFormat="1" customHeight="1" spans="2:20">
      <c r="B401" s="11"/>
      <c r="C401" s="11"/>
      <c r="D401" s="11"/>
      <c r="E401" s="11"/>
      <c r="F401" s="11"/>
      <c r="G401" s="11"/>
      <c r="H401" s="11"/>
      <c r="I401" s="11"/>
      <c r="J401" s="11"/>
      <c r="K401" s="11"/>
      <c r="L401" s="11"/>
      <c r="M401" s="11"/>
      <c r="N401" s="11"/>
      <c r="O401" s="12"/>
      <c r="P401" s="11" t="s">
        <v>4409</v>
      </c>
      <c r="Q401" s="20"/>
      <c r="R401" s="11" t="s">
        <v>4410</v>
      </c>
      <c r="S401" s="18" t="s">
        <v>62</v>
      </c>
      <c r="T401" s="25">
        <v>29</v>
      </c>
    </row>
    <row r="402" s="3" customFormat="1" customHeight="1" spans="1:20">
      <c r="A402" s="167" t="s">
        <v>3780</v>
      </c>
      <c r="B402" s="167" t="s">
        <v>165</v>
      </c>
      <c r="C402" s="167" t="s">
        <v>3781</v>
      </c>
      <c r="D402" s="11">
        <v>18372112404</v>
      </c>
      <c r="E402" s="167" t="s">
        <v>156</v>
      </c>
      <c r="F402" s="167" t="s">
        <v>6</v>
      </c>
      <c r="G402" s="11">
        <v>202102012</v>
      </c>
      <c r="H402" s="167" t="s">
        <v>157</v>
      </c>
      <c r="I402" s="167" t="s">
        <v>3783</v>
      </c>
      <c r="J402" s="167" t="s">
        <v>3784</v>
      </c>
      <c r="K402" s="167" t="s">
        <v>160</v>
      </c>
      <c r="L402" s="167" t="s">
        <v>252</v>
      </c>
      <c r="M402" s="167" t="s">
        <v>6</v>
      </c>
      <c r="N402" s="167" t="s">
        <v>3785</v>
      </c>
      <c r="O402" s="12" t="str">
        <f>_xlfn.DISPIMG("ID_D2BC3DB6B6B24D07A1729D0ECE731594",1)</f>
        <v>=DISPIMG("ID_D2BC3DB6B6B24D07A1729D0ECE731594",1)</v>
      </c>
      <c r="P402" s="11" t="s">
        <v>3786</v>
      </c>
      <c r="Q402" s="11">
        <v>482</v>
      </c>
      <c r="R402" s="17" t="s">
        <v>4685</v>
      </c>
      <c r="S402" s="18" t="s">
        <v>62</v>
      </c>
      <c r="T402" s="25">
        <v>4</v>
      </c>
    </row>
    <row r="403" s="3" customFormat="1" customHeight="1" spans="1:20">
      <c r="A403" s="167" t="s">
        <v>1882</v>
      </c>
      <c r="B403" s="167" t="s">
        <v>165</v>
      </c>
      <c r="C403" s="167" t="s">
        <v>1883</v>
      </c>
      <c r="D403" s="11">
        <v>19807985498</v>
      </c>
      <c r="E403" s="167" t="s">
        <v>156</v>
      </c>
      <c r="F403" s="167" t="s">
        <v>4</v>
      </c>
      <c r="G403" s="11">
        <v>202102005</v>
      </c>
      <c r="H403" s="167" t="s">
        <v>279</v>
      </c>
      <c r="I403" s="167" t="s">
        <v>269</v>
      </c>
      <c r="J403" s="167" t="s">
        <v>1088</v>
      </c>
      <c r="K403" s="167" t="s">
        <v>170</v>
      </c>
      <c r="L403" s="167" t="s">
        <v>171</v>
      </c>
      <c r="M403" s="167" t="s">
        <v>1885</v>
      </c>
      <c r="N403" s="167" t="s">
        <v>1886</v>
      </c>
      <c r="O403" s="12" t="str">
        <f>_xlfn.DISPIMG("ID_D29EC84107E94871B7B70E677BC40AB8",1)</f>
        <v>=DISPIMG("ID_D29EC84107E94871B7B70E677BC40AB8",1)</v>
      </c>
      <c r="P403" s="11" t="s">
        <v>1887</v>
      </c>
      <c r="Q403" s="11">
        <v>216</v>
      </c>
      <c r="R403" s="17" t="s">
        <v>4693</v>
      </c>
      <c r="S403" s="18" t="s">
        <v>62</v>
      </c>
      <c r="T403" s="25">
        <v>9</v>
      </c>
    </row>
    <row r="404" s="3" customFormat="1" customHeight="1" spans="1:20">
      <c r="A404" s="167" t="s">
        <v>2878</v>
      </c>
      <c r="B404" s="167" t="s">
        <v>165</v>
      </c>
      <c r="C404" s="167" t="s">
        <v>2879</v>
      </c>
      <c r="D404" s="11">
        <v>17310085449</v>
      </c>
      <c r="E404" s="167" t="s">
        <v>156</v>
      </c>
      <c r="F404" s="167" t="s">
        <v>4</v>
      </c>
      <c r="G404" s="11">
        <v>202102005</v>
      </c>
      <c r="H404" s="167" t="s">
        <v>157</v>
      </c>
      <c r="I404" s="167" t="s">
        <v>385</v>
      </c>
      <c r="J404" s="167" t="s">
        <v>2881</v>
      </c>
      <c r="K404" s="167" t="s">
        <v>170</v>
      </c>
      <c r="L404" s="167" t="s">
        <v>306</v>
      </c>
      <c r="M404" s="167" t="s">
        <v>2882</v>
      </c>
      <c r="N404" s="167" t="s">
        <v>2883</v>
      </c>
      <c r="O404" s="12" t="str">
        <f>_xlfn.DISPIMG("ID_EC7DE1A270244013822D2AF30798D0D0",1)</f>
        <v>=DISPIMG("ID_EC7DE1A270244013822D2AF30798D0D0",1)</v>
      </c>
      <c r="P404" s="11" t="s">
        <v>2884</v>
      </c>
      <c r="Q404" s="11">
        <v>350</v>
      </c>
      <c r="R404" s="17" t="s">
        <v>4694</v>
      </c>
      <c r="S404" s="18" t="s">
        <v>62</v>
      </c>
      <c r="T404" s="25">
        <v>16</v>
      </c>
    </row>
    <row r="405" s="3" customFormat="1" customHeight="1" spans="1:20">
      <c r="A405" s="167" t="s">
        <v>856</v>
      </c>
      <c r="B405" s="167" t="s">
        <v>165</v>
      </c>
      <c r="C405" s="167" t="s">
        <v>857</v>
      </c>
      <c r="D405" s="11">
        <v>18296159294</v>
      </c>
      <c r="E405" s="167" t="s">
        <v>156</v>
      </c>
      <c r="F405" s="167" t="s">
        <v>15</v>
      </c>
      <c r="G405" s="11">
        <v>202102007</v>
      </c>
      <c r="H405" s="167" t="s">
        <v>279</v>
      </c>
      <c r="I405" s="167" t="s">
        <v>178</v>
      </c>
      <c r="J405" s="167" t="s">
        <v>215</v>
      </c>
      <c r="K405" s="167" t="s">
        <v>170</v>
      </c>
      <c r="L405" s="167" t="s">
        <v>216</v>
      </c>
      <c r="M405" s="167" t="s">
        <v>859</v>
      </c>
      <c r="N405" s="167" t="s">
        <v>860</v>
      </c>
      <c r="O405" s="12" t="str">
        <f>_xlfn.DISPIMG("ID_D74EFBEA1A81482A857D7A1473663067",1)</f>
        <v>=DISPIMG("ID_D74EFBEA1A81482A857D7A1473663067",1)</v>
      </c>
      <c r="P405" s="11" t="s">
        <v>861</v>
      </c>
      <c r="Q405" s="20">
        <v>85</v>
      </c>
      <c r="R405" s="17" t="s">
        <v>4698</v>
      </c>
      <c r="S405" s="18" t="s">
        <v>62</v>
      </c>
      <c r="T405" s="25">
        <v>21</v>
      </c>
    </row>
    <row r="406" s="3" customFormat="1" customHeight="1" spans="1:20">
      <c r="A406" s="167" t="s">
        <v>1658</v>
      </c>
      <c r="B406" s="167" t="s">
        <v>153</v>
      </c>
      <c r="C406" s="167" t="s">
        <v>1659</v>
      </c>
      <c r="D406" s="11">
        <v>15170625945</v>
      </c>
      <c r="E406" s="167" t="s">
        <v>506</v>
      </c>
      <c r="F406" s="167" t="s">
        <v>15</v>
      </c>
      <c r="G406" s="11">
        <v>202102019</v>
      </c>
      <c r="H406" s="167" t="s">
        <v>157</v>
      </c>
      <c r="I406" s="167" t="s">
        <v>611</v>
      </c>
      <c r="J406" s="167" t="s">
        <v>454</v>
      </c>
      <c r="K406" s="167" t="s">
        <v>160</v>
      </c>
      <c r="L406" s="167" t="s">
        <v>261</v>
      </c>
      <c r="M406" s="167" t="s">
        <v>1661</v>
      </c>
      <c r="N406" s="11">
        <v>0</v>
      </c>
      <c r="O406" s="12" t="str">
        <f>_xlfn.DISPIMG("ID_40EE23CAD6BE466D8A6330DBB5734F8E",1)</f>
        <v>=DISPIMG("ID_40EE23CAD6BE466D8A6330DBB5734F8E",1)</v>
      </c>
      <c r="P406" s="11" t="s">
        <v>1662</v>
      </c>
      <c r="Q406" s="20">
        <v>187</v>
      </c>
      <c r="R406" s="17" t="s">
        <v>4699</v>
      </c>
      <c r="S406" s="18" t="s">
        <v>62</v>
      </c>
      <c r="T406" s="25">
        <v>28</v>
      </c>
    </row>
    <row r="407" s="3" customFormat="1" customHeight="1" spans="1:20">
      <c r="A407" s="167" t="s">
        <v>3797</v>
      </c>
      <c r="B407" s="167" t="s">
        <v>165</v>
      </c>
      <c r="C407" s="167" t="s">
        <v>3798</v>
      </c>
      <c r="D407" s="11">
        <v>15879245873</v>
      </c>
      <c r="E407" s="167" t="s">
        <v>506</v>
      </c>
      <c r="F407" s="167" t="s">
        <v>6</v>
      </c>
      <c r="G407" s="11">
        <v>202102021</v>
      </c>
      <c r="H407" s="167" t="s">
        <v>157</v>
      </c>
      <c r="I407" s="167" t="s">
        <v>158</v>
      </c>
      <c r="J407" s="167" t="s">
        <v>188</v>
      </c>
      <c r="K407" s="167" t="s">
        <v>160</v>
      </c>
      <c r="L407" s="167" t="s">
        <v>306</v>
      </c>
      <c r="M407" s="167" t="s">
        <v>3800</v>
      </c>
      <c r="N407" s="11">
        <v>0</v>
      </c>
      <c r="O407" s="12" t="str">
        <f>_xlfn.DISPIMG("ID_B80DCC3A028B4FB2A6977287EC2BFAD8",1)</f>
        <v>=DISPIMG("ID_B80DCC3A028B4FB2A6977287EC2BFAD8",1)</v>
      </c>
      <c r="P407" s="11" t="s">
        <v>3801</v>
      </c>
      <c r="Q407" s="11">
        <v>484</v>
      </c>
      <c r="R407" s="17" t="s">
        <v>4686</v>
      </c>
      <c r="S407" s="18" t="s">
        <v>62</v>
      </c>
      <c r="T407" s="25">
        <v>3</v>
      </c>
    </row>
    <row r="408" s="3" customFormat="1" customHeight="1" spans="1:20">
      <c r="A408" s="167" t="s">
        <v>3586</v>
      </c>
      <c r="B408" s="167" t="s">
        <v>165</v>
      </c>
      <c r="C408" s="167" t="s">
        <v>3587</v>
      </c>
      <c r="D408" s="11">
        <v>13970222797</v>
      </c>
      <c r="E408" s="167" t="s">
        <v>156</v>
      </c>
      <c r="F408" s="167" t="s">
        <v>4</v>
      </c>
      <c r="G408" s="11">
        <v>202102006</v>
      </c>
      <c r="H408" s="167" t="s">
        <v>157</v>
      </c>
      <c r="I408" s="167" t="s">
        <v>158</v>
      </c>
      <c r="J408" s="167" t="s">
        <v>3589</v>
      </c>
      <c r="K408" s="167" t="s">
        <v>160</v>
      </c>
      <c r="L408" s="167" t="s">
        <v>235</v>
      </c>
      <c r="M408" s="167" t="s">
        <v>4</v>
      </c>
      <c r="N408" s="167" t="s">
        <v>3590</v>
      </c>
      <c r="O408" s="12" t="str">
        <f>_xlfn.DISPIMG("ID_1E4E55AF2274433A8809E53B95627C78",1)</f>
        <v>=DISPIMG("ID_1E4E55AF2274433A8809E53B95627C78",1)</v>
      </c>
      <c r="P408" s="11" t="s">
        <v>3591</v>
      </c>
      <c r="Q408" s="11">
        <v>456</v>
      </c>
      <c r="R408" s="17" t="s">
        <v>4695</v>
      </c>
      <c r="S408" s="18" t="s">
        <v>62</v>
      </c>
      <c r="T408" s="25">
        <v>10</v>
      </c>
    </row>
    <row r="409" s="4" customFormat="1" customHeight="1" spans="1:20">
      <c r="A409" s="167" t="s">
        <v>3655</v>
      </c>
      <c r="B409" s="167" t="s">
        <v>153</v>
      </c>
      <c r="C409" s="167" t="s">
        <v>3656</v>
      </c>
      <c r="D409" s="11">
        <v>13177872440</v>
      </c>
      <c r="E409" s="167" t="s">
        <v>156</v>
      </c>
      <c r="F409" s="167" t="s">
        <v>4</v>
      </c>
      <c r="G409" s="11">
        <v>202102005</v>
      </c>
      <c r="H409" s="167" t="s">
        <v>157</v>
      </c>
      <c r="I409" s="167" t="s">
        <v>385</v>
      </c>
      <c r="J409" s="167" t="s">
        <v>179</v>
      </c>
      <c r="K409" s="167" t="s">
        <v>170</v>
      </c>
      <c r="L409" s="167" t="s">
        <v>368</v>
      </c>
      <c r="M409" s="167" t="s">
        <v>4</v>
      </c>
      <c r="N409" s="11">
        <v>0</v>
      </c>
      <c r="O409" s="12" t="str">
        <f>_xlfn.DISPIMG("ID_252B07FFDA0E4134A421E2449004C504",1)</f>
        <v>=DISPIMG("ID_252B07FFDA0E4134A421E2449004C504",1)</v>
      </c>
      <c r="P409" s="11" t="s">
        <v>3658</v>
      </c>
      <c r="Q409" s="11">
        <v>465</v>
      </c>
      <c r="R409" s="17" t="s">
        <v>4696</v>
      </c>
      <c r="S409" s="18" t="s">
        <v>62</v>
      </c>
      <c r="T409" s="25">
        <v>15</v>
      </c>
    </row>
    <row r="410" s="3" customFormat="1" customHeight="1" spans="1:20">
      <c r="A410" s="167" t="s">
        <v>1897</v>
      </c>
      <c r="B410" s="167" t="s">
        <v>165</v>
      </c>
      <c r="C410" s="167" t="s">
        <v>1898</v>
      </c>
      <c r="D410" s="11">
        <v>13588255405</v>
      </c>
      <c r="E410" s="167" t="s">
        <v>156</v>
      </c>
      <c r="F410" s="167" t="s">
        <v>15</v>
      </c>
      <c r="G410" s="11">
        <v>202102007</v>
      </c>
      <c r="H410" s="167" t="s">
        <v>157</v>
      </c>
      <c r="I410" s="167" t="s">
        <v>1900</v>
      </c>
      <c r="J410" s="167" t="s">
        <v>179</v>
      </c>
      <c r="K410" s="167" t="s">
        <v>160</v>
      </c>
      <c r="L410" s="167" t="s">
        <v>235</v>
      </c>
      <c r="M410" s="167" t="s">
        <v>15</v>
      </c>
      <c r="N410" s="11">
        <v>0</v>
      </c>
      <c r="O410" s="12" t="str">
        <f>_xlfn.DISPIMG("ID_427E6301FF984C74BA8E87820A04494C",1)</f>
        <v>=DISPIMG("ID_427E6301FF984C74BA8E87820A04494C",1)</v>
      </c>
      <c r="P410" s="11" t="s">
        <v>1901</v>
      </c>
      <c r="Q410" s="11">
        <v>218</v>
      </c>
      <c r="R410" s="17" t="s">
        <v>4702</v>
      </c>
      <c r="S410" s="18" t="s">
        <v>62</v>
      </c>
      <c r="T410" s="25">
        <v>22</v>
      </c>
    </row>
    <row r="411" s="3" customFormat="1" customHeight="1" spans="1:20">
      <c r="A411" s="167" t="s">
        <v>2407</v>
      </c>
      <c r="B411" s="167" t="s">
        <v>165</v>
      </c>
      <c r="C411" s="167" t="s">
        <v>2408</v>
      </c>
      <c r="D411" s="11">
        <v>15070401093</v>
      </c>
      <c r="E411" s="167" t="s">
        <v>156</v>
      </c>
      <c r="F411" s="167" t="s">
        <v>15</v>
      </c>
      <c r="G411" s="11">
        <v>202102007</v>
      </c>
      <c r="H411" s="167" t="s">
        <v>157</v>
      </c>
      <c r="I411" s="167" t="s">
        <v>827</v>
      </c>
      <c r="J411" s="167" t="s">
        <v>2394</v>
      </c>
      <c r="K411" s="167" t="s">
        <v>160</v>
      </c>
      <c r="L411" s="167" t="s">
        <v>171</v>
      </c>
      <c r="M411" s="167" t="s">
        <v>2410</v>
      </c>
      <c r="N411" s="167" t="s">
        <v>2411</v>
      </c>
      <c r="O411" s="12" t="str">
        <f>_xlfn.DISPIMG("ID_AC752CE0DFA24D83A60721AFA892E1C6",1)</f>
        <v>=DISPIMG("ID_AC752CE0DFA24D83A60721AFA892E1C6",1)</v>
      </c>
      <c r="P411" s="11" t="s">
        <v>2412</v>
      </c>
      <c r="Q411" s="11">
        <v>286</v>
      </c>
      <c r="R411" s="17" t="s">
        <v>4703</v>
      </c>
      <c r="S411" s="18" t="s">
        <v>62</v>
      </c>
      <c r="T411" s="25">
        <v>27</v>
      </c>
    </row>
    <row r="412" s="3" customFormat="1" customHeight="1" spans="1:20">
      <c r="A412" s="167" t="s">
        <v>3895</v>
      </c>
      <c r="B412" s="167" t="s">
        <v>165</v>
      </c>
      <c r="C412" s="167" t="s">
        <v>3896</v>
      </c>
      <c r="D412" s="11">
        <v>17859733350</v>
      </c>
      <c r="E412" s="167" t="s">
        <v>156</v>
      </c>
      <c r="F412" s="167" t="s">
        <v>6</v>
      </c>
      <c r="G412" s="11">
        <v>202102012</v>
      </c>
      <c r="H412" s="167" t="s">
        <v>157</v>
      </c>
      <c r="I412" s="167" t="s">
        <v>3898</v>
      </c>
      <c r="J412" s="167" t="s">
        <v>3784</v>
      </c>
      <c r="K412" s="167" t="s">
        <v>160</v>
      </c>
      <c r="L412" s="167" t="s">
        <v>235</v>
      </c>
      <c r="M412" s="167" t="s">
        <v>3899</v>
      </c>
      <c r="N412" s="167" t="s">
        <v>3900</v>
      </c>
      <c r="O412" s="12" t="str">
        <f>_xlfn.DISPIMG("ID_BC241117C250469C89F85CEC4B64E8AA",1)</f>
        <v>=DISPIMG("ID_BC241117C250469C89F85CEC4B64E8AA",1)</v>
      </c>
      <c r="P412" s="11" t="s">
        <v>3901</v>
      </c>
      <c r="Q412" s="20">
        <v>497</v>
      </c>
      <c r="R412" s="17" t="s">
        <v>4687</v>
      </c>
      <c r="S412" s="18" t="s">
        <v>62</v>
      </c>
      <c r="T412" s="25">
        <v>2</v>
      </c>
    </row>
    <row r="413" s="3" customFormat="1" customHeight="1" spans="1:20">
      <c r="A413" s="167" t="s">
        <v>3817</v>
      </c>
      <c r="B413" s="167" t="s">
        <v>165</v>
      </c>
      <c r="C413" s="167" t="s">
        <v>3818</v>
      </c>
      <c r="D413" s="11">
        <v>13002997695</v>
      </c>
      <c r="E413" s="167" t="s">
        <v>156</v>
      </c>
      <c r="F413" s="167" t="s">
        <v>4</v>
      </c>
      <c r="G413" s="11">
        <v>202102005</v>
      </c>
      <c r="H413" s="167" t="s">
        <v>157</v>
      </c>
      <c r="I413" s="167" t="s">
        <v>3820</v>
      </c>
      <c r="J413" s="167" t="s">
        <v>3821</v>
      </c>
      <c r="K413" s="167" t="s">
        <v>160</v>
      </c>
      <c r="L413" s="167" t="s">
        <v>199</v>
      </c>
      <c r="M413" s="167" t="s">
        <v>4</v>
      </c>
      <c r="N413" s="167" t="s">
        <v>3822</v>
      </c>
      <c r="O413" s="12" t="str">
        <f>_xlfn.DISPIMG("ID_F12BD6FEE7C74060A499738E5A967A51",1)</f>
        <v>=DISPIMG("ID_F12BD6FEE7C74060A499738E5A967A51",1)</v>
      </c>
      <c r="P413" s="11" t="s">
        <v>3823</v>
      </c>
      <c r="Q413" s="20">
        <v>487</v>
      </c>
      <c r="R413" s="17" t="s">
        <v>4697</v>
      </c>
      <c r="S413" s="18" t="s">
        <v>62</v>
      </c>
      <c r="T413" s="25">
        <v>11</v>
      </c>
    </row>
    <row r="414" s="3" customFormat="1" customHeight="1" spans="1:20">
      <c r="A414" s="167" t="s">
        <v>3940</v>
      </c>
      <c r="B414" s="167" t="s">
        <v>165</v>
      </c>
      <c r="C414" s="167" t="s">
        <v>3941</v>
      </c>
      <c r="D414" s="11">
        <v>13699503652</v>
      </c>
      <c r="E414" s="167" t="s">
        <v>156</v>
      </c>
      <c r="F414" s="167" t="s">
        <v>4</v>
      </c>
      <c r="G414" s="11">
        <v>202102005</v>
      </c>
      <c r="H414" s="167" t="s">
        <v>157</v>
      </c>
      <c r="I414" s="167" t="s">
        <v>385</v>
      </c>
      <c r="J414" s="167" t="s">
        <v>3943</v>
      </c>
      <c r="K414" s="167" t="s">
        <v>170</v>
      </c>
      <c r="L414" s="167" t="s">
        <v>180</v>
      </c>
      <c r="M414" s="167" t="s">
        <v>4</v>
      </c>
      <c r="N414" s="167" t="s">
        <v>3944</v>
      </c>
      <c r="O414" s="12" t="str">
        <f>_xlfn.DISPIMG("ID_5F49521312D540BAA0750C7E0D3B723B",1)</f>
        <v>=DISPIMG("ID_5F49521312D540BAA0750C7E0D3B723B",1)</v>
      </c>
      <c r="P414" s="11" t="s">
        <v>3945</v>
      </c>
      <c r="Q414" s="11">
        <v>503</v>
      </c>
      <c r="R414" s="17" t="s">
        <v>4701</v>
      </c>
      <c r="S414" s="18" t="s">
        <v>62</v>
      </c>
      <c r="T414" s="25">
        <v>14</v>
      </c>
    </row>
    <row r="415" s="3" customFormat="1" customHeight="1" spans="1:20">
      <c r="A415" s="167" t="s">
        <v>2915</v>
      </c>
      <c r="B415" s="167" t="s">
        <v>165</v>
      </c>
      <c r="C415" s="167" t="s">
        <v>2916</v>
      </c>
      <c r="D415" s="11">
        <v>18779224246</v>
      </c>
      <c r="E415" s="167" t="s">
        <v>506</v>
      </c>
      <c r="F415" s="167" t="s">
        <v>15</v>
      </c>
      <c r="G415" s="11">
        <v>202102019</v>
      </c>
      <c r="H415" s="167" t="s">
        <v>279</v>
      </c>
      <c r="I415" s="167" t="s">
        <v>367</v>
      </c>
      <c r="J415" s="167" t="s">
        <v>348</v>
      </c>
      <c r="K415" s="167" t="s">
        <v>170</v>
      </c>
      <c r="L415" s="167" t="s">
        <v>180</v>
      </c>
      <c r="M415" s="167" t="s">
        <v>2918</v>
      </c>
      <c r="N415" s="11">
        <v>0</v>
      </c>
      <c r="O415" s="12" t="str">
        <f>_xlfn.DISPIMG("ID_0C4A3B774E384F888DCC2803C749C7F6",1)</f>
        <v>=DISPIMG("ID_0C4A3B774E384F888DCC2803C749C7F6",1)</v>
      </c>
      <c r="P415" s="11" t="s">
        <v>2919</v>
      </c>
      <c r="Q415" s="20">
        <v>355</v>
      </c>
      <c r="R415" s="17" t="s">
        <v>4707</v>
      </c>
      <c r="S415" s="18" t="s">
        <v>62</v>
      </c>
      <c r="T415" s="25">
        <v>23</v>
      </c>
    </row>
    <row r="416" s="3" customFormat="1" customHeight="1" spans="1:20">
      <c r="A416" s="167" t="s">
        <v>3570</v>
      </c>
      <c r="B416" s="167" t="s">
        <v>165</v>
      </c>
      <c r="C416" s="167" t="s">
        <v>3571</v>
      </c>
      <c r="D416" s="11">
        <v>13879176428</v>
      </c>
      <c r="E416" s="167" t="s">
        <v>156</v>
      </c>
      <c r="F416" s="167" t="s">
        <v>15</v>
      </c>
      <c r="G416" s="11">
        <v>202102007</v>
      </c>
      <c r="H416" s="167" t="s">
        <v>157</v>
      </c>
      <c r="I416" s="167" t="s">
        <v>233</v>
      </c>
      <c r="J416" s="167" t="s">
        <v>454</v>
      </c>
      <c r="K416" s="167" t="s">
        <v>170</v>
      </c>
      <c r="L416" s="167" t="s">
        <v>3573</v>
      </c>
      <c r="M416" s="167" t="s">
        <v>3574</v>
      </c>
      <c r="N416" s="167" t="s">
        <v>3575</v>
      </c>
      <c r="O416" s="12" t="str">
        <f>_xlfn.DISPIMG("ID_4E9B8A157E55446AAA9BAC9D6541DF67",1)</f>
        <v>=DISPIMG("ID_4E9B8A157E55446AAA9BAC9D6541DF67",1)</v>
      </c>
      <c r="P416" s="11" t="s">
        <v>3576</v>
      </c>
      <c r="Q416" s="20">
        <v>454</v>
      </c>
      <c r="R416" s="17" t="s">
        <v>4708</v>
      </c>
      <c r="S416" s="18" t="s">
        <v>62</v>
      </c>
      <c r="T416" s="25">
        <v>26</v>
      </c>
    </row>
    <row r="417" s="4" customFormat="1" customHeight="1" spans="1:20">
      <c r="A417" s="167" t="s">
        <v>4058</v>
      </c>
      <c r="B417" s="167" t="s">
        <v>165</v>
      </c>
      <c r="C417" s="167" t="s">
        <v>4059</v>
      </c>
      <c r="D417" s="11">
        <v>15679268911</v>
      </c>
      <c r="E417" s="167" t="s">
        <v>156</v>
      </c>
      <c r="F417" s="167" t="s">
        <v>6</v>
      </c>
      <c r="G417" s="11">
        <v>202102022</v>
      </c>
      <c r="H417" s="167" t="s">
        <v>157</v>
      </c>
      <c r="I417" s="167" t="s">
        <v>3054</v>
      </c>
      <c r="J417" s="167" t="s">
        <v>404</v>
      </c>
      <c r="K417" s="167" t="s">
        <v>160</v>
      </c>
      <c r="L417" s="167" t="s">
        <v>261</v>
      </c>
      <c r="M417" s="167" t="s">
        <v>4061</v>
      </c>
      <c r="N417" s="11">
        <v>0</v>
      </c>
      <c r="O417" s="12" t="str">
        <f>_xlfn.DISPIMG("ID_9ECCE1798899427AA809C16B6659E359",1)</f>
        <v>=DISPIMG("ID_9ECCE1798899427AA809C16B6659E359",1)</v>
      </c>
      <c r="P417" s="11" t="s">
        <v>4062</v>
      </c>
      <c r="Q417" s="11">
        <v>519</v>
      </c>
      <c r="R417" s="17" t="s">
        <v>4688</v>
      </c>
      <c r="S417" s="18" t="s">
        <v>62</v>
      </c>
      <c r="T417" s="25">
        <v>1</v>
      </c>
    </row>
    <row r="418" s="3" customFormat="1" customHeight="1" spans="1:20">
      <c r="A418" s="167" t="s">
        <v>3962</v>
      </c>
      <c r="B418" s="167" t="s">
        <v>165</v>
      </c>
      <c r="C418" s="167" t="s">
        <v>3963</v>
      </c>
      <c r="D418" s="11">
        <v>18870866549</v>
      </c>
      <c r="E418" s="167" t="s">
        <v>156</v>
      </c>
      <c r="F418" s="167" t="s">
        <v>4</v>
      </c>
      <c r="G418" s="11">
        <v>202102005</v>
      </c>
      <c r="H418" s="167" t="s">
        <v>157</v>
      </c>
      <c r="I418" s="167" t="s">
        <v>3965</v>
      </c>
      <c r="J418" s="167" t="s">
        <v>3966</v>
      </c>
      <c r="K418" s="167" t="s">
        <v>160</v>
      </c>
      <c r="L418" s="167" t="s">
        <v>216</v>
      </c>
      <c r="M418" s="167" t="s">
        <v>4</v>
      </c>
      <c r="N418" s="11">
        <v>0</v>
      </c>
      <c r="O418" s="12" t="str">
        <f>_xlfn.DISPIMG("ID_B16A7073492C47F799EB61B1BAB98F3E",1)</f>
        <v>=DISPIMG("ID_B16A7073492C47F799EB61B1BAB98F3E",1)</v>
      </c>
      <c r="P418" s="11" t="s">
        <v>3967</v>
      </c>
      <c r="Q418" s="11">
        <v>506</v>
      </c>
      <c r="R418" s="17" t="s">
        <v>4706</v>
      </c>
      <c r="S418" s="18" t="s">
        <v>62</v>
      </c>
      <c r="T418" s="25">
        <v>12</v>
      </c>
    </row>
    <row r="419" s="3" customFormat="1" customHeight="1" spans="1:20">
      <c r="A419" s="167" t="s">
        <v>4267</v>
      </c>
      <c r="B419" s="167" t="s">
        <v>165</v>
      </c>
      <c r="C419" s="167" t="s">
        <v>4268</v>
      </c>
      <c r="D419" s="11">
        <v>15979953990</v>
      </c>
      <c r="E419" s="167" t="s">
        <v>156</v>
      </c>
      <c r="F419" s="167" t="s">
        <v>4</v>
      </c>
      <c r="G419" s="11">
        <v>202102005</v>
      </c>
      <c r="H419" s="167" t="s">
        <v>279</v>
      </c>
      <c r="I419" s="167" t="s">
        <v>269</v>
      </c>
      <c r="J419" s="167" t="s">
        <v>1088</v>
      </c>
      <c r="K419" s="167" t="s">
        <v>170</v>
      </c>
      <c r="L419" s="167" t="s">
        <v>235</v>
      </c>
      <c r="M419" s="167" t="s">
        <v>4</v>
      </c>
      <c r="N419" s="11">
        <v>0</v>
      </c>
      <c r="O419" s="12" t="str">
        <f>_xlfn.DISPIMG("ID_6B663AA29D5341758E4C0EAB0E013B9E",1)</f>
        <v>=DISPIMG("ID_6B663AA29D5341758E4C0EAB0E013B9E",1)</v>
      </c>
      <c r="P419" s="11" t="s">
        <v>4270</v>
      </c>
      <c r="Q419" s="11">
        <v>546</v>
      </c>
      <c r="R419" s="17" t="s">
        <v>4711</v>
      </c>
      <c r="S419" s="18" t="s">
        <v>62</v>
      </c>
      <c r="T419" s="25">
        <v>13</v>
      </c>
    </row>
    <row r="420" s="3" customFormat="1" customHeight="1" spans="1:20">
      <c r="A420" s="167" t="s">
        <v>3579</v>
      </c>
      <c r="B420" s="167" t="s">
        <v>153</v>
      </c>
      <c r="C420" s="167" t="s">
        <v>3580</v>
      </c>
      <c r="D420" s="11">
        <v>15179270292</v>
      </c>
      <c r="E420" s="167" t="s">
        <v>156</v>
      </c>
      <c r="F420" s="167" t="s">
        <v>15</v>
      </c>
      <c r="G420" s="11">
        <v>202102007</v>
      </c>
      <c r="H420" s="167" t="s">
        <v>157</v>
      </c>
      <c r="I420" s="167" t="s">
        <v>158</v>
      </c>
      <c r="J420" s="167" t="s">
        <v>1832</v>
      </c>
      <c r="K420" s="167" t="s">
        <v>160</v>
      </c>
      <c r="L420" s="167" t="s">
        <v>368</v>
      </c>
      <c r="M420" s="167" t="s">
        <v>3582</v>
      </c>
      <c r="N420" s="11">
        <v>0</v>
      </c>
      <c r="O420" s="12" t="str">
        <f>_xlfn.DISPIMG("ID_10B7637016814F53B0B0689821F0D756",1)</f>
        <v>=DISPIMG("ID_10B7637016814F53B0B0689821F0D756",1)</v>
      </c>
      <c r="P420" s="11" t="s">
        <v>3583</v>
      </c>
      <c r="Q420" s="11">
        <v>455</v>
      </c>
      <c r="R420" s="17" t="s">
        <v>4712</v>
      </c>
      <c r="S420" s="18" t="s">
        <v>62</v>
      </c>
      <c r="T420" s="25">
        <v>24</v>
      </c>
    </row>
    <row r="421" s="3" customFormat="1" customHeight="1" spans="1:20">
      <c r="A421" s="167" t="s">
        <v>3841</v>
      </c>
      <c r="B421" s="167" t="s">
        <v>165</v>
      </c>
      <c r="C421" s="167" t="s">
        <v>3842</v>
      </c>
      <c r="D421" s="11">
        <v>13177873876</v>
      </c>
      <c r="E421" s="167" t="s">
        <v>156</v>
      </c>
      <c r="F421" s="167" t="s">
        <v>15</v>
      </c>
      <c r="G421" s="11">
        <v>202102007</v>
      </c>
      <c r="H421" s="167" t="s">
        <v>157</v>
      </c>
      <c r="I421" s="167" t="s">
        <v>233</v>
      </c>
      <c r="J421" s="167" t="s">
        <v>169</v>
      </c>
      <c r="K421" s="167" t="s">
        <v>170</v>
      </c>
      <c r="L421" s="167" t="s">
        <v>3844</v>
      </c>
      <c r="M421" s="167" t="s">
        <v>3845</v>
      </c>
      <c r="N421" s="167" t="s">
        <v>3846</v>
      </c>
      <c r="O421" s="12" t="str">
        <f>_xlfn.DISPIMG("ID_0D39E07DE3FA4F1EAFE382357648332E",1)</f>
        <v>=DISPIMG("ID_0D39E07DE3FA4F1EAFE382357648332E",1)</v>
      </c>
      <c r="P421" s="11" t="s">
        <v>3847</v>
      </c>
      <c r="Q421" s="20">
        <v>490</v>
      </c>
      <c r="R421" s="17" t="s">
        <v>4713</v>
      </c>
      <c r="S421" s="18" t="s">
        <v>62</v>
      </c>
      <c r="T421" s="25">
        <v>25</v>
      </c>
    </row>
    <row r="422" s="3" customFormat="1" customHeight="1" spans="1:20">
      <c r="A422" s="166" t="s">
        <v>1671</v>
      </c>
      <c r="B422" s="166" t="s">
        <v>153</v>
      </c>
      <c r="C422" s="166" t="s">
        <v>1672</v>
      </c>
      <c r="D422" s="11">
        <v>13576944053</v>
      </c>
      <c r="E422" s="167" t="s">
        <v>156</v>
      </c>
      <c r="F422" s="166" t="s">
        <v>7</v>
      </c>
      <c r="G422" s="9">
        <v>202102006</v>
      </c>
      <c r="H422" s="167" t="s">
        <v>157</v>
      </c>
      <c r="I422" s="167" t="s">
        <v>1674</v>
      </c>
      <c r="J422" s="167" t="s">
        <v>1675</v>
      </c>
      <c r="K422" s="167" t="s">
        <v>170</v>
      </c>
      <c r="L422" s="167" t="s">
        <v>1676</v>
      </c>
      <c r="M422" s="167" t="s">
        <v>7</v>
      </c>
      <c r="N422" s="167" t="s">
        <v>1677</v>
      </c>
      <c r="O422" s="12" t="str">
        <f>_xlfn.DISPIMG("ID_834E256FE11F482DB22CD6E09A0E87FD",1)</f>
        <v>=DISPIMG("ID_834E256FE11F482DB22CD6E09A0E87FD",1)</v>
      </c>
      <c r="P422" s="9" t="s">
        <v>1678</v>
      </c>
      <c r="Q422" s="11">
        <v>189</v>
      </c>
      <c r="R422" s="15" t="s">
        <v>4717</v>
      </c>
      <c r="S422" s="19" t="s">
        <v>66</v>
      </c>
      <c r="T422" s="14">
        <v>6</v>
      </c>
    </row>
    <row r="423" s="3" customFormat="1" customHeight="1" spans="1:20">
      <c r="A423" s="166" t="s">
        <v>459</v>
      </c>
      <c r="B423" s="166" t="s">
        <v>153</v>
      </c>
      <c r="C423" s="166" t="s">
        <v>460</v>
      </c>
      <c r="D423" s="11">
        <v>13265072773</v>
      </c>
      <c r="E423" s="167" t="s">
        <v>156</v>
      </c>
      <c r="F423" s="166" t="s">
        <v>9</v>
      </c>
      <c r="G423" s="9">
        <v>202102011</v>
      </c>
      <c r="H423" s="167" t="s">
        <v>157</v>
      </c>
      <c r="I423" s="167" t="s">
        <v>462</v>
      </c>
      <c r="J423" s="167" t="s">
        <v>463</v>
      </c>
      <c r="K423" s="167" t="s">
        <v>160</v>
      </c>
      <c r="L423" s="167" t="s">
        <v>161</v>
      </c>
      <c r="M423" s="167" t="s">
        <v>464</v>
      </c>
      <c r="N423" s="11">
        <v>0</v>
      </c>
      <c r="O423" s="12" t="str">
        <f>_xlfn.DISPIMG("ID_DCCAD4E9E505474E946107D340C03662",1)</f>
        <v>=DISPIMG("ID_DCCAD4E9E505474E946107D340C03662",1)</v>
      </c>
      <c r="P423" s="9" t="s">
        <v>465</v>
      </c>
      <c r="Q423" s="11">
        <v>36</v>
      </c>
      <c r="R423" s="15" t="s">
        <v>4705</v>
      </c>
      <c r="S423" s="19" t="s">
        <v>66</v>
      </c>
      <c r="T423" s="14">
        <v>7</v>
      </c>
    </row>
    <row r="424" s="3" customFormat="1" customHeight="1" spans="1:20">
      <c r="A424" s="166" t="s">
        <v>3248</v>
      </c>
      <c r="B424" s="166" t="s">
        <v>153</v>
      </c>
      <c r="C424" s="166" t="s">
        <v>3249</v>
      </c>
      <c r="D424" s="11">
        <v>15180608216</v>
      </c>
      <c r="E424" s="167" t="s">
        <v>156</v>
      </c>
      <c r="F424" s="166" t="s">
        <v>11</v>
      </c>
      <c r="G424" s="9">
        <v>202102013</v>
      </c>
      <c r="H424" s="167" t="s">
        <v>157</v>
      </c>
      <c r="I424" s="167" t="s">
        <v>827</v>
      </c>
      <c r="J424" s="167" t="s">
        <v>3251</v>
      </c>
      <c r="K424" s="167" t="s">
        <v>160</v>
      </c>
      <c r="L424" s="167" t="s">
        <v>161</v>
      </c>
      <c r="M424" s="167" t="s">
        <v>8</v>
      </c>
      <c r="N424" s="11">
        <v>0</v>
      </c>
      <c r="O424" s="12" t="str">
        <f>_xlfn.DISPIMG("ID_80F22CEDB358451BB7235F67F99FD33D",1)</f>
        <v>=DISPIMG("ID_80F22CEDB358451BB7235F67F99FD33D",1)</v>
      </c>
      <c r="P424" s="9" t="s">
        <v>3252</v>
      </c>
      <c r="Q424" s="11">
        <v>405</v>
      </c>
      <c r="R424" s="15" t="s">
        <v>4734</v>
      </c>
      <c r="S424" s="19" t="s">
        <v>66</v>
      </c>
      <c r="T424" s="14">
        <v>18</v>
      </c>
    </row>
    <row r="425" s="3" customFormat="1" customHeight="1" spans="1:20">
      <c r="A425" s="166" t="s">
        <v>3335</v>
      </c>
      <c r="B425" s="166" t="s">
        <v>165</v>
      </c>
      <c r="C425" s="166" t="s">
        <v>3336</v>
      </c>
      <c r="D425" s="11">
        <v>15170662594</v>
      </c>
      <c r="E425" s="167" t="s">
        <v>156</v>
      </c>
      <c r="F425" s="166" t="s">
        <v>11</v>
      </c>
      <c r="G425" s="9">
        <v>202102013</v>
      </c>
      <c r="H425" s="167" t="s">
        <v>157</v>
      </c>
      <c r="I425" s="167" t="s">
        <v>3070</v>
      </c>
      <c r="J425" s="167" t="s">
        <v>1147</v>
      </c>
      <c r="K425" s="167" t="s">
        <v>170</v>
      </c>
      <c r="L425" s="167" t="s">
        <v>306</v>
      </c>
      <c r="M425" s="167" t="s">
        <v>23</v>
      </c>
      <c r="N425" s="167" t="s">
        <v>3338</v>
      </c>
      <c r="O425" s="12" t="str">
        <f>_xlfn.DISPIMG("ID_1086188647994FC4A050F44FE33ED3AF",1)</f>
        <v>=DISPIMG("ID_1086188647994FC4A050F44FE33ED3AF",1)</v>
      </c>
      <c r="P425" s="9" t="s">
        <v>3339</v>
      </c>
      <c r="Q425" s="11">
        <v>420</v>
      </c>
      <c r="R425" s="15" t="s">
        <v>4738</v>
      </c>
      <c r="S425" s="19" t="s">
        <v>66</v>
      </c>
      <c r="T425" s="14">
        <v>19</v>
      </c>
    </row>
    <row r="426" s="3" customFormat="1" customHeight="1" spans="2:20">
      <c r="B426" s="9"/>
      <c r="C426" s="9"/>
      <c r="D426" s="11"/>
      <c r="E426" s="11"/>
      <c r="F426" s="9"/>
      <c r="G426" s="9"/>
      <c r="H426" s="11"/>
      <c r="I426" s="11"/>
      <c r="J426" s="11"/>
      <c r="K426" s="11"/>
      <c r="L426" s="11"/>
      <c r="M426" s="11"/>
      <c r="N426" s="11"/>
      <c r="O426" s="12"/>
      <c r="P426" s="11" t="s">
        <v>4409</v>
      </c>
      <c r="Q426" s="11"/>
      <c r="R426" s="11" t="s">
        <v>4410</v>
      </c>
      <c r="S426" s="19" t="s">
        <v>66</v>
      </c>
      <c r="T426" s="14">
        <v>30</v>
      </c>
    </row>
    <row r="427" s="3" customFormat="1" customHeight="1" spans="1:20">
      <c r="A427" s="166" t="s">
        <v>2004</v>
      </c>
      <c r="B427" s="166" t="s">
        <v>153</v>
      </c>
      <c r="C427" s="166" t="s">
        <v>2005</v>
      </c>
      <c r="D427" s="11">
        <v>18296155146</v>
      </c>
      <c r="E427" s="167" t="s">
        <v>156</v>
      </c>
      <c r="F427" s="166" t="s">
        <v>7</v>
      </c>
      <c r="G427" s="9">
        <v>202102006</v>
      </c>
      <c r="H427" s="167" t="s">
        <v>157</v>
      </c>
      <c r="I427" s="167" t="s">
        <v>1112</v>
      </c>
      <c r="J427" s="167" t="s">
        <v>159</v>
      </c>
      <c r="K427" s="167" t="s">
        <v>160</v>
      </c>
      <c r="L427" s="167" t="s">
        <v>368</v>
      </c>
      <c r="M427" s="167" t="s">
        <v>2007</v>
      </c>
      <c r="N427" s="167" t="s">
        <v>2008</v>
      </c>
      <c r="O427" s="12" t="str">
        <f>_xlfn.DISPIMG("ID_56BCD58120C9403E8AA33B4C6EF6927A",1)</f>
        <v>=DISPIMG("ID_56BCD58120C9403E8AA33B4C6EF6927A",1)</v>
      </c>
      <c r="P427" s="9" t="s">
        <v>2009</v>
      </c>
      <c r="Q427" s="11">
        <v>233</v>
      </c>
      <c r="R427" s="15" t="s">
        <v>4718</v>
      </c>
      <c r="S427" s="19" t="s">
        <v>66</v>
      </c>
      <c r="T427" s="14">
        <v>5</v>
      </c>
    </row>
    <row r="428" s="3" customFormat="1" customHeight="1" spans="1:20">
      <c r="A428" s="166" t="s">
        <v>1167</v>
      </c>
      <c r="B428" s="166" t="s">
        <v>153</v>
      </c>
      <c r="C428" s="166" t="s">
        <v>1168</v>
      </c>
      <c r="D428" s="11">
        <v>18370130888</v>
      </c>
      <c r="E428" s="167" t="s">
        <v>156</v>
      </c>
      <c r="F428" s="166" t="s">
        <v>9</v>
      </c>
      <c r="G428" s="9">
        <v>202102011</v>
      </c>
      <c r="H428" s="167" t="s">
        <v>279</v>
      </c>
      <c r="I428" s="167" t="s">
        <v>158</v>
      </c>
      <c r="J428" s="167" t="s">
        <v>682</v>
      </c>
      <c r="K428" s="167" t="s">
        <v>170</v>
      </c>
      <c r="L428" s="167" t="s">
        <v>1170</v>
      </c>
      <c r="M428" s="167" t="s">
        <v>1171</v>
      </c>
      <c r="N428" s="167" t="s">
        <v>1172</v>
      </c>
      <c r="O428" s="12" t="str">
        <f>_xlfn.DISPIMG("ID_A11E1242B6CE401EA988641535D09239",1)</f>
        <v>=DISPIMG("ID_A11E1242B6CE401EA988641535D09239",1)</v>
      </c>
      <c r="P428" s="9" t="s">
        <v>1173</v>
      </c>
      <c r="Q428" s="11">
        <v>123</v>
      </c>
      <c r="R428" s="15" t="s">
        <v>4709</v>
      </c>
      <c r="S428" s="19" t="s">
        <v>66</v>
      </c>
      <c r="T428" s="14">
        <v>8</v>
      </c>
    </row>
    <row r="429" s="3" customFormat="1" customHeight="1" spans="1:20">
      <c r="A429" s="166" t="s">
        <v>1403</v>
      </c>
      <c r="B429" s="166" t="s">
        <v>153</v>
      </c>
      <c r="C429" s="166" t="s">
        <v>1404</v>
      </c>
      <c r="D429" s="11">
        <v>15779981835</v>
      </c>
      <c r="E429" s="167" t="s">
        <v>156</v>
      </c>
      <c r="F429" s="166" t="s">
        <v>9</v>
      </c>
      <c r="G429" s="9">
        <v>202102011</v>
      </c>
      <c r="H429" s="167" t="s">
        <v>157</v>
      </c>
      <c r="I429" s="167" t="s">
        <v>827</v>
      </c>
      <c r="J429" s="167" t="s">
        <v>682</v>
      </c>
      <c r="K429" s="167" t="s">
        <v>170</v>
      </c>
      <c r="L429" s="167" t="s">
        <v>261</v>
      </c>
      <c r="M429" s="167" t="s">
        <v>1406</v>
      </c>
      <c r="N429" s="11">
        <v>0</v>
      </c>
      <c r="O429" s="12" t="str">
        <f>_xlfn.DISPIMG("ID_FA69E1E4EF8743A583B1A39075AAAF21",1)</f>
        <v>=DISPIMG("ID_FA69E1E4EF8743A583B1A39075AAAF21",1)</v>
      </c>
      <c r="P429" s="9" t="s">
        <v>1407</v>
      </c>
      <c r="Q429" s="11">
        <v>154</v>
      </c>
      <c r="R429" s="15" t="s">
        <v>4710</v>
      </c>
      <c r="S429" s="19" t="s">
        <v>66</v>
      </c>
      <c r="T429" s="14">
        <v>17</v>
      </c>
    </row>
    <row r="430" s="3" customFormat="1" customHeight="1" spans="2:20">
      <c r="B430" s="9"/>
      <c r="C430" s="9"/>
      <c r="D430" s="11"/>
      <c r="E430" s="11"/>
      <c r="F430" s="9"/>
      <c r="G430" s="9"/>
      <c r="H430" s="11"/>
      <c r="I430" s="11"/>
      <c r="J430" s="11"/>
      <c r="K430" s="11"/>
      <c r="L430" s="11"/>
      <c r="M430" s="11"/>
      <c r="N430" s="11"/>
      <c r="O430" s="12"/>
      <c r="P430" s="11" t="s">
        <v>4409</v>
      </c>
      <c r="Q430" s="11"/>
      <c r="R430" s="11" t="s">
        <v>4410</v>
      </c>
      <c r="S430" s="19" t="s">
        <v>66</v>
      </c>
      <c r="T430" s="14">
        <v>20</v>
      </c>
    </row>
    <row r="431" s="3" customFormat="1" customHeight="1" spans="2:20">
      <c r="B431" s="9"/>
      <c r="C431" s="9"/>
      <c r="D431" s="11"/>
      <c r="E431" s="11"/>
      <c r="F431" s="9"/>
      <c r="G431" s="9"/>
      <c r="H431" s="11"/>
      <c r="I431" s="11"/>
      <c r="J431" s="11"/>
      <c r="K431" s="11"/>
      <c r="L431" s="11"/>
      <c r="M431" s="11"/>
      <c r="N431" s="11"/>
      <c r="O431" s="12"/>
      <c r="P431" s="11" t="s">
        <v>4409</v>
      </c>
      <c r="Q431" s="11"/>
      <c r="R431" s="11" t="s">
        <v>4410</v>
      </c>
      <c r="S431" s="19" t="s">
        <v>66</v>
      </c>
      <c r="T431" s="14">
        <v>29</v>
      </c>
    </row>
    <row r="432" s="3" customFormat="1" customHeight="1" spans="1:20">
      <c r="A432" s="166" t="s">
        <v>2732</v>
      </c>
      <c r="B432" s="166" t="s">
        <v>165</v>
      </c>
      <c r="C432" s="166" t="s">
        <v>2733</v>
      </c>
      <c r="D432" s="11">
        <v>15079218024</v>
      </c>
      <c r="E432" s="167" t="s">
        <v>156</v>
      </c>
      <c r="F432" s="166" t="s">
        <v>7</v>
      </c>
      <c r="G432" s="9">
        <v>202102006</v>
      </c>
      <c r="H432" s="167" t="s">
        <v>157</v>
      </c>
      <c r="I432" s="167" t="s">
        <v>1112</v>
      </c>
      <c r="J432" s="167" t="s">
        <v>159</v>
      </c>
      <c r="K432" s="167" t="s">
        <v>160</v>
      </c>
      <c r="L432" s="167" t="s">
        <v>199</v>
      </c>
      <c r="M432" s="167" t="s">
        <v>19</v>
      </c>
      <c r="N432" s="167" t="s">
        <v>2735</v>
      </c>
      <c r="O432" s="12" t="str">
        <f>_xlfn.DISPIMG("ID_8B921756A8224507AE26B26EA7A47E29",1)</f>
        <v>=DISPIMG("ID_8B921756A8224507AE26B26EA7A47E29",1)</v>
      </c>
      <c r="P432" s="9" t="s">
        <v>2736</v>
      </c>
      <c r="Q432" s="11">
        <v>330</v>
      </c>
      <c r="R432" s="15" t="s">
        <v>4722</v>
      </c>
      <c r="S432" s="19" t="s">
        <v>66</v>
      </c>
      <c r="T432" s="14">
        <v>4</v>
      </c>
    </row>
    <row r="433" s="4" customFormat="1" customHeight="1" spans="1:20">
      <c r="A433" s="166" t="s">
        <v>1821</v>
      </c>
      <c r="B433" s="166" t="s">
        <v>153</v>
      </c>
      <c r="C433" s="166" t="s">
        <v>1822</v>
      </c>
      <c r="D433" s="11">
        <v>15083520312</v>
      </c>
      <c r="E433" s="167" t="s">
        <v>156</v>
      </c>
      <c r="F433" s="166" t="s">
        <v>9</v>
      </c>
      <c r="G433" s="9">
        <v>202102011</v>
      </c>
      <c r="H433" s="167" t="s">
        <v>157</v>
      </c>
      <c r="I433" s="167" t="s">
        <v>437</v>
      </c>
      <c r="J433" s="167" t="s">
        <v>682</v>
      </c>
      <c r="K433" s="167" t="s">
        <v>170</v>
      </c>
      <c r="L433" s="167" t="s">
        <v>455</v>
      </c>
      <c r="M433" s="167" t="s">
        <v>1824</v>
      </c>
      <c r="N433" s="11">
        <v>0</v>
      </c>
      <c r="O433" s="12" t="str">
        <f>_xlfn.DISPIMG("ID_DDBA99C80B934FEAA0E6DE75BE0B792D",1)</f>
        <v>=DISPIMG("ID_DDBA99C80B934FEAA0E6DE75BE0B792D",1)</v>
      </c>
      <c r="P433" s="9" t="s">
        <v>1825</v>
      </c>
      <c r="Q433" s="11">
        <v>208</v>
      </c>
      <c r="R433" s="15" t="s">
        <v>4714</v>
      </c>
      <c r="S433" s="19" t="s">
        <v>66</v>
      </c>
      <c r="T433" s="14">
        <v>9</v>
      </c>
    </row>
    <row r="434" s="4" customFormat="1" customHeight="1" spans="1:20">
      <c r="A434" s="166" t="s">
        <v>2330</v>
      </c>
      <c r="B434" s="166" t="s">
        <v>165</v>
      </c>
      <c r="C434" s="166" t="s">
        <v>2331</v>
      </c>
      <c r="D434" s="11">
        <v>13627002257</v>
      </c>
      <c r="E434" s="167" t="s">
        <v>156</v>
      </c>
      <c r="F434" s="166" t="s">
        <v>9</v>
      </c>
      <c r="G434" s="9">
        <v>202102011</v>
      </c>
      <c r="H434" s="167" t="s">
        <v>157</v>
      </c>
      <c r="I434" s="167" t="s">
        <v>233</v>
      </c>
      <c r="J434" s="167" t="s">
        <v>2333</v>
      </c>
      <c r="K434" s="167" t="s">
        <v>160</v>
      </c>
      <c r="L434" s="167" t="s">
        <v>455</v>
      </c>
      <c r="M434" s="167" t="s">
        <v>9</v>
      </c>
      <c r="N434" s="11">
        <v>0</v>
      </c>
      <c r="O434" s="12" t="str">
        <f>_xlfn.DISPIMG("ID_1491B19669C14541B371C6C8BBB97425",1)</f>
        <v>=DISPIMG("ID_1491B19669C14541B371C6C8BBB97425",1)</v>
      </c>
      <c r="P434" s="9" t="s">
        <v>2334</v>
      </c>
      <c r="Q434" s="11">
        <v>276</v>
      </c>
      <c r="R434" s="15" t="s">
        <v>4715</v>
      </c>
      <c r="S434" s="19" t="s">
        <v>66</v>
      </c>
      <c r="T434" s="14">
        <v>16</v>
      </c>
    </row>
    <row r="435" s="4" customFormat="1" customHeight="1" spans="2:20">
      <c r="B435" s="9"/>
      <c r="C435" s="9"/>
      <c r="D435" s="11"/>
      <c r="E435" s="11"/>
      <c r="F435" s="9"/>
      <c r="G435" s="9"/>
      <c r="H435" s="11"/>
      <c r="I435" s="11"/>
      <c r="J435" s="11"/>
      <c r="K435" s="11"/>
      <c r="L435" s="11"/>
      <c r="M435" s="11"/>
      <c r="N435" s="11"/>
      <c r="O435" s="12"/>
      <c r="P435" s="11" t="s">
        <v>4409</v>
      </c>
      <c r="Q435" s="11"/>
      <c r="R435" s="11" t="s">
        <v>4410</v>
      </c>
      <c r="S435" s="19" t="s">
        <v>66</v>
      </c>
      <c r="T435" s="14">
        <v>21</v>
      </c>
    </row>
    <row r="436" s="4" customFormat="1" customHeight="1" spans="2:20">
      <c r="B436" s="9"/>
      <c r="C436" s="9"/>
      <c r="D436" s="11"/>
      <c r="E436" s="11"/>
      <c r="F436" s="9"/>
      <c r="G436" s="9"/>
      <c r="H436" s="11"/>
      <c r="I436" s="11"/>
      <c r="J436" s="11"/>
      <c r="K436" s="11"/>
      <c r="L436" s="11"/>
      <c r="M436" s="11"/>
      <c r="N436" s="11"/>
      <c r="O436" s="12"/>
      <c r="P436" s="11" t="s">
        <v>4409</v>
      </c>
      <c r="Q436" s="11"/>
      <c r="R436" s="11" t="s">
        <v>4410</v>
      </c>
      <c r="S436" s="19" t="s">
        <v>66</v>
      </c>
      <c r="T436" s="14">
        <v>28</v>
      </c>
    </row>
    <row r="437" s="3" customFormat="1" customHeight="1" spans="1:20">
      <c r="A437" s="166" t="s">
        <v>2774</v>
      </c>
      <c r="B437" s="166" t="s">
        <v>165</v>
      </c>
      <c r="C437" s="166" t="s">
        <v>2775</v>
      </c>
      <c r="D437" s="11">
        <v>18720298910</v>
      </c>
      <c r="E437" s="167" t="s">
        <v>156</v>
      </c>
      <c r="F437" s="166" t="s">
        <v>7</v>
      </c>
      <c r="G437" s="9">
        <v>202102006</v>
      </c>
      <c r="H437" s="167" t="s">
        <v>157</v>
      </c>
      <c r="I437" s="167" t="s">
        <v>158</v>
      </c>
      <c r="J437" s="167" t="s">
        <v>1639</v>
      </c>
      <c r="K437" s="167" t="s">
        <v>170</v>
      </c>
      <c r="L437" s="167" t="s">
        <v>306</v>
      </c>
      <c r="M437" s="167" t="s">
        <v>19</v>
      </c>
      <c r="N437" s="167" t="s">
        <v>2777</v>
      </c>
      <c r="O437" s="12" t="str">
        <f>_xlfn.DISPIMG("ID_DC860A7FCB384FE48AFC2F135021FF6F",1)</f>
        <v>=DISPIMG("ID_DC860A7FCB384FE48AFC2F135021FF6F",1)</v>
      </c>
      <c r="P437" s="9" t="s">
        <v>2778</v>
      </c>
      <c r="Q437" s="11">
        <v>336</v>
      </c>
      <c r="R437" s="15" t="s">
        <v>4723</v>
      </c>
      <c r="S437" s="19" t="s">
        <v>66</v>
      </c>
      <c r="T437" s="14">
        <v>3</v>
      </c>
    </row>
    <row r="438" s="5" customFormat="1" customHeight="1" spans="1:20">
      <c r="A438" s="166" t="s">
        <v>2598</v>
      </c>
      <c r="B438" s="166" t="s">
        <v>153</v>
      </c>
      <c r="C438" s="166" t="s">
        <v>2599</v>
      </c>
      <c r="D438" s="11">
        <v>15979967100</v>
      </c>
      <c r="E438" s="167" t="s">
        <v>156</v>
      </c>
      <c r="F438" s="166" t="s">
        <v>9</v>
      </c>
      <c r="G438" s="9">
        <v>202102011</v>
      </c>
      <c r="H438" s="167" t="s">
        <v>157</v>
      </c>
      <c r="I438" s="167" t="s">
        <v>2601</v>
      </c>
      <c r="J438" s="167" t="s">
        <v>463</v>
      </c>
      <c r="K438" s="167" t="s">
        <v>160</v>
      </c>
      <c r="L438" s="167" t="s">
        <v>368</v>
      </c>
      <c r="M438" s="167" t="s">
        <v>1406</v>
      </c>
      <c r="N438" s="167" t="s">
        <v>2602</v>
      </c>
      <c r="O438" s="12" t="str">
        <f>_xlfn.DISPIMG("ID_6E5E26FD0608404987009AB35A215594",1)</f>
        <v>=DISPIMG("ID_6E5E26FD0608404987009AB35A215594",1)</v>
      </c>
      <c r="P438" s="9" t="s">
        <v>2603</v>
      </c>
      <c r="Q438" s="11">
        <v>312</v>
      </c>
      <c r="R438" s="15" t="s">
        <v>4719</v>
      </c>
      <c r="S438" s="19" t="s">
        <v>66</v>
      </c>
      <c r="T438" s="14">
        <v>10</v>
      </c>
    </row>
    <row r="439" s="3" customFormat="1" customHeight="1" spans="1:20">
      <c r="A439" s="166" t="s">
        <v>3538</v>
      </c>
      <c r="B439" s="166" t="s">
        <v>153</v>
      </c>
      <c r="C439" s="166" t="s">
        <v>3539</v>
      </c>
      <c r="D439" s="11">
        <v>15770899535</v>
      </c>
      <c r="E439" s="167" t="s">
        <v>156</v>
      </c>
      <c r="F439" s="166" t="s">
        <v>9</v>
      </c>
      <c r="G439" s="9">
        <v>202102011</v>
      </c>
      <c r="H439" s="167" t="s">
        <v>157</v>
      </c>
      <c r="I439" s="167" t="s">
        <v>3518</v>
      </c>
      <c r="J439" s="167" t="s">
        <v>472</v>
      </c>
      <c r="K439" s="167" t="s">
        <v>160</v>
      </c>
      <c r="L439" s="167" t="s">
        <v>455</v>
      </c>
      <c r="M439" s="167" t="s">
        <v>3519</v>
      </c>
      <c r="N439" s="167" t="s">
        <v>3519</v>
      </c>
      <c r="O439" s="12" t="str">
        <f>_xlfn.DISPIMG("ID_0BCC1778ACA14DBF957E729E6605C713",1)</f>
        <v>=DISPIMG("ID_0BCC1778ACA14DBF957E729E6605C713",1)</v>
      </c>
      <c r="P439" s="9" t="s">
        <v>3541</v>
      </c>
      <c r="Q439" s="11">
        <v>449</v>
      </c>
      <c r="R439" s="15" t="s">
        <v>4720</v>
      </c>
      <c r="S439" s="19" t="s">
        <v>66</v>
      </c>
      <c r="T439" s="14">
        <v>15</v>
      </c>
    </row>
    <row r="440" s="3" customFormat="1" customHeight="1" spans="2:20">
      <c r="B440" s="9"/>
      <c r="C440" s="9"/>
      <c r="D440" s="11"/>
      <c r="E440" s="11"/>
      <c r="F440" s="9"/>
      <c r="G440" s="9"/>
      <c r="H440" s="11"/>
      <c r="I440" s="11"/>
      <c r="J440" s="11"/>
      <c r="K440" s="11"/>
      <c r="L440" s="11"/>
      <c r="M440" s="11"/>
      <c r="N440" s="11"/>
      <c r="O440" s="12"/>
      <c r="P440" s="11" t="s">
        <v>4409</v>
      </c>
      <c r="Q440" s="11"/>
      <c r="R440" s="11" t="s">
        <v>4410</v>
      </c>
      <c r="S440" s="19" t="s">
        <v>66</v>
      </c>
      <c r="T440" s="14">
        <v>22</v>
      </c>
    </row>
    <row r="441" s="3" customFormat="1" customHeight="1" spans="2:20">
      <c r="B441" s="9"/>
      <c r="C441" s="9"/>
      <c r="D441" s="11"/>
      <c r="E441" s="11"/>
      <c r="F441" s="9"/>
      <c r="G441" s="9"/>
      <c r="H441" s="11"/>
      <c r="I441" s="11"/>
      <c r="J441" s="11"/>
      <c r="K441" s="11"/>
      <c r="L441" s="11"/>
      <c r="M441" s="11"/>
      <c r="N441" s="11"/>
      <c r="O441" s="12"/>
      <c r="P441" s="11" t="s">
        <v>4409</v>
      </c>
      <c r="Q441" s="11"/>
      <c r="R441" s="11" t="s">
        <v>4410</v>
      </c>
      <c r="S441" s="19" t="s">
        <v>66</v>
      </c>
      <c r="T441" s="14">
        <v>27</v>
      </c>
    </row>
    <row r="442" s="3" customFormat="1" customHeight="1" spans="1:20">
      <c r="A442" s="166" t="s">
        <v>3263</v>
      </c>
      <c r="B442" s="166" t="s">
        <v>165</v>
      </c>
      <c r="C442" s="166" t="s">
        <v>3264</v>
      </c>
      <c r="D442" s="11">
        <v>15297923055</v>
      </c>
      <c r="E442" s="167" t="s">
        <v>156</v>
      </c>
      <c r="F442" s="166" t="s">
        <v>7</v>
      </c>
      <c r="G442" s="9">
        <v>202102006</v>
      </c>
      <c r="H442" s="167" t="s">
        <v>157</v>
      </c>
      <c r="I442" s="167" t="s">
        <v>507</v>
      </c>
      <c r="J442" s="167" t="s">
        <v>243</v>
      </c>
      <c r="K442" s="167" t="s">
        <v>160</v>
      </c>
      <c r="L442" s="167" t="s">
        <v>1089</v>
      </c>
      <c r="M442" s="167" t="s">
        <v>13</v>
      </c>
      <c r="N442" s="11">
        <v>0</v>
      </c>
      <c r="O442" s="12" t="str">
        <f>_xlfn.DISPIMG("ID_E2A16755D9294F19AC6C5724406D1776",1)</f>
        <v>=DISPIMG("ID_E2A16755D9294F19AC6C5724406D1776",1)</v>
      </c>
      <c r="P442" s="9" t="s">
        <v>3265</v>
      </c>
      <c r="Q442" s="11">
        <v>407</v>
      </c>
      <c r="R442" s="15" t="s">
        <v>4700</v>
      </c>
      <c r="S442" s="19" t="s">
        <v>66</v>
      </c>
      <c r="T442" s="14">
        <v>2</v>
      </c>
    </row>
    <row r="443" s="3" customFormat="1" customHeight="1" spans="1:20">
      <c r="A443" s="166" t="s">
        <v>3543</v>
      </c>
      <c r="B443" s="166" t="s">
        <v>153</v>
      </c>
      <c r="C443" s="166" t="s">
        <v>3544</v>
      </c>
      <c r="D443" s="11">
        <v>17683950767</v>
      </c>
      <c r="E443" s="167" t="s">
        <v>156</v>
      </c>
      <c r="F443" s="166" t="s">
        <v>9</v>
      </c>
      <c r="G443" s="9">
        <v>202102011</v>
      </c>
      <c r="H443" s="167" t="s">
        <v>157</v>
      </c>
      <c r="I443" s="167" t="s">
        <v>3518</v>
      </c>
      <c r="J443" s="167" t="s">
        <v>472</v>
      </c>
      <c r="K443" s="167" t="s">
        <v>160</v>
      </c>
      <c r="L443" s="167" t="s">
        <v>455</v>
      </c>
      <c r="M443" s="167" t="s">
        <v>3519</v>
      </c>
      <c r="N443" s="11">
        <v>0</v>
      </c>
      <c r="O443" s="12" t="str">
        <f>_xlfn.DISPIMG("ID_2D99CEE979EF4ECAAD8A877BAF74FBA6",1)</f>
        <v>=DISPIMG("ID_2D99CEE979EF4ECAAD8A877BAF74FBA6",1)</v>
      </c>
      <c r="P443" s="9" t="s">
        <v>3546</v>
      </c>
      <c r="Q443" s="11">
        <v>450</v>
      </c>
      <c r="R443" s="15" t="s">
        <v>4724</v>
      </c>
      <c r="S443" s="19" t="s">
        <v>66</v>
      </c>
      <c r="T443" s="14">
        <v>11</v>
      </c>
    </row>
    <row r="444" s="3" customFormat="1" customHeight="1" spans="1:20">
      <c r="A444" s="166" t="s">
        <v>3549</v>
      </c>
      <c r="B444" s="166" t="s">
        <v>153</v>
      </c>
      <c r="C444" s="166" t="s">
        <v>3550</v>
      </c>
      <c r="D444" s="11">
        <v>15879724111</v>
      </c>
      <c r="E444" s="167" t="s">
        <v>156</v>
      </c>
      <c r="F444" s="166" t="s">
        <v>9</v>
      </c>
      <c r="G444" s="9">
        <v>202102011</v>
      </c>
      <c r="H444" s="167" t="s">
        <v>157</v>
      </c>
      <c r="I444" s="167" t="s">
        <v>1413</v>
      </c>
      <c r="J444" s="167" t="s">
        <v>682</v>
      </c>
      <c r="K444" s="167" t="s">
        <v>170</v>
      </c>
      <c r="L444" s="167" t="s">
        <v>261</v>
      </c>
      <c r="M444" s="167" t="s">
        <v>3552</v>
      </c>
      <c r="N444" s="11">
        <v>0</v>
      </c>
      <c r="O444" s="12" t="str">
        <f>_xlfn.DISPIMG("ID_DB61A8C4A58C4CD3A7E5339498EDC8D8",1)</f>
        <v>=DISPIMG("ID_DB61A8C4A58C4CD3A7E5339498EDC8D8",1)</v>
      </c>
      <c r="P444" s="9" t="s">
        <v>3553</v>
      </c>
      <c r="Q444" s="11">
        <v>451</v>
      </c>
      <c r="R444" s="15" t="s">
        <v>4725</v>
      </c>
      <c r="S444" s="19" t="s">
        <v>66</v>
      </c>
      <c r="T444" s="14">
        <v>14</v>
      </c>
    </row>
    <row r="445" s="3" customFormat="1" customHeight="1" spans="2:20">
      <c r="B445" s="9"/>
      <c r="C445" s="9"/>
      <c r="D445" s="11"/>
      <c r="E445" s="11"/>
      <c r="F445" s="9"/>
      <c r="G445" s="9"/>
      <c r="H445" s="11"/>
      <c r="I445" s="11"/>
      <c r="J445" s="11"/>
      <c r="K445" s="11"/>
      <c r="L445" s="11"/>
      <c r="M445" s="11"/>
      <c r="N445" s="11"/>
      <c r="O445" s="12"/>
      <c r="P445" s="11" t="s">
        <v>4409</v>
      </c>
      <c r="Q445" s="11"/>
      <c r="R445" s="11" t="s">
        <v>4410</v>
      </c>
      <c r="S445" s="19" t="s">
        <v>66</v>
      </c>
      <c r="T445" s="14">
        <v>23</v>
      </c>
    </row>
    <row r="446" s="3" customFormat="1" customHeight="1" spans="2:20">
      <c r="B446" s="9"/>
      <c r="C446" s="9"/>
      <c r="D446" s="11"/>
      <c r="E446" s="11"/>
      <c r="F446" s="9"/>
      <c r="G446" s="9"/>
      <c r="H446" s="11"/>
      <c r="I446" s="11"/>
      <c r="J446" s="11"/>
      <c r="K446" s="11"/>
      <c r="L446" s="11"/>
      <c r="M446" s="11"/>
      <c r="N446" s="11"/>
      <c r="O446" s="12"/>
      <c r="P446" s="11" t="s">
        <v>4409</v>
      </c>
      <c r="Q446" s="11"/>
      <c r="R446" s="11" t="s">
        <v>4410</v>
      </c>
      <c r="S446" s="19" t="s">
        <v>66</v>
      </c>
      <c r="T446" s="14">
        <v>26</v>
      </c>
    </row>
    <row r="447" s="3" customFormat="1" customHeight="1" spans="1:20">
      <c r="A447" s="166" t="s">
        <v>3685</v>
      </c>
      <c r="B447" s="166" t="s">
        <v>165</v>
      </c>
      <c r="C447" s="166" t="s">
        <v>3686</v>
      </c>
      <c r="D447" s="11">
        <v>18270929326</v>
      </c>
      <c r="E447" s="167" t="s">
        <v>156</v>
      </c>
      <c r="F447" s="166" t="s">
        <v>7</v>
      </c>
      <c r="G447" s="9">
        <v>202102006</v>
      </c>
      <c r="H447" s="167" t="s">
        <v>157</v>
      </c>
      <c r="I447" s="167" t="s">
        <v>884</v>
      </c>
      <c r="J447" s="167" t="s">
        <v>454</v>
      </c>
      <c r="K447" s="167" t="s">
        <v>170</v>
      </c>
      <c r="L447" s="167" t="s">
        <v>3687</v>
      </c>
      <c r="M447" s="167" t="s">
        <v>7</v>
      </c>
      <c r="N447" s="167" t="s">
        <v>3688</v>
      </c>
      <c r="O447" s="12" t="str">
        <f>_xlfn.DISPIMG("ID_E15A59AE3AB3482DA375DB6FC21D8F4C",1)</f>
        <v>=DISPIMG("ID_E15A59AE3AB3482DA375DB6FC21D8F4C",1)</v>
      </c>
      <c r="P447" s="9" t="s">
        <v>3689</v>
      </c>
      <c r="Q447" s="11">
        <v>469</v>
      </c>
      <c r="R447" s="15" t="s">
        <v>4704</v>
      </c>
      <c r="S447" s="19" t="s">
        <v>66</v>
      </c>
      <c r="T447" s="14">
        <v>1</v>
      </c>
    </row>
    <row r="448" s="4" customFormat="1" customHeight="1" spans="1:20">
      <c r="A448" s="166" t="s">
        <v>3556</v>
      </c>
      <c r="B448" s="166" t="s">
        <v>153</v>
      </c>
      <c r="C448" s="166" t="s">
        <v>3557</v>
      </c>
      <c r="D448" s="11">
        <v>17346719580</v>
      </c>
      <c r="E448" s="167" t="s">
        <v>156</v>
      </c>
      <c r="F448" s="166" t="s">
        <v>9</v>
      </c>
      <c r="G448" s="9">
        <v>202102011</v>
      </c>
      <c r="H448" s="167" t="s">
        <v>157</v>
      </c>
      <c r="I448" s="167" t="s">
        <v>3518</v>
      </c>
      <c r="J448" s="167" t="s">
        <v>3559</v>
      </c>
      <c r="K448" s="167" t="s">
        <v>160</v>
      </c>
      <c r="L448" s="167" t="s">
        <v>455</v>
      </c>
      <c r="M448" s="167" t="s">
        <v>3519</v>
      </c>
      <c r="N448" s="11">
        <v>0</v>
      </c>
      <c r="O448" s="12" t="str">
        <f>_xlfn.DISPIMG("ID_21EB11AFC3FB431C8DEC9B4C05162E66",1)</f>
        <v>=DISPIMG("ID_21EB11AFC3FB431C8DEC9B4C05162E66",1)</v>
      </c>
      <c r="P448" s="9" t="s">
        <v>3560</v>
      </c>
      <c r="Q448" s="11">
        <v>452</v>
      </c>
      <c r="R448" s="15" t="s">
        <v>4726</v>
      </c>
      <c r="S448" s="19" t="s">
        <v>66</v>
      </c>
      <c r="T448" s="14">
        <v>12</v>
      </c>
    </row>
    <row r="449" s="3" customFormat="1" customHeight="1" spans="1:20">
      <c r="A449" s="166" t="s">
        <v>3563</v>
      </c>
      <c r="B449" s="166" t="s">
        <v>153</v>
      </c>
      <c r="C449" s="166" t="s">
        <v>3564</v>
      </c>
      <c r="D449" s="11">
        <v>15907977787</v>
      </c>
      <c r="E449" s="167" t="s">
        <v>156</v>
      </c>
      <c r="F449" s="166" t="s">
        <v>9</v>
      </c>
      <c r="G449" s="9">
        <v>202102011</v>
      </c>
      <c r="H449" s="167" t="s">
        <v>157</v>
      </c>
      <c r="I449" s="167" t="s">
        <v>233</v>
      </c>
      <c r="J449" s="167" t="s">
        <v>3566</v>
      </c>
      <c r="K449" s="167" t="s">
        <v>170</v>
      </c>
      <c r="L449" s="167" t="s">
        <v>261</v>
      </c>
      <c r="M449" s="167" t="s">
        <v>1579</v>
      </c>
      <c r="N449" s="11">
        <v>0</v>
      </c>
      <c r="O449" s="12" t="str">
        <f>_xlfn.DISPIMG("ID_3C6447D057EF4BF7AE9ECFE35CBC5ECF",1)</f>
        <v>=DISPIMG("ID_3C6447D057EF4BF7AE9ECFE35CBC5ECF",1)</v>
      </c>
      <c r="P449" s="9" t="s">
        <v>3567</v>
      </c>
      <c r="Q449" s="11">
        <v>453</v>
      </c>
      <c r="R449" s="15" t="s">
        <v>4730</v>
      </c>
      <c r="S449" s="19" t="s">
        <v>66</v>
      </c>
      <c r="T449" s="14">
        <v>13</v>
      </c>
    </row>
    <row r="450" s="3" customFormat="1" customHeight="1" spans="2:20">
      <c r="B450" s="9"/>
      <c r="C450" s="9"/>
      <c r="D450" s="11"/>
      <c r="E450" s="11"/>
      <c r="F450" s="9"/>
      <c r="G450" s="9"/>
      <c r="H450" s="11"/>
      <c r="I450" s="11"/>
      <c r="J450" s="11"/>
      <c r="K450" s="11"/>
      <c r="L450" s="11"/>
      <c r="M450" s="11"/>
      <c r="N450" s="11"/>
      <c r="O450" s="12"/>
      <c r="P450" s="11" t="s">
        <v>4409</v>
      </c>
      <c r="Q450" s="11"/>
      <c r="R450" s="11" t="s">
        <v>4410</v>
      </c>
      <c r="S450" s="19" t="s">
        <v>66</v>
      </c>
      <c r="T450" s="14">
        <v>24</v>
      </c>
    </row>
    <row r="451" s="3" customFormat="1" customHeight="1" spans="2:20">
      <c r="B451" s="9"/>
      <c r="C451" s="9"/>
      <c r="D451" s="11"/>
      <c r="E451" s="11"/>
      <c r="F451" s="9"/>
      <c r="G451" s="9"/>
      <c r="H451" s="11"/>
      <c r="I451" s="11"/>
      <c r="J451" s="11"/>
      <c r="K451" s="11"/>
      <c r="L451" s="11"/>
      <c r="M451" s="11"/>
      <c r="N451" s="11"/>
      <c r="O451" s="12"/>
      <c r="P451" s="11" t="s">
        <v>4409</v>
      </c>
      <c r="Q451" s="11"/>
      <c r="R451" s="11" t="s">
        <v>4410</v>
      </c>
      <c r="S451" s="19" t="s">
        <v>66</v>
      </c>
      <c r="T451" s="14">
        <v>25</v>
      </c>
    </row>
    <row r="452" s="3" customFormat="1" customHeight="1" spans="1:20">
      <c r="A452" s="167" t="s">
        <v>294</v>
      </c>
      <c r="B452" s="167" t="s">
        <v>165</v>
      </c>
      <c r="C452" s="167" t="s">
        <v>295</v>
      </c>
      <c r="D452" s="11">
        <v>18214938323</v>
      </c>
      <c r="E452" s="167" t="s">
        <v>297</v>
      </c>
      <c r="F452" s="167" t="s">
        <v>25</v>
      </c>
      <c r="G452" s="11">
        <v>202101008</v>
      </c>
      <c r="H452" s="167" t="s">
        <v>157</v>
      </c>
      <c r="I452" s="167" t="s">
        <v>178</v>
      </c>
      <c r="J452" s="167" t="s">
        <v>298</v>
      </c>
      <c r="K452" s="167" t="s">
        <v>160</v>
      </c>
      <c r="L452" s="167" t="s">
        <v>261</v>
      </c>
      <c r="M452" s="167" t="s">
        <v>25</v>
      </c>
      <c r="N452" s="11">
        <v>0</v>
      </c>
      <c r="O452" s="12" t="str">
        <f>_xlfn.DISPIMG("ID_60CDE70AF1564D1B99D89BFC637EF6FF",1)</f>
        <v>=DISPIMG("ID_60CDE70AF1564D1B99D89BFC637EF6FF",1)</v>
      </c>
      <c r="P452" s="11" t="s">
        <v>299</v>
      </c>
      <c r="Q452" s="11">
        <v>17</v>
      </c>
      <c r="R452" s="17" t="s">
        <v>4742</v>
      </c>
      <c r="S452" s="18" t="s">
        <v>70</v>
      </c>
      <c r="T452" s="11">
        <v>6</v>
      </c>
    </row>
    <row r="453" s="3" customFormat="1" customHeight="1" spans="1:20">
      <c r="A453" s="167" t="s">
        <v>312</v>
      </c>
      <c r="B453" s="167" t="s">
        <v>165</v>
      </c>
      <c r="C453" s="167" t="s">
        <v>313</v>
      </c>
      <c r="D453" s="11">
        <v>13479263942</v>
      </c>
      <c r="E453" s="167" t="s">
        <v>297</v>
      </c>
      <c r="F453" s="167" t="s">
        <v>25</v>
      </c>
      <c r="G453" s="11">
        <v>202101008</v>
      </c>
      <c r="H453" s="167" t="s">
        <v>157</v>
      </c>
      <c r="I453" s="167" t="s">
        <v>158</v>
      </c>
      <c r="J453" s="167" t="s">
        <v>223</v>
      </c>
      <c r="K453" s="167" t="s">
        <v>170</v>
      </c>
      <c r="L453" s="167" t="s">
        <v>306</v>
      </c>
      <c r="M453" s="167" t="s">
        <v>315</v>
      </c>
      <c r="N453" s="167" t="s">
        <v>316</v>
      </c>
      <c r="O453" s="12" t="str">
        <f>_xlfn.DISPIMG("ID_70953AC2E42945A88FA3E573D09D6D1B",1)</f>
        <v>=DISPIMG("ID_70953AC2E42945A88FA3E573D09D6D1B",1)</v>
      </c>
      <c r="P453" s="11" t="s">
        <v>317</v>
      </c>
      <c r="Q453" s="11">
        <v>19</v>
      </c>
      <c r="R453" s="17" t="s">
        <v>4745</v>
      </c>
      <c r="S453" s="18" t="s">
        <v>70</v>
      </c>
      <c r="T453" s="11">
        <v>7</v>
      </c>
    </row>
    <row r="454" s="3" customFormat="1" customHeight="1" spans="1:20">
      <c r="A454" s="167" t="s">
        <v>381</v>
      </c>
      <c r="B454" s="167" t="s">
        <v>165</v>
      </c>
      <c r="C454" s="167" t="s">
        <v>382</v>
      </c>
      <c r="D454" s="11">
        <v>15180106412</v>
      </c>
      <c r="E454" s="167" t="s">
        <v>384</v>
      </c>
      <c r="F454" s="167" t="s">
        <v>25</v>
      </c>
      <c r="G454" s="11">
        <v>202101007</v>
      </c>
      <c r="H454" s="167" t="s">
        <v>157</v>
      </c>
      <c r="I454" s="167" t="s">
        <v>385</v>
      </c>
      <c r="J454" s="167" t="s">
        <v>386</v>
      </c>
      <c r="K454" s="167" t="s">
        <v>170</v>
      </c>
      <c r="L454" s="167" t="s">
        <v>216</v>
      </c>
      <c r="M454" s="167" t="s">
        <v>25</v>
      </c>
      <c r="N454" s="167" t="s">
        <v>387</v>
      </c>
      <c r="O454" s="12" t="str">
        <f>_xlfn.DISPIMG("ID_66D69597049F4F76B0A0201065CACE75",1)</f>
        <v>=DISPIMG("ID_66D69597049F4F76B0A0201065CACE75",1)</v>
      </c>
      <c r="P454" s="11" t="s">
        <v>388</v>
      </c>
      <c r="Q454" s="11">
        <v>27</v>
      </c>
      <c r="R454" s="17" t="s">
        <v>4727</v>
      </c>
      <c r="S454" s="18" t="s">
        <v>70</v>
      </c>
      <c r="T454" s="11">
        <v>18</v>
      </c>
    </row>
    <row r="455" s="3" customFormat="1" customHeight="1" spans="1:20">
      <c r="A455" s="167" t="s">
        <v>545</v>
      </c>
      <c r="B455" s="167" t="s">
        <v>165</v>
      </c>
      <c r="C455" s="167" t="s">
        <v>546</v>
      </c>
      <c r="D455" s="11">
        <v>13282964470</v>
      </c>
      <c r="E455" s="167" t="s">
        <v>384</v>
      </c>
      <c r="F455" s="167" t="s">
        <v>25</v>
      </c>
      <c r="G455" s="11">
        <v>202101007</v>
      </c>
      <c r="H455" s="167" t="s">
        <v>157</v>
      </c>
      <c r="I455" s="167" t="s">
        <v>158</v>
      </c>
      <c r="J455" s="167" t="s">
        <v>223</v>
      </c>
      <c r="K455" s="167" t="s">
        <v>170</v>
      </c>
      <c r="L455" s="167" t="s">
        <v>548</v>
      </c>
      <c r="M455" s="167" t="s">
        <v>549</v>
      </c>
      <c r="N455" s="167" t="s">
        <v>550</v>
      </c>
      <c r="O455" s="12" t="str">
        <f>_xlfn.DISPIMG("ID_815DB3FDB9924FE5A27318CA3E9A763D",1)</f>
        <v>=DISPIMG("ID_815DB3FDB9924FE5A27318CA3E9A763D",1)</v>
      </c>
      <c r="P455" s="11" t="s">
        <v>551</v>
      </c>
      <c r="Q455" s="11">
        <v>47</v>
      </c>
      <c r="R455" s="17" t="s">
        <v>4728</v>
      </c>
      <c r="S455" s="18" t="s">
        <v>70</v>
      </c>
      <c r="T455" s="11">
        <v>19</v>
      </c>
    </row>
    <row r="456" s="3" customFormat="1" customHeight="1" spans="1:20">
      <c r="A456" s="167" t="s">
        <v>554</v>
      </c>
      <c r="B456" s="167" t="s">
        <v>165</v>
      </c>
      <c r="C456" s="167" t="s">
        <v>555</v>
      </c>
      <c r="D456" s="11">
        <v>15508941977</v>
      </c>
      <c r="E456" s="167" t="s">
        <v>384</v>
      </c>
      <c r="F456" s="167" t="s">
        <v>25</v>
      </c>
      <c r="G456" s="11">
        <v>202101007</v>
      </c>
      <c r="H456" s="167" t="s">
        <v>157</v>
      </c>
      <c r="I456" s="167" t="s">
        <v>557</v>
      </c>
      <c r="J456" s="167" t="s">
        <v>558</v>
      </c>
      <c r="K456" s="167" t="s">
        <v>170</v>
      </c>
      <c r="L456" s="167" t="s">
        <v>559</v>
      </c>
      <c r="M456" s="167" t="s">
        <v>560</v>
      </c>
      <c r="N456" s="167" t="s">
        <v>561</v>
      </c>
      <c r="O456" s="12" t="str">
        <f>_xlfn.DISPIMG("ID_ED037D5B8E7D49BEA8FD0DBFF3A4827B",1)</f>
        <v>=DISPIMG("ID_ED037D5B8E7D49BEA8FD0DBFF3A4827B",1)</v>
      </c>
      <c r="P456" s="11" t="s">
        <v>562</v>
      </c>
      <c r="Q456" s="11">
        <v>48</v>
      </c>
      <c r="R456" s="17" t="s">
        <v>4729</v>
      </c>
      <c r="S456" s="18" t="s">
        <v>70</v>
      </c>
      <c r="T456" s="11">
        <v>30</v>
      </c>
    </row>
    <row r="457" s="3" customFormat="1" customHeight="1" spans="1:20">
      <c r="A457" s="167" t="s">
        <v>720</v>
      </c>
      <c r="B457" s="167" t="s">
        <v>165</v>
      </c>
      <c r="C457" s="167" t="s">
        <v>721</v>
      </c>
      <c r="D457" s="11">
        <v>18070248182</v>
      </c>
      <c r="E457" s="167" t="s">
        <v>384</v>
      </c>
      <c r="F457" s="167" t="s">
        <v>25</v>
      </c>
      <c r="G457" s="11">
        <v>202101007</v>
      </c>
      <c r="H457" s="167" t="s">
        <v>157</v>
      </c>
      <c r="I457" s="167" t="s">
        <v>723</v>
      </c>
      <c r="J457" s="167" t="s">
        <v>223</v>
      </c>
      <c r="K457" s="167" t="s">
        <v>170</v>
      </c>
      <c r="L457" s="167" t="s">
        <v>252</v>
      </c>
      <c r="M457" s="167" t="s">
        <v>724</v>
      </c>
      <c r="N457" s="167" t="s">
        <v>725</v>
      </c>
      <c r="O457" s="12" t="str">
        <f>_xlfn.DISPIMG("ID_18752421A8044E9999D06F0B98A5B3A9",1)</f>
        <v>=DISPIMG("ID_18752421A8044E9999D06F0B98A5B3A9",1)</v>
      </c>
      <c r="P457" s="11" t="s">
        <v>726</v>
      </c>
      <c r="Q457" s="11">
        <v>68</v>
      </c>
      <c r="R457" s="17" t="s">
        <v>4731</v>
      </c>
      <c r="S457" s="18" t="s">
        <v>70</v>
      </c>
      <c r="T457" s="11">
        <v>5</v>
      </c>
    </row>
    <row r="458" s="3" customFormat="1" customHeight="1" spans="1:20">
      <c r="A458" s="167" t="s">
        <v>786</v>
      </c>
      <c r="B458" s="167" t="s">
        <v>165</v>
      </c>
      <c r="C458" s="167" t="s">
        <v>787</v>
      </c>
      <c r="D458" s="11">
        <v>15870883510</v>
      </c>
      <c r="E458" s="167" t="s">
        <v>384</v>
      </c>
      <c r="F458" s="167" t="s">
        <v>25</v>
      </c>
      <c r="G458" s="11">
        <v>202101007</v>
      </c>
      <c r="H458" s="167" t="s">
        <v>705</v>
      </c>
      <c r="I458" s="167" t="s">
        <v>789</v>
      </c>
      <c r="J458" s="167" t="s">
        <v>790</v>
      </c>
      <c r="K458" s="167" t="s">
        <v>160</v>
      </c>
      <c r="L458" s="167" t="s">
        <v>455</v>
      </c>
      <c r="M458" s="167" t="s">
        <v>307</v>
      </c>
      <c r="N458" s="167" t="s">
        <v>791</v>
      </c>
      <c r="O458" s="12" t="str">
        <f>_xlfn.DISPIMG("ID_81CFC0148DBF4084ADB804B82E5E7200",1)</f>
        <v>=DISPIMG("ID_81CFC0148DBF4084ADB804B82E5E7200",1)</v>
      </c>
      <c r="P458" s="11" t="s">
        <v>792</v>
      </c>
      <c r="Q458" s="11">
        <v>76</v>
      </c>
      <c r="R458" s="17" t="s">
        <v>4732</v>
      </c>
      <c r="S458" s="18" t="s">
        <v>70</v>
      </c>
      <c r="T458" s="11">
        <v>8</v>
      </c>
    </row>
    <row r="459" s="3" customFormat="1" customHeight="1" spans="1:20">
      <c r="A459" s="167" t="s">
        <v>824</v>
      </c>
      <c r="B459" s="167" t="s">
        <v>165</v>
      </c>
      <c r="C459" s="167" t="s">
        <v>825</v>
      </c>
      <c r="D459" s="11">
        <v>18870036528</v>
      </c>
      <c r="E459" s="167" t="s">
        <v>297</v>
      </c>
      <c r="F459" s="167" t="s">
        <v>25</v>
      </c>
      <c r="G459" s="11">
        <v>202101008</v>
      </c>
      <c r="H459" s="167" t="s">
        <v>157</v>
      </c>
      <c r="I459" s="167" t="s">
        <v>827</v>
      </c>
      <c r="J459" s="167" t="s">
        <v>828</v>
      </c>
      <c r="K459" s="167" t="s">
        <v>170</v>
      </c>
      <c r="L459" s="167" t="s">
        <v>396</v>
      </c>
      <c r="M459" s="167" t="s">
        <v>25</v>
      </c>
      <c r="N459" s="167" t="s">
        <v>829</v>
      </c>
      <c r="O459" s="12" t="str">
        <f>_xlfn.DISPIMG("ID_8A1A22938F334E1D900FC8311DB2BE9A",1)</f>
        <v>=DISPIMG("ID_8A1A22938F334E1D900FC8311DB2BE9A",1)</v>
      </c>
      <c r="P459" s="11" t="s">
        <v>830</v>
      </c>
      <c r="Q459" s="11">
        <v>81</v>
      </c>
      <c r="R459" s="17" t="s">
        <v>4733</v>
      </c>
      <c r="S459" s="18" t="s">
        <v>70</v>
      </c>
      <c r="T459" s="11">
        <v>17</v>
      </c>
    </row>
    <row r="460" s="3" customFormat="1" customHeight="1" spans="1:20">
      <c r="A460" s="167" t="s">
        <v>949</v>
      </c>
      <c r="B460" s="167" t="s">
        <v>165</v>
      </c>
      <c r="C460" s="167" t="s">
        <v>950</v>
      </c>
      <c r="D460" s="11">
        <v>15720934889</v>
      </c>
      <c r="E460" s="167" t="s">
        <v>384</v>
      </c>
      <c r="F460" s="167" t="s">
        <v>25</v>
      </c>
      <c r="G460" s="11">
        <v>202101007</v>
      </c>
      <c r="H460" s="167" t="s">
        <v>157</v>
      </c>
      <c r="I460" s="167" t="s">
        <v>269</v>
      </c>
      <c r="J460" s="167" t="s">
        <v>179</v>
      </c>
      <c r="K460" s="167" t="s">
        <v>170</v>
      </c>
      <c r="L460" s="167" t="s">
        <v>171</v>
      </c>
      <c r="M460" s="167" t="s">
        <v>952</v>
      </c>
      <c r="N460" s="167" t="s">
        <v>953</v>
      </c>
      <c r="O460" s="12" t="str">
        <f>_xlfn.DISPIMG("ID_7778BC47A591458DA9EA33FB1000B681",1)</f>
        <v>=DISPIMG("ID_7778BC47A591458DA9EA33FB1000B681",1)</v>
      </c>
      <c r="P460" s="11" t="s">
        <v>954</v>
      </c>
      <c r="Q460" s="11">
        <v>96</v>
      </c>
      <c r="R460" s="17" t="s">
        <v>4735</v>
      </c>
      <c r="S460" s="18" t="s">
        <v>70</v>
      </c>
      <c r="T460" s="11">
        <v>20</v>
      </c>
    </row>
    <row r="461" s="3" customFormat="1" customHeight="1" spans="1:20">
      <c r="A461" s="167" t="s">
        <v>1373</v>
      </c>
      <c r="B461" s="167" t="s">
        <v>165</v>
      </c>
      <c r="C461" s="167" t="s">
        <v>1374</v>
      </c>
      <c r="D461" s="11">
        <v>15070130599</v>
      </c>
      <c r="E461" s="167" t="s">
        <v>384</v>
      </c>
      <c r="F461" s="167" t="s">
        <v>25</v>
      </c>
      <c r="G461" s="11">
        <v>202101007</v>
      </c>
      <c r="H461" s="167" t="s">
        <v>705</v>
      </c>
      <c r="I461" s="167" t="s">
        <v>1376</v>
      </c>
      <c r="J461" s="167" t="s">
        <v>790</v>
      </c>
      <c r="K461" s="167" t="s">
        <v>160</v>
      </c>
      <c r="L461" s="167" t="s">
        <v>455</v>
      </c>
      <c r="M461" s="167" t="s">
        <v>1156</v>
      </c>
      <c r="N461" s="11">
        <v>0</v>
      </c>
      <c r="O461" s="12" t="str">
        <f>_xlfn.DISPIMG("ID_ECF84772EBB248C2BC2BD56C2C168331",1)</f>
        <v>=DISPIMG("ID_ECF84772EBB248C2BC2BD56C2C168331",1)</v>
      </c>
      <c r="P461" s="11" t="s">
        <v>1377</v>
      </c>
      <c r="Q461" s="11">
        <v>150</v>
      </c>
      <c r="R461" s="17" t="s">
        <v>4736</v>
      </c>
      <c r="S461" s="18" t="s">
        <v>70</v>
      </c>
      <c r="T461" s="11">
        <v>29</v>
      </c>
    </row>
    <row r="462" s="3" customFormat="1" customHeight="1" spans="1:20">
      <c r="A462" s="167" t="s">
        <v>1552</v>
      </c>
      <c r="B462" s="167" t="s">
        <v>165</v>
      </c>
      <c r="C462" s="167" t="s">
        <v>1553</v>
      </c>
      <c r="D462" s="11">
        <v>18795899857</v>
      </c>
      <c r="E462" s="167" t="s">
        <v>384</v>
      </c>
      <c r="F462" s="167" t="s">
        <v>25</v>
      </c>
      <c r="G462" s="11">
        <v>202101007</v>
      </c>
      <c r="H462" s="167" t="s">
        <v>157</v>
      </c>
      <c r="I462" s="167" t="s">
        <v>385</v>
      </c>
      <c r="J462" s="167" t="s">
        <v>828</v>
      </c>
      <c r="K462" s="167" t="s">
        <v>170</v>
      </c>
      <c r="L462" s="167" t="s">
        <v>548</v>
      </c>
      <c r="M462" s="167" t="s">
        <v>25</v>
      </c>
      <c r="N462" s="167" t="s">
        <v>1555</v>
      </c>
      <c r="O462" s="12" t="str">
        <f>_xlfn.DISPIMG("ID_3244697DE8F74EF1A671D4FB148CF806",1)</f>
        <v>=DISPIMG("ID_3244697DE8F74EF1A671D4FB148CF806",1)</v>
      </c>
      <c r="P462" s="11" t="s">
        <v>1556</v>
      </c>
      <c r="Q462" s="11">
        <v>173</v>
      </c>
      <c r="R462" s="17" t="s">
        <v>4737</v>
      </c>
      <c r="S462" s="18" t="s">
        <v>70</v>
      </c>
      <c r="T462" s="11">
        <v>4</v>
      </c>
    </row>
    <row r="463" s="5" customFormat="1" customHeight="1" spans="1:20">
      <c r="A463" s="167" t="s">
        <v>1597</v>
      </c>
      <c r="B463" s="167" t="s">
        <v>153</v>
      </c>
      <c r="C463" s="167" t="s">
        <v>1598</v>
      </c>
      <c r="D463" s="11">
        <v>13979287846</v>
      </c>
      <c r="E463" s="167" t="s">
        <v>384</v>
      </c>
      <c r="F463" s="167" t="s">
        <v>25</v>
      </c>
      <c r="G463" s="11">
        <v>202101007</v>
      </c>
      <c r="H463" s="167" t="s">
        <v>157</v>
      </c>
      <c r="I463" s="167" t="s">
        <v>1600</v>
      </c>
      <c r="J463" s="167" t="s">
        <v>1601</v>
      </c>
      <c r="K463" s="167" t="s">
        <v>170</v>
      </c>
      <c r="L463" s="167" t="s">
        <v>252</v>
      </c>
      <c r="M463" s="167" t="s">
        <v>25</v>
      </c>
      <c r="N463" s="167" t="s">
        <v>1602</v>
      </c>
      <c r="O463" s="12" t="str">
        <f>_xlfn.DISPIMG("ID_E78F3BF41C5D43B8884910B23D8EE46A",1)</f>
        <v>=DISPIMG("ID_E78F3BF41C5D43B8884910B23D8EE46A",1)</v>
      </c>
      <c r="P463" s="11" t="s">
        <v>1603</v>
      </c>
      <c r="Q463" s="11">
        <v>179</v>
      </c>
      <c r="R463" s="17" t="s">
        <v>4739</v>
      </c>
      <c r="S463" s="18" t="s">
        <v>70</v>
      </c>
      <c r="T463" s="11">
        <v>9</v>
      </c>
    </row>
    <row r="464" s="3" customFormat="1" customHeight="1" spans="1:20">
      <c r="A464" s="167" t="s">
        <v>1689</v>
      </c>
      <c r="B464" s="167" t="s">
        <v>165</v>
      </c>
      <c r="C464" s="167" t="s">
        <v>1690</v>
      </c>
      <c r="D464" s="11">
        <v>13677055035</v>
      </c>
      <c r="E464" s="167" t="s">
        <v>384</v>
      </c>
      <c r="F464" s="167" t="s">
        <v>25</v>
      </c>
      <c r="G464" s="11">
        <v>202101007</v>
      </c>
      <c r="H464" s="167" t="s">
        <v>157</v>
      </c>
      <c r="I464" s="167" t="s">
        <v>1258</v>
      </c>
      <c r="J464" s="167" t="s">
        <v>179</v>
      </c>
      <c r="K464" s="167" t="s">
        <v>170</v>
      </c>
      <c r="L464" s="167" t="s">
        <v>180</v>
      </c>
      <c r="M464" s="167" t="s">
        <v>1692</v>
      </c>
      <c r="N464" s="167" t="s">
        <v>1693</v>
      </c>
      <c r="O464" s="12" t="str">
        <f>_xlfn.DISPIMG("ID_43885BD9A06C404291EA89276C573B8A",1)</f>
        <v>=DISPIMG("ID_43885BD9A06C404291EA89276C573B8A",1)</v>
      </c>
      <c r="P464" s="11" t="s">
        <v>1694</v>
      </c>
      <c r="Q464" s="11">
        <v>191</v>
      </c>
      <c r="R464" s="17" t="s">
        <v>4740</v>
      </c>
      <c r="S464" s="18" t="s">
        <v>70</v>
      </c>
      <c r="T464" s="11">
        <v>16</v>
      </c>
    </row>
    <row r="465" s="3" customFormat="1" customHeight="1" spans="1:20">
      <c r="A465" s="167" t="s">
        <v>1807</v>
      </c>
      <c r="B465" s="167" t="s">
        <v>165</v>
      </c>
      <c r="C465" s="167" t="s">
        <v>1808</v>
      </c>
      <c r="D465" s="11">
        <v>18279208598</v>
      </c>
      <c r="E465" s="167" t="s">
        <v>384</v>
      </c>
      <c r="F465" s="167" t="s">
        <v>25</v>
      </c>
      <c r="G465" s="11">
        <v>202101007</v>
      </c>
      <c r="H465" s="167" t="s">
        <v>157</v>
      </c>
      <c r="I465" s="167" t="s">
        <v>1413</v>
      </c>
      <c r="J465" s="167" t="s">
        <v>179</v>
      </c>
      <c r="K465" s="167" t="s">
        <v>170</v>
      </c>
      <c r="L465" s="167" t="s">
        <v>235</v>
      </c>
      <c r="M465" s="167" t="s">
        <v>1692</v>
      </c>
      <c r="N465" s="167" t="s">
        <v>1810</v>
      </c>
      <c r="O465" s="12" t="str">
        <f>_xlfn.DISPIMG("ID_CF289AF208E247F38051A435A278D00A",1)</f>
        <v>=DISPIMG("ID_CF289AF208E247F38051A435A278D00A",1)</v>
      </c>
      <c r="P465" s="11" t="s">
        <v>1811</v>
      </c>
      <c r="Q465" s="11">
        <v>206</v>
      </c>
      <c r="R465" s="17" t="s">
        <v>4741</v>
      </c>
      <c r="S465" s="18" t="s">
        <v>70</v>
      </c>
      <c r="T465" s="11">
        <v>21</v>
      </c>
    </row>
    <row r="466" s="3" customFormat="1" customHeight="1" spans="1:20">
      <c r="A466" s="167" t="s">
        <v>1912</v>
      </c>
      <c r="B466" s="167" t="s">
        <v>165</v>
      </c>
      <c r="C466" s="167" t="s">
        <v>1913</v>
      </c>
      <c r="D466" s="11">
        <v>15079288765</v>
      </c>
      <c r="E466" s="167" t="s">
        <v>297</v>
      </c>
      <c r="F466" s="167" t="s">
        <v>25</v>
      </c>
      <c r="G466" s="11">
        <v>202101008</v>
      </c>
      <c r="H466" s="167" t="s">
        <v>157</v>
      </c>
      <c r="I466" s="167" t="s">
        <v>233</v>
      </c>
      <c r="J466" s="167" t="s">
        <v>298</v>
      </c>
      <c r="K466" s="167" t="s">
        <v>160</v>
      </c>
      <c r="L466" s="167" t="s">
        <v>587</v>
      </c>
      <c r="M466" s="167" t="s">
        <v>25</v>
      </c>
      <c r="N466" s="167" t="s">
        <v>1915</v>
      </c>
      <c r="O466" s="12" t="str">
        <f>_xlfn.DISPIMG("ID_845D85CFFC3A4B2FB996A756749DD1B9",1)</f>
        <v>=DISPIMG("ID_845D85CFFC3A4B2FB996A756749DD1B9",1)</v>
      </c>
      <c r="P466" s="11" t="s">
        <v>1916</v>
      </c>
      <c r="Q466" s="11">
        <v>220</v>
      </c>
      <c r="R466" s="17" t="s">
        <v>4743</v>
      </c>
      <c r="S466" s="18" t="s">
        <v>70</v>
      </c>
      <c r="T466" s="11">
        <v>28</v>
      </c>
    </row>
    <row r="467" s="4" customFormat="1" customHeight="1" spans="1:20">
      <c r="A467" s="167" t="s">
        <v>2069</v>
      </c>
      <c r="B467" s="167" t="s">
        <v>165</v>
      </c>
      <c r="C467" s="167" t="s">
        <v>2070</v>
      </c>
      <c r="D467" s="11">
        <v>18970492528</v>
      </c>
      <c r="E467" s="167" t="s">
        <v>384</v>
      </c>
      <c r="F467" s="167" t="s">
        <v>25</v>
      </c>
      <c r="G467" s="11">
        <v>202101007</v>
      </c>
      <c r="H467" s="167" t="s">
        <v>157</v>
      </c>
      <c r="I467" s="167" t="s">
        <v>233</v>
      </c>
      <c r="J467" s="167" t="s">
        <v>179</v>
      </c>
      <c r="K467" s="167" t="s">
        <v>170</v>
      </c>
      <c r="L467" s="167" t="s">
        <v>1346</v>
      </c>
      <c r="M467" s="167" t="s">
        <v>25</v>
      </c>
      <c r="N467" s="167" t="s">
        <v>2072</v>
      </c>
      <c r="O467" s="12" t="str">
        <f>_xlfn.DISPIMG("ID_AE7BFEF114344F24954EA3AA4FC71BD8",1)</f>
        <v>=DISPIMG("ID_AE7BFEF114344F24954EA3AA4FC71BD8",1)</v>
      </c>
      <c r="P467" s="11" t="s">
        <v>2073</v>
      </c>
      <c r="Q467" s="11">
        <v>241</v>
      </c>
      <c r="R467" s="17" t="s">
        <v>4744</v>
      </c>
      <c r="S467" s="18" t="s">
        <v>70</v>
      </c>
      <c r="T467" s="11">
        <v>3</v>
      </c>
    </row>
    <row r="468" s="4" customFormat="1" customHeight="1" spans="1:20">
      <c r="A468" s="167" t="s">
        <v>2360</v>
      </c>
      <c r="B468" s="167" t="s">
        <v>165</v>
      </c>
      <c r="C468" s="167" t="s">
        <v>2361</v>
      </c>
      <c r="D468" s="11">
        <v>18070140896</v>
      </c>
      <c r="E468" s="167" t="s">
        <v>384</v>
      </c>
      <c r="F468" s="167" t="s">
        <v>25</v>
      </c>
      <c r="G468" s="11">
        <v>202101007</v>
      </c>
      <c r="H468" s="167" t="s">
        <v>157</v>
      </c>
      <c r="I468" s="167" t="s">
        <v>2363</v>
      </c>
      <c r="J468" s="167" t="s">
        <v>179</v>
      </c>
      <c r="K468" s="167" t="s">
        <v>170</v>
      </c>
      <c r="L468" s="167" t="s">
        <v>577</v>
      </c>
      <c r="M468" s="167" t="s">
        <v>25</v>
      </c>
      <c r="N468" s="167" t="s">
        <v>2364</v>
      </c>
      <c r="O468" s="12" t="str">
        <f>_xlfn.DISPIMG("ID_9FF2F7CED6DC40CB89E306847985BA44",1)</f>
        <v>=DISPIMG("ID_9FF2F7CED6DC40CB89E306847985BA44",1)</v>
      </c>
      <c r="P468" s="11" t="s">
        <v>2365</v>
      </c>
      <c r="Q468" s="11">
        <v>280</v>
      </c>
      <c r="R468" s="17" t="s">
        <v>4746</v>
      </c>
      <c r="S468" s="18" t="s">
        <v>70</v>
      </c>
      <c r="T468" s="11">
        <v>10</v>
      </c>
    </row>
    <row r="469" s="3" customFormat="1" customHeight="1" spans="1:20">
      <c r="A469" s="167" t="s">
        <v>2415</v>
      </c>
      <c r="B469" s="167" t="s">
        <v>165</v>
      </c>
      <c r="C469" s="167" t="s">
        <v>2416</v>
      </c>
      <c r="D469" s="11">
        <v>18179591146</v>
      </c>
      <c r="E469" s="167" t="s">
        <v>384</v>
      </c>
      <c r="F469" s="167" t="s">
        <v>25</v>
      </c>
      <c r="G469" s="11">
        <v>202101007</v>
      </c>
      <c r="H469" s="167" t="s">
        <v>157</v>
      </c>
      <c r="I469" s="167" t="s">
        <v>1258</v>
      </c>
      <c r="J469" s="167" t="s">
        <v>828</v>
      </c>
      <c r="K469" s="167" t="s">
        <v>170</v>
      </c>
      <c r="L469" s="167" t="s">
        <v>171</v>
      </c>
      <c r="M469" s="167" t="s">
        <v>25</v>
      </c>
      <c r="N469" s="167" t="s">
        <v>2418</v>
      </c>
      <c r="O469" s="12" t="str">
        <f>_xlfn.DISPIMG("ID_CD5C977DBB8D404E885C56F791C17D27",1)</f>
        <v>=DISPIMG("ID_CD5C977DBB8D404E885C56F791C17D27",1)</v>
      </c>
      <c r="P469" s="11" t="s">
        <v>2419</v>
      </c>
      <c r="Q469" s="11">
        <v>287</v>
      </c>
      <c r="R469" s="17" t="s">
        <v>4747</v>
      </c>
      <c r="S469" s="18" t="s">
        <v>70</v>
      </c>
      <c r="T469" s="11">
        <v>15</v>
      </c>
    </row>
    <row r="470" s="3" customFormat="1" customHeight="1" spans="1:20">
      <c r="A470" s="167" t="s">
        <v>2495</v>
      </c>
      <c r="B470" s="167" t="s">
        <v>165</v>
      </c>
      <c r="C470" s="167" t="s">
        <v>2496</v>
      </c>
      <c r="D470" s="11">
        <v>15170284980</v>
      </c>
      <c r="E470" s="167" t="s">
        <v>384</v>
      </c>
      <c r="F470" s="167" t="s">
        <v>25</v>
      </c>
      <c r="G470" s="11">
        <v>202101007</v>
      </c>
      <c r="H470" s="167" t="s">
        <v>157</v>
      </c>
      <c r="I470" s="167" t="s">
        <v>662</v>
      </c>
      <c r="J470" s="167" t="s">
        <v>179</v>
      </c>
      <c r="K470" s="167" t="s">
        <v>170</v>
      </c>
      <c r="L470" s="167" t="s">
        <v>261</v>
      </c>
      <c r="M470" s="167" t="s">
        <v>25</v>
      </c>
      <c r="N470" s="11">
        <v>0</v>
      </c>
      <c r="O470" s="12" t="str">
        <f>_xlfn.DISPIMG("ID_9517FA682BDD4A72AC67B046C0A956F9",1)</f>
        <v>=DISPIMG("ID_9517FA682BDD4A72AC67B046C0A956F9",1)</v>
      </c>
      <c r="P470" s="11" t="s">
        <v>2498</v>
      </c>
      <c r="Q470" s="11">
        <v>298</v>
      </c>
      <c r="R470" s="17" t="s">
        <v>4748</v>
      </c>
      <c r="S470" s="18" t="s">
        <v>70</v>
      </c>
      <c r="T470" s="11">
        <v>22</v>
      </c>
    </row>
    <row r="471" s="3" customFormat="1" customHeight="1" spans="1:20">
      <c r="A471" s="167" t="s">
        <v>2606</v>
      </c>
      <c r="B471" s="167" t="s">
        <v>165</v>
      </c>
      <c r="C471" s="167" t="s">
        <v>2607</v>
      </c>
      <c r="D471" s="11">
        <v>18720995920</v>
      </c>
      <c r="E471" s="167" t="s">
        <v>297</v>
      </c>
      <c r="F471" s="167" t="s">
        <v>25</v>
      </c>
      <c r="G471" s="11">
        <v>202101008</v>
      </c>
      <c r="H471" s="167" t="s">
        <v>157</v>
      </c>
      <c r="I471" s="167" t="s">
        <v>1654</v>
      </c>
      <c r="J471" s="167" t="s">
        <v>2609</v>
      </c>
      <c r="K471" s="167" t="s">
        <v>160</v>
      </c>
      <c r="L471" s="167" t="s">
        <v>281</v>
      </c>
      <c r="M471" s="167" t="s">
        <v>2610</v>
      </c>
      <c r="N471" s="167" t="s">
        <v>2611</v>
      </c>
      <c r="O471" s="12" t="str">
        <f>_xlfn.DISPIMG("ID_1DA33C1DACDA463582C160858194DE2A",1)</f>
        <v>=DISPIMG("ID_1DA33C1DACDA463582C160858194DE2A",1)</v>
      </c>
      <c r="P471" s="11" t="s">
        <v>2612</v>
      </c>
      <c r="Q471" s="11">
        <v>313</v>
      </c>
      <c r="R471" s="17" t="s">
        <v>4749</v>
      </c>
      <c r="S471" s="18" t="s">
        <v>70</v>
      </c>
      <c r="T471" s="11">
        <v>27</v>
      </c>
    </row>
    <row r="472" s="6" customFormat="1" customHeight="1" spans="1:20">
      <c r="A472" s="167" t="s">
        <v>2674</v>
      </c>
      <c r="B472" s="167" t="s">
        <v>165</v>
      </c>
      <c r="C472" s="167" t="s">
        <v>2675</v>
      </c>
      <c r="D472" s="11">
        <v>18000227120</v>
      </c>
      <c r="E472" s="167" t="s">
        <v>297</v>
      </c>
      <c r="F472" s="167" t="s">
        <v>25</v>
      </c>
      <c r="G472" s="11">
        <v>202101008</v>
      </c>
      <c r="H472" s="167" t="s">
        <v>157</v>
      </c>
      <c r="I472" s="167" t="s">
        <v>269</v>
      </c>
      <c r="J472" s="167" t="s">
        <v>2677</v>
      </c>
      <c r="K472" s="167" t="s">
        <v>160</v>
      </c>
      <c r="L472" s="167" t="s">
        <v>224</v>
      </c>
      <c r="M472" s="167" t="s">
        <v>25</v>
      </c>
      <c r="N472" s="167" t="s">
        <v>2678</v>
      </c>
      <c r="O472" s="12" t="str">
        <f>_xlfn.DISPIMG("ID_03E1DAA8D63B4AFF99883CCD0E6E65E6",1)</f>
        <v>=DISPIMG("ID_03E1DAA8D63B4AFF99883CCD0E6E65E6",1)</v>
      </c>
      <c r="P472" s="11" t="s">
        <v>2679</v>
      </c>
      <c r="Q472" s="11">
        <v>359</v>
      </c>
      <c r="R472" s="17" t="s">
        <v>4750</v>
      </c>
      <c r="S472" s="18" t="s">
        <v>70</v>
      </c>
      <c r="T472" s="11">
        <v>2</v>
      </c>
    </row>
    <row r="473" s="3" customFormat="1" customHeight="1" spans="1:20">
      <c r="A473" s="167" t="s">
        <v>3002</v>
      </c>
      <c r="B473" s="167" t="s">
        <v>165</v>
      </c>
      <c r="C473" s="167" t="s">
        <v>3003</v>
      </c>
      <c r="D473" s="11">
        <v>15798074733</v>
      </c>
      <c r="E473" s="167" t="s">
        <v>297</v>
      </c>
      <c r="F473" s="167" t="s">
        <v>25</v>
      </c>
      <c r="G473" s="11">
        <v>202101008</v>
      </c>
      <c r="H473" s="167" t="s">
        <v>157</v>
      </c>
      <c r="I473" s="167" t="s">
        <v>540</v>
      </c>
      <c r="J473" s="167" t="s">
        <v>179</v>
      </c>
      <c r="K473" s="167" t="s">
        <v>160</v>
      </c>
      <c r="L473" s="167" t="s">
        <v>2047</v>
      </c>
      <c r="M473" s="167" t="s">
        <v>3005</v>
      </c>
      <c r="N473" s="11">
        <v>0</v>
      </c>
      <c r="O473" s="12" t="str">
        <f>_xlfn.DISPIMG("ID_4E0EBDB804BA45EB8B4195F5A93DFBBD",1)</f>
        <v>=DISPIMG("ID_4E0EBDB804BA45EB8B4195F5A93DFBBD",1)</v>
      </c>
      <c r="P473" s="11" t="s">
        <v>3006</v>
      </c>
      <c r="Q473" s="11">
        <v>370</v>
      </c>
      <c r="R473" s="17" t="s">
        <v>4751</v>
      </c>
      <c r="S473" s="18" t="s">
        <v>70</v>
      </c>
      <c r="T473" s="11">
        <v>11</v>
      </c>
    </row>
    <row r="474" s="3" customFormat="1" customHeight="1" spans="1:20">
      <c r="A474" s="167" t="s">
        <v>3130</v>
      </c>
      <c r="B474" s="167" t="s">
        <v>165</v>
      </c>
      <c r="C474" s="167" t="s">
        <v>3131</v>
      </c>
      <c r="D474" s="11">
        <v>13510703252</v>
      </c>
      <c r="E474" s="167" t="s">
        <v>384</v>
      </c>
      <c r="F474" s="167" t="s">
        <v>25</v>
      </c>
      <c r="G474" s="11">
        <v>202101007</v>
      </c>
      <c r="H474" s="167" t="s">
        <v>157</v>
      </c>
      <c r="I474" s="167" t="s">
        <v>1203</v>
      </c>
      <c r="J474" s="167" t="s">
        <v>223</v>
      </c>
      <c r="K474" s="167" t="s">
        <v>170</v>
      </c>
      <c r="L474" s="167" t="s">
        <v>224</v>
      </c>
      <c r="M474" s="167" t="s">
        <v>25</v>
      </c>
      <c r="N474" s="167" t="s">
        <v>3132</v>
      </c>
      <c r="O474" s="12" t="str">
        <f>_xlfn.DISPIMG("ID_DD2B22793A5D42C5A4C202130135D188",1)</f>
        <v>=DISPIMG("ID_DD2B22793A5D42C5A4C202130135D188",1)</v>
      </c>
      <c r="P474" s="11" t="s">
        <v>3133</v>
      </c>
      <c r="Q474" s="11">
        <v>387</v>
      </c>
      <c r="R474" s="17" t="s">
        <v>4752</v>
      </c>
      <c r="S474" s="18" t="s">
        <v>70</v>
      </c>
      <c r="T474" s="11">
        <v>14</v>
      </c>
    </row>
    <row r="475" s="3" customFormat="1" customHeight="1" spans="1:20">
      <c r="A475" s="167" t="s">
        <v>3185</v>
      </c>
      <c r="B475" s="167" t="s">
        <v>165</v>
      </c>
      <c r="C475" s="167" t="s">
        <v>3186</v>
      </c>
      <c r="D475" s="11">
        <v>15070259733</v>
      </c>
      <c r="E475" s="167" t="s">
        <v>297</v>
      </c>
      <c r="F475" s="167" t="s">
        <v>25</v>
      </c>
      <c r="G475" s="11">
        <v>202101008</v>
      </c>
      <c r="H475" s="167" t="s">
        <v>157</v>
      </c>
      <c r="I475" s="167" t="s">
        <v>646</v>
      </c>
      <c r="J475" s="167" t="s">
        <v>179</v>
      </c>
      <c r="K475" s="167" t="s">
        <v>170</v>
      </c>
      <c r="L475" s="167" t="s">
        <v>161</v>
      </c>
      <c r="M475" s="167" t="s">
        <v>3188</v>
      </c>
      <c r="N475" s="11">
        <v>0</v>
      </c>
      <c r="O475" s="12" t="str">
        <f>_xlfn.DISPIMG("ID_76C776A08E8241118AA436F440F434C8",1)</f>
        <v>=DISPIMG("ID_76C776A08E8241118AA436F440F434C8",1)</v>
      </c>
      <c r="P475" s="11" t="s">
        <v>3189</v>
      </c>
      <c r="Q475" s="11">
        <v>396</v>
      </c>
      <c r="R475" s="17" t="s">
        <v>4753</v>
      </c>
      <c r="S475" s="18" t="s">
        <v>70</v>
      </c>
      <c r="T475" s="11">
        <v>23</v>
      </c>
    </row>
    <row r="476" s="4" customFormat="1" customHeight="1" spans="1:20">
      <c r="A476" s="167" t="s">
        <v>3219</v>
      </c>
      <c r="B476" s="167" t="s">
        <v>165</v>
      </c>
      <c r="C476" s="167" t="s">
        <v>3220</v>
      </c>
      <c r="D476" s="11">
        <v>18279832090</v>
      </c>
      <c r="E476" s="167" t="s">
        <v>384</v>
      </c>
      <c r="F476" s="167" t="s">
        <v>25</v>
      </c>
      <c r="G476" s="11">
        <v>202101007</v>
      </c>
      <c r="H476" s="167" t="s">
        <v>157</v>
      </c>
      <c r="I476" s="167" t="s">
        <v>507</v>
      </c>
      <c r="J476" s="167" t="s">
        <v>828</v>
      </c>
      <c r="K476" s="167" t="s">
        <v>170</v>
      </c>
      <c r="L476" s="167" t="s">
        <v>161</v>
      </c>
      <c r="M476" s="167" t="s">
        <v>25</v>
      </c>
      <c r="N476" s="167" t="s">
        <v>3222</v>
      </c>
      <c r="O476" s="12" t="str">
        <f>_xlfn.DISPIMG("ID_31DA0D5E67EC49E4A7DA2145DC608874",1)</f>
        <v>=DISPIMG("ID_31DA0D5E67EC49E4A7DA2145DC608874",1)</v>
      </c>
      <c r="P476" s="11" t="s">
        <v>3223</v>
      </c>
      <c r="Q476" s="11">
        <v>401</v>
      </c>
      <c r="R476" s="17" t="s">
        <v>4754</v>
      </c>
      <c r="S476" s="18" t="s">
        <v>70</v>
      </c>
      <c r="T476" s="11">
        <v>26</v>
      </c>
    </row>
    <row r="477" s="3" customFormat="1" customHeight="1" spans="1:20">
      <c r="A477" s="167" t="s">
        <v>3386</v>
      </c>
      <c r="B477" s="167" t="s">
        <v>165</v>
      </c>
      <c r="C477" s="167" t="s">
        <v>3387</v>
      </c>
      <c r="D477" s="11">
        <v>15070657835</v>
      </c>
      <c r="E477" s="167" t="s">
        <v>384</v>
      </c>
      <c r="F477" s="167" t="s">
        <v>25</v>
      </c>
      <c r="G477" s="11">
        <v>202101007</v>
      </c>
      <c r="H477" s="167" t="s">
        <v>705</v>
      </c>
      <c r="I477" s="167" t="s">
        <v>233</v>
      </c>
      <c r="J477" s="167" t="s">
        <v>3389</v>
      </c>
      <c r="K477" s="167" t="s">
        <v>160</v>
      </c>
      <c r="L477" s="167" t="s">
        <v>261</v>
      </c>
      <c r="M477" s="167" t="s">
        <v>1506</v>
      </c>
      <c r="N477" s="11">
        <v>0</v>
      </c>
      <c r="O477" s="12" t="str">
        <f>_xlfn.DISPIMG("ID_E7900D53DC2C42DFA545534A1C33490B",1)</f>
        <v>=DISPIMG("ID_E7900D53DC2C42DFA545534A1C33490B",1)</v>
      </c>
      <c r="P477" s="11" t="s">
        <v>3390</v>
      </c>
      <c r="Q477" s="11">
        <v>427</v>
      </c>
      <c r="R477" s="17" t="s">
        <v>4755</v>
      </c>
      <c r="S477" s="18" t="s">
        <v>70</v>
      </c>
      <c r="T477" s="11">
        <v>1</v>
      </c>
    </row>
    <row r="478" s="3" customFormat="1" customHeight="1" spans="1:20">
      <c r="A478" s="167" t="s">
        <v>3789</v>
      </c>
      <c r="B478" s="167" t="s">
        <v>165</v>
      </c>
      <c r="C478" s="167" t="s">
        <v>3790</v>
      </c>
      <c r="D478" s="11">
        <v>15979943806</v>
      </c>
      <c r="E478" s="167" t="s">
        <v>384</v>
      </c>
      <c r="F478" s="167" t="s">
        <v>25</v>
      </c>
      <c r="G478" s="11">
        <v>202101007</v>
      </c>
      <c r="H478" s="167" t="s">
        <v>157</v>
      </c>
      <c r="I478" s="167" t="s">
        <v>2874</v>
      </c>
      <c r="J478" s="167" t="s">
        <v>3792</v>
      </c>
      <c r="K478" s="167" t="s">
        <v>170</v>
      </c>
      <c r="L478" s="167" t="s">
        <v>216</v>
      </c>
      <c r="M478" s="167" t="s">
        <v>25</v>
      </c>
      <c r="N478" s="167" t="s">
        <v>3793</v>
      </c>
      <c r="O478" s="12" t="str">
        <f>_xlfn.DISPIMG("ID_7E3A3C48C46B4922B18A5C2AD1587AC0",1)</f>
        <v>=DISPIMG("ID_7E3A3C48C46B4922B18A5C2AD1587AC0",1)</v>
      </c>
      <c r="P478" s="11" t="s">
        <v>3794</v>
      </c>
      <c r="Q478" s="20">
        <v>483</v>
      </c>
      <c r="R478" s="17" t="s">
        <v>4756</v>
      </c>
      <c r="S478" s="18" t="s">
        <v>70</v>
      </c>
      <c r="T478" s="11">
        <v>12</v>
      </c>
    </row>
    <row r="479" s="3" customFormat="1" customHeight="1" spans="1:20">
      <c r="A479" s="167" t="s">
        <v>3918</v>
      </c>
      <c r="B479" s="167" t="s">
        <v>165</v>
      </c>
      <c r="C479" s="167" t="s">
        <v>3919</v>
      </c>
      <c r="D479" s="11">
        <v>18979261626</v>
      </c>
      <c r="E479" s="167" t="s">
        <v>384</v>
      </c>
      <c r="F479" s="167" t="s">
        <v>25</v>
      </c>
      <c r="G479" s="11">
        <v>202101007</v>
      </c>
      <c r="H479" s="167" t="s">
        <v>157</v>
      </c>
      <c r="I479" s="167" t="s">
        <v>178</v>
      </c>
      <c r="J479" s="167" t="s">
        <v>179</v>
      </c>
      <c r="K479" s="167" t="s">
        <v>170</v>
      </c>
      <c r="L479" s="167" t="s">
        <v>161</v>
      </c>
      <c r="M479" s="167" t="s">
        <v>952</v>
      </c>
      <c r="N479" s="167" t="s">
        <v>3920</v>
      </c>
      <c r="O479" s="12" t="str">
        <f>_xlfn.DISPIMG("ID_64C458B5785C4AE8B3EB4D932C0866CC",1)</f>
        <v>=DISPIMG("ID_64C458B5785C4AE8B3EB4D932C0866CC",1)</v>
      </c>
      <c r="P479" s="11" t="s">
        <v>3921</v>
      </c>
      <c r="Q479" s="20">
        <v>500</v>
      </c>
      <c r="R479" s="17" t="s">
        <v>4757</v>
      </c>
      <c r="S479" s="18" t="s">
        <v>70</v>
      </c>
      <c r="T479" s="11">
        <v>13</v>
      </c>
    </row>
    <row r="480" s="3" customFormat="1" customHeight="1" spans="1:20">
      <c r="A480" s="167" t="s">
        <v>4006</v>
      </c>
      <c r="B480" s="167" t="s">
        <v>165</v>
      </c>
      <c r="C480" s="167" t="s">
        <v>4007</v>
      </c>
      <c r="D480" s="11">
        <v>15979112724</v>
      </c>
      <c r="E480" s="167" t="s">
        <v>297</v>
      </c>
      <c r="F480" s="167" t="s">
        <v>25</v>
      </c>
      <c r="G480" s="11">
        <v>202101008</v>
      </c>
      <c r="H480" s="167" t="s">
        <v>157</v>
      </c>
      <c r="I480" s="167" t="s">
        <v>3070</v>
      </c>
      <c r="J480" s="167" t="s">
        <v>179</v>
      </c>
      <c r="K480" s="167" t="s">
        <v>170</v>
      </c>
      <c r="L480" s="167" t="s">
        <v>306</v>
      </c>
      <c r="M480" s="167" t="s">
        <v>1692</v>
      </c>
      <c r="N480" s="167" t="s">
        <v>4009</v>
      </c>
      <c r="O480" s="12" t="str">
        <f>_xlfn.DISPIMG("ID_410BA329CDB34577BE3D2E13C6D8589F",1)</f>
        <v>=DISPIMG("ID_410BA329CDB34577BE3D2E13C6D8589F",1)</v>
      </c>
      <c r="P480" s="11" t="s">
        <v>4010</v>
      </c>
      <c r="Q480" s="20">
        <v>512</v>
      </c>
      <c r="R480" s="17" t="s">
        <v>4758</v>
      </c>
      <c r="S480" s="18" t="s">
        <v>70</v>
      </c>
      <c r="T480" s="11">
        <v>24</v>
      </c>
    </row>
    <row r="481" s="3" customFormat="1" customHeight="1" spans="1:20">
      <c r="A481" s="167" t="s">
        <v>4073</v>
      </c>
      <c r="B481" s="167" t="s">
        <v>165</v>
      </c>
      <c r="C481" s="167" t="s">
        <v>4074</v>
      </c>
      <c r="D481" s="11">
        <v>18379233389</v>
      </c>
      <c r="E481" s="167" t="s">
        <v>297</v>
      </c>
      <c r="F481" s="167" t="s">
        <v>25</v>
      </c>
      <c r="G481" s="11">
        <v>202101008</v>
      </c>
      <c r="H481" s="167" t="s">
        <v>157</v>
      </c>
      <c r="I481" s="167" t="s">
        <v>4076</v>
      </c>
      <c r="J481" s="167" t="s">
        <v>179</v>
      </c>
      <c r="K481" s="167" t="s">
        <v>160</v>
      </c>
      <c r="L481" s="167" t="s">
        <v>919</v>
      </c>
      <c r="M481" s="167" t="s">
        <v>4077</v>
      </c>
      <c r="N481" s="167" t="s">
        <v>4078</v>
      </c>
      <c r="O481" s="12" t="str">
        <f>_xlfn.DISPIMG("ID_5240EB7A8E6D4B1A8B52378BBD0117F8",1)</f>
        <v>=DISPIMG("ID_5240EB7A8E6D4B1A8B52378BBD0117F8",1)</v>
      </c>
      <c r="P481" s="11" t="s">
        <v>4079</v>
      </c>
      <c r="Q481" s="20">
        <v>521</v>
      </c>
      <c r="R481" s="17" t="s">
        <v>4759</v>
      </c>
      <c r="S481" s="18" t="s">
        <v>70</v>
      </c>
      <c r="T481" s="11">
        <v>25</v>
      </c>
    </row>
    <row r="482" s="3" customFormat="1" customHeight="1" spans="1:20">
      <c r="A482" s="166" t="s">
        <v>265</v>
      </c>
      <c r="B482" s="166" t="s">
        <v>153</v>
      </c>
      <c r="C482" s="166" t="s">
        <v>266</v>
      </c>
      <c r="D482" s="11">
        <v>15720975163</v>
      </c>
      <c r="E482" s="167" t="s">
        <v>268</v>
      </c>
      <c r="F482" s="166" t="s">
        <v>20</v>
      </c>
      <c r="G482" s="9">
        <v>202101004</v>
      </c>
      <c r="H482" s="167" t="s">
        <v>157</v>
      </c>
      <c r="I482" s="167" t="s">
        <v>269</v>
      </c>
      <c r="J482" s="167" t="s">
        <v>270</v>
      </c>
      <c r="K482" s="167" t="s">
        <v>170</v>
      </c>
      <c r="L482" s="167" t="s">
        <v>261</v>
      </c>
      <c r="M482" s="167" t="s">
        <v>20</v>
      </c>
      <c r="N482" s="167" t="s">
        <v>271</v>
      </c>
      <c r="O482" s="12" t="str">
        <f>_xlfn.DISPIMG("ID_E6B64D542CF24756B648DE72B52C0790",1)</f>
        <v>=DISPIMG("ID_E6B64D542CF24756B648DE72B52C0790",1)</v>
      </c>
      <c r="P482" s="9" t="s">
        <v>272</v>
      </c>
      <c r="Q482" s="11">
        <v>14</v>
      </c>
      <c r="R482" s="15" t="s">
        <v>4760</v>
      </c>
      <c r="S482" s="19" t="s">
        <v>72</v>
      </c>
      <c r="T482" s="14">
        <v>6</v>
      </c>
    </row>
    <row r="483" s="3" customFormat="1" customHeight="1" spans="1:20">
      <c r="A483" s="166" t="s">
        <v>522</v>
      </c>
      <c r="B483" s="166" t="s">
        <v>165</v>
      </c>
      <c r="C483" s="166" t="s">
        <v>523</v>
      </c>
      <c r="D483" s="11">
        <v>18779278905</v>
      </c>
      <c r="E483" s="167" t="s">
        <v>268</v>
      </c>
      <c r="F483" s="166" t="s">
        <v>20</v>
      </c>
      <c r="G483" s="9">
        <v>202101004</v>
      </c>
      <c r="H483" s="167" t="s">
        <v>157</v>
      </c>
      <c r="I483" s="167" t="s">
        <v>233</v>
      </c>
      <c r="J483" s="167" t="s">
        <v>525</v>
      </c>
      <c r="K483" s="167" t="s">
        <v>170</v>
      </c>
      <c r="L483" s="167" t="s">
        <v>161</v>
      </c>
      <c r="M483" s="167" t="s">
        <v>20</v>
      </c>
      <c r="N483" s="11">
        <v>0</v>
      </c>
      <c r="O483" s="12" t="str">
        <f>_xlfn.DISPIMG("ID_71DE12F1CD59449693F0263DC215D27B",1)</f>
        <v>=DISPIMG("ID_71DE12F1CD59449693F0263DC215D27B",1)</v>
      </c>
      <c r="P483" s="9" t="s">
        <v>526</v>
      </c>
      <c r="Q483" s="11">
        <v>44</v>
      </c>
      <c r="R483" s="15" t="s">
        <v>4761</v>
      </c>
      <c r="S483" s="19" t="s">
        <v>72</v>
      </c>
      <c r="T483" s="14">
        <v>7</v>
      </c>
    </row>
    <row r="484" s="3" customFormat="1" customHeight="1" spans="2:20">
      <c r="B484" s="9"/>
      <c r="C484" s="9"/>
      <c r="D484" s="11"/>
      <c r="E484" s="11"/>
      <c r="F484" s="9"/>
      <c r="G484" s="9"/>
      <c r="H484" s="11"/>
      <c r="I484" s="11"/>
      <c r="J484" s="11"/>
      <c r="K484" s="11"/>
      <c r="L484" s="11"/>
      <c r="M484" s="11"/>
      <c r="N484" s="11"/>
      <c r="O484" s="12"/>
      <c r="P484" s="11" t="s">
        <v>4409</v>
      </c>
      <c r="Q484" s="11"/>
      <c r="R484" s="11" t="s">
        <v>4410</v>
      </c>
      <c r="S484" s="19" t="s">
        <v>72</v>
      </c>
      <c r="T484" s="14">
        <v>18</v>
      </c>
    </row>
    <row r="485" s="3" customFormat="1" customHeight="1" spans="2:20">
      <c r="B485" s="9"/>
      <c r="C485" s="9"/>
      <c r="D485" s="11"/>
      <c r="E485" s="11"/>
      <c r="F485" s="9"/>
      <c r="G485" s="9"/>
      <c r="H485" s="11"/>
      <c r="I485" s="11"/>
      <c r="J485" s="11"/>
      <c r="K485" s="11"/>
      <c r="L485" s="11"/>
      <c r="M485" s="11"/>
      <c r="N485" s="11"/>
      <c r="O485" s="12"/>
      <c r="P485" s="11" t="s">
        <v>4409</v>
      </c>
      <c r="Q485" s="11"/>
      <c r="R485" s="11" t="s">
        <v>4410</v>
      </c>
      <c r="S485" s="19" t="s">
        <v>72</v>
      </c>
      <c r="T485" s="14">
        <v>19</v>
      </c>
    </row>
    <row r="486" s="3" customFormat="1" customHeight="1" spans="2:20">
      <c r="B486" s="9"/>
      <c r="C486" s="9"/>
      <c r="D486" s="11"/>
      <c r="E486" s="11"/>
      <c r="F486" s="9"/>
      <c r="G486" s="9"/>
      <c r="H486" s="11"/>
      <c r="I486" s="11"/>
      <c r="J486" s="11"/>
      <c r="K486" s="11"/>
      <c r="L486" s="11"/>
      <c r="M486" s="11"/>
      <c r="N486" s="11"/>
      <c r="O486" s="12"/>
      <c r="P486" s="11" t="s">
        <v>4409</v>
      </c>
      <c r="Q486" s="11"/>
      <c r="R486" s="11" t="s">
        <v>4410</v>
      </c>
      <c r="S486" s="19" t="s">
        <v>72</v>
      </c>
      <c r="T486" s="14">
        <v>30</v>
      </c>
    </row>
    <row r="487" s="3" customFormat="1" customHeight="1" spans="1:20">
      <c r="A487" s="166" t="s">
        <v>1050</v>
      </c>
      <c r="B487" s="166" t="s">
        <v>165</v>
      </c>
      <c r="C487" s="166" t="s">
        <v>1051</v>
      </c>
      <c r="D487" s="11">
        <v>15180471768</v>
      </c>
      <c r="E487" s="167" t="s">
        <v>384</v>
      </c>
      <c r="F487" s="166" t="s">
        <v>20</v>
      </c>
      <c r="G487" s="9">
        <v>202101005</v>
      </c>
      <c r="H487" s="167" t="s">
        <v>157</v>
      </c>
      <c r="I487" s="167" t="s">
        <v>178</v>
      </c>
      <c r="J487" s="167" t="s">
        <v>270</v>
      </c>
      <c r="K487" s="167" t="s">
        <v>170</v>
      </c>
      <c r="L487" s="167" t="s">
        <v>261</v>
      </c>
      <c r="M487" s="167" t="s">
        <v>20</v>
      </c>
      <c r="N487" s="11">
        <v>0</v>
      </c>
      <c r="O487" s="12" t="str">
        <f>_xlfn.DISPIMG("ID_296B75901486490E98D040532231AC8D",1)</f>
        <v>=DISPIMG("ID_296B75901486490E98D040532231AC8D",1)</v>
      </c>
      <c r="P487" s="9" t="s">
        <v>1052</v>
      </c>
      <c r="Q487" s="11">
        <v>108</v>
      </c>
      <c r="R487" s="15" t="s">
        <v>4762</v>
      </c>
      <c r="S487" s="19" t="s">
        <v>72</v>
      </c>
      <c r="T487" s="14">
        <v>5</v>
      </c>
    </row>
    <row r="488" s="3" customFormat="1" customHeight="1" spans="1:20">
      <c r="A488" s="166" t="s">
        <v>1055</v>
      </c>
      <c r="B488" s="166" t="s">
        <v>165</v>
      </c>
      <c r="C488" s="166" t="s">
        <v>1056</v>
      </c>
      <c r="D488" s="11">
        <v>15279286807</v>
      </c>
      <c r="E488" s="167" t="s">
        <v>384</v>
      </c>
      <c r="F488" s="166" t="s">
        <v>20</v>
      </c>
      <c r="G488" s="9">
        <v>202101005</v>
      </c>
      <c r="H488" s="167" t="s">
        <v>157</v>
      </c>
      <c r="I488" s="167" t="s">
        <v>178</v>
      </c>
      <c r="J488" s="167" t="s">
        <v>270</v>
      </c>
      <c r="K488" s="167" t="s">
        <v>170</v>
      </c>
      <c r="L488" s="167" t="s">
        <v>261</v>
      </c>
      <c r="M488" s="167" t="s">
        <v>20</v>
      </c>
      <c r="N488" s="11">
        <v>0</v>
      </c>
      <c r="O488" s="12" t="str">
        <f>_xlfn.DISPIMG("ID_1261702926BF4B91B3BBC8CF57D7C930",1)</f>
        <v>=DISPIMG("ID_1261702926BF4B91B3BBC8CF57D7C930",1)</v>
      </c>
      <c r="P488" s="9" t="s">
        <v>1058</v>
      </c>
      <c r="Q488" s="11">
        <v>109</v>
      </c>
      <c r="R488" s="15" t="s">
        <v>4763</v>
      </c>
      <c r="S488" s="19" t="s">
        <v>72</v>
      </c>
      <c r="T488" s="14">
        <v>8</v>
      </c>
    </row>
    <row r="489" s="3" customFormat="1" customHeight="1" spans="1:20">
      <c r="A489" s="166" t="s">
        <v>833</v>
      </c>
      <c r="B489" s="166" t="s">
        <v>165</v>
      </c>
      <c r="C489" s="166" t="s">
        <v>1302</v>
      </c>
      <c r="D489" s="11">
        <v>15770803797</v>
      </c>
      <c r="E489" s="167" t="s">
        <v>384</v>
      </c>
      <c r="F489" s="166" t="s">
        <v>19</v>
      </c>
      <c r="G489" s="9">
        <v>202101014</v>
      </c>
      <c r="H489" s="167" t="s">
        <v>705</v>
      </c>
      <c r="I489" s="167" t="s">
        <v>1304</v>
      </c>
      <c r="J489" s="167" t="s">
        <v>1305</v>
      </c>
      <c r="K489" s="167" t="s">
        <v>160</v>
      </c>
      <c r="L489" s="167" t="s">
        <v>516</v>
      </c>
      <c r="M489" s="167" t="s">
        <v>1306</v>
      </c>
      <c r="N489" s="167" t="s">
        <v>1307</v>
      </c>
      <c r="O489" s="12" t="str">
        <f>_xlfn.DISPIMG("ID_2E0E8C97ADBC44CDA9BEA81CC587B750",1)</f>
        <v>=DISPIMG("ID_2E0E8C97ADBC44CDA9BEA81CC587B750",1)</v>
      </c>
      <c r="P489" s="9" t="s">
        <v>1308</v>
      </c>
      <c r="Q489" s="11">
        <v>141</v>
      </c>
      <c r="R489" s="15" t="s">
        <v>4772</v>
      </c>
      <c r="S489" s="19" t="s">
        <v>72</v>
      </c>
      <c r="T489" s="14">
        <v>17</v>
      </c>
    </row>
    <row r="490" s="3" customFormat="1" customHeight="1" spans="2:20">
      <c r="B490" s="9"/>
      <c r="C490" s="9"/>
      <c r="D490" s="11"/>
      <c r="E490" s="11"/>
      <c r="F490" s="9"/>
      <c r="G490" s="9"/>
      <c r="H490" s="11"/>
      <c r="I490" s="11"/>
      <c r="J490" s="11"/>
      <c r="K490" s="11"/>
      <c r="L490" s="11"/>
      <c r="M490" s="11"/>
      <c r="N490" s="11"/>
      <c r="O490" s="12"/>
      <c r="P490" s="11" t="s">
        <v>4409</v>
      </c>
      <c r="Q490" s="11"/>
      <c r="R490" s="11" t="s">
        <v>4410</v>
      </c>
      <c r="S490" s="19" t="s">
        <v>72</v>
      </c>
      <c r="T490" s="14">
        <v>20</v>
      </c>
    </row>
    <row r="491" s="3" customFormat="1" customHeight="1" spans="2:20">
      <c r="B491" s="9"/>
      <c r="C491" s="9"/>
      <c r="D491" s="11"/>
      <c r="E491" s="11"/>
      <c r="F491" s="9"/>
      <c r="G491" s="9"/>
      <c r="H491" s="11"/>
      <c r="I491" s="11"/>
      <c r="J491" s="11"/>
      <c r="K491" s="11"/>
      <c r="L491" s="11"/>
      <c r="M491" s="11"/>
      <c r="N491" s="11"/>
      <c r="O491" s="12"/>
      <c r="P491" s="11" t="s">
        <v>4409</v>
      </c>
      <c r="Q491" s="11"/>
      <c r="R491" s="11" t="s">
        <v>4410</v>
      </c>
      <c r="S491" s="19" t="s">
        <v>72</v>
      </c>
      <c r="T491" s="14">
        <v>29</v>
      </c>
    </row>
    <row r="492" s="3" customFormat="1" customHeight="1" spans="1:20">
      <c r="A492" s="166" t="s">
        <v>1729</v>
      </c>
      <c r="B492" s="166" t="s">
        <v>153</v>
      </c>
      <c r="C492" s="166" t="s">
        <v>1730</v>
      </c>
      <c r="D492" s="11">
        <v>18720253839</v>
      </c>
      <c r="E492" s="167" t="s">
        <v>384</v>
      </c>
      <c r="F492" s="166" t="s">
        <v>20</v>
      </c>
      <c r="G492" s="9">
        <v>202101005</v>
      </c>
      <c r="H492" s="167" t="s">
        <v>157</v>
      </c>
      <c r="I492" s="167" t="s">
        <v>1258</v>
      </c>
      <c r="J492" s="167" t="s">
        <v>270</v>
      </c>
      <c r="K492" s="167" t="s">
        <v>170</v>
      </c>
      <c r="L492" s="167" t="s">
        <v>349</v>
      </c>
      <c r="M492" s="167" t="s">
        <v>1732</v>
      </c>
      <c r="N492" s="167" t="s">
        <v>1733</v>
      </c>
      <c r="O492" s="12" t="str">
        <f>_xlfn.DISPIMG("ID_677AC12F255C494892F34EE0AF9DED02",1)</f>
        <v>=DISPIMG("ID_677AC12F255C494892F34EE0AF9DED02",1)</v>
      </c>
      <c r="P492" s="9" t="s">
        <v>1734</v>
      </c>
      <c r="Q492" s="11">
        <v>196</v>
      </c>
      <c r="R492" s="15" t="s">
        <v>4764</v>
      </c>
      <c r="S492" s="19" t="s">
        <v>72</v>
      </c>
      <c r="T492" s="14">
        <v>4</v>
      </c>
    </row>
    <row r="493" s="3" customFormat="1" customHeight="1" spans="1:20">
      <c r="A493" s="166" t="s">
        <v>2044</v>
      </c>
      <c r="B493" s="166" t="s">
        <v>153</v>
      </c>
      <c r="C493" s="166" t="s">
        <v>2045</v>
      </c>
      <c r="D493" s="11">
        <v>15949584388</v>
      </c>
      <c r="E493" s="167" t="s">
        <v>384</v>
      </c>
      <c r="F493" s="166" t="s">
        <v>20</v>
      </c>
      <c r="G493" s="9">
        <v>202101005</v>
      </c>
      <c r="H493" s="167" t="s">
        <v>157</v>
      </c>
      <c r="I493" s="167" t="s">
        <v>158</v>
      </c>
      <c r="J493" s="167" t="s">
        <v>270</v>
      </c>
      <c r="K493" s="167" t="s">
        <v>170</v>
      </c>
      <c r="L493" s="167" t="s">
        <v>2047</v>
      </c>
      <c r="M493" s="167" t="s">
        <v>2048</v>
      </c>
      <c r="N493" s="167" t="s">
        <v>2049</v>
      </c>
      <c r="O493" s="12" t="str">
        <f>_xlfn.DISPIMG("ID_AA05B8B9BBB64A2C8B2DEFAC2B7912C3",1)</f>
        <v>=DISPIMG("ID_AA05B8B9BBB64A2C8B2DEFAC2B7912C3",1)</v>
      </c>
      <c r="P493" s="9" t="s">
        <v>2050</v>
      </c>
      <c r="Q493" s="11">
        <v>238</v>
      </c>
      <c r="R493" s="15" t="s">
        <v>4765</v>
      </c>
      <c r="S493" s="19" t="s">
        <v>72</v>
      </c>
      <c r="T493" s="14">
        <v>9</v>
      </c>
    </row>
    <row r="494" s="3" customFormat="1" customHeight="1" spans="1:20">
      <c r="A494" s="166" t="s">
        <v>1637</v>
      </c>
      <c r="B494" s="166" t="s">
        <v>165</v>
      </c>
      <c r="C494" s="166" t="s">
        <v>1638</v>
      </c>
      <c r="D494" s="11">
        <v>18279206250</v>
      </c>
      <c r="E494" s="167" t="s">
        <v>384</v>
      </c>
      <c r="F494" s="166" t="s">
        <v>19</v>
      </c>
      <c r="G494" s="9">
        <v>202101014</v>
      </c>
      <c r="H494" s="167" t="s">
        <v>157</v>
      </c>
      <c r="I494" s="167" t="s">
        <v>178</v>
      </c>
      <c r="J494" s="167" t="s">
        <v>1639</v>
      </c>
      <c r="K494" s="167" t="s">
        <v>170</v>
      </c>
      <c r="L494" s="167" t="s">
        <v>455</v>
      </c>
      <c r="M494" s="167" t="s">
        <v>19</v>
      </c>
      <c r="N494" s="11">
        <v>0</v>
      </c>
      <c r="O494" s="12" t="str">
        <f>_xlfn.DISPIMG("ID_74FDF0D5FA0548BCA212C8D2C43783F4",1)</f>
        <v>=DISPIMG("ID_74FDF0D5FA0548BCA212C8D2C43783F4",1)</v>
      </c>
      <c r="P494" s="9" t="s">
        <v>1640</v>
      </c>
      <c r="Q494" s="11">
        <v>184</v>
      </c>
      <c r="R494" s="15" t="s">
        <v>4773</v>
      </c>
      <c r="S494" s="19" t="s">
        <v>72</v>
      </c>
      <c r="T494" s="14">
        <v>16</v>
      </c>
    </row>
    <row r="495" s="3" customFormat="1" customHeight="1" spans="2:20">
      <c r="B495" s="9"/>
      <c r="C495" s="9"/>
      <c r="D495" s="11"/>
      <c r="E495" s="11"/>
      <c r="F495" s="9"/>
      <c r="G495" s="9"/>
      <c r="H495" s="11"/>
      <c r="I495" s="11"/>
      <c r="J495" s="11"/>
      <c r="K495" s="11"/>
      <c r="L495" s="11"/>
      <c r="M495" s="11"/>
      <c r="N495" s="11"/>
      <c r="O495" s="12"/>
      <c r="P495" s="11" t="s">
        <v>4409</v>
      </c>
      <c r="Q495" s="11"/>
      <c r="R495" s="11" t="s">
        <v>4410</v>
      </c>
      <c r="S495" s="19" t="s">
        <v>72</v>
      </c>
      <c r="T495" s="14">
        <v>21</v>
      </c>
    </row>
    <row r="496" s="3" customFormat="1" customHeight="1" spans="2:20">
      <c r="B496" s="9"/>
      <c r="C496" s="9"/>
      <c r="D496" s="11"/>
      <c r="E496" s="11"/>
      <c r="F496" s="9"/>
      <c r="G496" s="9"/>
      <c r="H496" s="11"/>
      <c r="I496" s="11"/>
      <c r="J496" s="11"/>
      <c r="K496" s="11"/>
      <c r="L496" s="11"/>
      <c r="M496" s="11"/>
      <c r="N496" s="11"/>
      <c r="O496" s="12"/>
      <c r="P496" s="11" t="s">
        <v>4409</v>
      </c>
      <c r="Q496" s="11"/>
      <c r="R496" s="11" t="s">
        <v>4410</v>
      </c>
      <c r="S496" s="19" t="s">
        <v>72</v>
      </c>
      <c r="T496" s="14">
        <v>28</v>
      </c>
    </row>
    <row r="497" s="3" customFormat="1" customHeight="1" spans="1:20">
      <c r="A497" s="166" t="s">
        <v>2172</v>
      </c>
      <c r="B497" s="166" t="s">
        <v>153</v>
      </c>
      <c r="C497" s="166" t="s">
        <v>2173</v>
      </c>
      <c r="D497" s="11">
        <v>18370791182</v>
      </c>
      <c r="E497" s="167" t="s">
        <v>297</v>
      </c>
      <c r="F497" s="166" t="s">
        <v>20</v>
      </c>
      <c r="G497" s="9">
        <v>202101006</v>
      </c>
      <c r="H497" s="167" t="s">
        <v>157</v>
      </c>
      <c r="I497" s="167" t="s">
        <v>1413</v>
      </c>
      <c r="J497" s="167" t="s">
        <v>243</v>
      </c>
      <c r="K497" s="167" t="s">
        <v>160</v>
      </c>
      <c r="L497" s="167" t="s">
        <v>199</v>
      </c>
      <c r="M497" s="167" t="s">
        <v>2175</v>
      </c>
      <c r="N497" s="167" t="s">
        <v>2176</v>
      </c>
      <c r="O497" s="12" t="str">
        <f>_xlfn.DISPIMG("ID_164BFB36FB944A6B8D1C179D10EFE455",1)</f>
        <v>=DISPIMG("ID_164BFB36FB944A6B8D1C179D10EFE455",1)</v>
      </c>
      <c r="P497" s="9" t="s">
        <v>2177</v>
      </c>
      <c r="Q497" s="11">
        <v>255</v>
      </c>
      <c r="R497" s="15" t="s">
        <v>4766</v>
      </c>
      <c r="S497" s="19" t="s">
        <v>72</v>
      </c>
      <c r="T497" s="14">
        <v>3</v>
      </c>
    </row>
    <row r="498" s="3" customFormat="1" customHeight="1" spans="1:20">
      <c r="A498" s="166" t="s">
        <v>3473</v>
      </c>
      <c r="B498" s="166" t="s">
        <v>165</v>
      </c>
      <c r="C498" s="166" t="s">
        <v>3474</v>
      </c>
      <c r="D498" s="11">
        <v>16605630524</v>
      </c>
      <c r="E498" s="167" t="s">
        <v>384</v>
      </c>
      <c r="F498" s="166" t="s">
        <v>20</v>
      </c>
      <c r="G498" s="9">
        <v>202101005</v>
      </c>
      <c r="H498" s="167" t="s">
        <v>705</v>
      </c>
      <c r="I498" s="167" t="s">
        <v>1112</v>
      </c>
      <c r="J498" s="167" t="s">
        <v>3476</v>
      </c>
      <c r="K498" s="167" t="s">
        <v>160</v>
      </c>
      <c r="L498" s="167" t="s">
        <v>455</v>
      </c>
      <c r="M498" s="167" t="s">
        <v>3477</v>
      </c>
      <c r="N498" s="11">
        <v>0</v>
      </c>
      <c r="O498" s="12" t="str">
        <f>_xlfn.DISPIMG("ID_BFF35F7767BD4AFE8B2C782755AFDE14",1)</f>
        <v>=DISPIMG("ID_BFF35F7767BD4AFE8B2C782755AFDE14",1)</v>
      </c>
      <c r="P498" s="9" t="s">
        <v>3478</v>
      </c>
      <c r="Q498" s="11">
        <v>439</v>
      </c>
      <c r="R498" s="15" t="s">
        <v>4767</v>
      </c>
      <c r="S498" s="19" t="s">
        <v>72</v>
      </c>
      <c r="T498" s="14">
        <v>10</v>
      </c>
    </row>
    <row r="499" s="3" customFormat="1" customHeight="1" spans="1:20">
      <c r="A499" s="166" t="s">
        <v>2104</v>
      </c>
      <c r="B499" s="166" t="s">
        <v>165</v>
      </c>
      <c r="C499" s="166" t="s">
        <v>2105</v>
      </c>
      <c r="D499" s="11">
        <v>13817884693</v>
      </c>
      <c r="E499" s="167" t="s">
        <v>384</v>
      </c>
      <c r="F499" s="166" t="s">
        <v>19</v>
      </c>
      <c r="G499" s="9">
        <v>202101014</v>
      </c>
      <c r="H499" s="167" t="s">
        <v>705</v>
      </c>
      <c r="I499" s="167" t="s">
        <v>2063</v>
      </c>
      <c r="J499" s="167" t="s">
        <v>2107</v>
      </c>
      <c r="K499" s="167" t="s">
        <v>160</v>
      </c>
      <c r="L499" s="167" t="s">
        <v>396</v>
      </c>
      <c r="M499" s="167" t="s">
        <v>2108</v>
      </c>
      <c r="N499" s="167" t="s">
        <v>2109</v>
      </c>
      <c r="O499" s="12" t="str">
        <f>_xlfn.DISPIMG("ID_21FE4349EE994987AC614A279458E356",1)</f>
        <v>=DISPIMG("ID_21FE4349EE994987AC614A279458E356",1)</v>
      </c>
      <c r="P499" s="9" t="s">
        <v>2110</v>
      </c>
      <c r="Q499" s="11">
        <v>246</v>
      </c>
      <c r="R499" s="15" t="s">
        <v>4774</v>
      </c>
      <c r="S499" s="19" t="s">
        <v>72</v>
      </c>
      <c r="T499" s="14">
        <v>15</v>
      </c>
    </row>
    <row r="500" s="3" customFormat="1" customHeight="1" spans="2:20">
      <c r="B500" s="9"/>
      <c r="C500" s="9"/>
      <c r="D500" s="11"/>
      <c r="E500" s="11"/>
      <c r="F500" s="9"/>
      <c r="G500" s="9"/>
      <c r="H500" s="11"/>
      <c r="I500" s="11"/>
      <c r="J500" s="11"/>
      <c r="K500" s="11"/>
      <c r="L500" s="11"/>
      <c r="M500" s="11"/>
      <c r="N500" s="11"/>
      <c r="O500" s="12"/>
      <c r="P500" s="11" t="s">
        <v>4409</v>
      </c>
      <c r="Q500" s="11"/>
      <c r="R500" s="11" t="s">
        <v>4410</v>
      </c>
      <c r="S500" s="19" t="s">
        <v>72</v>
      </c>
      <c r="T500" s="14">
        <v>22</v>
      </c>
    </row>
    <row r="501" s="3" customFormat="1" customHeight="1" spans="2:20">
      <c r="B501" s="9"/>
      <c r="C501" s="9"/>
      <c r="D501" s="11"/>
      <c r="E501" s="11"/>
      <c r="F501" s="9"/>
      <c r="G501" s="9"/>
      <c r="H501" s="11"/>
      <c r="I501" s="11"/>
      <c r="J501" s="11"/>
      <c r="K501" s="11"/>
      <c r="L501" s="11"/>
      <c r="M501" s="11"/>
      <c r="N501" s="11"/>
      <c r="O501" s="12"/>
      <c r="P501" s="11" t="s">
        <v>4409</v>
      </c>
      <c r="Q501" s="11"/>
      <c r="R501" s="11" t="s">
        <v>4410</v>
      </c>
      <c r="S501" s="19" t="s">
        <v>72</v>
      </c>
      <c r="T501" s="14">
        <v>27</v>
      </c>
    </row>
    <row r="502" s="3" customFormat="1" customHeight="1" spans="1:20">
      <c r="A502" s="166" t="s">
        <v>3661</v>
      </c>
      <c r="B502" s="166" t="s">
        <v>165</v>
      </c>
      <c r="C502" s="166" t="s">
        <v>3662</v>
      </c>
      <c r="D502" s="11">
        <v>15623206169</v>
      </c>
      <c r="E502" s="167" t="s">
        <v>297</v>
      </c>
      <c r="F502" s="166" t="s">
        <v>20</v>
      </c>
      <c r="G502" s="9">
        <v>202101006</v>
      </c>
      <c r="H502" s="167" t="s">
        <v>157</v>
      </c>
      <c r="I502" s="167" t="s">
        <v>3663</v>
      </c>
      <c r="J502" s="167" t="s">
        <v>1832</v>
      </c>
      <c r="K502" s="167" t="s">
        <v>160</v>
      </c>
      <c r="L502" s="167" t="s">
        <v>455</v>
      </c>
      <c r="M502" s="167" t="s">
        <v>20</v>
      </c>
      <c r="N502" s="11">
        <v>0</v>
      </c>
      <c r="O502" s="12" t="str">
        <f>_xlfn.DISPIMG("ID_2A9E22A9ABC949F8A9FA9AA3239D48CC",1)</f>
        <v>=DISPIMG("ID_2A9E22A9ABC949F8A9FA9AA3239D48CC",1)</v>
      </c>
      <c r="P502" s="9" t="s">
        <v>3664</v>
      </c>
      <c r="Q502" s="11">
        <v>466</v>
      </c>
      <c r="R502" s="15" t="s">
        <v>4768</v>
      </c>
      <c r="S502" s="19" t="s">
        <v>72</v>
      </c>
      <c r="T502" s="14">
        <v>2</v>
      </c>
    </row>
    <row r="503" s="3" customFormat="1" customHeight="1" spans="1:20">
      <c r="A503" s="166" t="s">
        <v>3955</v>
      </c>
      <c r="B503" s="166" t="s">
        <v>153</v>
      </c>
      <c r="C503" s="166" t="s">
        <v>3956</v>
      </c>
      <c r="D503" s="11">
        <v>18379670015</v>
      </c>
      <c r="E503" s="167" t="s">
        <v>384</v>
      </c>
      <c r="F503" s="166" t="s">
        <v>20</v>
      </c>
      <c r="G503" s="9">
        <v>202101005</v>
      </c>
      <c r="H503" s="167" t="s">
        <v>157</v>
      </c>
      <c r="I503" s="167" t="s">
        <v>507</v>
      </c>
      <c r="J503" s="167" t="s">
        <v>270</v>
      </c>
      <c r="K503" s="167" t="s">
        <v>170</v>
      </c>
      <c r="L503" s="167" t="s">
        <v>235</v>
      </c>
      <c r="M503" s="167" t="s">
        <v>1322</v>
      </c>
      <c r="N503" s="167" t="s">
        <v>3958</v>
      </c>
      <c r="O503" s="12" t="str">
        <f>_xlfn.DISPIMG("ID_C25C6B154C2847C9934F6981B40FCD0C",1)</f>
        <v>=DISPIMG("ID_C25C6B154C2847C9934F6981B40FCD0C",1)</v>
      </c>
      <c r="P503" s="9" t="s">
        <v>3959</v>
      </c>
      <c r="Q503" s="11">
        <v>505</v>
      </c>
      <c r="R503" s="15" t="s">
        <v>4769</v>
      </c>
      <c r="S503" s="19" t="s">
        <v>72</v>
      </c>
      <c r="T503" s="14">
        <v>11</v>
      </c>
    </row>
    <row r="504" s="3" customFormat="1" customHeight="1" spans="1:20">
      <c r="A504" s="166" t="s">
        <v>152</v>
      </c>
      <c r="B504" s="166" t="s">
        <v>153</v>
      </c>
      <c r="C504" s="166" t="s">
        <v>154</v>
      </c>
      <c r="D504" s="11">
        <v>18807023240</v>
      </c>
      <c r="E504" s="167" t="s">
        <v>156</v>
      </c>
      <c r="F504" s="166" t="s">
        <v>10</v>
      </c>
      <c r="G504" s="9">
        <v>202102004</v>
      </c>
      <c r="H504" s="167" t="s">
        <v>157</v>
      </c>
      <c r="I504" s="167" t="s">
        <v>158</v>
      </c>
      <c r="J504" s="167" t="s">
        <v>159</v>
      </c>
      <c r="K504" s="167" t="s">
        <v>160</v>
      </c>
      <c r="L504" s="167" t="s">
        <v>161</v>
      </c>
      <c r="M504" s="167" t="s">
        <v>10</v>
      </c>
      <c r="N504" s="11">
        <v>0</v>
      </c>
      <c r="O504" s="12" t="str">
        <f>_xlfn.DISPIMG("ID_1BBFB8252D30496F95F71593A2B76AF5",1)</f>
        <v>=DISPIMG("ID_1BBFB8252D30496F95F71593A2B76AF5",1)</v>
      </c>
      <c r="P504" s="9" t="s">
        <v>162</v>
      </c>
      <c r="Q504" s="11">
        <v>2</v>
      </c>
      <c r="R504" s="15" t="s">
        <v>4775</v>
      </c>
      <c r="S504" s="19" t="s">
        <v>72</v>
      </c>
      <c r="T504" s="14">
        <v>14</v>
      </c>
    </row>
    <row r="505" s="3" customFormat="1" customHeight="1" spans="2:20">
      <c r="B505" s="9"/>
      <c r="C505" s="9"/>
      <c r="D505" s="11"/>
      <c r="E505" s="11"/>
      <c r="F505" s="9"/>
      <c r="G505" s="9"/>
      <c r="H505" s="11"/>
      <c r="I505" s="11"/>
      <c r="J505" s="11"/>
      <c r="K505" s="11"/>
      <c r="L505" s="11"/>
      <c r="M505" s="11"/>
      <c r="N505" s="11"/>
      <c r="O505" s="12"/>
      <c r="P505" s="11" t="s">
        <v>4409</v>
      </c>
      <c r="Q505" s="11"/>
      <c r="R505" s="11" t="s">
        <v>4410</v>
      </c>
      <c r="S505" s="19" t="s">
        <v>72</v>
      </c>
      <c r="T505" s="14">
        <v>23</v>
      </c>
    </row>
    <row r="506" s="3" customFormat="1" customHeight="1" spans="2:20">
      <c r="B506" s="9"/>
      <c r="C506" s="9"/>
      <c r="D506" s="11"/>
      <c r="E506" s="11"/>
      <c r="F506" s="9"/>
      <c r="G506" s="9"/>
      <c r="H506" s="11"/>
      <c r="I506" s="11"/>
      <c r="J506" s="11"/>
      <c r="K506" s="11"/>
      <c r="L506" s="11"/>
      <c r="M506" s="11"/>
      <c r="N506" s="11"/>
      <c r="O506" s="12"/>
      <c r="P506" s="11" t="s">
        <v>4409</v>
      </c>
      <c r="Q506" s="11"/>
      <c r="R506" s="11" t="s">
        <v>4410</v>
      </c>
      <c r="S506" s="19" t="s">
        <v>72</v>
      </c>
      <c r="T506" s="14">
        <v>26</v>
      </c>
    </row>
    <row r="507" s="3" customFormat="1" customHeight="1" spans="1:20">
      <c r="A507" s="166" t="s">
        <v>3978</v>
      </c>
      <c r="B507" s="166" t="s">
        <v>165</v>
      </c>
      <c r="C507" s="166" t="s">
        <v>3979</v>
      </c>
      <c r="D507" s="11">
        <v>15070298026</v>
      </c>
      <c r="E507" s="167" t="s">
        <v>268</v>
      </c>
      <c r="F507" s="166" t="s">
        <v>20</v>
      </c>
      <c r="G507" s="9">
        <v>202101004</v>
      </c>
      <c r="H507" s="167" t="s">
        <v>157</v>
      </c>
      <c r="I507" s="167" t="s">
        <v>178</v>
      </c>
      <c r="J507" s="167" t="s">
        <v>270</v>
      </c>
      <c r="K507" s="167" t="s">
        <v>170</v>
      </c>
      <c r="L507" s="167" t="s">
        <v>261</v>
      </c>
      <c r="M507" s="167" t="s">
        <v>20</v>
      </c>
      <c r="N507" s="11">
        <v>0</v>
      </c>
      <c r="O507" s="12" t="str">
        <f>_xlfn.DISPIMG("ID_41FDB18DF8F04859BBDC981BC12AE5F4",1)</f>
        <v>=DISPIMG("ID_41FDB18DF8F04859BBDC981BC12AE5F4",1)</v>
      </c>
      <c r="P507" s="9" t="s">
        <v>3981</v>
      </c>
      <c r="Q507" s="11">
        <v>508</v>
      </c>
      <c r="R507" s="15" t="s">
        <v>4770</v>
      </c>
      <c r="S507" s="19" t="s">
        <v>72</v>
      </c>
      <c r="T507" s="14">
        <v>1</v>
      </c>
    </row>
    <row r="508" s="5" customFormat="1" customHeight="1" spans="1:20">
      <c r="A508" s="166" t="s">
        <v>4161</v>
      </c>
      <c r="B508" s="166" t="s">
        <v>165</v>
      </c>
      <c r="C508" s="166" t="s">
        <v>4162</v>
      </c>
      <c r="D508" s="11">
        <v>15999192756</v>
      </c>
      <c r="E508" s="167" t="s">
        <v>297</v>
      </c>
      <c r="F508" s="166" t="s">
        <v>20</v>
      </c>
      <c r="G508" s="9">
        <v>202101006</v>
      </c>
      <c r="H508" s="167" t="s">
        <v>157</v>
      </c>
      <c r="I508" s="167" t="s">
        <v>4164</v>
      </c>
      <c r="J508" s="167" t="s">
        <v>4165</v>
      </c>
      <c r="K508" s="167" t="s">
        <v>160</v>
      </c>
      <c r="L508" s="167" t="s">
        <v>1089</v>
      </c>
      <c r="M508" s="167" t="s">
        <v>20</v>
      </c>
      <c r="N508" s="167" t="s">
        <v>4166</v>
      </c>
      <c r="O508" s="12" t="str">
        <f>_xlfn.DISPIMG("ID_0FB1CC236BB0441E8D7B28856D597318",1)</f>
        <v>=DISPIMG("ID_0FB1CC236BB0441E8D7B28856D597318",1)</v>
      </c>
      <c r="P508" s="9" t="s">
        <v>4167</v>
      </c>
      <c r="Q508" s="11">
        <v>532</v>
      </c>
      <c r="R508" s="15" t="s">
        <v>4771</v>
      </c>
      <c r="S508" s="19" t="s">
        <v>72</v>
      </c>
      <c r="T508" s="14">
        <v>12</v>
      </c>
    </row>
    <row r="509" s="3" customFormat="1" customHeight="1" spans="1:20">
      <c r="A509" s="174" t="s">
        <v>2940</v>
      </c>
      <c r="B509" s="174" t="s">
        <v>153</v>
      </c>
      <c r="C509" s="174" t="s">
        <v>2941</v>
      </c>
      <c r="D509" s="11">
        <v>18679635856</v>
      </c>
      <c r="E509" s="175" t="s">
        <v>156</v>
      </c>
      <c r="F509" s="174" t="s">
        <v>10</v>
      </c>
      <c r="G509" s="14">
        <v>202102004</v>
      </c>
      <c r="H509" s="175" t="s">
        <v>157</v>
      </c>
      <c r="I509" s="175" t="s">
        <v>2943</v>
      </c>
      <c r="J509" s="175" t="s">
        <v>2093</v>
      </c>
      <c r="K509" s="175" t="s">
        <v>160</v>
      </c>
      <c r="L509" s="175" t="s">
        <v>587</v>
      </c>
      <c r="M509" s="175" t="s">
        <v>10</v>
      </c>
      <c r="N509" s="25">
        <v>0</v>
      </c>
      <c r="O509" s="26" t="str">
        <f>_xlfn.DISPIMG("ID_5CF4EBD7502F4485844CA64AA4EECF8E",1)</f>
        <v>=DISPIMG("ID_5CF4EBD7502F4485844CA64AA4EECF8E",1)</v>
      </c>
      <c r="P509" s="14" t="s">
        <v>2944</v>
      </c>
      <c r="Q509" s="25">
        <v>361</v>
      </c>
      <c r="R509" s="15" t="s">
        <v>4776</v>
      </c>
      <c r="S509" s="19" t="s">
        <v>72</v>
      </c>
      <c r="T509" s="14">
        <v>13</v>
      </c>
    </row>
    <row r="510" s="3" customFormat="1" customHeight="1" spans="2:20">
      <c r="B510" s="14"/>
      <c r="C510" s="14"/>
      <c r="D510" s="11"/>
      <c r="E510" s="25"/>
      <c r="F510" s="14"/>
      <c r="G510" s="14"/>
      <c r="H510" s="25"/>
      <c r="I510" s="25"/>
      <c r="J510" s="25"/>
      <c r="K510" s="25"/>
      <c r="L510" s="25"/>
      <c r="M510" s="25"/>
      <c r="N510" s="25"/>
      <c r="O510" s="26"/>
      <c r="P510" s="11" t="s">
        <v>4409</v>
      </c>
      <c r="Q510" s="25"/>
      <c r="R510" s="11" t="s">
        <v>4410</v>
      </c>
      <c r="S510" s="19" t="s">
        <v>72</v>
      </c>
      <c r="T510" s="14">
        <v>24</v>
      </c>
    </row>
    <row r="511" s="3" customFormat="1" customHeight="1" spans="2:20">
      <c r="B511" s="14"/>
      <c r="C511" s="14"/>
      <c r="D511" s="11"/>
      <c r="E511" s="25"/>
      <c r="F511" s="14"/>
      <c r="G511" s="14"/>
      <c r="H511" s="25"/>
      <c r="I511" s="25"/>
      <c r="J511" s="25"/>
      <c r="K511" s="25"/>
      <c r="L511" s="25"/>
      <c r="M511" s="25"/>
      <c r="N511" s="25"/>
      <c r="O511" s="26"/>
      <c r="P511" s="11" t="s">
        <v>4409</v>
      </c>
      <c r="Q511" s="25"/>
      <c r="R511" s="11" t="s">
        <v>4410</v>
      </c>
      <c r="S511" s="19" t="s">
        <v>72</v>
      </c>
      <c r="T511" s="14">
        <v>25</v>
      </c>
    </row>
    <row r="512" s="3" customFormat="1" customHeight="1" spans="1:20">
      <c r="A512" s="167" t="s">
        <v>974</v>
      </c>
      <c r="B512" s="167" t="s">
        <v>153</v>
      </c>
      <c r="C512" s="167" t="s">
        <v>975</v>
      </c>
      <c r="D512" s="11">
        <v>14796380079</v>
      </c>
      <c r="E512" s="167" t="s">
        <v>268</v>
      </c>
      <c r="F512" s="167" t="s">
        <v>16</v>
      </c>
      <c r="G512" s="11">
        <v>202101011</v>
      </c>
      <c r="H512" s="167" t="s">
        <v>157</v>
      </c>
      <c r="I512" s="167" t="s">
        <v>233</v>
      </c>
      <c r="J512" s="167" t="s">
        <v>977</v>
      </c>
      <c r="K512" s="167" t="s">
        <v>170</v>
      </c>
      <c r="L512" s="167" t="s">
        <v>235</v>
      </c>
      <c r="M512" s="167" t="s">
        <v>978</v>
      </c>
      <c r="N512" s="167" t="s">
        <v>979</v>
      </c>
      <c r="O512" s="12" t="str">
        <f>_xlfn.DISPIMG("ID_9AC6BD34E9E244F89B50B29F8EA156DD",1)</f>
        <v>=DISPIMG("ID_9AC6BD34E9E244F89B50B29F8EA156DD",1)</v>
      </c>
      <c r="P512" s="11" t="s">
        <v>980</v>
      </c>
      <c r="Q512" s="11">
        <v>99</v>
      </c>
      <c r="R512" s="17" t="s">
        <v>4777</v>
      </c>
      <c r="S512" s="18" t="s">
        <v>76</v>
      </c>
      <c r="T512" s="25">
        <v>6</v>
      </c>
    </row>
    <row r="513" s="3" customFormat="1" customHeight="1" spans="1:20">
      <c r="A513" s="167" t="s">
        <v>2831</v>
      </c>
      <c r="B513" s="167" t="s">
        <v>165</v>
      </c>
      <c r="C513" s="167" t="s">
        <v>2832</v>
      </c>
      <c r="D513" s="11">
        <v>17794516178</v>
      </c>
      <c r="E513" s="167" t="s">
        <v>268</v>
      </c>
      <c r="F513" s="167" t="s">
        <v>16</v>
      </c>
      <c r="G513" s="11">
        <v>202101011</v>
      </c>
      <c r="H513" s="167" t="s">
        <v>705</v>
      </c>
      <c r="I513" s="167" t="s">
        <v>2834</v>
      </c>
      <c r="J513" s="167" t="s">
        <v>1397</v>
      </c>
      <c r="K513" s="167" t="s">
        <v>160</v>
      </c>
      <c r="L513" s="167" t="s">
        <v>261</v>
      </c>
      <c r="M513" s="167" t="s">
        <v>2835</v>
      </c>
      <c r="N513" s="11">
        <v>0</v>
      </c>
      <c r="O513" s="12" t="str">
        <f>_xlfn.DISPIMG("ID_012851E191D54E319B75F7300CFFD208",1)</f>
        <v>=DISPIMG("ID_012851E191D54E319B75F7300CFFD208",1)</v>
      </c>
      <c r="P513" s="11" t="s">
        <v>2836</v>
      </c>
      <c r="Q513" s="11">
        <v>344</v>
      </c>
      <c r="R513" s="17" t="s">
        <v>4793</v>
      </c>
      <c r="S513" s="18" t="s">
        <v>76</v>
      </c>
      <c r="T513" s="25">
        <v>7</v>
      </c>
    </row>
    <row r="514" s="3" customFormat="1" customHeight="1" spans="1:20">
      <c r="A514" s="167" t="s">
        <v>1294</v>
      </c>
      <c r="B514" s="167" t="s">
        <v>165</v>
      </c>
      <c r="C514" s="167" t="s">
        <v>1295</v>
      </c>
      <c r="D514" s="11">
        <v>16607139534</v>
      </c>
      <c r="E514" s="167" t="s">
        <v>384</v>
      </c>
      <c r="F514" s="167" t="s">
        <v>18</v>
      </c>
      <c r="G514" s="11">
        <v>202101024</v>
      </c>
      <c r="H514" s="167" t="s">
        <v>705</v>
      </c>
      <c r="I514" s="167" t="s">
        <v>1297</v>
      </c>
      <c r="J514" s="167" t="s">
        <v>323</v>
      </c>
      <c r="K514" s="167" t="s">
        <v>160</v>
      </c>
      <c r="L514" s="167" t="s">
        <v>455</v>
      </c>
      <c r="M514" s="167" t="s">
        <v>18</v>
      </c>
      <c r="N514" s="167" t="s">
        <v>1298</v>
      </c>
      <c r="O514" s="12" t="str">
        <f>_xlfn.DISPIMG("ID_0467DD9C16B84F62946A6DA8763F5DB1",1)</f>
        <v>=DISPIMG("ID_0467DD9C16B84F62946A6DA8763F5DB1",1)</v>
      </c>
      <c r="P514" s="11" t="s">
        <v>1299</v>
      </c>
      <c r="Q514" s="11">
        <v>140</v>
      </c>
      <c r="R514" s="17" t="s">
        <v>4780</v>
      </c>
      <c r="S514" s="18" t="s">
        <v>76</v>
      </c>
      <c r="T514" s="25">
        <v>18</v>
      </c>
    </row>
    <row r="515" s="3" customFormat="1" customHeight="1" spans="1:20">
      <c r="A515" s="167" t="s">
        <v>1387</v>
      </c>
      <c r="B515" s="167" t="s">
        <v>165</v>
      </c>
      <c r="C515" s="167" t="s">
        <v>1388</v>
      </c>
      <c r="D515" s="11">
        <v>15079175259</v>
      </c>
      <c r="E515" s="167" t="s">
        <v>156</v>
      </c>
      <c r="F515" s="167" t="s">
        <v>18</v>
      </c>
      <c r="G515" s="11">
        <v>202101012</v>
      </c>
      <c r="H515" s="167" t="s">
        <v>157</v>
      </c>
      <c r="I515" s="167" t="s">
        <v>827</v>
      </c>
      <c r="J515" s="167" t="s">
        <v>1390</v>
      </c>
      <c r="K515" s="167" t="s">
        <v>170</v>
      </c>
      <c r="L515" s="167" t="s">
        <v>261</v>
      </c>
      <c r="M515" s="167" t="s">
        <v>18</v>
      </c>
      <c r="N515" s="11">
        <v>0</v>
      </c>
      <c r="O515" s="12" t="str">
        <f>_xlfn.DISPIMG("ID_22A5305EF7CD44458C8E85EF1B5003E3",1)</f>
        <v>=DISPIMG("ID_22A5305EF7CD44458C8E85EF1B5003E3",1)</v>
      </c>
      <c r="P515" s="11" t="s">
        <v>1391</v>
      </c>
      <c r="Q515" s="20">
        <v>152</v>
      </c>
      <c r="R515" s="17" t="s">
        <v>4781</v>
      </c>
      <c r="S515" s="18" t="s">
        <v>76</v>
      </c>
      <c r="T515" s="25">
        <v>19</v>
      </c>
    </row>
    <row r="516" s="3" customFormat="1" customHeight="1" spans="2:20">
      <c r="B516" s="11"/>
      <c r="C516" s="11"/>
      <c r="D516" s="11"/>
      <c r="E516" s="11"/>
      <c r="F516" s="11"/>
      <c r="G516" s="11"/>
      <c r="H516" s="11"/>
      <c r="I516" s="11"/>
      <c r="J516" s="11"/>
      <c r="K516" s="11"/>
      <c r="L516" s="11"/>
      <c r="M516" s="11"/>
      <c r="N516" s="11"/>
      <c r="O516" s="12"/>
      <c r="P516" s="11" t="s">
        <v>4409</v>
      </c>
      <c r="Q516" s="20"/>
      <c r="R516" s="11" t="s">
        <v>4410</v>
      </c>
      <c r="S516" s="18" t="s">
        <v>76</v>
      </c>
      <c r="T516" s="25">
        <v>30</v>
      </c>
    </row>
    <row r="517" s="3" customFormat="1" customHeight="1" spans="1:20">
      <c r="A517" s="167" t="s">
        <v>2961</v>
      </c>
      <c r="B517" s="167" t="s">
        <v>153</v>
      </c>
      <c r="C517" s="167" t="s">
        <v>2962</v>
      </c>
      <c r="D517" s="11">
        <v>15180672774</v>
      </c>
      <c r="E517" s="167" t="s">
        <v>268</v>
      </c>
      <c r="F517" s="167" t="s">
        <v>16</v>
      </c>
      <c r="G517" s="11">
        <v>202101011</v>
      </c>
      <c r="H517" s="167" t="s">
        <v>157</v>
      </c>
      <c r="I517" s="167" t="s">
        <v>385</v>
      </c>
      <c r="J517" s="167" t="s">
        <v>2964</v>
      </c>
      <c r="K517" s="167" t="s">
        <v>170</v>
      </c>
      <c r="L517" s="167" t="s">
        <v>161</v>
      </c>
      <c r="M517" s="167" t="s">
        <v>1156</v>
      </c>
      <c r="N517" s="167" t="s">
        <v>2965</v>
      </c>
      <c r="O517" s="12" t="str">
        <f>_xlfn.DISPIMG("ID_7E33BA02CEC345A989E0186D8EADFECF",1)</f>
        <v>=DISPIMG("ID_7E33BA02CEC345A989E0186D8EADFECF",1)</v>
      </c>
      <c r="P517" s="11" t="s">
        <v>2966</v>
      </c>
      <c r="Q517" s="11">
        <v>364</v>
      </c>
      <c r="R517" s="17" t="s">
        <v>4798</v>
      </c>
      <c r="S517" s="18" t="s">
        <v>76</v>
      </c>
      <c r="T517" s="25">
        <v>5</v>
      </c>
    </row>
    <row r="518" s="3" customFormat="1" customHeight="1" spans="1:20">
      <c r="A518" s="167" t="s">
        <v>3116</v>
      </c>
      <c r="B518" s="167" t="s">
        <v>165</v>
      </c>
      <c r="C518" s="167" t="s">
        <v>3117</v>
      </c>
      <c r="D518" s="11">
        <v>15279286337</v>
      </c>
      <c r="E518" s="167" t="s">
        <v>268</v>
      </c>
      <c r="F518" s="167" t="s">
        <v>16</v>
      </c>
      <c r="G518" s="11">
        <v>202101011</v>
      </c>
      <c r="H518" s="167" t="s">
        <v>157</v>
      </c>
      <c r="I518" s="167" t="s">
        <v>385</v>
      </c>
      <c r="J518" s="167" t="s">
        <v>3119</v>
      </c>
      <c r="K518" s="167" t="s">
        <v>170</v>
      </c>
      <c r="L518" s="167" t="s">
        <v>161</v>
      </c>
      <c r="M518" s="167" t="s">
        <v>190</v>
      </c>
      <c r="N518" s="11">
        <v>0</v>
      </c>
      <c r="O518" s="12" t="str">
        <f>_xlfn.DISPIMG("ID_BC4D6E67EBDF472A876E1598CD3DE965",1)</f>
        <v>=DISPIMG("ID_BC4D6E67EBDF472A876E1598CD3DE965",1)</v>
      </c>
      <c r="P518" s="11" t="s">
        <v>3120</v>
      </c>
      <c r="Q518" s="11">
        <v>385</v>
      </c>
      <c r="R518" s="17" t="s">
        <v>4803</v>
      </c>
      <c r="S518" s="18" t="s">
        <v>76</v>
      </c>
      <c r="T518" s="25">
        <v>8</v>
      </c>
    </row>
    <row r="519" s="3" customFormat="1" customHeight="1" spans="1:20">
      <c r="A519" s="167" t="s">
        <v>1789</v>
      </c>
      <c r="B519" s="167" t="s">
        <v>165</v>
      </c>
      <c r="C519" s="167" t="s">
        <v>1790</v>
      </c>
      <c r="D519" s="11">
        <v>15350130023</v>
      </c>
      <c r="E519" s="167" t="s">
        <v>384</v>
      </c>
      <c r="F519" s="167" t="s">
        <v>18</v>
      </c>
      <c r="G519" s="11">
        <v>202101023</v>
      </c>
      <c r="H519" s="167" t="s">
        <v>157</v>
      </c>
      <c r="I519" s="167" t="s">
        <v>1792</v>
      </c>
      <c r="J519" s="167" t="s">
        <v>1793</v>
      </c>
      <c r="K519" s="167" t="s">
        <v>160</v>
      </c>
      <c r="L519" s="167" t="s">
        <v>455</v>
      </c>
      <c r="M519" s="167" t="s">
        <v>1794</v>
      </c>
      <c r="N519" s="11">
        <v>0</v>
      </c>
      <c r="O519" s="12" t="str">
        <f>_xlfn.DISPIMG("ID_F2D31DD52A09466996724F8ACF5386A0",1)</f>
        <v>=DISPIMG("ID_F2D31DD52A09466996724F8ACF5386A0",1)</v>
      </c>
      <c r="P519" s="11" t="s">
        <v>1795</v>
      </c>
      <c r="Q519" s="11">
        <v>204</v>
      </c>
      <c r="R519" s="17" t="s">
        <v>4782</v>
      </c>
      <c r="S519" s="18" t="s">
        <v>76</v>
      </c>
      <c r="T519" s="25">
        <v>17</v>
      </c>
    </row>
    <row r="520" s="3" customFormat="1" customHeight="1" spans="1:20">
      <c r="A520" s="167" t="s">
        <v>3051</v>
      </c>
      <c r="B520" s="167" t="s">
        <v>165</v>
      </c>
      <c r="C520" s="167" t="s">
        <v>3052</v>
      </c>
      <c r="D520" s="11">
        <v>18779104869</v>
      </c>
      <c r="E520" s="167" t="s">
        <v>384</v>
      </c>
      <c r="F520" s="167" t="s">
        <v>18</v>
      </c>
      <c r="G520" s="11">
        <v>202101024</v>
      </c>
      <c r="H520" s="167" t="s">
        <v>157</v>
      </c>
      <c r="I520" s="167" t="s">
        <v>3054</v>
      </c>
      <c r="J520" s="167" t="s">
        <v>404</v>
      </c>
      <c r="K520" s="167" t="s">
        <v>160</v>
      </c>
      <c r="L520" s="167" t="s">
        <v>455</v>
      </c>
      <c r="M520" s="167" t="s">
        <v>18</v>
      </c>
      <c r="N520" s="11">
        <v>0</v>
      </c>
      <c r="O520" s="12" t="str">
        <f>_xlfn.DISPIMG("ID_030DD5A3CEBA48E5AA84D6300BCE898E",1)</f>
        <v>=DISPIMG("ID_030DD5A3CEBA48E5AA84D6300BCE898E",1)</v>
      </c>
      <c r="P520" s="11" t="s">
        <v>3055</v>
      </c>
      <c r="Q520" s="11">
        <v>377</v>
      </c>
      <c r="R520" s="17" t="s">
        <v>4785</v>
      </c>
      <c r="S520" s="18" t="s">
        <v>76</v>
      </c>
      <c r="T520" s="25">
        <v>20</v>
      </c>
    </row>
    <row r="521" s="3" customFormat="1" customHeight="1" spans="2:20">
      <c r="B521" s="11"/>
      <c r="C521" s="11"/>
      <c r="D521" s="11"/>
      <c r="E521" s="11"/>
      <c r="F521" s="11"/>
      <c r="G521" s="11"/>
      <c r="H521" s="11"/>
      <c r="I521" s="11"/>
      <c r="J521" s="11"/>
      <c r="K521" s="11"/>
      <c r="L521" s="11"/>
      <c r="M521" s="11"/>
      <c r="N521" s="11"/>
      <c r="O521" s="12"/>
      <c r="P521" s="11" t="s">
        <v>4409</v>
      </c>
      <c r="Q521" s="11"/>
      <c r="R521" s="11" t="s">
        <v>4410</v>
      </c>
      <c r="S521" s="18" t="s">
        <v>76</v>
      </c>
      <c r="T521" s="25">
        <v>29</v>
      </c>
    </row>
    <row r="522" s="3" customFormat="1" customHeight="1" spans="1:20">
      <c r="A522" s="167" t="s">
        <v>3022</v>
      </c>
      <c r="B522" s="167" t="s">
        <v>165</v>
      </c>
      <c r="C522" s="167" t="s">
        <v>3023</v>
      </c>
      <c r="D522" s="11">
        <v>15870035090</v>
      </c>
      <c r="E522" s="167" t="s">
        <v>268</v>
      </c>
      <c r="F522" s="167" t="s">
        <v>16</v>
      </c>
      <c r="G522" s="11">
        <v>202101011</v>
      </c>
      <c r="H522" s="167" t="s">
        <v>157</v>
      </c>
      <c r="I522" s="167" t="s">
        <v>233</v>
      </c>
      <c r="J522" s="167" t="s">
        <v>1088</v>
      </c>
      <c r="K522" s="167" t="s">
        <v>170</v>
      </c>
      <c r="L522" s="167" t="s">
        <v>548</v>
      </c>
      <c r="M522" s="167" t="s">
        <v>1579</v>
      </c>
      <c r="N522" s="167" t="s">
        <v>3025</v>
      </c>
      <c r="O522" s="12" t="str">
        <f>_xlfn.DISPIMG("ID_B71153A1EE7A48CF8E15967732B6C043",1)</f>
        <v>=DISPIMG("ID_B71153A1EE7A48CF8E15967732B6C043",1)</v>
      </c>
      <c r="P522" s="11" t="s">
        <v>3026</v>
      </c>
      <c r="Q522" s="11">
        <v>412</v>
      </c>
      <c r="R522" s="17" t="s">
        <v>4778</v>
      </c>
      <c r="S522" s="18" t="s">
        <v>76</v>
      </c>
      <c r="T522" s="25">
        <v>4</v>
      </c>
    </row>
    <row r="523" s="3" customFormat="1" customHeight="1" spans="1:20">
      <c r="A523" s="167" t="s">
        <v>3507</v>
      </c>
      <c r="B523" s="167" t="s">
        <v>165</v>
      </c>
      <c r="C523" s="167" t="s">
        <v>3508</v>
      </c>
      <c r="D523" s="11">
        <v>15179282402</v>
      </c>
      <c r="E523" s="167" t="s">
        <v>384</v>
      </c>
      <c r="F523" s="167" t="s">
        <v>16</v>
      </c>
      <c r="G523" s="11">
        <v>202101012</v>
      </c>
      <c r="H523" s="167" t="s">
        <v>157</v>
      </c>
      <c r="I523" s="167" t="s">
        <v>158</v>
      </c>
      <c r="J523" s="167" t="s">
        <v>2742</v>
      </c>
      <c r="K523" s="167" t="s">
        <v>160</v>
      </c>
      <c r="L523" s="167" t="s">
        <v>281</v>
      </c>
      <c r="M523" s="167" t="s">
        <v>3510</v>
      </c>
      <c r="N523" s="11">
        <v>0</v>
      </c>
      <c r="O523" s="12" t="str">
        <f>_xlfn.DISPIMG("ID_F203C9D79BED4D608F3184BA9064F545",1)</f>
        <v>=DISPIMG("ID_F203C9D79BED4D608F3184BA9064F545",1)</v>
      </c>
      <c r="P523" s="11" t="s">
        <v>3511</v>
      </c>
      <c r="Q523" s="11">
        <v>445</v>
      </c>
      <c r="R523" s="17" t="s">
        <v>4779</v>
      </c>
      <c r="S523" s="18" t="s">
        <v>76</v>
      </c>
      <c r="T523" s="25">
        <v>9</v>
      </c>
    </row>
    <row r="524" s="3" customFormat="1" customHeight="1" spans="1:20">
      <c r="A524" s="167" t="s">
        <v>1061</v>
      </c>
      <c r="B524" s="167" t="s">
        <v>165</v>
      </c>
      <c r="C524" s="167" t="s">
        <v>1062</v>
      </c>
      <c r="D524" s="11">
        <v>18370272213</v>
      </c>
      <c r="E524" s="167" t="s">
        <v>268</v>
      </c>
      <c r="F524" s="167" t="s">
        <v>17</v>
      </c>
      <c r="G524" s="11">
        <v>202101017</v>
      </c>
      <c r="H524" s="167" t="s">
        <v>157</v>
      </c>
      <c r="I524" s="167" t="s">
        <v>269</v>
      </c>
      <c r="J524" s="167" t="s">
        <v>290</v>
      </c>
      <c r="K524" s="167" t="s">
        <v>170</v>
      </c>
      <c r="L524" s="167" t="s">
        <v>261</v>
      </c>
      <c r="M524" s="167" t="s">
        <v>1064</v>
      </c>
      <c r="N524" s="11">
        <v>0</v>
      </c>
      <c r="O524" s="12" t="str">
        <f>_xlfn.DISPIMG("ID_9916007E0F6C44BAA2C2DFDD815EDF7E",1)</f>
        <v>=DISPIMG("ID_9916007E0F6C44BAA2C2DFDD815EDF7E",1)</v>
      </c>
      <c r="P524" s="11" t="s">
        <v>1065</v>
      </c>
      <c r="Q524" s="20">
        <v>110</v>
      </c>
      <c r="R524" s="17" t="s">
        <v>4795</v>
      </c>
      <c r="S524" s="18" t="s">
        <v>76</v>
      </c>
      <c r="T524" s="25">
        <v>16</v>
      </c>
    </row>
    <row r="525" s="3" customFormat="1" customHeight="1" spans="2:20">
      <c r="B525" s="11"/>
      <c r="C525" s="11"/>
      <c r="D525" s="11"/>
      <c r="E525" s="11"/>
      <c r="F525" s="11"/>
      <c r="G525" s="11"/>
      <c r="H525" s="11"/>
      <c r="I525" s="11"/>
      <c r="J525" s="11"/>
      <c r="K525" s="11"/>
      <c r="L525" s="11"/>
      <c r="M525" s="11"/>
      <c r="N525" s="11"/>
      <c r="O525" s="12"/>
      <c r="P525" s="11" t="s">
        <v>4409</v>
      </c>
      <c r="Q525" s="20"/>
      <c r="R525" s="11" t="s">
        <v>4410</v>
      </c>
      <c r="S525" s="18" t="s">
        <v>76</v>
      </c>
      <c r="T525" s="25">
        <v>21</v>
      </c>
    </row>
    <row r="526" s="3" customFormat="1" customHeight="1" spans="2:20">
      <c r="B526" s="11"/>
      <c r="C526" s="11"/>
      <c r="D526" s="11"/>
      <c r="E526" s="11"/>
      <c r="F526" s="11"/>
      <c r="G526" s="11"/>
      <c r="H526" s="11"/>
      <c r="I526" s="11"/>
      <c r="J526" s="11"/>
      <c r="K526" s="11"/>
      <c r="L526" s="11"/>
      <c r="M526" s="11"/>
      <c r="N526" s="11"/>
      <c r="O526" s="12"/>
      <c r="P526" s="11" t="s">
        <v>4409</v>
      </c>
      <c r="Q526" s="20"/>
      <c r="R526" s="11" t="s">
        <v>4410</v>
      </c>
      <c r="S526" s="18" t="s">
        <v>76</v>
      </c>
      <c r="T526" s="25">
        <v>28</v>
      </c>
    </row>
    <row r="527" s="3" customFormat="1" customHeight="1" spans="1:20">
      <c r="A527" s="167" t="s">
        <v>3833</v>
      </c>
      <c r="B527" s="167" t="s">
        <v>153</v>
      </c>
      <c r="C527" s="167" t="s">
        <v>3834</v>
      </c>
      <c r="D527" s="11">
        <v>15970472554</v>
      </c>
      <c r="E527" s="167" t="s">
        <v>268</v>
      </c>
      <c r="F527" s="167" t="s">
        <v>16</v>
      </c>
      <c r="G527" s="11">
        <v>202101011</v>
      </c>
      <c r="H527" s="167" t="s">
        <v>705</v>
      </c>
      <c r="I527" s="167" t="s">
        <v>1654</v>
      </c>
      <c r="J527" s="167" t="s">
        <v>3836</v>
      </c>
      <c r="K527" s="167" t="s">
        <v>160</v>
      </c>
      <c r="L527" s="167" t="s">
        <v>235</v>
      </c>
      <c r="M527" s="167" t="s">
        <v>16</v>
      </c>
      <c r="N527" s="167" t="s">
        <v>3837</v>
      </c>
      <c r="O527" s="12" t="str">
        <f>_xlfn.DISPIMG("ID_34928AEB616641BE854DC3D58FC2EECD",1)</f>
        <v>=DISPIMG("ID_34928AEB616641BE854DC3D58FC2EECD",1)</v>
      </c>
      <c r="P527" s="11" t="s">
        <v>3838</v>
      </c>
      <c r="Q527" s="11">
        <v>489</v>
      </c>
      <c r="R527" s="17" t="s">
        <v>4783</v>
      </c>
      <c r="S527" s="18" t="s">
        <v>76</v>
      </c>
      <c r="T527" s="25">
        <v>3</v>
      </c>
    </row>
    <row r="528" s="3" customFormat="1" customHeight="1" spans="1:20">
      <c r="A528" s="167" t="s">
        <v>4111</v>
      </c>
      <c r="B528" s="167" t="s">
        <v>153</v>
      </c>
      <c r="C528" s="167" t="s">
        <v>4112</v>
      </c>
      <c r="D528" s="11">
        <v>15155149842</v>
      </c>
      <c r="E528" s="167" t="s">
        <v>268</v>
      </c>
      <c r="F528" s="167" t="s">
        <v>16</v>
      </c>
      <c r="G528" s="11">
        <v>202101011</v>
      </c>
      <c r="H528" s="167" t="s">
        <v>705</v>
      </c>
      <c r="I528" s="167" t="s">
        <v>4114</v>
      </c>
      <c r="J528" s="167" t="s">
        <v>4115</v>
      </c>
      <c r="K528" s="167" t="s">
        <v>160</v>
      </c>
      <c r="L528" s="167" t="s">
        <v>161</v>
      </c>
      <c r="M528" s="167" t="s">
        <v>16</v>
      </c>
      <c r="N528" s="167" t="s">
        <v>4116</v>
      </c>
      <c r="O528" s="12" t="str">
        <f>_xlfn.DISPIMG("ID_AB3A7CA2D44F41A18DEECB4F4C161234",1)</f>
        <v>=DISPIMG("ID_AB3A7CA2D44F41A18DEECB4F4C161234",1)</v>
      </c>
      <c r="P528" s="11" t="s">
        <v>4117</v>
      </c>
      <c r="Q528" s="11">
        <v>526</v>
      </c>
      <c r="R528" s="17" t="s">
        <v>4784</v>
      </c>
      <c r="S528" s="18" t="s">
        <v>76</v>
      </c>
      <c r="T528" s="25">
        <v>10</v>
      </c>
    </row>
    <row r="529" s="3" customFormat="1" customHeight="1" spans="1:20">
      <c r="A529" s="167" t="s">
        <v>1365</v>
      </c>
      <c r="B529" s="167" t="s">
        <v>153</v>
      </c>
      <c r="C529" s="167" t="s">
        <v>1366</v>
      </c>
      <c r="D529" s="11">
        <v>15720964071</v>
      </c>
      <c r="E529" s="167" t="s">
        <v>268</v>
      </c>
      <c r="F529" s="167" t="s">
        <v>17</v>
      </c>
      <c r="G529" s="11">
        <v>202101017</v>
      </c>
      <c r="H529" s="167" t="s">
        <v>157</v>
      </c>
      <c r="I529" s="167" t="s">
        <v>1368</v>
      </c>
      <c r="J529" s="167" t="s">
        <v>290</v>
      </c>
      <c r="K529" s="167" t="s">
        <v>170</v>
      </c>
      <c r="L529" s="167" t="s">
        <v>455</v>
      </c>
      <c r="M529" s="167" t="s">
        <v>1369</v>
      </c>
      <c r="N529" s="11">
        <v>0</v>
      </c>
      <c r="O529" s="12" t="str">
        <f>_xlfn.DISPIMG("ID_EB5AC667C054437CBFE2486B339F8A77",1)</f>
        <v>=DISPIMG("ID_EB5AC667C054437CBFE2486B339F8A77",1)</v>
      </c>
      <c r="P529" s="11" t="s">
        <v>1370</v>
      </c>
      <c r="Q529" s="20">
        <v>149</v>
      </c>
      <c r="R529" s="17" t="s">
        <v>4799</v>
      </c>
      <c r="S529" s="18" t="s">
        <v>76</v>
      </c>
      <c r="T529" s="25">
        <v>15</v>
      </c>
    </row>
    <row r="530" s="3" customFormat="1" customHeight="1" spans="2:20">
      <c r="B530" s="11"/>
      <c r="C530" s="11"/>
      <c r="D530" s="11"/>
      <c r="E530" s="11"/>
      <c r="F530" s="11"/>
      <c r="G530" s="11"/>
      <c r="H530" s="11"/>
      <c r="I530" s="11"/>
      <c r="J530" s="11"/>
      <c r="K530" s="11"/>
      <c r="L530" s="11"/>
      <c r="M530" s="11"/>
      <c r="N530" s="11"/>
      <c r="O530" s="12"/>
      <c r="P530" s="11" t="s">
        <v>4409</v>
      </c>
      <c r="Q530" s="20"/>
      <c r="R530" s="11" t="s">
        <v>4410</v>
      </c>
      <c r="S530" s="18" t="s">
        <v>76</v>
      </c>
      <c r="T530" s="25">
        <v>22</v>
      </c>
    </row>
    <row r="531" s="3" customFormat="1" customHeight="1" spans="2:20">
      <c r="B531" s="11"/>
      <c r="C531" s="11"/>
      <c r="D531" s="11"/>
      <c r="E531" s="11"/>
      <c r="F531" s="11"/>
      <c r="G531" s="11"/>
      <c r="H531" s="11"/>
      <c r="I531" s="11"/>
      <c r="J531" s="11"/>
      <c r="K531" s="11"/>
      <c r="L531" s="11"/>
      <c r="M531" s="11"/>
      <c r="N531" s="11"/>
      <c r="O531" s="12"/>
      <c r="P531" s="11" t="s">
        <v>4409</v>
      </c>
      <c r="Q531" s="20"/>
      <c r="R531" s="11" t="s">
        <v>4410</v>
      </c>
      <c r="S531" s="18" t="s">
        <v>76</v>
      </c>
      <c r="T531" s="25">
        <v>27</v>
      </c>
    </row>
    <row r="532" s="3" customFormat="1" customHeight="1" spans="1:20">
      <c r="A532" s="167" t="s">
        <v>4184</v>
      </c>
      <c r="B532" s="167" t="s">
        <v>153</v>
      </c>
      <c r="C532" s="167" t="s">
        <v>4185</v>
      </c>
      <c r="D532" s="11">
        <v>15779857764</v>
      </c>
      <c r="E532" s="167" t="s">
        <v>384</v>
      </c>
      <c r="F532" s="167" t="s">
        <v>16</v>
      </c>
      <c r="G532" s="11">
        <v>202101012</v>
      </c>
      <c r="H532" s="167" t="s">
        <v>157</v>
      </c>
      <c r="I532" s="167" t="s">
        <v>507</v>
      </c>
      <c r="J532" s="167" t="s">
        <v>977</v>
      </c>
      <c r="K532" s="167" t="s">
        <v>170</v>
      </c>
      <c r="L532" s="167" t="s">
        <v>281</v>
      </c>
      <c r="M532" s="167" t="s">
        <v>16</v>
      </c>
      <c r="N532" s="167" t="s">
        <v>4187</v>
      </c>
      <c r="O532" s="12" t="str">
        <f>_xlfn.DISPIMG("ID_CB7789B563324522805F1ED9D1BFD221",1)</f>
        <v>=DISPIMG("ID_CB7789B563324522805F1ED9D1BFD221",1)</v>
      </c>
      <c r="P532" s="11" t="s">
        <v>4188</v>
      </c>
      <c r="Q532" s="11">
        <v>535</v>
      </c>
      <c r="R532" s="17" t="s">
        <v>4788</v>
      </c>
      <c r="S532" s="18" t="s">
        <v>76</v>
      </c>
      <c r="T532" s="25">
        <v>2</v>
      </c>
    </row>
    <row r="533" s="3" customFormat="1" customHeight="1" spans="1:20">
      <c r="A533" s="167" t="s">
        <v>4222</v>
      </c>
      <c r="B533" s="167" t="s">
        <v>165</v>
      </c>
      <c r="C533" s="167" t="s">
        <v>4223</v>
      </c>
      <c r="D533" s="11">
        <v>18170013045</v>
      </c>
      <c r="E533" s="167" t="s">
        <v>268</v>
      </c>
      <c r="F533" s="167" t="s">
        <v>16</v>
      </c>
      <c r="G533" s="11">
        <v>202101011</v>
      </c>
      <c r="H533" s="167" t="s">
        <v>157</v>
      </c>
      <c r="I533" s="167" t="s">
        <v>385</v>
      </c>
      <c r="J533" s="167" t="s">
        <v>4225</v>
      </c>
      <c r="K533" s="167" t="s">
        <v>170</v>
      </c>
      <c r="L533" s="167" t="s">
        <v>224</v>
      </c>
      <c r="M533" s="167" t="s">
        <v>16</v>
      </c>
      <c r="N533" s="167" t="s">
        <v>4226</v>
      </c>
      <c r="O533" s="12" t="str">
        <f>_xlfn.DISPIMG("ID_6A583EA485744871AED4CEE0D95D9DC4",1)</f>
        <v>=DISPIMG("ID_6A583EA485744871AED4CEE0D95D9DC4",1)</v>
      </c>
      <c r="P533" s="11" t="s">
        <v>4227</v>
      </c>
      <c r="Q533" s="11">
        <v>540</v>
      </c>
      <c r="R533" s="17" t="s">
        <v>4789</v>
      </c>
      <c r="S533" s="18" t="s">
        <v>76</v>
      </c>
      <c r="T533" s="25">
        <v>11</v>
      </c>
    </row>
    <row r="534" s="3" customFormat="1" customHeight="1" spans="1:20">
      <c r="A534" s="167" t="s">
        <v>2805</v>
      </c>
      <c r="B534" s="167" t="s">
        <v>153</v>
      </c>
      <c r="C534" s="167" t="s">
        <v>2806</v>
      </c>
      <c r="D534" s="11">
        <v>15350253333</v>
      </c>
      <c r="E534" s="167" t="s">
        <v>268</v>
      </c>
      <c r="F534" s="167" t="s">
        <v>17</v>
      </c>
      <c r="G534" s="11">
        <v>202101007</v>
      </c>
      <c r="H534" s="167" t="s">
        <v>157</v>
      </c>
      <c r="I534" s="167" t="s">
        <v>269</v>
      </c>
      <c r="J534" s="167" t="s">
        <v>290</v>
      </c>
      <c r="K534" s="167" t="s">
        <v>170</v>
      </c>
      <c r="L534" s="167" t="s">
        <v>368</v>
      </c>
      <c r="M534" s="167" t="s">
        <v>17</v>
      </c>
      <c r="N534" s="167" t="s">
        <v>2808</v>
      </c>
      <c r="O534" s="12" t="str">
        <f>_xlfn.DISPIMG("ID_7C47A0694F0147EB860DAA1E2F9E87A3",1)</f>
        <v>=DISPIMG("ID_7C47A0694F0147EB860DAA1E2F9E87A3",1)</v>
      </c>
      <c r="P534" s="11" t="s">
        <v>2809</v>
      </c>
      <c r="Q534" s="11">
        <v>340</v>
      </c>
      <c r="R534" s="17" t="s">
        <v>4800</v>
      </c>
      <c r="S534" s="18" t="s">
        <v>76</v>
      </c>
      <c r="T534" s="25">
        <v>14</v>
      </c>
    </row>
    <row r="535" s="3" customFormat="1" customHeight="1" spans="2:20">
      <c r="B535" s="11"/>
      <c r="C535" s="11"/>
      <c r="D535" s="11"/>
      <c r="E535" s="11"/>
      <c r="F535" s="11"/>
      <c r="G535" s="11"/>
      <c r="H535" s="11"/>
      <c r="I535" s="11"/>
      <c r="J535" s="11"/>
      <c r="K535" s="11"/>
      <c r="L535" s="11"/>
      <c r="M535" s="11"/>
      <c r="N535" s="11"/>
      <c r="O535" s="12"/>
      <c r="P535" s="11" t="s">
        <v>4409</v>
      </c>
      <c r="Q535" s="11"/>
      <c r="R535" s="11" t="s">
        <v>4410</v>
      </c>
      <c r="S535" s="18" t="s">
        <v>76</v>
      </c>
      <c r="T535" s="25">
        <v>23</v>
      </c>
    </row>
    <row r="536" s="3" customFormat="1" customHeight="1" spans="2:20">
      <c r="B536" s="11"/>
      <c r="C536" s="11"/>
      <c r="D536" s="11"/>
      <c r="E536" s="11"/>
      <c r="F536" s="11"/>
      <c r="G536" s="11"/>
      <c r="H536" s="11"/>
      <c r="I536" s="11"/>
      <c r="J536" s="11"/>
      <c r="K536" s="11"/>
      <c r="L536" s="11"/>
      <c r="M536" s="11"/>
      <c r="N536" s="11"/>
      <c r="O536" s="12"/>
      <c r="P536" s="11" t="s">
        <v>4409</v>
      </c>
      <c r="Q536" s="11"/>
      <c r="R536" s="11" t="s">
        <v>4410</v>
      </c>
      <c r="S536" s="18" t="s">
        <v>76</v>
      </c>
      <c r="T536" s="25">
        <v>26</v>
      </c>
    </row>
    <row r="537" s="3" customFormat="1" customHeight="1" spans="1:20">
      <c r="A537" s="167" t="s">
        <v>4251</v>
      </c>
      <c r="B537" s="167" t="s">
        <v>153</v>
      </c>
      <c r="C537" s="167" t="s">
        <v>4252</v>
      </c>
      <c r="D537" s="11">
        <v>13340012018</v>
      </c>
      <c r="E537" s="167" t="s">
        <v>268</v>
      </c>
      <c r="F537" s="167" t="s">
        <v>16</v>
      </c>
      <c r="G537" s="11">
        <v>202101011</v>
      </c>
      <c r="H537" s="167" t="s">
        <v>705</v>
      </c>
      <c r="I537" s="167" t="s">
        <v>233</v>
      </c>
      <c r="J537" s="167" t="s">
        <v>4254</v>
      </c>
      <c r="K537" s="167" t="s">
        <v>160</v>
      </c>
      <c r="L537" s="167" t="s">
        <v>455</v>
      </c>
      <c r="M537" s="167" t="s">
        <v>16</v>
      </c>
      <c r="N537" s="167" t="s">
        <v>4255</v>
      </c>
      <c r="O537" s="12" t="str">
        <f>_xlfn.DISPIMG("ID_7B994A5EE1894E46909466AD8B994299",1)</f>
        <v>=DISPIMG("ID_7B994A5EE1894E46909466AD8B994299",1)</v>
      </c>
      <c r="P537" s="11" t="s">
        <v>4256</v>
      </c>
      <c r="Q537" s="11">
        <v>544</v>
      </c>
      <c r="R537" s="17" t="s">
        <v>4794</v>
      </c>
      <c r="S537" s="18" t="s">
        <v>76</v>
      </c>
      <c r="T537" s="25">
        <v>1</v>
      </c>
    </row>
    <row r="538" s="3" customFormat="1" customHeight="1" spans="1:20">
      <c r="A538" s="167" t="s">
        <v>3099</v>
      </c>
      <c r="B538" s="167" t="s">
        <v>165</v>
      </c>
      <c r="C538" s="167" t="s">
        <v>3100</v>
      </c>
      <c r="D538" s="11">
        <v>15720976892</v>
      </c>
      <c r="E538" s="167" t="s">
        <v>384</v>
      </c>
      <c r="F538" s="167" t="s">
        <v>17</v>
      </c>
      <c r="G538" s="11">
        <v>202101018</v>
      </c>
      <c r="H538" s="167" t="s">
        <v>157</v>
      </c>
      <c r="I538" s="167" t="s">
        <v>385</v>
      </c>
      <c r="J538" s="167" t="s">
        <v>290</v>
      </c>
      <c r="K538" s="167" t="s">
        <v>170</v>
      </c>
      <c r="L538" s="167" t="s">
        <v>577</v>
      </c>
      <c r="M538" s="167" t="s">
        <v>3102</v>
      </c>
      <c r="N538" s="167" t="s">
        <v>3103</v>
      </c>
      <c r="O538" s="12" t="str">
        <f>_xlfn.DISPIMG("ID_FEEAA5237B6C4B708D314FC0E0560DA3",1)</f>
        <v>=DISPIMG("ID_FEEAA5237B6C4B708D314FC0E0560DA3",1)</v>
      </c>
      <c r="P538" s="11" t="s">
        <v>3104</v>
      </c>
      <c r="Q538" s="20">
        <v>383</v>
      </c>
      <c r="R538" s="17" t="s">
        <v>4804</v>
      </c>
      <c r="S538" s="18" t="s">
        <v>76</v>
      </c>
      <c r="T538" s="25">
        <v>12</v>
      </c>
    </row>
    <row r="539" s="3" customFormat="1" customHeight="1" spans="1:20">
      <c r="A539" s="167" t="s">
        <v>3192</v>
      </c>
      <c r="B539" s="167" t="s">
        <v>165</v>
      </c>
      <c r="C539" s="167" t="s">
        <v>3193</v>
      </c>
      <c r="D539" s="11">
        <v>13361729367</v>
      </c>
      <c r="E539" s="167" t="s">
        <v>268</v>
      </c>
      <c r="F539" s="167" t="s">
        <v>17</v>
      </c>
      <c r="G539" s="11">
        <v>202101017</v>
      </c>
      <c r="H539" s="167" t="s">
        <v>157</v>
      </c>
      <c r="I539" s="167" t="s">
        <v>1258</v>
      </c>
      <c r="J539" s="167" t="s">
        <v>3195</v>
      </c>
      <c r="K539" s="167" t="s">
        <v>170</v>
      </c>
      <c r="L539" s="167" t="s">
        <v>216</v>
      </c>
      <c r="M539" s="167" t="s">
        <v>17</v>
      </c>
      <c r="N539" s="167" t="s">
        <v>3196</v>
      </c>
      <c r="O539" s="12" t="str">
        <f>_xlfn.DISPIMG("ID_F0B384F7F2BD4ECB81B75D08A62A8621",1)</f>
        <v>=DISPIMG("ID_F0B384F7F2BD4ECB81B75D08A62A8621",1)</v>
      </c>
      <c r="P539" s="11" t="s">
        <v>3197</v>
      </c>
      <c r="Q539" s="20">
        <v>397</v>
      </c>
      <c r="R539" s="17" t="s">
        <v>4805</v>
      </c>
      <c r="S539" s="18" t="s">
        <v>76</v>
      </c>
      <c r="T539" s="25">
        <v>13</v>
      </c>
    </row>
    <row r="540" s="3" customFormat="1" customHeight="1" spans="2:20">
      <c r="B540" s="11"/>
      <c r="C540" s="11"/>
      <c r="D540" s="11"/>
      <c r="E540" s="11"/>
      <c r="F540" s="11"/>
      <c r="G540" s="11"/>
      <c r="H540" s="11"/>
      <c r="I540" s="11"/>
      <c r="J540" s="11"/>
      <c r="K540" s="11"/>
      <c r="L540" s="11"/>
      <c r="M540" s="11"/>
      <c r="N540" s="11"/>
      <c r="O540" s="12"/>
      <c r="P540" s="11" t="s">
        <v>4409</v>
      </c>
      <c r="Q540" s="20"/>
      <c r="R540" s="11" t="s">
        <v>4410</v>
      </c>
      <c r="S540" s="18" t="s">
        <v>76</v>
      </c>
      <c r="T540" s="25">
        <v>24</v>
      </c>
    </row>
    <row r="541" s="3" customFormat="1" customHeight="1" spans="2:20">
      <c r="B541" s="11"/>
      <c r="C541" s="11"/>
      <c r="D541" s="11"/>
      <c r="E541" s="11"/>
      <c r="F541" s="11"/>
      <c r="G541" s="11"/>
      <c r="H541" s="11"/>
      <c r="I541" s="11"/>
      <c r="J541" s="11"/>
      <c r="K541" s="11"/>
      <c r="L541" s="11"/>
      <c r="M541" s="11"/>
      <c r="N541" s="11"/>
      <c r="O541" s="12"/>
      <c r="P541" s="11" t="s">
        <v>4409</v>
      </c>
      <c r="Q541" s="20"/>
      <c r="R541" s="11" t="s">
        <v>4410</v>
      </c>
      <c r="S541" s="18" t="s">
        <v>76</v>
      </c>
      <c r="T541" s="25">
        <v>25</v>
      </c>
    </row>
    <row r="542" s="3" customFormat="1" customHeight="1" spans="1:20">
      <c r="A542" s="166" t="s">
        <v>702</v>
      </c>
      <c r="B542" s="166" t="s">
        <v>165</v>
      </c>
      <c r="C542" s="166" t="s">
        <v>703</v>
      </c>
      <c r="D542" s="11">
        <v>18720956827</v>
      </c>
      <c r="E542" s="167" t="s">
        <v>384</v>
      </c>
      <c r="F542" s="166" t="s">
        <v>26</v>
      </c>
      <c r="G542" s="9">
        <v>202101002</v>
      </c>
      <c r="H542" s="167" t="s">
        <v>705</v>
      </c>
      <c r="I542" s="167" t="s">
        <v>233</v>
      </c>
      <c r="J542" s="167" t="s">
        <v>706</v>
      </c>
      <c r="K542" s="167" t="s">
        <v>170</v>
      </c>
      <c r="L542" s="167" t="s">
        <v>161</v>
      </c>
      <c r="M542" s="167" t="s">
        <v>707</v>
      </c>
      <c r="N542" s="167" t="s">
        <v>708</v>
      </c>
      <c r="O542" s="12" t="str">
        <f>_xlfn.DISPIMG("ID_0553F27943C1489A99AB032B2AD0761A",1)</f>
        <v>=DISPIMG("ID_0553F27943C1489A99AB032B2AD0761A",1)</v>
      </c>
      <c r="P542" s="9" t="s">
        <v>709</v>
      </c>
      <c r="Q542" s="11">
        <v>66</v>
      </c>
      <c r="R542" s="15" t="s">
        <v>4786</v>
      </c>
      <c r="S542" s="19" t="s">
        <v>80</v>
      </c>
      <c r="T542" s="14">
        <v>6</v>
      </c>
    </row>
    <row r="543" s="3" customFormat="1" customHeight="1" spans="1:20">
      <c r="A543" s="166" t="s">
        <v>817</v>
      </c>
      <c r="B543" s="166" t="s">
        <v>165</v>
      </c>
      <c r="C543" s="166" t="s">
        <v>818</v>
      </c>
      <c r="D543" s="11">
        <v>15270286273</v>
      </c>
      <c r="E543" s="167" t="s">
        <v>297</v>
      </c>
      <c r="F543" s="166" t="s">
        <v>26</v>
      </c>
      <c r="G543" s="9">
        <v>202101003</v>
      </c>
      <c r="H543" s="167" t="s">
        <v>157</v>
      </c>
      <c r="I543" s="167" t="s">
        <v>820</v>
      </c>
      <c r="J543" s="167" t="s">
        <v>454</v>
      </c>
      <c r="K543" s="167" t="s">
        <v>160</v>
      </c>
      <c r="L543" s="167" t="s">
        <v>252</v>
      </c>
      <c r="M543" s="167" t="s">
        <v>26</v>
      </c>
      <c r="N543" s="11">
        <v>0</v>
      </c>
      <c r="O543" s="12" t="str">
        <f>_xlfn.DISPIMG("ID_D94148DE170D425EB66AE2DFFF655A13",1)</f>
        <v>=DISPIMG("ID_D94148DE170D425EB66AE2DFFF655A13",1)</v>
      </c>
      <c r="P543" s="9" t="s">
        <v>821</v>
      </c>
      <c r="Q543" s="11">
        <v>80</v>
      </c>
      <c r="R543" s="15" t="s">
        <v>4787</v>
      </c>
      <c r="S543" s="19" t="s">
        <v>80</v>
      </c>
      <c r="T543" s="14">
        <v>7</v>
      </c>
    </row>
    <row r="544" s="3" customFormat="1" customHeight="1" spans="2:20">
      <c r="B544" s="9"/>
      <c r="C544" s="9"/>
      <c r="D544" s="11"/>
      <c r="E544" s="11"/>
      <c r="F544" s="9"/>
      <c r="G544" s="9"/>
      <c r="H544" s="11"/>
      <c r="I544" s="11"/>
      <c r="J544" s="11"/>
      <c r="K544" s="11"/>
      <c r="L544" s="11"/>
      <c r="M544" s="11"/>
      <c r="N544" s="11"/>
      <c r="O544" s="12"/>
      <c r="P544" s="11" t="s">
        <v>4409</v>
      </c>
      <c r="Q544" s="11"/>
      <c r="R544" s="11" t="s">
        <v>4410</v>
      </c>
      <c r="S544" s="19" t="s">
        <v>80</v>
      </c>
      <c r="T544" s="14">
        <v>18</v>
      </c>
    </row>
    <row r="545" s="3" customFormat="1" customHeight="1" spans="2:20">
      <c r="B545" s="9"/>
      <c r="C545" s="9"/>
      <c r="D545" s="11"/>
      <c r="E545" s="11"/>
      <c r="F545" s="9"/>
      <c r="G545" s="9"/>
      <c r="H545" s="11"/>
      <c r="I545" s="11"/>
      <c r="J545" s="11"/>
      <c r="K545" s="11"/>
      <c r="L545" s="11"/>
      <c r="M545" s="11"/>
      <c r="N545" s="11"/>
      <c r="O545" s="12"/>
      <c r="P545" s="11" t="s">
        <v>4409</v>
      </c>
      <c r="Q545" s="11"/>
      <c r="R545" s="11" t="s">
        <v>4410</v>
      </c>
      <c r="S545" s="19" t="s">
        <v>80</v>
      </c>
      <c r="T545" s="14">
        <v>19</v>
      </c>
    </row>
    <row r="546" s="3" customFormat="1" customHeight="1" spans="2:20">
      <c r="B546" s="9"/>
      <c r="C546" s="9"/>
      <c r="D546" s="11"/>
      <c r="E546" s="11"/>
      <c r="F546" s="9"/>
      <c r="G546" s="9"/>
      <c r="H546" s="11"/>
      <c r="I546" s="11"/>
      <c r="J546" s="11"/>
      <c r="K546" s="11"/>
      <c r="L546" s="11"/>
      <c r="M546" s="11"/>
      <c r="N546" s="11"/>
      <c r="O546" s="12"/>
      <c r="P546" s="11" t="s">
        <v>4409</v>
      </c>
      <c r="Q546" s="11"/>
      <c r="R546" s="11" t="s">
        <v>4410</v>
      </c>
      <c r="S546" s="19" t="s">
        <v>80</v>
      </c>
      <c r="T546" s="14">
        <v>30</v>
      </c>
    </row>
    <row r="547" s="3" customFormat="1" customHeight="1" spans="1:20">
      <c r="A547" s="166" t="s">
        <v>898</v>
      </c>
      <c r="B547" s="166" t="s">
        <v>165</v>
      </c>
      <c r="C547" s="166" t="s">
        <v>899</v>
      </c>
      <c r="D547" s="11">
        <v>18970287322</v>
      </c>
      <c r="E547" s="167" t="s">
        <v>268</v>
      </c>
      <c r="F547" s="166" t="s">
        <v>26</v>
      </c>
      <c r="G547" s="9">
        <v>202101001</v>
      </c>
      <c r="H547" s="167" t="s">
        <v>157</v>
      </c>
      <c r="I547" s="167" t="s">
        <v>901</v>
      </c>
      <c r="J547" s="167" t="s">
        <v>454</v>
      </c>
      <c r="K547" s="167" t="s">
        <v>170</v>
      </c>
      <c r="L547" s="167" t="s">
        <v>235</v>
      </c>
      <c r="M547" s="167" t="s">
        <v>26</v>
      </c>
      <c r="N547" s="167" t="s">
        <v>902</v>
      </c>
      <c r="O547" s="12" t="str">
        <f>_xlfn.DISPIMG("ID_1BFE84DC97BC469ABB3506659F95FD8E",1)</f>
        <v>=DISPIMG("ID_1BFE84DC97BC469ABB3506659F95FD8E",1)</v>
      </c>
      <c r="P547" s="9" t="s">
        <v>903</v>
      </c>
      <c r="Q547" s="11">
        <v>90</v>
      </c>
      <c r="R547" s="15" t="s">
        <v>4790</v>
      </c>
      <c r="S547" s="19" t="s">
        <v>80</v>
      </c>
      <c r="T547" s="14">
        <v>5</v>
      </c>
    </row>
    <row r="548" s="3" customFormat="1" customHeight="1" spans="1:20">
      <c r="A548" s="166" t="s">
        <v>932</v>
      </c>
      <c r="B548" s="166" t="s">
        <v>165</v>
      </c>
      <c r="C548" s="166" t="s">
        <v>933</v>
      </c>
      <c r="D548" s="11">
        <v>15373854743</v>
      </c>
      <c r="E548" s="167" t="s">
        <v>268</v>
      </c>
      <c r="F548" s="166" t="s">
        <v>26</v>
      </c>
      <c r="G548" s="9">
        <v>202101001</v>
      </c>
      <c r="H548" s="167" t="s">
        <v>157</v>
      </c>
      <c r="I548" s="167" t="s">
        <v>935</v>
      </c>
      <c r="J548" s="167" t="s">
        <v>936</v>
      </c>
      <c r="K548" s="167" t="s">
        <v>170</v>
      </c>
      <c r="L548" s="167" t="s">
        <v>252</v>
      </c>
      <c r="M548" s="167" t="s">
        <v>26</v>
      </c>
      <c r="N548" s="167" t="s">
        <v>937</v>
      </c>
      <c r="O548" s="12" t="str">
        <f>_xlfn.DISPIMG("ID_B0F72DE4E87649C28924E4AA265BAF06",1)</f>
        <v>=DISPIMG("ID_B0F72DE4E87649C28924E4AA265BAF06",1)</v>
      </c>
      <c r="P548" s="9" t="s">
        <v>938</v>
      </c>
      <c r="Q548" s="11">
        <v>94</v>
      </c>
      <c r="R548" s="15" t="s">
        <v>4791</v>
      </c>
      <c r="S548" s="19" t="s">
        <v>80</v>
      </c>
      <c r="T548" s="14">
        <v>8</v>
      </c>
    </row>
    <row r="549" s="3" customFormat="1" customHeight="1" spans="2:20">
      <c r="B549" s="9"/>
      <c r="C549" s="9"/>
      <c r="D549" s="11"/>
      <c r="E549" s="11"/>
      <c r="F549" s="9"/>
      <c r="G549" s="9"/>
      <c r="H549" s="11"/>
      <c r="I549" s="11"/>
      <c r="J549" s="11"/>
      <c r="K549" s="11"/>
      <c r="L549" s="11"/>
      <c r="M549" s="11"/>
      <c r="N549" s="11"/>
      <c r="O549" s="12"/>
      <c r="P549" s="11" t="s">
        <v>4409</v>
      </c>
      <c r="Q549" s="11"/>
      <c r="R549" s="11" t="s">
        <v>4410</v>
      </c>
      <c r="S549" s="19" t="s">
        <v>80</v>
      </c>
      <c r="T549" s="14">
        <v>17</v>
      </c>
    </row>
    <row r="550" s="3" customFormat="1" customHeight="1" spans="2:20">
      <c r="B550" s="9"/>
      <c r="C550" s="9"/>
      <c r="D550" s="11"/>
      <c r="E550" s="11"/>
      <c r="F550" s="9"/>
      <c r="G550" s="9"/>
      <c r="H550" s="11"/>
      <c r="I550" s="11"/>
      <c r="J550" s="11"/>
      <c r="K550" s="11"/>
      <c r="L550" s="11"/>
      <c r="M550" s="11"/>
      <c r="N550" s="11"/>
      <c r="O550" s="12"/>
      <c r="P550" s="11" t="s">
        <v>4409</v>
      </c>
      <c r="Q550" s="11"/>
      <c r="R550" s="11" t="s">
        <v>4410</v>
      </c>
      <c r="S550" s="19" t="s">
        <v>80</v>
      </c>
      <c r="T550" s="14">
        <v>20</v>
      </c>
    </row>
    <row r="551" s="3" customFormat="1" customHeight="1" spans="2:20">
      <c r="B551" s="9"/>
      <c r="C551" s="9"/>
      <c r="D551" s="11"/>
      <c r="E551" s="11"/>
      <c r="F551" s="9"/>
      <c r="G551" s="9"/>
      <c r="H551" s="11"/>
      <c r="I551" s="11"/>
      <c r="J551" s="11"/>
      <c r="K551" s="11"/>
      <c r="L551" s="11"/>
      <c r="M551" s="11"/>
      <c r="N551" s="11"/>
      <c r="O551" s="12"/>
      <c r="P551" s="11" t="s">
        <v>4409</v>
      </c>
      <c r="Q551" s="11"/>
      <c r="R551" s="11" t="s">
        <v>4410</v>
      </c>
      <c r="S551" s="19" t="s">
        <v>80</v>
      </c>
      <c r="T551" s="14">
        <v>29</v>
      </c>
    </row>
    <row r="552" s="3" customFormat="1" customHeight="1" spans="1:20">
      <c r="A552" s="166" t="s">
        <v>1566</v>
      </c>
      <c r="B552" s="166" t="s">
        <v>165</v>
      </c>
      <c r="C552" s="166" t="s">
        <v>1567</v>
      </c>
      <c r="D552" s="11">
        <v>13535561771</v>
      </c>
      <c r="E552" s="167" t="s">
        <v>268</v>
      </c>
      <c r="F552" s="166" t="s">
        <v>26</v>
      </c>
      <c r="G552" s="9">
        <v>202101001</v>
      </c>
      <c r="H552" s="167" t="s">
        <v>705</v>
      </c>
      <c r="I552" s="167" t="s">
        <v>1569</v>
      </c>
      <c r="J552" s="167" t="s">
        <v>1570</v>
      </c>
      <c r="K552" s="167" t="s">
        <v>160</v>
      </c>
      <c r="L552" s="167" t="s">
        <v>171</v>
      </c>
      <c r="M552" s="167" t="s">
        <v>1571</v>
      </c>
      <c r="N552" s="11">
        <v>0</v>
      </c>
      <c r="O552" s="12" t="str">
        <f>_xlfn.DISPIMG("ID_F9DBEEB152DD4F6D9E9954F28F8B48D4",1)</f>
        <v>=DISPIMG("ID_F9DBEEB152DD4F6D9E9954F28F8B48D4",1)</v>
      </c>
      <c r="P552" s="9" t="s">
        <v>1572</v>
      </c>
      <c r="Q552" s="11">
        <v>175</v>
      </c>
      <c r="R552" s="15" t="s">
        <v>4792</v>
      </c>
      <c r="S552" s="19" t="s">
        <v>80</v>
      </c>
      <c r="T552" s="14">
        <v>4</v>
      </c>
    </row>
    <row r="553" s="3" customFormat="1" customHeight="1" spans="1:20">
      <c r="A553" s="166" t="s">
        <v>1606</v>
      </c>
      <c r="B553" s="166" t="s">
        <v>165</v>
      </c>
      <c r="C553" s="166" t="s">
        <v>1607</v>
      </c>
      <c r="D553" s="11">
        <v>15180623635</v>
      </c>
      <c r="E553" s="167" t="s">
        <v>384</v>
      </c>
      <c r="F553" s="166" t="s">
        <v>26</v>
      </c>
      <c r="G553" s="9">
        <v>202101002</v>
      </c>
      <c r="H553" s="167" t="s">
        <v>705</v>
      </c>
      <c r="I553" s="167" t="s">
        <v>1112</v>
      </c>
      <c r="J553" s="167" t="s">
        <v>1489</v>
      </c>
      <c r="K553" s="167" t="s">
        <v>170</v>
      </c>
      <c r="L553" s="167" t="s">
        <v>261</v>
      </c>
      <c r="M553" s="167" t="s">
        <v>26</v>
      </c>
      <c r="N553" s="167" t="s">
        <v>1609</v>
      </c>
      <c r="O553" s="12" t="str">
        <f>_xlfn.DISPIMG("ID_D4D81D5180FB4698ABF9FADCA15E9025",1)</f>
        <v>=DISPIMG("ID_D4D81D5180FB4698ABF9FADCA15E9025",1)</v>
      </c>
      <c r="P553" s="9" t="s">
        <v>1610</v>
      </c>
      <c r="Q553" s="11">
        <v>180</v>
      </c>
      <c r="R553" s="15" t="s">
        <v>4796</v>
      </c>
      <c r="S553" s="19" t="s">
        <v>80</v>
      </c>
      <c r="T553" s="14">
        <v>9</v>
      </c>
    </row>
    <row r="554" s="3" customFormat="1" customHeight="1" spans="1:20">
      <c r="A554" s="166" t="s">
        <v>1410</v>
      </c>
      <c r="B554" s="166" t="s">
        <v>165</v>
      </c>
      <c r="C554" s="166" t="s">
        <v>1411</v>
      </c>
      <c r="D554" s="11">
        <v>19979027323</v>
      </c>
      <c r="E554" s="167" t="s">
        <v>268</v>
      </c>
      <c r="F554" s="166" t="s">
        <v>22</v>
      </c>
      <c r="G554" s="9">
        <v>202101009</v>
      </c>
      <c r="H554" s="167" t="s">
        <v>157</v>
      </c>
      <c r="I554" s="167" t="s">
        <v>1413</v>
      </c>
      <c r="J554" s="167" t="s">
        <v>944</v>
      </c>
      <c r="K554" s="167" t="s">
        <v>170</v>
      </c>
      <c r="L554" s="167" t="s">
        <v>396</v>
      </c>
      <c r="M554" s="167" t="s">
        <v>1414</v>
      </c>
      <c r="N554" s="167" t="s">
        <v>1415</v>
      </c>
      <c r="O554" s="12" t="str">
        <f>_xlfn.DISPIMG("ID_7AA3981AEA4B4044958F80E226B55196",1)</f>
        <v>=DISPIMG("ID_7AA3981AEA4B4044958F80E226B55196",1)</v>
      </c>
      <c r="P554" s="9" t="s">
        <v>1416</v>
      </c>
      <c r="Q554" s="11">
        <v>155</v>
      </c>
      <c r="R554" s="15" t="s">
        <v>4816</v>
      </c>
      <c r="S554" s="19" t="s">
        <v>80</v>
      </c>
      <c r="T554" s="14">
        <v>16</v>
      </c>
    </row>
    <row r="555" s="3" customFormat="1" customHeight="1" spans="2:20">
      <c r="B555" s="9"/>
      <c r="C555" s="9"/>
      <c r="D555" s="11"/>
      <c r="E555" s="11"/>
      <c r="F555" s="9"/>
      <c r="G555" s="9"/>
      <c r="H555" s="11"/>
      <c r="I555" s="11"/>
      <c r="J555" s="11"/>
      <c r="K555" s="11"/>
      <c r="L555" s="11"/>
      <c r="M555" s="11"/>
      <c r="N555" s="11"/>
      <c r="O555" s="12"/>
      <c r="P555" s="11" t="s">
        <v>4409</v>
      </c>
      <c r="Q555" s="11"/>
      <c r="R555" s="11" t="s">
        <v>4410</v>
      </c>
      <c r="S555" s="19" t="s">
        <v>80</v>
      </c>
      <c r="T555" s="14">
        <v>21</v>
      </c>
    </row>
    <row r="556" s="3" customFormat="1" customHeight="1" spans="2:20">
      <c r="B556" s="9"/>
      <c r="C556" s="9"/>
      <c r="D556" s="11"/>
      <c r="E556" s="11"/>
      <c r="F556" s="9"/>
      <c r="G556" s="9"/>
      <c r="H556" s="11"/>
      <c r="I556" s="11"/>
      <c r="J556" s="11"/>
      <c r="K556" s="11"/>
      <c r="L556" s="11"/>
      <c r="M556" s="11"/>
      <c r="N556" s="11"/>
      <c r="O556" s="12"/>
      <c r="P556" s="11" t="s">
        <v>4409</v>
      </c>
      <c r="Q556" s="11"/>
      <c r="R556" s="11" t="s">
        <v>4410</v>
      </c>
      <c r="S556" s="19" t="s">
        <v>80</v>
      </c>
      <c r="T556" s="14">
        <v>28</v>
      </c>
    </row>
    <row r="557" s="3" customFormat="1" customHeight="1" spans="1:20">
      <c r="A557" s="166" t="s">
        <v>1932</v>
      </c>
      <c r="B557" s="166" t="s">
        <v>165</v>
      </c>
      <c r="C557" s="166" t="s">
        <v>1933</v>
      </c>
      <c r="D557" s="11">
        <v>13507099496</v>
      </c>
      <c r="E557" s="167" t="s">
        <v>384</v>
      </c>
      <c r="F557" s="166" t="s">
        <v>26</v>
      </c>
      <c r="G557" s="9">
        <v>202101002</v>
      </c>
      <c r="H557" s="167" t="s">
        <v>157</v>
      </c>
      <c r="I557" s="167" t="s">
        <v>827</v>
      </c>
      <c r="J557" s="167" t="s">
        <v>454</v>
      </c>
      <c r="K557" s="167" t="s">
        <v>170</v>
      </c>
      <c r="L557" s="167" t="s">
        <v>199</v>
      </c>
      <c r="M557" s="167" t="s">
        <v>324</v>
      </c>
      <c r="N557" s="167" t="s">
        <v>1935</v>
      </c>
      <c r="O557" s="12" t="str">
        <f>_xlfn.DISPIMG("ID_4ED50304A31443EC8E946100C168F137",1)</f>
        <v>=DISPIMG("ID_4ED50304A31443EC8E946100C168F137",1)</v>
      </c>
      <c r="P557" s="9" t="s">
        <v>1936</v>
      </c>
      <c r="Q557" s="11">
        <v>223</v>
      </c>
      <c r="R557" s="15" t="s">
        <v>4797</v>
      </c>
      <c r="S557" s="19" t="s">
        <v>80</v>
      </c>
      <c r="T557" s="14">
        <v>3</v>
      </c>
    </row>
    <row r="558" s="3" customFormat="1" customHeight="1" spans="1:20">
      <c r="A558" s="166" t="s">
        <v>329</v>
      </c>
      <c r="B558" s="166" t="s">
        <v>165</v>
      </c>
      <c r="C558" s="166" t="s">
        <v>330</v>
      </c>
      <c r="D558" s="11">
        <v>13635987780</v>
      </c>
      <c r="E558" s="167" t="s">
        <v>156</v>
      </c>
      <c r="F558" s="166" t="s">
        <v>3</v>
      </c>
      <c r="G558" s="9">
        <v>202102009</v>
      </c>
      <c r="H558" s="167" t="s">
        <v>157</v>
      </c>
      <c r="I558" s="167" t="s">
        <v>332</v>
      </c>
      <c r="J558" s="167" t="s">
        <v>333</v>
      </c>
      <c r="K558" s="167" t="s">
        <v>160</v>
      </c>
      <c r="L558" s="167" t="s">
        <v>199</v>
      </c>
      <c r="M558" s="167" t="s">
        <v>3</v>
      </c>
      <c r="N558" s="11">
        <v>0</v>
      </c>
      <c r="O558" s="12" t="str">
        <f>_xlfn.DISPIMG("ID_66E2A8C103C040BCBC4789F49E6E9C74",1)</f>
        <v>=DISPIMG("ID_66E2A8C103C040BCBC4789F49E6E9C74",1)</v>
      </c>
      <c r="P558" s="9" t="s">
        <v>334</v>
      </c>
      <c r="Q558" s="11">
        <v>21</v>
      </c>
      <c r="R558" s="15" t="s">
        <v>4806</v>
      </c>
      <c r="S558" s="19" t="s">
        <v>80</v>
      </c>
      <c r="T558" s="14">
        <v>10</v>
      </c>
    </row>
    <row r="559" s="3" customFormat="1" customHeight="1" spans="1:20">
      <c r="A559" s="166" t="s">
        <v>965</v>
      </c>
      <c r="B559" s="166" t="s">
        <v>165</v>
      </c>
      <c r="C559" s="166" t="s">
        <v>966</v>
      </c>
      <c r="D559" s="11">
        <v>18379223080</v>
      </c>
      <c r="E559" s="167" t="s">
        <v>156</v>
      </c>
      <c r="F559" s="166" t="s">
        <v>3</v>
      </c>
      <c r="G559" s="9">
        <v>202102009</v>
      </c>
      <c r="H559" s="167" t="s">
        <v>157</v>
      </c>
      <c r="I559" s="167" t="s">
        <v>158</v>
      </c>
      <c r="J559" s="167" t="s">
        <v>968</v>
      </c>
      <c r="K559" s="167" t="s">
        <v>160</v>
      </c>
      <c r="L559" s="167" t="s">
        <v>368</v>
      </c>
      <c r="M559" s="167" t="s">
        <v>969</v>
      </c>
      <c r="N559" s="167" t="s">
        <v>970</v>
      </c>
      <c r="O559" s="12" t="str">
        <f>_xlfn.DISPIMG("ID_25A1371DB5D24E7E87AED819AD313075",1)</f>
        <v>=DISPIMG("ID_25A1371DB5D24E7E87AED819AD313075",1)</v>
      </c>
      <c r="P559" s="9" t="s">
        <v>971</v>
      </c>
      <c r="Q559" s="11">
        <v>98</v>
      </c>
      <c r="R559" s="15" t="s">
        <v>4807</v>
      </c>
      <c r="S559" s="19" t="s">
        <v>80</v>
      </c>
      <c r="T559" s="14">
        <v>15</v>
      </c>
    </row>
    <row r="560" s="3" customFormat="1" customHeight="1" spans="2:20">
      <c r="B560" s="9"/>
      <c r="C560" s="9"/>
      <c r="D560" s="11"/>
      <c r="E560" s="11"/>
      <c r="F560" s="9"/>
      <c r="G560" s="9"/>
      <c r="H560" s="11"/>
      <c r="I560" s="11"/>
      <c r="J560" s="11"/>
      <c r="K560" s="11"/>
      <c r="L560" s="11"/>
      <c r="M560" s="11"/>
      <c r="N560" s="11"/>
      <c r="O560" s="12"/>
      <c r="P560" s="11" t="s">
        <v>4409</v>
      </c>
      <c r="Q560" s="11"/>
      <c r="R560" s="11" t="s">
        <v>4410</v>
      </c>
      <c r="S560" s="19" t="s">
        <v>80</v>
      </c>
      <c r="T560" s="14">
        <v>22</v>
      </c>
    </row>
    <row r="561" s="3" customFormat="1" customHeight="1" spans="2:20">
      <c r="B561" s="9"/>
      <c r="C561" s="9"/>
      <c r="D561" s="11"/>
      <c r="E561" s="11"/>
      <c r="F561" s="9"/>
      <c r="G561" s="9"/>
      <c r="H561" s="11"/>
      <c r="I561" s="11"/>
      <c r="J561" s="11"/>
      <c r="K561" s="11"/>
      <c r="L561" s="11"/>
      <c r="M561" s="11"/>
      <c r="N561" s="11"/>
      <c r="O561" s="12"/>
      <c r="P561" s="11" t="s">
        <v>4409</v>
      </c>
      <c r="Q561" s="11"/>
      <c r="R561" s="11" t="s">
        <v>4410</v>
      </c>
      <c r="S561" s="19" t="s">
        <v>80</v>
      </c>
      <c r="T561" s="14">
        <v>27</v>
      </c>
    </row>
    <row r="562" s="3" customFormat="1" customHeight="1" spans="1:20">
      <c r="A562" s="166" t="s">
        <v>3359</v>
      </c>
      <c r="B562" s="166" t="s">
        <v>165</v>
      </c>
      <c r="C562" s="166" t="s">
        <v>3360</v>
      </c>
      <c r="D562" s="11">
        <v>18970285935</v>
      </c>
      <c r="E562" s="167" t="s">
        <v>297</v>
      </c>
      <c r="F562" s="166" t="s">
        <v>26</v>
      </c>
      <c r="G562" s="9">
        <v>202101003</v>
      </c>
      <c r="H562" s="167" t="s">
        <v>157</v>
      </c>
      <c r="I562" s="167" t="s">
        <v>1213</v>
      </c>
      <c r="J562" s="167" t="s">
        <v>3362</v>
      </c>
      <c r="K562" s="167" t="s">
        <v>160</v>
      </c>
      <c r="L562" s="167" t="s">
        <v>224</v>
      </c>
      <c r="M562" s="167" t="s">
        <v>26</v>
      </c>
      <c r="N562" s="11">
        <v>0</v>
      </c>
      <c r="O562" s="12" t="str">
        <f>_xlfn.DISPIMG("ID_8997E37C597A4A678DEC3DE2B773630A",1)</f>
        <v>=DISPIMG("ID_8997E37C597A4A678DEC3DE2B773630A",1)</v>
      </c>
      <c r="P562" s="9" t="s">
        <v>3363</v>
      </c>
      <c r="Q562" s="11">
        <v>423</v>
      </c>
      <c r="R562" s="15" t="s">
        <v>4801</v>
      </c>
      <c r="S562" s="19" t="s">
        <v>80</v>
      </c>
      <c r="T562" s="14">
        <v>2</v>
      </c>
    </row>
    <row r="563" s="3" customFormat="1" customHeight="1" spans="1:20">
      <c r="A563" s="166" t="s">
        <v>1161</v>
      </c>
      <c r="B563" s="166" t="s">
        <v>165</v>
      </c>
      <c r="C563" s="166" t="s">
        <v>1162</v>
      </c>
      <c r="D563" s="11">
        <v>15879899835</v>
      </c>
      <c r="E563" s="167" t="s">
        <v>156</v>
      </c>
      <c r="F563" s="166" t="s">
        <v>3</v>
      </c>
      <c r="G563" s="9">
        <v>202102009</v>
      </c>
      <c r="H563" s="167" t="s">
        <v>157</v>
      </c>
      <c r="I563" s="167" t="s">
        <v>1146</v>
      </c>
      <c r="J563" s="167" t="s">
        <v>1164</v>
      </c>
      <c r="K563" s="167" t="s">
        <v>160</v>
      </c>
      <c r="L563" s="167" t="s">
        <v>252</v>
      </c>
      <c r="M563" s="167" t="s">
        <v>3</v>
      </c>
      <c r="N563" s="11">
        <v>0</v>
      </c>
      <c r="O563" s="12" t="str">
        <f>_xlfn.DISPIMG("ID_AF5F9594083C4D63A9C12F6DBB9E6CAE",1)</f>
        <v>=DISPIMG("ID_AF5F9594083C4D63A9C12F6DBB9E6CAE",1)</v>
      </c>
      <c r="P563" s="9" t="s">
        <v>1165</v>
      </c>
      <c r="Q563" s="11">
        <v>122</v>
      </c>
      <c r="R563" s="15" t="s">
        <v>4808</v>
      </c>
      <c r="S563" s="19" t="s">
        <v>80</v>
      </c>
      <c r="T563" s="14">
        <v>11</v>
      </c>
    </row>
    <row r="564" s="3" customFormat="1" customHeight="1" spans="1:20">
      <c r="A564" s="166" t="s">
        <v>1421</v>
      </c>
      <c r="B564" s="166" t="s">
        <v>165</v>
      </c>
      <c r="C564" s="166" t="s">
        <v>1422</v>
      </c>
      <c r="D564" s="11">
        <v>15179266183</v>
      </c>
      <c r="E564" s="167" t="s">
        <v>156</v>
      </c>
      <c r="F564" s="166" t="s">
        <v>3</v>
      </c>
      <c r="G564" s="9">
        <v>202102009</v>
      </c>
      <c r="H564" s="167" t="s">
        <v>157</v>
      </c>
      <c r="I564" s="167" t="s">
        <v>1424</v>
      </c>
      <c r="J564" s="167" t="s">
        <v>298</v>
      </c>
      <c r="K564" s="167" t="s">
        <v>160</v>
      </c>
      <c r="L564" s="167" t="s">
        <v>252</v>
      </c>
      <c r="M564" s="167" t="s">
        <v>1425</v>
      </c>
      <c r="N564" s="11">
        <v>0</v>
      </c>
      <c r="O564" s="12" t="str">
        <f>_xlfn.DISPIMG("ID_9A5193B60E294BCB8EBBC32356364290",1)</f>
        <v>=DISPIMG("ID_9A5193B60E294BCB8EBBC32356364290",1)</v>
      </c>
      <c r="P564" s="9" t="s">
        <v>1426</v>
      </c>
      <c r="Q564" s="11">
        <v>157</v>
      </c>
      <c r="R564" s="15" t="s">
        <v>4809</v>
      </c>
      <c r="S564" s="19" t="s">
        <v>80</v>
      </c>
      <c r="T564" s="14">
        <v>14</v>
      </c>
    </row>
    <row r="565" s="3" customFormat="1" customHeight="1" spans="2:20">
      <c r="B565" s="9"/>
      <c r="C565" s="9"/>
      <c r="D565" s="11"/>
      <c r="E565" s="11"/>
      <c r="F565" s="9"/>
      <c r="G565" s="9"/>
      <c r="H565" s="11"/>
      <c r="I565" s="11"/>
      <c r="J565" s="11"/>
      <c r="K565" s="11"/>
      <c r="L565" s="11"/>
      <c r="M565" s="11"/>
      <c r="N565" s="11"/>
      <c r="O565" s="12"/>
      <c r="P565" s="11" t="s">
        <v>4409</v>
      </c>
      <c r="Q565" s="11"/>
      <c r="R565" s="11" t="s">
        <v>4410</v>
      </c>
      <c r="S565" s="19" t="s">
        <v>80</v>
      </c>
      <c r="T565" s="14">
        <v>23</v>
      </c>
    </row>
    <row r="566" s="3" customFormat="1" customHeight="1" spans="2:20">
      <c r="B566" s="9"/>
      <c r="C566" s="9"/>
      <c r="D566" s="11"/>
      <c r="E566" s="11"/>
      <c r="F566" s="9"/>
      <c r="G566" s="9"/>
      <c r="H566" s="11"/>
      <c r="I566" s="11"/>
      <c r="J566" s="11"/>
      <c r="K566" s="11"/>
      <c r="L566" s="11"/>
      <c r="M566" s="11"/>
      <c r="N566" s="11"/>
      <c r="O566" s="12"/>
      <c r="P566" s="11" t="s">
        <v>4409</v>
      </c>
      <c r="Q566" s="11"/>
      <c r="R566" s="11" t="s">
        <v>4410</v>
      </c>
      <c r="S566" s="19" t="s">
        <v>80</v>
      </c>
      <c r="T566" s="14">
        <v>26</v>
      </c>
    </row>
    <row r="567" s="3" customFormat="1" customHeight="1" spans="1:20">
      <c r="A567" s="166" t="s">
        <v>4127</v>
      </c>
      <c r="B567" s="166" t="s">
        <v>165</v>
      </c>
      <c r="C567" s="166" t="s">
        <v>4128</v>
      </c>
      <c r="D567" s="11">
        <v>18779230962</v>
      </c>
      <c r="E567" s="167" t="s">
        <v>268</v>
      </c>
      <c r="F567" s="166" t="s">
        <v>26</v>
      </c>
      <c r="G567" s="9">
        <v>202101001</v>
      </c>
      <c r="H567" s="167" t="s">
        <v>157</v>
      </c>
      <c r="I567" s="167" t="s">
        <v>233</v>
      </c>
      <c r="J567" s="167" t="s">
        <v>454</v>
      </c>
      <c r="K567" s="167" t="s">
        <v>170</v>
      </c>
      <c r="L567" s="167" t="s">
        <v>252</v>
      </c>
      <c r="M567" s="167" t="s">
        <v>26</v>
      </c>
      <c r="N567" s="167" t="s">
        <v>4130</v>
      </c>
      <c r="O567" s="12" t="str">
        <f>_xlfn.DISPIMG("ID_135AA7394FE044C981CB1DCD13A764A0",1)</f>
        <v>=DISPIMG("ID_135AA7394FE044C981CB1DCD13A764A0",1)</v>
      </c>
      <c r="P567" s="9" t="s">
        <v>4131</v>
      </c>
      <c r="Q567" s="11">
        <v>528</v>
      </c>
      <c r="R567" s="15" t="s">
        <v>4802</v>
      </c>
      <c r="S567" s="19" t="s">
        <v>80</v>
      </c>
      <c r="T567" s="14">
        <v>1</v>
      </c>
    </row>
    <row r="568" s="3" customFormat="1" customHeight="1" spans="1:20">
      <c r="A568" s="166" t="s">
        <v>2871</v>
      </c>
      <c r="B568" s="166" t="s">
        <v>165</v>
      </c>
      <c r="C568" s="166" t="s">
        <v>2872</v>
      </c>
      <c r="D568" s="11">
        <v>15135136743</v>
      </c>
      <c r="E568" s="167" t="s">
        <v>156</v>
      </c>
      <c r="F568" s="166" t="s">
        <v>3</v>
      </c>
      <c r="G568" s="9">
        <v>202102009</v>
      </c>
      <c r="H568" s="167" t="s">
        <v>157</v>
      </c>
      <c r="I568" s="167" t="s">
        <v>2874</v>
      </c>
      <c r="J568" s="167" t="s">
        <v>169</v>
      </c>
      <c r="K568" s="167" t="s">
        <v>170</v>
      </c>
      <c r="L568" s="167" t="s">
        <v>171</v>
      </c>
      <c r="M568" s="167" t="s">
        <v>1425</v>
      </c>
      <c r="N568" s="11">
        <v>0</v>
      </c>
      <c r="O568" s="12" t="str">
        <f>_xlfn.DISPIMG("ID_16C7080DFBEB4260AD8944B9B8A16C63",1)</f>
        <v>=DISPIMG("ID_16C7080DFBEB4260AD8944B9B8A16C63",1)</v>
      </c>
      <c r="P568" s="9" t="s">
        <v>2875</v>
      </c>
      <c r="Q568" s="20">
        <v>349</v>
      </c>
      <c r="R568" s="15" t="s">
        <v>4812</v>
      </c>
      <c r="S568" s="19" t="s">
        <v>80</v>
      </c>
      <c r="T568" s="14">
        <v>12</v>
      </c>
    </row>
    <row r="569" s="3" customFormat="1" customHeight="1" spans="1:20">
      <c r="A569" s="166" t="s">
        <v>3301</v>
      </c>
      <c r="B569" s="166" t="s">
        <v>165</v>
      </c>
      <c r="C569" s="166" t="s">
        <v>3302</v>
      </c>
      <c r="D569" s="11">
        <v>13870479934</v>
      </c>
      <c r="E569" s="167" t="s">
        <v>156</v>
      </c>
      <c r="F569" s="166" t="s">
        <v>3</v>
      </c>
      <c r="G569" s="9">
        <v>202102009</v>
      </c>
      <c r="H569" s="167" t="s">
        <v>157</v>
      </c>
      <c r="I569" s="167" t="s">
        <v>178</v>
      </c>
      <c r="J569" s="167" t="s">
        <v>454</v>
      </c>
      <c r="K569" s="167" t="s">
        <v>170</v>
      </c>
      <c r="L569" s="167" t="s">
        <v>261</v>
      </c>
      <c r="M569" s="167" t="s">
        <v>1425</v>
      </c>
      <c r="N569" s="11">
        <v>0</v>
      </c>
      <c r="O569" s="12" t="str">
        <f>_xlfn.DISPIMG("ID_DD8D706699DA435AABD3242B003A06E3",1)</f>
        <v>=DISPIMG("ID_DD8D706699DA435AABD3242B003A06E3",1)</v>
      </c>
      <c r="P569" s="9" t="s">
        <v>3304</v>
      </c>
      <c r="Q569" s="11">
        <v>414</v>
      </c>
      <c r="R569" s="15" t="s">
        <v>4813</v>
      </c>
      <c r="S569" s="19" t="s">
        <v>80</v>
      </c>
      <c r="T569" s="14">
        <v>13</v>
      </c>
    </row>
    <row r="570" s="3" customFormat="1" customHeight="1" spans="2:20">
      <c r="B570" s="9"/>
      <c r="C570" s="9"/>
      <c r="D570" s="11"/>
      <c r="E570" s="11"/>
      <c r="F570" s="9"/>
      <c r="G570" s="9"/>
      <c r="H570" s="11"/>
      <c r="I570" s="11"/>
      <c r="J570" s="11"/>
      <c r="K570" s="11"/>
      <c r="L570" s="11"/>
      <c r="M570" s="11"/>
      <c r="N570" s="11"/>
      <c r="O570" s="12"/>
      <c r="P570" s="11" t="s">
        <v>4409</v>
      </c>
      <c r="Q570" s="11"/>
      <c r="R570" s="11" t="s">
        <v>4410</v>
      </c>
      <c r="S570" s="19" t="s">
        <v>80</v>
      </c>
      <c r="T570" s="14">
        <v>24</v>
      </c>
    </row>
    <row r="571" s="3" customFormat="1" customHeight="1" spans="2:20">
      <c r="B571" s="9"/>
      <c r="C571" s="9"/>
      <c r="D571" s="11"/>
      <c r="E571" s="11"/>
      <c r="F571" s="9"/>
      <c r="G571" s="9"/>
      <c r="H571" s="11"/>
      <c r="I571" s="11"/>
      <c r="J571" s="11"/>
      <c r="K571" s="11"/>
      <c r="L571" s="11"/>
      <c r="M571" s="11"/>
      <c r="N571" s="11"/>
      <c r="O571" s="12"/>
      <c r="P571" s="11" t="s">
        <v>4409</v>
      </c>
      <c r="Q571" s="11"/>
      <c r="R571" s="11" t="s">
        <v>4410</v>
      </c>
      <c r="S571" s="19" t="s">
        <v>80</v>
      </c>
      <c r="T571" s="14">
        <v>25</v>
      </c>
    </row>
    <row r="572" s="3" customFormat="1" customHeight="1" spans="1:20">
      <c r="A572" s="167" t="s">
        <v>679</v>
      </c>
      <c r="B572" s="167" t="s">
        <v>165</v>
      </c>
      <c r="C572" s="167" t="s">
        <v>680</v>
      </c>
      <c r="D572" s="11">
        <v>15079252278</v>
      </c>
      <c r="E572" s="167" t="s">
        <v>384</v>
      </c>
      <c r="F572" s="167" t="s">
        <v>21</v>
      </c>
      <c r="G572" s="11">
        <v>202101023</v>
      </c>
      <c r="H572" s="167" t="s">
        <v>157</v>
      </c>
      <c r="I572" s="167" t="s">
        <v>233</v>
      </c>
      <c r="J572" s="167" t="s">
        <v>682</v>
      </c>
      <c r="K572" s="167" t="s">
        <v>170</v>
      </c>
      <c r="L572" s="167" t="s">
        <v>261</v>
      </c>
      <c r="M572" s="167" t="s">
        <v>683</v>
      </c>
      <c r="N572" s="11">
        <v>0</v>
      </c>
      <c r="O572" s="12" t="str">
        <f>_xlfn.DISPIMG("ID_6F0A1E5B97CE4F0C8967B602A8189E7F",1)</f>
        <v>=DISPIMG("ID_6F0A1E5B97CE4F0C8967B602A8189E7F",1)</v>
      </c>
      <c r="P572" s="11" t="s">
        <v>684</v>
      </c>
      <c r="Q572" s="11">
        <v>63</v>
      </c>
      <c r="R572" s="17" t="s">
        <v>4817</v>
      </c>
      <c r="S572" s="18" t="s">
        <v>84</v>
      </c>
      <c r="T572" s="25">
        <v>6</v>
      </c>
    </row>
    <row r="573" s="3" customFormat="1" customHeight="1" spans="1:20">
      <c r="A573" s="167" t="s">
        <v>1584</v>
      </c>
      <c r="B573" s="167" t="s">
        <v>153</v>
      </c>
      <c r="C573" s="167" t="s">
        <v>1585</v>
      </c>
      <c r="D573" s="11">
        <v>18460003044</v>
      </c>
      <c r="E573" s="167" t="s">
        <v>268</v>
      </c>
      <c r="F573" s="167" t="s">
        <v>21</v>
      </c>
      <c r="G573" s="11">
        <v>202101022</v>
      </c>
      <c r="H573" s="167" t="s">
        <v>157</v>
      </c>
      <c r="I573" s="167" t="s">
        <v>827</v>
      </c>
      <c r="J573" s="167" t="s">
        <v>682</v>
      </c>
      <c r="K573" s="167" t="s">
        <v>170</v>
      </c>
      <c r="L573" s="167" t="s">
        <v>455</v>
      </c>
      <c r="M573" s="167" t="s">
        <v>1587</v>
      </c>
      <c r="N573" s="11">
        <v>0</v>
      </c>
      <c r="O573" s="12" t="str">
        <f>_xlfn.DISPIMG("ID_E364C79C5CB74A97A356C87CFF697310",1)</f>
        <v>=DISPIMG("ID_E364C79C5CB74A97A356C87CFF697310",1)</v>
      </c>
      <c r="P573" s="11" t="s">
        <v>1588</v>
      </c>
      <c r="Q573" s="11">
        <v>177</v>
      </c>
      <c r="R573" s="17" t="s">
        <v>4819</v>
      </c>
      <c r="S573" s="18" t="s">
        <v>84</v>
      </c>
      <c r="T573" s="25">
        <v>7</v>
      </c>
    </row>
    <row r="574" s="3" customFormat="1" customHeight="1" spans="1:20">
      <c r="A574" s="167" t="s">
        <v>1143</v>
      </c>
      <c r="B574" s="167" t="s">
        <v>165</v>
      </c>
      <c r="C574" s="167" t="s">
        <v>1144</v>
      </c>
      <c r="D574" s="11">
        <v>15777198130</v>
      </c>
      <c r="E574" s="167" t="s">
        <v>384</v>
      </c>
      <c r="F574" s="167" t="s">
        <v>23</v>
      </c>
      <c r="G574" s="11">
        <v>202101025</v>
      </c>
      <c r="H574" s="167" t="s">
        <v>157</v>
      </c>
      <c r="I574" s="167" t="s">
        <v>1146</v>
      </c>
      <c r="J574" s="167" t="s">
        <v>1147</v>
      </c>
      <c r="K574" s="167" t="s">
        <v>170</v>
      </c>
      <c r="L574" s="167" t="s">
        <v>455</v>
      </c>
      <c r="M574" s="167" t="s">
        <v>1148</v>
      </c>
      <c r="N574" s="167" t="s">
        <v>1149</v>
      </c>
      <c r="O574" s="12" t="str">
        <f>_xlfn.DISPIMG("ID_0415E10C85C94C988A22FA5D4842DE09",1)</f>
        <v>=DISPIMG("ID_0415E10C85C94C988A22FA5D4842DE09",1)</v>
      </c>
      <c r="P574" s="11" t="s">
        <v>1150</v>
      </c>
      <c r="Q574" s="11">
        <v>120</v>
      </c>
      <c r="R574" s="17" t="s">
        <v>4815</v>
      </c>
      <c r="S574" s="18" t="s">
        <v>84</v>
      </c>
      <c r="T574" s="25">
        <v>18</v>
      </c>
    </row>
    <row r="575" s="3" customFormat="1" customHeight="1" spans="1:20">
      <c r="A575" s="167" t="s">
        <v>4142</v>
      </c>
      <c r="B575" s="167" t="s">
        <v>153</v>
      </c>
      <c r="C575" s="167" t="s">
        <v>4143</v>
      </c>
      <c r="D575" s="11">
        <v>13330123354</v>
      </c>
      <c r="E575" s="167" t="s">
        <v>297</v>
      </c>
      <c r="F575" s="162" t="s">
        <v>30</v>
      </c>
      <c r="G575" s="11">
        <v>202101032</v>
      </c>
      <c r="H575" s="167" t="s">
        <v>705</v>
      </c>
      <c r="I575" s="167" t="s">
        <v>4145</v>
      </c>
      <c r="J575" s="167" t="s">
        <v>4146</v>
      </c>
      <c r="K575" s="167" t="s">
        <v>160</v>
      </c>
      <c r="L575" s="167" t="s">
        <v>235</v>
      </c>
      <c r="M575" s="167" t="s">
        <v>4147</v>
      </c>
      <c r="N575" s="167" t="s">
        <v>4148</v>
      </c>
      <c r="O575" s="12" t="str">
        <f>_xlfn.DISPIMG("ID_28A32B60C96343E48DA79AC0817DB8B2",1)</f>
        <v>=DISPIMG("ID_28A32B60C96343E48DA79AC0817DB8B2",1)</v>
      </c>
      <c r="P575" s="11" t="s">
        <v>4149</v>
      </c>
      <c r="Q575" s="11">
        <v>530</v>
      </c>
      <c r="R575" s="17" t="s">
        <v>4831</v>
      </c>
      <c r="S575" s="18" t="s">
        <v>84</v>
      </c>
      <c r="T575" s="25">
        <v>19</v>
      </c>
    </row>
    <row r="576" s="3" customFormat="1" customHeight="1" spans="2:20">
      <c r="B576" s="11"/>
      <c r="C576" s="11"/>
      <c r="D576" s="11"/>
      <c r="E576" s="11"/>
      <c r="F576" s="11"/>
      <c r="G576" s="11"/>
      <c r="H576" s="11"/>
      <c r="I576" s="11"/>
      <c r="J576" s="11"/>
      <c r="K576" s="11"/>
      <c r="L576" s="11"/>
      <c r="M576" s="11"/>
      <c r="N576" s="11"/>
      <c r="O576" s="12"/>
      <c r="P576" s="11" t="s">
        <v>4409</v>
      </c>
      <c r="Q576" s="11"/>
      <c r="R576" s="11" t="s">
        <v>4410</v>
      </c>
      <c r="S576" s="18" t="s">
        <v>84</v>
      </c>
      <c r="T576" s="25">
        <v>30</v>
      </c>
    </row>
    <row r="577" s="3" customFormat="1" customHeight="1" spans="1:20">
      <c r="A577" s="167" t="s">
        <v>1590</v>
      </c>
      <c r="B577" s="167" t="s">
        <v>153</v>
      </c>
      <c r="C577" s="167" t="s">
        <v>1591</v>
      </c>
      <c r="D577" s="11">
        <v>19165078910</v>
      </c>
      <c r="E577" s="167" t="s">
        <v>268</v>
      </c>
      <c r="F577" s="167" t="s">
        <v>21</v>
      </c>
      <c r="G577" s="11">
        <v>202101022</v>
      </c>
      <c r="H577" s="167" t="s">
        <v>157</v>
      </c>
      <c r="I577" s="167" t="s">
        <v>827</v>
      </c>
      <c r="J577" s="167" t="s">
        <v>682</v>
      </c>
      <c r="K577" s="167" t="s">
        <v>170</v>
      </c>
      <c r="L577" s="167" t="s">
        <v>455</v>
      </c>
      <c r="M577" s="167" t="s">
        <v>1593</v>
      </c>
      <c r="N577" s="11">
        <v>0</v>
      </c>
      <c r="O577" s="12" t="str">
        <f>_xlfn.DISPIMG("ID_A40AE5361B8D44C884FA7CDADC74343E",1)</f>
        <v>=DISPIMG("ID_A40AE5361B8D44C884FA7CDADC74343E",1)</v>
      </c>
      <c r="P577" s="11" t="s">
        <v>1594</v>
      </c>
      <c r="Q577" s="11">
        <v>178</v>
      </c>
      <c r="R577" s="17" t="s">
        <v>4820</v>
      </c>
      <c r="S577" s="18" t="s">
        <v>84</v>
      </c>
      <c r="T577" s="25">
        <v>5</v>
      </c>
    </row>
    <row r="578" s="3" customFormat="1" customHeight="1" spans="1:20">
      <c r="A578" s="167" t="s">
        <v>1737</v>
      </c>
      <c r="B578" s="167" t="s">
        <v>153</v>
      </c>
      <c r="C578" s="167" t="s">
        <v>1738</v>
      </c>
      <c r="D578" s="11">
        <v>19815092923</v>
      </c>
      <c r="E578" s="167" t="s">
        <v>384</v>
      </c>
      <c r="F578" s="167" t="s">
        <v>21</v>
      </c>
      <c r="G578" s="11">
        <v>202101023</v>
      </c>
      <c r="H578" s="167" t="s">
        <v>157</v>
      </c>
      <c r="I578" s="167" t="s">
        <v>1740</v>
      </c>
      <c r="J578" s="167" t="s">
        <v>682</v>
      </c>
      <c r="K578" s="167" t="s">
        <v>170</v>
      </c>
      <c r="L578" s="167" t="s">
        <v>281</v>
      </c>
      <c r="M578" s="167" t="s">
        <v>21</v>
      </c>
      <c r="N578" s="11">
        <v>0</v>
      </c>
      <c r="O578" s="12" t="str">
        <f>_xlfn.DISPIMG("ID_5626D0773278487D84DF299D01619D61",1)</f>
        <v>=DISPIMG("ID_5626D0773278487D84DF299D01619D61",1)</v>
      </c>
      <c r="P578" s="11" t="s">
        <v>1741</v>
      </c>
      <c r="Q578" s="11">
        <v>197</v>
      </c>
      <c r="R578" s="17" t="s">
        <v>4822</v>
      </c>
      <c r="S578" s="18" t="s">
        <v>84</v>
      </c>
      <c r="T578" s="25">
        <v>8</v>
      </c>
    </row>
    <row r="579" s="3" customFormat="1" customHeight="1" spans="1:20">
      <c r="A579" s="167" t="s">
        <v>2036</v>
      </c>
      <c r="B579" s="167" t="s">
        <v>165</v>
      </c>
      <c r="C579" s="167" t="s">
        <v>2037</v>
      </c>
      <c r="D579" s="11">
        <v>17770040821</v>
      </c>
      <c r="E579" s="167" t="s">
        <v>297</v>
      </c>
      <c r="F579" s="167" t="s">
        <v>23</v>
      </c>
      <c r="G579" s="11">
        <v>202101031</v>
      </c>
      <c r="H579" s="167" t="s">
        <v>157</v>
      </c>
      <c r="I579" s="167" t="s">
        <v>2039</v>
      </c>
      <c r="J579" s="167" t="s">
        <v>1147</v>
      </c>
      <c r="K579" s="167" t="s">
        <v>170</v>
      </c>
      <c r="L579" s="167" t="s">
        <v>368</v>
      </c>
      <c r="M579" s="167" t="s">
        <v>23</v>
      </c>
      <c r="N579" s="167" t="s">
        <v>2040</v>
      </c>
      <c r="O579" s="12" t="str">
        <f>_xlfn.DISPIMG("ID_99E16B0934D843998C9152B322CD2339",1)</f>
        <v>=DISPIMG("ID_99E16B0934D843998C9152B322CD2339",1)</v>
      </c>
      <c r="P579" s="11" t="s">
        <v>2041</v>
      </c>
      <c r="Q579" s="11">
        <v>237</v>
      </c>
      <c r="R579" s="17" t="s">
        <v>4828</v>
      </c>
      <c r="S579" s="18" t="s">
        <v>84</v>
      </c>
      <c r="T579" s="25">
        <v>17</v>
      </c>
    </row>
    <row r="580" s="3" customFormat="1" customHeight="1" spans="2:20">
      <c r="B580" s="11"/>
      <c r="C580" s="11"/>
      <c r="D580" s="11"/>
      <c r="E580" s="11"/>
      <c r="F580" s="11"/>
      <c r="G580" s="11"/>
      <c r="H580" s="11"/>
      <c r="I580" s="11"/>
      <c r="J580" s="11"/>
      <c r="K580" s="11"/>
      <c r="L580" s="11"/>
      <c r="M580" s="11"/>
      <c r="N580" s="11"/>
      <c r="O580" s="12"/>
      <c r="P580" s="11" t="s">
        <v>4409</v>
      </c>
      <c r="Q580" s="11"/>
      <c r="R580" s="11" t="s">
        <v>4410</v>
      </c>
      <c r="S580" s="18" t="s">
        <v>84</v>
      </c>
      <c r="T580" s="25">
        <v>20</v>
      </c>
    </row>
    <row r="581" s="3" customFormat="1" customHeight="1" spans="2:20">
      <c r="B581" s="11"/>
      <c r="C581" s="11"/>
      <c r="D581" s="11"/>
      <c r="E581" s="11"/>
      <c r="F581" s="11"/>
      <c r="G581" s="11"/>
      <c r="H581" s="11"/>
      <c r="I581" s="11"/>
      <c r="J581" s="11"/>
      <c r="K581" s="11"/>
      <c r="L581" s="11"/>
      <c r="M581" s="11"/>
      <c r="N581" s="11"/>
      <c r="O581" s="12"/>
      <c r="P581" s="11" t="s">
        <v>4409</v>
      </c>
      <c r="Q581" s="11"/>
      <c r="R581" s="11" t="s">
        <v>4410</v>
      </c>
      <c r="S581" s="18" t="s">
        <v>84</v>
      </c>
      <c r="T581" s="25">
        <v>29</v>
      </c>
    </row>
    <row r="582" s="3" customFormat="1" customHeight="1" spans="1:20">
      <c r="A582" s="167" t="s">
        <v>2524</v>
      </c>
      <c r="B582" s="167" t="s">
        <v>153</v>
      </c>
      <c r="C582" s="167" t="s">
        <v>2525</v>
      </c>
      <c r="D582" s="11">
        <v>13133668154</v>
      </c>
      <c r="E582" s="167" t="s">
        <v>268</v>
      </c>
      <c r="F582" s="167" t="s">
        <v>21</v>
      </c>
      <c r="G582" s="11">
        <v>202101022</v>
      </c>
      <c r="H582" s="167" t="s">
        <v>157</v>
      </c>
      <c r="I582" s="167" t="s">
        <v>876</v>
      </c>
      <c r="J582" s="167" t="s">
        <v>682</v>
      </c>
      <c r="K582" s="167" t="s">
        <v>170</v>
      </c>
      <c r="L582" s="167" t="s">
        <v>180</v>
      </c>
      <c r="M582" s="167" t="s">
        <v>2527</v>
      </c>
      <c r="N582" s="167" t="s">
        <v>2528</v>
      </c>
      <c r="O582" s="12" t="str">
        <f>_xlfn.DISPIMG("ID_C8BB1148198145FCA2837FAC9D925FDE",1)</f>
        <v>=DISPIMG("ID_C8BB1148198145FCA2837FAC9D925FDE",1)</v>
      </c>
      <c r="P582" s="11" t="s">
        <v>2529</v>
      </c>
      <c r="Q582" s="11">
        <v>302</v>
      </c>
      <c r="R582" s="17" t="s">
        <v>4823</v>
      </c>
      <c r="S582" s="18" t="s">
        <v>84</v>
      </c>
      <c r="T582" s="25">
        <v>4</v>
      </c>
    </row>
    <row r="583" s="3" customFormat="1" customHeight="1" spans="1:20">
      <c r="A583" s="167" t="s">
        <v>2539</v>
      </c>
      <c r="B583" s="167" t="s">
        <v>153</v>
      </c>
      <c r="C583" s="167" t="s">
        <v>2540</v>
      </c>
      <c r="D583" s="11">
        <v>18507928899</v>
      </c>
      <c r="E583" s="167" t="s">
        <v>384</v>
      </c>
      <c r="F583" s="167" t="s">
        <v>21</v>
      </c>
      <c r="G583" s="11">
        <v>202101023</v>
      </c>
      <c r="H583" s="167" t="s">
        <v>157</v>
      </c>
      <c r="I583" s="167" t="s">
        <v>876</v>
      </c>
      <c r="J583" s="167" t="s">
        <v>682</v>
      </c>
      <c r="K583" s="167" t="s">
        <v>170</v>
      </c>
      <c r="L583" s="167" t="s">
        <v>180</v>
      </c>
      <c r="M583" s="167" t="s">
        <v>2542</v>
      </c>
      <c r="N583" s="167" t="s">
        <v>2543</v>
      </c>
      <c r="O583" s="12" t="str">
        <f>_xlfn.DISPIMG("ID_718ACAD550894B0696EED0DE65C7554F",1)</f>
        <v>=DISPIMG("ID_718ACAD550894B0696EED0DE65C7554F",1)</v>
      </c>
      <c r="P583" s="11" t="s">
        <v>2544</v>
      </c>
      <c r="Q583" s="11">
        <v>304</v>
      </c>
      <c r="R583" s="17" t="s">
        <v>4825</v>
      </c>
      <c r="S583" s="18" t="s">
        <v>84</v>
      </c>
      <c r="T583" s="25">
        <v>9</v>
      </c>
    </row>
    <row r="584" s="3" customFormat="1" customHeight="1" spans="1:20">
      <c r="A584" s="167" t="s">
        <v>4028</v>
      </c>
      <c r="B584" s="167" t="s">
        <v>165</v>
      </c>
      <c r="C584" s="167" t="s">
        <v>4029</v>
      </c>
      <c r="D584" s="11">
        <v>13820505031</v>
      </c>
      <c r="E584" s="167" t="s">
        <v>384</v>
      </c>
      <c r="F584" s="167" t="s">
        <v>23</v>
      </c>
      <c r="G584" s="11">
        <v>202101025</v>
      </c>
      <c r="H584" s="167" t="s">
        <v>157</v>
      </c>
      <c r="I584" s="167" t="s">
        <v>3737</v>
      </c>
      <c r="J584" s="167" t="s">
        <v>1616</v>
      </c>
      <c r="K584" s="167" t="s">
        <v>170</v>
      </c>
      <c r="L584" s="167" t="s">
        <v>235</v>
      </c>
      <c r="M584" s="167" t="s">
        <v>4031</v>
      </c>
      <c r="N584" s="167" t="s">
        <v>4032</v>
      </c>
      <c r="O584" s="12" t="str">
        <f>_xlfn.DISPIMG("ID_4D845800D3864A2B99D106DDD9FD3F5D",1)</f>
        <v>=DISPIMG("ID_4D845800D3864A2B99D106DDD9FD3F5D",1)</v>
      </c>
      <c r="P584" s="11" t="s">
        <v>4033</v>
      </c>
      <c r="Q584" s="20">
        <v>515</v>
      </c>
      <c r="R584" s="17" t="s">
        <v>4829</v>
      </c>
      <c r="S584" s="18" t="s">
        <v>84</v>
      </c>
      <c r="T584" s="25">
        <v>16</v>
      </c>
    </row>
    <row r="585" s="3" customFormat="1" customHeight="1" spans="2:20">
      <c r="B585" s="11"/>
      <c r="C585" s="11"/>
      <c r="D585" s="11"/>
      <c r="E585" s="11"/>
      <c r="F585" s="11"/>
      <c r="G585" s="11"/>
      <c r="H585" s="11"/>
      <c r="I585" s="11"/>
      <c r="J585" s="11"/>
      <c r="K585" s="11"/>
      <c r="L585" s="11"/>
      <c r="M585" s="11"/>
      <c r="N585" s="11"/>
      <c r="O585" s="12"/>
      <c r="P585" s="11" t="s">
        <v>4409</v>
      </c>
      <c r="Q585" s="20"/>
      <c r="R585" s="11" t="s">
        <v>4410</v>
      </c>
      <c r="S585" s="18" t="s">
        <v>84</v>
      </c>
      <c r="T585" s="25">
        <v>21</v>
      </c>
    </row>
    <row r="586" s="3" customFormat="1" customHeight="1" spans="2:20">
      <c r="B586" s="11"/>
      <c r="C586" s="11"/>
      <c r="D586" s="11"/>
      <c r="E586" s="11"/>
      <c r="F586" s="11"/>
      <c r="G586" s="11"/>
      <c r="H586" s="11"/>
      <c r="I586" s="11"/>
      <c r="J586" s="11"/>
      <c r="K586" s="11"/>
      <c r="L586" s="11"/>
      <c r="M586" s="11"/>
      <c r="N586" s="11"/>
      <c r="O586" s="12"/>
      <c r="P586" s="11" t="s">
        <v>4409</v>
      </c>
      <c r="Q586" s="20"/>
      <c r="R586" s="11" t="s">
        <v>4410</v>
      </c>
      <c r="S586" s="18" t="s">
        <v>84</v>
      </c>
      <c r="T586" s="25">
        <v>28</v>
      </c>
    </row>
    <row r="587" s="3" customFormat="1" customHeight="1" spans="1:20">
      <c r="A587" s="167" t="s">
        <v>2969</v>
      </c>
      <c r="B587" s="167" t="s">
        <v>153</v>
      </c>
      <c r="C587" s="167" t="s">
        <v>2970</v>
      </c>
      <c r="D587" s="11">
        <v>18579193689</v>
      </c>
      <c r="E587" s="167" t="s">
        <v>268</v>
      </c>
      <c r="F587" s="167" t="s">
        <v>21</v>
      </c>
      <c r="G587" s="11">
        <v>202101022</v>
      </c>
      <c r="H587" s="167" t="s">
        <v>157</v>
      </c>
      <c r="I587" s="167" t="s">
        <v>827</v>
      </c>
      <c r="J587" s="167" t="s">
        <v>682</v>
      </c>
      <c r="K587" s="167" t="s">
        <v>170</v>
      </c>
      <c r="L587" s="167" t="s">
        <v>252</v>
      </c>
      <c r="M587" s="167" t="s">
        <v>2972</v>
      </c>
      <c r="N587" s="11">
        <v>0</v>
      </c>
      <c r="O587" s="12" t="str">
        <f>_xlfn.DISPIMG("ID_99E38CC0E4B2437A8E74F9D976F948B9",1)</f>
        <v>=DISPIMG("ID_99E38CC0E4B2437A8E74F9D976F948B9",1)</v>
      </c>
      <c r="P587" s="11" t="s">
        <v>2973</v>
      </c>
      <c r="Q587" s="11">
        <v>365</v>
      </c>
      <c r="R587" s="17" t="s">
        <v>4818</v>
      </c>
      <c r="S587" s="18" t="s">
        <v>84</v>
      </c>
      <c r="T587" s="25">
        <v>3</v>
      </c>
    </row>
    <row r="588" s="3" customFormat="1" customHeight="1" spans="1:20">
      <c r="A588" s="167" t="s">
        <v>3107</v>
      </c>
      <c r="B588" s="167" t="s">
        <v>165</v>
      </c>
      <c r="C588" s="167" t="s">
        <v>3108</v>
      </c>
      <c r="D588" s="11">
        <v>15070251262</v>
      </c>
      <c r="E588" s="167" t="s">
        <v>384</v>
      </c>
      <c r="F588" s="167" t="s">
        <v>21</v>
      </c>
      <c r="G588" s="11">
        <v>202101023</v>
      </c>
      <c r="H588" s="167" t="s">
        <v>157</v>
      </c>
      <c r="I588" s="167" t="s">
        <v>1203</v>
      </c>
      <c r="J588" s="167" t="s">
        <v>682</v>
      </c>
      <c r="K588" s="167" t="s">
        <v>170</v>
      </c>
      <c r="L588" s="167" t="s">
        <v>3110</v>
      </c>
      <c r="M588" s="167" t="s">
        <v>3111</v>
      </c>
      <c r="N588" s="167" t="s">
        <v>3112</v>
      </c>
      <c r="O588" s="12" t="str">
        <f>_xlfn.DISPIMG("ID_865FFCD2F6414202A972206BA39BAB94",1)</f>
        <v>=DISPIMG("ID_865FFCD2F6414202A972206BA39BAB94",1)</v>
      </c>
      <c r="P588" s="11" t="s">
        <v>3113</v>
      </c>
      <c r="Q588" s="11">
        <v>384</v>
      </c>
      <c r="R588" s="17" t="s">
        <v>4821</v>
      </c>
      <c r="S588" s="18" t="s">
        <v>84</v>
      </c>
      <c r="T588" s="25">
        <v>10</v>
      </c>
    </row>
    <row r="589" s="3" customFormat="1" customHeight="1" spans="1:20">
      <c r="A589" s="167" t="s">
        <v>4051</v>
      </c>
      <c r="B589" s="167" t="s">
        <v>153</v>
      </c>
      <c r="C589" s="167" t="s">
        <v>4052</v>
      </c>
      <c r="D589" s="11">
        <v>15170932237</v>
      </c>
      <c r="E589" s="167" t="s">
        <v>384</v>
      </c>
      <c r="F589" s="167" t="s">
        <v>23</v>
      </c>
      <c r="G589" s="11">
        <v>202101025</v>
      </c>
      <c r="H589" s="167" t="s">
        <v>157</v>
      </c>
      <c r="I589" s="167" t="s">
        <v>269</v>
      </c>
      <c r="J589" s="167" t="s">
        <v>1147</v>
      </c>
      <c r="K589" s="167" t="s">
        <v>170</v>
      </c>
      <c r="L589" s="167" t="s">
        <v>235</v>
      </c>
      <c r="M589" s="167" t="s">
        <v>4053</v>
      </c>
      <c r="N589" s="167" t="s">
        <v>4054</v>
      </c>
      <c r="O589" s="12" t="str">
        <f>_xlfn.DISPIMG("ID_D924765B597248FDA57FB5DFF006BD17",1)</f>
        <v>=DISPIMG("ID_D924765B597248FDA57FB5DFF006BD17",1)</v>
      </c>
      <c r="P589" s="11" t="s">
        <v>4055</v>
      </c>
      <c r="Q589" s="11">
        <v>518</v>
      </c>
      <c r="R589" s="17" t="s">
        <v>4830</v>
      </c>
      <c r="S589" s="18" t="s">
        <v>84</v>
      </c>
      <c r="T589" s="25">
        <v>15</v>
      </c>
    </row>
    <row r="590" s="3" customFormat="1" customHeight="1" spans="2:20">
      <c r="B590" s="11"/>
      <c r="C590" s="11"/>
      <c r="D590" s="11"/>
      <c r="E590" s="11"/>
      <c r="F590" s="11"/>
      <c r="G590" s="11"/>
      <c r="H590" s="11"/>
      <c r="I590" s="11"/>
      <c r="J590" s="11"/>
      <c r="K590" s="11"/>
      <c r="L590" s="11"/>
      <c r="M590" s="11"/>
      <c r="N590" s="11"/>
      <c r="O590" s="12"/>
      <c r="P590" s="11" t="s">
        <v>4409</v>
      </c>
      <c r="Q590" s="11"/>
      <c r="R590" s="11" t="s">
        <v>4410</v>
      </c>
      <c r="S590" s="18" t="s">
        <v>84</v>
      </c>
      <c r="T590" s="25">
        <v>22</v>
      </c>
    </row>
    <row r="591" s="3" customFormat="1" customHeight="1" spans="2:20">
      <c r="B591" s="11"/>
      <c r="C591" s="11"/>
      <c r="D591" s="11"/>
      <c r="E591" s="11"/>
      <c r="F591" s="11"/>
      <c r="G591" s="11"/>
      <c r="H591" s="11"/>
      <c r="I591" s="11"/>
      <c r="J591" s="11"/>
      <c r="K591" s="11"/>
      <c r="L591" s="11"/>
      <c r="M591" s="11"/>
      <c r="N591" s="11"/>
      <c r="O591" s="12"/>
      <c r="P591" s="11" t="s">
        <v>4409</v>
      </c>
      <c r="Q591" s="11"/>
      <c r="R591" s="11" t="s">
        <v>4410</v>
      </c>
      <c r="S591" s="18" t="s">
        <v>84</v>
      </c>
      <c r="T591" s="25">
        <v>27</v>
      </c>
    </row>
    <row r="592" s="3" customFormat="1" customHeight="1" spans="1:20">
      <c r="A592" s="167" t="s">
        <v>3159</v>
      </c>
      <c r="B592" s="167" t="s">
        <v>153</v>
      </c>
      <c r="C592" s="167" t="s">
        <v>3160</v>
      </c>
      <c r="D592" s="11">
        <v>15070024256</v>
      </c>
      <c r="E592" s="167" t="s">
        <v>268</v>
      </c>
      <c r="F592" s="167" t="s">
        <v>21</v>
      </c>
      <c r="G592" s="11">
        <v>202101022</v>
      </c>
      <c r="H592" s="167" t="s">
        <v>157</v>
      </c>
      <c r="I592" s="167" t="s">
        <v>827</v>
      </c>
      <c r="J592" s="167" t="s">
        <v>682</v>
      </c>
      <c r="K592" s="167" t="s">
        <v>170</v>
      </c>
      <c r="L592" s="167" t="s">
        <v>281</v>
      </c>
      <c r="M592" s="167" t="s">
        <v>2244</v>
      </c>
      <c r="N592" s="167" t="s">
        <v>3162</v>
      </c>
      <c r="O592" s="12" t="str">
        <f>_xlfn.DISPIMG("ID_2F448B7CE8524D1AA48554771DC3D4AB",1)</f>
        <v>=DISPIMG("ID_2F448B7CE8524D1AA48554771DC3D4AB",1)</v>
      </c>
      <c r="P592" s="11" t="s">
        <v>3163</v>
      </c>
      <c r="Q592" s="11">
        <v>392</v>
      </c>
      <c r="R592" s="17" t="s">
        <v>4824</v>
      </c>
      <c r="S592" s="18" t="s">
        <v>84</v>
      </c>
      <c r="T592" s="25">
        <v>2</v>
      </c>
    </row>
    <row r="593" s="3" customFormat="1" customHeight="1" spans="1:20">
      <c r="A593" s="167" t="s">
        <v>3178</v>
      </c>
      <c r="B593" s="167" t="s">
        <v>153</v>
      </c>
      <c r="C593" s="167" t="s">
        <v>3179</v>
      </c>
      <c r="D593" s="11">
        <v>15257934004</v>
      </c>
      <c r="E593" s="167" t="s">
        <v>384</v>
      </c>
      <c r="F593" s="167" t="s">
        <v>21</v>
      </c>
      <c r="G593" s="11">
        <v>202101023</v>
      </c>
      <c r="H593" s="167" t="s">
        <v>157</v>
      </c>
      <c r="I593" s="167" t="s">
        <v>1258</v>
      </c>
      <c r="J593" s="167" t="s">
        <v>682</v>
      </c>
      <c r="K593" s="167" t="s">
        <v>170</v>
      </c>
      <c r="L593" s="167" t="s">
        <v>587</v>
      </c>
      <c r="M593" s="167" t="s">
        <v>1824</v>
      </c>
      <c r="N593" s="167" t="s">
        <v>3181</v>
      </c>
      <c r="O593" s="12" t="str">
        <f>_xlfn.DISPIMG("ID_D70CF13D201844A6B6408BAB9F88D034",1)</f>
        <v>=DISPIMG("ID_D70CF13D201844A6B6408BAB9F88D034",1)</v>
      </c>
      <c r="P593" s="11" t="s">
        <v>3182</v>
      </c>
      <c r="Q593" s="11">
        <v>395</v>
      </c>
      <c r="R593" s="17" t="s">
        <v>4826</v>
      </c>
      <c r="S593" s="18" t="s">
        <v>84</v>
      </c>
      <c r="T593" s="25">
        <v>11</v>
      </c>
    </row>
    <row r="594" s="3" customFormat="1" customHeight="1" spans="1:20">
      <c r="A594" s="167" t="s">
        <v>2831</v>
      </c>
      <c r="B594" s="167" t="s">
        <v>165</v>
      </c>
      <c r="C594" s="167" t="s">
        <v>3200</v>
      </c>
      <c r="D594" s="11">
        <v>15079253920</v>
      </c>
      <c r="E594" s="167" t="s">
        <v>384</v>
      </c>
      <c r="F594" s="167" t="s">
        <v>21</v>
      </c>
      <c r="G594" s="11">
        <v>202101023</v>
      </c>
      <c r="H594" s="167" t="s">
        <v>157</v>
      </c>
      <c r="I594" s="167" t="s">
        <v>1413</v>
      </c>
      <c r="J594" s="167" t="s">
        <v>682</v>
      </c>
      <c r="K594" s="167" t="s">
        <v>170</v>
      </c>
      <c r="L594" s="167" t="s">
        <v>261</v>
      </c>
      <c r="M594" s="167" t="s">
        <v>1824</v>
      </c>
      <c r="N594" s="11">
        <v>0</v>
      </c>
      <c r="O594" s="12" t="str">
        <f>_xlfn.DISPIMG("ID_6FA15DDD4AA745CAA44305EB8A7C29E0",1)</f>
        <v>=DISPIMG("ID_6FA15DDD4AA745CAA44305EB8A7C29E0",1)</v>
      </c>
      <c r="P594" s="11" t="s">
        <v>4312</v>
      </c>
      <c r="Q594" s="20">
        <v>398</v>
      </c>
      <c r="R594" s="17" t="s">
        <v>4827</v>
      </c>
      <c r="S594" s="18" t="s">
        <v>84</v>
      </c>
      <c r="T594" s="25">
        <v>14</v>
      </c>
    </row>
    <row r="595" s="3" customFormat="1" customHeight="1" spans="2:20">
      <c r="B595" s="11"/>
      <c r="C595" s="11"/>
      <c r="D595" s="11"/>
      <c r="E595" s="11"/>
      <c r="F595" s="11"/>
      <c r="G595" s="11"/>
      <c r="H595" s="11"/>
      <c r="I595" s="11"/>
      <c r="J595" s="11"/>
      <c r="K595" s="11"/>
      <c r="L595" s="11"/>
      <c r="M595" s="11"/>
      <c r="N595" s="11"/>
      <c r="O595" s="12"/>
      <c r="P595" s="11" t="s">
        <v>4409</v>
      </c>
      <c r="Q595" s="20"/>
      <c r="R595" s="11" t="s">
        <v>4410</v>
      </c>
      <c r="S595" s="18" t="s">
        <v>84</v>
      </c>
      <c r="T595" s="25">
        <v>23</v>
      </c>
    </row>
    <row r="596" s="3" customFormat="1" customHeight="1" spans="2:20">
      <c r="B596" s="11"/>
      <c r="C596" s="11"/>
      <c r="D596" s="11"/>
      <c r="E596" s="11"/>
      <c r="F596" s="11"/>
      <c r="G596" s="11"/>
      <c r="H596" s="11"/>
      <c r="I596" s="11"/>
      <c r="J596" s="11"/>
      <c r="K596" s="11"/>
      <c r="L596" s="11"/>
      <c r="M596" s="11"/>
      <c r="N596" s="11"/>
      <c r="O596" s="12"/>
      <c r="P596" s="11" t="s">
        <v>4409</v>
      </c>
      <c r="Q596" s="20"/>
      <c r="R596" s="11" t="s">
        <v>4410</v>
      </c>
      <c r="S596" s="18" t="s">
        <v>84</v>
      </c>
      <c r="T596" s="25">
        <v>26</v>
      </c>
    </row>
    <row r="597" s="3" customFormat="1" customHeight="1" spans="1:20">
      <c r="A597" s="167" t="s">
        <v>3531</v>
      </c>
      <c r="B597" s="167" t="s">
        <v>153</v>
      </c>
      <c r="C597" s="167" t="s">
        <v>3532</v>
      </c>
      <c r="D597" s="11">
        <v>17687910769</v>
      </c>
      <c r="E597" s="167" t="s">
        <v>384</v>
      </c>
      <c r="F597" s="167" t="s">
        <v>21</v>
      </c>
      <c r="G597" s="11">
        <v>202101023</v>
      </c>
      <c r="H597" s="167" t="s">
        <v>157</v>
      </c>
      <c r="I597" s="167" t="s">
        <v>3518</v>
      </c>
      <c r="J597" s="167" t="s">
        <v>3534</v>
      </c>
      <c r="K597" s="167" t="s">
        <v>160</v>
      </c>
      <c r="L597" s="167" t="s">
        <v>455</v>
      </c>
      <c r="M597" s="167" t="s">
        <v>2462</v>
      </c>
      <c r="N597" s="11">
        <v>0</v>
      </c>
      <c r="O597" s="12" t="str">
        <f>_xlfn.DISPIMG("ID_B9B540B424394A6290A83DEC0AB8F385",1)</f>
        <v>=DISPIMG("ID_B9B540B424394A6290A83DEC0AB8F385",1)</v>
      </c>
      <c r="P597" s="11" t="s">
        <v>3535</v>
      </c>
      <c r="Q597" s="20">
        <v>448</v>
      </c>
      <c r="R597" s="17" t="s">
        <v>4810</v>
      </c>
      <c r="S597" s="18" t="s">
        <v>84</v>
      </c>
      <c r="T597" s="25">
        <v>1</v>
      </c>
    </row>
    <row r="598" s="3" customFormat="1" customHeight="1" spans="1:20">
      <c r="A598" s="167" t="s">
        <v>3699</v>
      </c>
      <c r="B598" s="167" t="s">
        <v>153</v>
      </c>
      <c r="C598" s="167" t="s">
        <v>3700</v>
      </c>
      <c r="D598" s="11">
        <v>18046710217</v>
      </c>
      <c r="E598" s="167" t="s">
        <v>384</v>
      </c>
      <c r="F598" s="167" t="s">
        <v>21</v>
      </c>
      <c r="G598" s="11">
        <v>202101023</v>
      </c>
      <c r="H598" s="167" t="s">
        <v>157</v>
      </c>
      <c r="I598" s="167" t="s">
        <v>233</v>
      </c>
      <c r="J598" s="167" t="s">
        <v>682</v>
      </c>
      <c r="K598" s="167" t="s">
        <v>170</v>
      </c>
      <c r="L598" s="167" t="s">
        <v>306</v>
      </c>
      <c r="M598" s="167" t="s">
        <v>1579</v>
      </c>
      <c r="N598" s="167" t="s">
        <v>3702</v>
      </c>
      <c r="O598" s="12" t="str">
        <f>_xlfn.DISPIMG("ID_E2F022B7DBF04DECBE980BB970833FC7",1)</f>
        <v>=DISPIMG("ID_E2F022B7DBF04DECBE980BB970833FC7",1)</v>
      </c>
      <c r="P598" s="11" t="s">
        <v>3703</v>
      </c>
      <c r="Q598" s="20">
        <v>471</v>
      </c>
      <c r="R598" s="17" t="s">
        <v>4811</v>
      </c>
      <c r="S598" s="18" t="s">
        <v>84</v>
      </c>
      <c r="T598" s="25">
        <v>12</v>
      </c>
    </row>
    <row r="599" s="3" customFormat="1" customHeight="1" spans="1:20">
      <c r="A599" s="181" t="s">
        <v>3751</v>
      </c>
      <c r="B599" s="181" t="s">
        <v>153</v>
      </c>
      <c r="C599" s="181" t="s">
        <v>3752</v>
      </c>
      <c r="D599" s="28">
        <v>15180696881</v>
      </c>
      <c r="E599" s="181" t="s">
        <v>384</v>
      </c>
      <c r="F599" s="181" t="s">
        <v>21</v>
      </c>
      <c r="G599" s="28">
        <v>202101023</v>
      </c>
      <c r="H599" s="181" t="s">
        <v>157</v>
      </c>
      <c r="I599" s="181" t="s">
        <v>827</v>
      </c>
      <c r="J599" s="181" t="s">
        <v>682</v>
      </c>
      <c r="K599" s="181" t="s">
        <v>170</v>
      </c>
      <c r="L599" s="181" t="s">
        <v>161</v>
      </c>
      <c r="M599" s="181" t="s">
        <v>3754</v>
      </c>
      <c r="N599" s="28">
        <v>0</v>
      </c>
      <c r="O599" s="29" t="str">
        <f>_xlfn.DISPIMG("ID_0C4C873C986C4E8A8DE913748576F208",1)</f>
        <v>=DISPIMG("ID_0C4C873C986C4E8A8DE913748576F208",1)</v>
      </c>
      <c r="P599" s="28" t="s">
        <v>3755</v>
      </c>
      <c r="Q599" s="30">
        <v>478</v>
      </c>
      <c r="R599" s="31" t="s">
        <v>4814</v>
      </c>
      <c r="S599" s="32" t="s">
        <v>84</v>
      </c>
      <c r="T599" s="33">
        <v>13</v>
      </c>
    </row>
    <row r="600" s="3" customFormat="1" customHeight="1" spans="2:20">
      <c r="B600" s="25"/>
      <c r="C600" s="25"/>
      <c r="D600" s="25"/>
      <c r="E600" s="25"/>
      <c r="F600" s="25"/>
      <c r="G600" s="25"/>
      <c r="H600" s="25"/>
      <c r="I600" s="25"/>
      <c r="J600" s="25"/>
      <c r="K600" s="25"/>
      <c r="L600" s="25"/>
      <c r="M600" s="25"/>
      <c r="N600" s="25"/>
      <c r="O600" s="26"/>
      <c r="P600" s="11" t="s">
        <v>4409</v>
      </c>
      <c r="Q600" s="25"/>
      <c r="R600" s="11" t="s">
        <v>4410</v>
      </c>
      <c r="S600" s="18" t="s">
        <v>84</v>
      </c>
      <c r="T600" s="25">
        <v>24</v>
      </c>
    </row>
    <row r="601" s="3" customFormat="1" customHeight="1" spans="2:20">
      <c r="B601" s="25"/>
      <c r="C601" s="25"/>
      <c r="D601" s="25"/>
      <c r="E601" s="25"/>
      <c r="F601" s="25"/>
      <c r="G601" s="25"/>
      <c r="H601" s="25"/>
      <c r="I601" s="25"/>
      <c r="J601" s="25"/>
      <c r="K601" s="25"/>
      <c r="L601" s="25"/>
      <c r="M601" s="25"/>
      <c r="N601" s="25"/>
      <c r="O601" s="26"/>
      <c r="P601" s="11" t="s">
        <v>4409</v>
      </c>
      <c r="Q601" s="25"/>
      <c r="R601" s="11" t="s">
        <v>4410</v>
      </c>
      <c r="S601" s="18" t="s">
        <v>84</v>
      </c>
      <c r="T601" s="25">
        <v>25</v>
      </c>
    </row>
  </sheetData>
  <sheetProtection formatCells="0" insertHyperlinks="0" autoFilter="0"/>
  <autoFilter ref="A1:XFD601">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A28" sqref="A28"/>
    </sheetView>
  </sheetViews>
  <sheetFormatPr defaultColWidth="9" defaultRowHeight="20" customHeight="1" outlineLevelCol="1"/>
  <cols>
    <col min="1" max="1" width="25.5" customWidth="1"/>
    <col min="2" max="2" width="11.1296296296296" customWidth="1"/>
  </cols>
  <sheetData>
    <row r="1" customHeight="1" spans="1:2">
      <c r="A1" s="136" t="s">
        <v>1</v>
      </c>
      <c r="B1" s="136" t="s">
        <v>2</v>
      </c>
    </row>
    <row r="2" customHeight="1" spans="1:2">
      <c r="A2" s="136" t="s">
        <v>3</v>
      </c>
      <c r="B2" s="136">
        <v>6</v>
      </c>
    </row>
    <row r="3" customHeight="1" spans="1:2">
      <c r="A3" s="136" t="s">
        <v>4</v>
      </c>
      <c r="B3" s="136">
        <v>12</v>
      </c>
    </row>
    <row r="4" customHeight="1" spans="1:2">
      <c r="A4" s="136" t="s">
        <v>5</v>
      </c>
      <c r="B4" s="136">
        <v>8</v>
      </c>
    </row>
    <row r="5" customHeight="1" spans="1:2">
      <c r="A5" s="136" t="s">
        <v>6</v>
      </c>
      <c r="B5" s="136">
        <v>36</v>
      </c>
    </row>
    <row r="6" customHeight="1" spans="1:2">
      <c r="A6" s="136" t="s">
        <v>7</v>
      </c>
      <c r="B6" s="136">
        <v>6</v>
      </c>
    </row>
    <row r="7" customHeight="1" spans="1:2">
      <c r="A7" s="136" t="s">
        <v>8</v>
      </c>
      <c r="B7" s="136">
        <v>56</v>
      </c>
    </row>
    <row r="8" customHeight="1" spans="1:2">
      <c r="A8" s="136" t="s">
        <v>9</v>
      </c>
      <c r="B8" s="136">
        <v>11</v>
      </c>
    </row>
    <row r="9" customHeight="1" spans="1:2">
      <c r="A9" s="136" t="s">
        <v>10</v>
      </c>
      <c r="B9" s="136">
        <v>2</v>
      </c>
    </row>
    <row r="10" customHeight="1" spans="1:2">
      <c r="A10" s="136" t="s">
        <v>11</v>
      </c>
      <c r="B10" s="136">
        <v>2</v>
      </c>
    </row>
    <row r="11" customHeight="1" spans="1:2">
      <c r="A11" s="136" t="s">
        <v>12</v>
      </c>
      <c r="B11" s="136">
        <v>9</v>
      </c>
    </row>
    <row r="12" customHeight="1" spans="1:2">
      <c r="A12" s="136" t="s">
        <v>13</v>
      </c>
      <c r="B12" s="136">
        <v>96</v>
      </c>
    </row>
    <row r="13" customHeight="1" spans="1:2">
      <c r="A13" s="136" t="s">
        <v>14</v>
      </c>
      <c r="B13" s="136">
        <v>65</v>
      </c>
    </row>
    <row r="14" customHeight="1" spans="1:2">
      <c r="A14" s="136" t="s">
        <v>15</v>
      </c>
      <c r="B14" s="136">
        <v>10</v>
      </c>
    </row>
    <row r="15" customHeight="1" spans="1:2">
      <c r="A15" s="136" t="s">
        <v>16</v>
      </c>
      <c r="B15" s="136">
        <v>11</v>
      </c>
    </row>
    <row r="16" customHeight="1" spans="1:2">
      <c r="A16" s="136" t="s">
        <v>17</v>
      </c>
      <c r="B16" s="136">
        <v>5</v>
      </c>
    </row>
    <row r="17" customHeight="1" spans="1:2">
      <c r="A17" s="136" t="s">
        <v>18</v>
      </c>
      <c r="B17" s="136">
        <v>4</v>
      </c>
    </row>
    <row r="18" customHeight="1" spans="1:2">
      <c r="A18" s="136" t="s">
        <v>19</v>
      </c>
      <c r="B18" s="136">
        <v>3</v>
      </c>
    </row>
    <row r="19" customHeight="1" spans="1:2">
      <c r="A19" s="136" t="s">
        <v>20</v>
      </c>
      <c r="B19" s="136">
        <v>12</v>
      </c>
    </row>
    <row r="20" customHeight="1" spans="1:2">
      <c r="A20" s="136" t="s">
        <v>21</v>
      </c>
      <c r="B20" s="136">
        <v>14</v>
      </c>
    </row>
    <row r="21" customHeight="1" spans="1:2">
      <c r="A21" s="136" t="s">
        <v>22</v>
      </c>
      <c r="B21" s="136">
        <v>1</v>
      </c>
    </row>
    <row r="22" customHeight="1" spans="1:2">
      <c r="A22" s="136" t="s">
        <v>23</v>
      </c>
      <c r="B22" s="136">
        <v>4</v>
      </c>
    </row>
    <row r="23" customHeight="1" spans="1:2">
      <c r="A23" s="136" t="s">
        <v>25</v>
      </c>
      <c r="B23" s="136">
        <v>30</v>
      </c>
    </row>
    <row r="24" customHeight="1" spans="1:2">
      <c r="A24" s="136" t="s">
        <v>26</v>
      </c>
      <c r="B24" s="136">
        <v>9</v>
      </c>
    </row>
    <row r="25" customHeight="1" spans="1:2">
      <c r="A25" s="136" t="s">
        <v>27</v>
      </c>
      <c r="B25" s="136">
        <v>2</v>
      </c>
    </row>
    <row r="26" customHeight="1" spans="1:2">
      <c r="A26" s="136" t="s">
        <v>28</v>
      </c>
      <c r="B26" s="136">
        <v>99</v>
      </c>
    </row>
    <row r="27" customHeight="1" spans="1:2">
      <c r="A27" s="136" t="s">
        <v>29</v>
      </c>
      <c r="B27" s="136">
        <v>1</v>
      </c>
    </row>
    <row r="28" customHeight="1" spans="1:2">
      <c r="A28" s="136" t="s">
        <v>30</v>
      </c>
      <c r="B28" s="136">
        <v>1</v>
      </c>
    </row>
  </sheetData>
  <sheetProtection formatCells="0" insertHyperlinks="0" autoFilter="0"/>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L9"/>
  <sheetViews>
    <sheetView workbookViewId="0">
      <selection activeCell="O9" sqref="O9"/>
    </sheetView>
  </sheetViews>
  <sheetFormatPr defaultColWidth="9" defaultRowHeight="14.4"/>
  <sheetData>
    <row r="1" ht="50" customHeight="1"/>
    <row r="2" ht="50" customHeight="1" spans="2:12">
      <c r="B2" s="1">
        <v>6</v>
      </c>
      <c r="C2" s="1">
        <v>7</v>
      </c>
      <c r="D2" s="1">
        <v>18</v>
      </c>
      <c r="E2" s="1">
        <v>19</v>
      </c>
      <c r="F2" s="1">
        <v>30</v>
      </c>
      <c r="H2" s="1">
        <v>6</v>
      </c>
      <c r="I2" s="1">
        <v>7</v>
      </c>
      <c r="J2" s="1">
        <v>18</v>
      </c>
      <c r="K2" s="1">
        <v>19</v>
      </c>
      <c r="L2" s="1">
        <v>30</v>
      </c>
    </row>
    <row r="3" ht="50" customHeight="1" spans="2:12">
      <c r="B3" s="1">
        <v>5</v>
      </c>
      <c r="C3" s="1">
        <v>8</v>
      </c>
      <c r="D3" s="1">
        <v>17</v>
      </c>
      <c r="E3" s="1">
        <v>20</v>
      </c>
      <c r="F3" s="1">
        <v>29</v>
      </c>
      <c r="H3" s="1">
        <v>5</v>
      </c>
      <c r="I3" s="1">
        <v>8</v>
      </c>
      <c r="J3" s="1">
        <v>17</v>
      </c>
      <c r="K3" s="1">
        <v>20</v>
      </c>
      <c r="L3" s="1">
        <v>29</v>
      </c>
    </row>
    <row r="4" ht="50" customHeight="1" spans="2:12">
      <c r="B4" s="1">
        <v>4</v>
      </c>
      <c r="C4" s="1">
        <v>9</v>
      </c>
      <c r="D4" s="1">
        <v>16</v>
      </c>
      <c r="E4" s="1">
        <v>21</v>
      </c>
      <c r="F4" s="1">
        <v>28</v>
      </c>
      <c r="H4" s="1">
        <v>4</v>
      </c>
      <c r="I4" s="1">
        <v>9</v>
      </c>
      <c r="J4" s="1">
        <v>16</v>
      </c>
      <c r="K4" s="1">
        <v>21</v>
      </c>
      <c r="L4" s="1">
        <v>28</v>
      </c>
    </row>
    <row r="5" ht="50" customHeight="1" spans="2:12">
      <c r="B5" s="1">
        <v>3</v>
      </c>
      <c r="C5" s="1">
        <v>10</v>
      </c>
      <c r="D5" s="1">
        <v>15</v>
      </c>
      <c r="E5" s="1">
        <v>22</v>
      </c>
      <c r="F5" s="1">
        <v>27</v>
      </c>
      <c r="H5" s="1">
        <v>3</v>
      </c>
      <c r="I5" s="1">
        <v>10</v>
      </c>
      <c r="J5" s="1">
        <v>15</v>
      </c>
      <c r="K5" s="1">
        <v>22</v>
      </c>
      <c r="L5" s="1">
        <v>27</v>
      </c>
    </row>
    <row r="6" ht="50" customHeight="1" spans="2:12">
      <c r="B6" s="1">
        <v>2</v>
      </c>
      <c r="C6" s="1">
        <v>11</v>
      </c>
      <c r="D6" s="1">
        <v>14</v>
      </c>
      <c r="E6" s="1">
        <v>23</v>
      </c>
      <c r="F6" s="1">
        <v>26</v>
      </c>
      <c r="H6" s="1">
        <v>2</v>
      </c>
      <c r="I6" s="1">
        <v>11</v>
      </c>
      <c r="J6" s="1">
        <v>14</v>
      </c>
      <c r="K6" s="1">
        <v>23</v>
      </c>
      <c r="L6" s="1">
        <v>26</v>
      </c>
    </row>
    <row r="7" ht="50" customHeight="1" spans="2:12">
      <c r="B7" s="1">
        <v>1</v>
      </c>
      <c r="C7" s="1">
        <v>12</v>
      </c>
      <c r="D7" s="1">
        <v>13</v>
      </c>
      <c r="E7" s="1">
        <v>24</v>
      </c>
      <c r="F7" s="1">
        <v>25</v>
      </c>
      <c r="H7" s="1">
        <v>1</v>
      </c>
      <c r="I7" s="1">
        <v>12</v>
      </c>
      <c r="J7" s="1">
        <v>13</v>
      </c>
      <c r="K7" s="1">
        <v>24</v>
      </c>
      <c r="L7" s="1">
        <v>25</v>
      </c>
    </row>
    <row r="8" ht="50" customHeight="1"/>
    <row r="9" ht="50" customHeight="1"/>
  </sheetData>
  <sheetProtection formatCells="0" insertHyperlinks="0" autoFilter="0"/>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H25" sqref="H25"/>
    </sheetView>
  </sheetViews>
  <sheetFormatPr defaultColWidth="9" defaultRowHeight="14.4" outlineLevelCol="4"/>
  <cols>
    <col min="1" max="1" width="15.1296296296296" style="151" customWidth="1"/>
    <col min="2" max="2" width="17" style="151" customWidth="1"/>
    <col min="3" max="3" width="18.5" style="151" customWidth="1"/>
    <col min="4" max="4" width="16.8796296296296" style="151" customWidth="1"/>
    <col min="5" max="5" width="12.1296296296296" style="151" customWidth="1"/>
    <col min="6" max="16384" width="9" style="151"/>
  </cols>
  <sheetData>
    <row r="1" ht="25" customHeight="1" spans="1:5">
      <c r="A1" s="158" t="s">
        <v>31</v>
      </c>
      <c r="B1" s="158"/>
      <c r="C1" s="158"/>
      <c r="D1" s="158"/>
      <c r="E1" s="158"/>
    </row>
    <row r="2" ht="25" customHeight="1" spans="1:5">
      <c r="A2" s="159" t="s">
        <v>32</v>
      </c>
      <c r="B2" s="159" t="s">
        <v>33</v>
      </c>
      <c r="C2" s="159"/>
      <c r="D2" s="159"/>
      <c r="E2" s="159"/>
    </row>
    <row r="3" ht="25" customHeight="1" spans="1:5">
      <c r="A3" s="159"/>
      <c r="B3" s="159">
        <v>1</v>
      </c>
      <c r="C3" s="159">
        <v>2</v>
      </c>
      <c r="D3" s="159">
        <v>3</v>
      </c>
      <c r="E3" s="159" t="s">
        <v>34</v>
      </c>
    </row>
    <row r="4" ht="25" customHeight="1" spans="1:5">
      <c r="A4" s="159" t="s">
        <v>35</v>
      </c>
      <c r="B4" s="159"/>
      <c r="C4" s="159"/>
      <c r="D4" s="159"/>
      <c r="E4" s="159">
        <f>SUM(E5:E24)</f>
        <v>515</v>
      </c>
    </row>
    <row r="5" ht="25" customHeight="1" spans="1:5">
      <c r="A5" s="1" t="s">
        <v>36</v>
      </c>
      <c r="B5" s="1" t="s">
        <v>37</v>
      </c>
      <c r="C5" s="1"/>
      <c r="D5" s="1"/>
      <c r="E5" s="1">
        <v>30</v>
      </c>
    </row>
    <row r="6" ht="25" customHeight="1" spans="1:5">
      <c r="A6" s="160" t="s">
        <v>38</v>
      </c>
      <c r="B6" s="1" t="s">
        <v>37</v>
      </c>
      <c r="C6" s="1"/>
      <c r="D6" s="1"/>
      <c r="E6" s="1">
        <v>30</v>
      </c>
    </row>
    <row r="7" ht="25" customHeight="1" spans="1:5">
      <c r="A7" s="160" t="s">
        <v>39</v>
      </c>
      <c r="B7" s="1" t="s">
        <v>37</v>
      </c>
      <c r="C7" s="1"/>
      <c r="D7" s="1"/>
      <c r="E7" s="1">
        <v>30</v>
      </c>
    </row>
    <row r="8" ht="25" customHeight="1" spans="1:5">
      <c r="A8" s="160" t="s">
        <v>40</v>
      </c>
      <c r="B8" s="1" t="s">
        <v>41</v>
      </c>
      <c r="C8" s="1" t="s">
        <v>42</v>
      </c>
      <c r="D8" s="1"/>
      <c r="E8" s="1">
        <v>14</v>
      </c>
    </row>
    <row r="9" ht="25" customHeight="1" spans="1:5">
      <c r="A9" s="160" t="s">
        <v>43</v>
      </c>
      <c r="B9" s="1" t="s">
        <v>44</v>
      </c>
      <c r="C9" s="1"/>
      <c r="D9" s="1"/>
      <c r="E9" s="1">
        <v>30</v>
      </c>
    </row>
    <row r="10" ht="25" customHeight="1" spans="1:5">
      <c r="A10" s="160" t="s">
        <v>45</v>
      </c>
      <c r="B10" s="1" t="s">
        <v>44</v>
      </c>
      <c r="C10" s="1"/>
      <c r="D10" s="1"/>
      <c r="E10" s="1">
        <v>30</v>
      </c>
    </row>
    <row r="11" ht="25" customHeight="1" spans="1:5">
      <c r="A11" s="160" t="s">
        <v>46</v>
      </c>
      <c r="B11" s="1" t="s">
        <v>47</v>
      </c>
      <c r="C11" s="1"/>
      <c r="D11" s="1"/>
      <c r="E11" s="1">
        <v>30</v>
      </c>
    </row>
    <row r="12" ht="25" customHeight="1" spans="1:5">
      <c r="A12" s="160" t="s">
        <v>48</v>
      </c>
      <c r="B12" s="1" t="s">
        <v>49</v>
      </c>
      <c r="C12" s="1" t="s">
        <v>50</v>
      </c>
      <c r="D12" s="1" t="s">
        <v>51</v>
      </c>
      <c r="E12" s="1">
        <v>29</v>
      </c>
    </row>
    <row r="13" ht="25" customHeight="1" spans="1:5">
      <c r="A13" s="160" t="s">
        <v>52</v>
      </c>
      <c r="B13" s="1" t="s">
        <v>53</v>
      </c>
      <c r="C13" s="1"/>
      <c r="D13" s="1"/>
      <c r="E13" s="1">
        <v>30</v>
      </c>
    </row>
    <row r="14" ht="25" customHeight="1" spans="1:5">
      <c r="A14" s="160" t="s">
        <v>54</v>
      </c>
      <c r="B14" s="1" t="s">
        <v>53</v>
      </c>
      <c r="C14" s="1"/>
      <c r="D14" s="1"/>
      <c r="E14" s="1">
        <v>30</v>
      </c>
    </row>
    <row r="15" ht="25" customHeight="1" spans="1:5">
      <c r="A15" s="160" t="s">
        <v>55</v>
      </c>
      <c r="B15" s="1" t="s">
        <v>53</v>
      </c>
      <c r="C15" s="1"/>
      <c r="D15" s="1"/>
      <c r="E15" s="1">
        <v>30</v>
      </c>
    </row>
    <row r="16" ht="25" customHeight="1" spans="1:5">
      <c r="A16" s="160" t="s">
        <v>56</v>
      </c>
      <c r="B16" s="1" t="s">
        <v>57</v>
      </c>
      <c r="C16" s="1" t="s">
        <v>58</v>
      </c>
      <c r="D16" s="1" t="s">
        <v>59</v>
      </c>
      <c r="E16" s="1">
        <v>23</v>
      </c>
    </row>
    <row r="17" ht="25" customHeight="1" spans="1:5">
      <c r="A17" s="160" t="s">
        <v>60</v>
      </c>
      <c r="B17" s="1" t="s">
        <v>61</v>
      </c>
      <c r="C17" s="1"/>
      <c r="D17" s="1"/>
      <c r="E17" s="1">
        <v>30</v>
      </c>
    </row>
    <row r="18" ht="25" customHeight="1" spans="1:5">
      <c r="A18" s="160" t="s">
        <v>62</v>
      </c>
      <c r="B18" s="1" t="s">
        <v>63</v>
      </c>
      <c r="C18" s="1" t="s">
        <v>64</v>
      </c>
      <c r="D18" s="1" t="s">
        <v>65</v>
      </c>
      <c r="E18" s="1">
        <v>28</v>
      </c>
    </row>
    <row r="19" ht="25" customHeight="1" spans="1:5">
      <c r="A19" s="160" t="s">
        <v>66</v>
      </c>
      <c r="B19" s="1" t="s">
        <v>67</v>
      </c>
      <c r="C19" s="1" t="s">
        <v>68</v>
      </c>
      <c r="D19" s="1" t="s">
        <v>69</v>
      </c>
      <c r="E19" s="1">
        <v>19</v>
      </c>
    </row>
    <row r="20" ht="25" customHeight="1" spans="1:5">
      <c r="A20" s="160" t="s">
        <v>70</v>
      </c>
      <c r="B20" s="1" t="s">
        <v>71</v>
      </c>
      <c r="C20" s="1"/>
      <c r="D20" s="1"/>
      <c r="E20" s="1">
        <v>30</v>
      </c>
    </row>
    <row r="21" ht="25" customHeight="1" spans="1:5">
      <c r="A21" s="160" t="s">
        <v>72</v>
      </c>
      <c r="B21" s="1" t="s">
        <v>73</v>
      </c>
      <c r="C21" s="1" t="s">
        <v>74</v>
      </c>
      <c r="D21" s="1" t="s">
        <v>75</v>
      </c>
      <c r="E21" s="1">
        <v>17</v>
      </c>
    </row>
    <row r="22" ht="25" customHeight="1" spans="1:5">
      <c r="A22" s="160" t="s">
        <v>76</v>
      </c>
      <c r="B22" s="1" t="s">
        <v>77</v>
      </c>
      <c r="C22" s="1" t="s">
        <v>78</v>
      </c>
      <c r="D22" s="1" t="s">
        <v>79</v>
      </c>
      <c r="E22" s="1">
        <v>20</v>
      </c>
    </row>
    <row r="23" ht="25" customHeight="1" spans="1:5">
      <c r="A23" s="160" t="s">
        <v>80</v>
      </c>
      <c r="B23" s="1" t="s">
        <v>81</v>
      </c>
      <c r="C23" s="1" t="s">
        <v>82</v>
      </c>
      <c r="D23" s="1" t="s">
        <v>83</v>
      </c>
      <c r="E23" s="1">
        <v>16</v>
      </c>
    </row>
    <row r="24" ht="25" customHeight="1" spans="1:5">
      <c r="A24" s="160" t="s">
        <v>84</v>
      </c>
      <c r="B24" s="1" t="s">
        <v>85</v>
      </c>
      <c r="C24" s="1" t="s">
        <v>86</v>
      </c>
      <c r="D24" s="1" t="s">
        <v>87</v>
      </c>
      <c r="E24" s="1">
        <v>19</v>
      </c>
    </row>
    <row r="25" ht="25" customHeight="1"/>
  </sheetData>
  <sheetProtection formatCells="0" insertHyperlinks="0" autoFilter="0"/>
  <mergeCells count="3">
    <mergeCell ref="A1:E1"/>
    <mergeCell ref="B2:E2"/>
    <mergeCell ref="A2:A3"/>
  </mergeCells>
  <printOptions horizontalCentered="1"/>
  <pageMargins left="0.751388888888889" right="0.751388888888889" top="1" bottom="1" header="0.5" footer="0.5"/>
  <pageSetup paperSize="9"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workbookViewId="0">
      <selection activeCell="K12" sqref="K12"/>
    </sheetView>
  </sheetViews>
  <sheetFormatPr defaultColWidth="9" defaultRowHeight="14.4" outlineLevelCol="3"/>
  <cols>
    <col min="1" max="1" width="15.1296296296296" style="151" customWidth="1"/>
    <col min="2" max="2" width="17" style="151" customWidth="1"/>
    <col min="3" max="3" width="20.25" style="151" customWidth="1"/>
    <col min="4" max="4" width="27.8796296296296" style="151" customWidth="1"/>
    <col min="5" max="16374" width="9" style="151"/>
  </cols>
  <sheetData>
    <row r="1" ht="25" customHeight="1" spans="1:4">
      <c r="A1" s="158" t="s">
        <v>88</v>
      </c>
      <c r="B1" s="158"/>
      <c r="C1" s="158"/>
      <c r="D1" s="158"/>
    </row>
    <row r="2" ht="22" customHeight="1" spans="1:4">
      <c r="A2" s="159" t="s">
        <v>32</v>
      </c>
      <c r="B2" s="159" t="s">
        <v>33</v>
      </c>
      <c r="C2" s="159"/>
      <c r="D2" s="159"/>
    </row>
    <row r="3" ht="22" customHeight="1" spans="1:4">
      <c r="A3" s="159"/>
      <c r="B3" s="159" t="s">
        <v>89</v>
      </c>
      <c r="C3" s="159" t="s">
        <v>90</v>
      </c>
      <c r="D3" s="159" t="s">
        <v>35</v>
      </c>
    </row>
    <row r="4" ht="22" customHeight="1" spans="1:4">
      <c r="A4" s="1" t="s">
        <v>36</v>
      </c>
      <c r="B4" s="1" t="s">
        <v>91</v>
      </c>
      <c r="C4" s="1"/>
      <c r="D4" s="1">
        <v>1</v>
      </c>
    </row>
    <row r="5" ht="22" customHeight="1" spans="1:4">
      <c r="A5" s="160" t="s">
        <v>38</v>
      </c>
      <c r="B5" s="1" t="s">
        <v>91</v>
      </c>
      <c r="C5" s="1"/>
      <c r="D5" s="1">
        <v>1</v>
      </c>
    </row>
    <row r="6" ht="22" customHeight="1" spans="1:4">
      <c r="A6" s="160" t="s">
        <v>39</v>
      </c>
      <c r="B6" s="1" t="s">
        <v>91</v>
      </c>
      <c r="C6" s="1"/>
      <c r="D6" s="1">
        <v>1</v>
      </c>
    </row>
    <row r="7" ht="30" customHeight="1" spans="1:4">
      <c r="A7" s="160" t="s">
        <v>40</v>
      </c>
      <c r="B7" s="1"/>
      <c r="C7" s="161" t="s">
        <v>92</v>
      </c>
      <c r="D7" s="1">
        <v>2</v>
      </c>
    </row>
    <row r="8" ht="22" customHeight="1" spans="1:4">
      <c r="A8" s="160" t="s">
        <v>43</v>
      </c>
      <c r="B8" s="1" t="s">
        <v>93</v>
      </c>
      <c r="C8" s="1"/>
      <c r="D8" s="1">
        <v>1</v>
      </c>
    </row>
    <row r="9" ht="22" customHeight="1" spans="1:4">
      <c r="A9" s="160" t="s">
        <v>45</v>
      </c>
      <c r="B9" s="1" t="s">
        <v>93</v>
      </c>
      <c r="C9" s="1"/>
      <c r="D9" s="1">
        <v>1</v>
      </c>
    </row>
    <row r="10" ht="22" customHeight="1" spans="1:4">
      <c r="A10" s="160" t="s">
        <v>46</v>
      </c>
      <c r="B10" s="1" t="s">
        <v>94</v>
      </c>
      <c r="C10" s="1"/>
      <c r="D10" s="1">
        <v>1</v>
      </c>
    </row>
    <row r="11" ht="33" customHeight="1" spans="1:4">
      <c r="A11" s="160" t="s">
        <v>48</v>
      </c>
      <c r="B11" s="1" t="s">
        <v>94</v>
      </c>
      <c r="C11" s="161" t="s">
        <v>95</v>
      </c>
      <c r="D11" s="1">
        <v>3</v>
      </c>
    </row>
    <row r="12" ht="22" customHeight="1" spans="1:4">
      <c r="A12" s="160" t="s">
        <v>52</v>
      </c>
      <c r="B12" s="1" t="s">
        <v>96</v>
      </c>
      <c r="C12" s="1"/>
      <c r="D12" s="1">
        <v>1</v>
      </c>
    </row>
    <row r="13" ht="22" customHeight="1" spans="1:4">
      <c r="A13" s="160" t="s">
        <v>54</v>
      </c>
      <c r="B13" s="1" t="s">
        <v>96</v>
      </c>
      <c r="C13" s="1"/>
      <c r="D13" s="1">
        <v>1</v>
      </c>
    </row>
    <row r="14" ht="22" customHeight="1" spans="1:4">
      <c r="A14" s="160" t="s">
        <v>55</v>
      </c>
      <c r="B14" s="1" t="s">
        <v>96</v>
      </c>
      <c r="C14" s="1"/>
      <c r="D14" s="1">
        <v>1</v>
      </c>
    </row>
    <row r="15" ht="42" customHeight="1" spans="1:4">
      <c r="A15" s="160" t="s">
        <v>56</v>
      </c>
      <c r="B15" s="1"/>
      <c r="C15" s="161" t="s">
        <v>97</v>
      </c>
      <c r="D15" s="1">
        <v>3</v>
      </c>
    </row>
    <row r="16" ht="22" customHeight="1" spans="1:4">
      <c r="A16" s="160" t="s">
        <v>60</v>
      </c>
      <c r="B16" s="1" t="s">
        <v>98</v>
      </c>
      <c r="C16" s="1"/>
      <c r="D16" s="1">
        <v>1</v>
      </c>
    </row>
    <row r="17" ht="45" customHeight="1" spans="1:4">
      <c r="A17" s="160" t="s">
        <v>62</v>
      </c>
      <c r="B17" s="161"/>
      <c r="C17" s="161" t="s">
        <v>99</v>
      </c>
      <c r="D17" s="1">
        <v>3</v>
      </c>
    </row>
    <row r="18" ht="42" customHeight="1" spans="1:4">
      <c r="A18" s="160" t="s">
        <v>66</v>
      </c>
      <c r="B18" s="1"/>
      <c r="C18" s="161" t="s">
        <v>100</v>
      </c>
      <c r="D18" s="1">
        <v>3</v>
      </c>
    </row>
    <row r="19" ht="22" customHeight="1" spans="1:4">
      <c r="A19" s="160" t="s">
        <v>70</v>
      </c>
      <c r="B19" s="1" t="s">
        <v>101</v>
      </c>
      <c r="C19" s="1" t="s">
        <v>102</v>
      </c>
      <c r="D19" s="1">
        <v>2</v>
      </c>
    </row>
    <row r="20" ht="42" customHeight="1" spans="1:4">
      <c r="A20" s="160" t="s">
        <v>72</v>
      </c>
      <c r="B20" s="161"/>
      <c r="C20" s="161" t="s">
        <v>103</v>
      </c>
      <c r="D20" s="1">
        <v>3</v>
      </c>
    </row>
    <row r="21" ht="42" customHeight="1" spans="1:4">
      <c r="A21" s="160" t="s">
        <v>76</v>
      </c>
      <c r="B21" s="1"/>
      <c r="C21" s="161" t="s">
        <v>104</v>
      </c>
      <c r="D21" s="1">
        <v>3</v>
      </c>
    </row>
    <row r="22" ht="44" customHeight="1" spans="1:4">
      <c r="A22" s="160" t="s">
        <v>80</v>
      </c>
      <c r="B22" s="1"/>
      <c r="C22" s="161" t="s">
        <v>105</v>
      </c>
      <c r="D22" s="1">
        <v>3</v>
      </c>
    </row>
    <row r="23" ht="48" customHeight="1" spans="1:4">
      <c r="A23" s="160" t="s">
        <v>84</v>
      </c>
      <c r="B23" s="1"/>
      <c r="C23" s="161" t="s">
        <v>106</v>
      </c>
      <c r="D23" s="1">
        <v>3</v>
      </c>
    </row>
    <row r="24" ht="22" customHeight="1" spans="1:4">
      <c r="A24" s="159" t="s">
        <v>107</v>
      </c>
      <c r="B24" s="159" t="s">
        <v>108</v>
      </c>
      <c r="C24" s="159"/>
      <c r="D24" s="159"/>
    </row>
    <row r="25" ht="22" customHeight="1" spans="1:4">
      <c r="A25" s="159"/>
      <c r="B25" s="159" t="s">
        <v>89</v>
      </c>
      <c r="C25" s="159" t="s">
        <v>90</v>
      </c>
      <c r="D25" s="159" t="s">
        <v>109</v>
      </c>
    </row>
    <row r="26" ht="22" customHeight="1" spans="1:4">
      <c r="A26" s="159" t="s">
        <v>35</v>
      </c>
      <c r="B26" s="159">
        <f>SUM(B27:B53)</f>
        <v>13</v>
      </c>
      <c r="C26" s="159">
        <f>SUM(C27:C53)</f>
        <v>25</v>
      </c>
      <c r="D26" s="159"/>
    </row>
    <row r="27" ht="22" customHeight="1" spans="1:4">
      <c r="A27" s="1" t="s">
        <v>28</v>
      </c>
      <c r="B27" s="1">
        <v>3</v>
      </c>
      <c r="C27" s="1">
        <v>1</v>
      </c>
      <c r="D27" s="1" t="s">
        <v>110</v>
      </c>
    </row>
    <row r="28" ht="22" customHeight="1" spans="1:4">
      <c r="A28" s="1" t="s">
        <v>14</v>
      </c>
      <c r="B28" s="1">
        <v>2</v>
      </c>
      <c r="C28" s="1">
        <v>1</v>
      </c>
      <c r="D28" s="1" t="s">
        <v>111</v>
      </c>
    </row>
    <row r="29" ht="22" customHeight="1" spans="1:4">
      <c r="A29" s="1" t="s">
        <v>8</v>
      </c>
      <c r="B29" s="1">
        <v>2</v>
      </c>
      <c r="C29" s="1"/>
      <c r="D29" s="1" t="s">
        <v>112</v>
      </c>
    </row>
    <row r="30" ht="22" customHeight="1" spans="1:4">
      <c r="A30" s="1" t="s">
        <v>27</v>
      </c>
      <c r="B30" s="1"/>
      <c r="C30" s="1">
        <v>1</v>
      </c>
      <c r="D30" s="1" t="s">
        <v>48</v>
      </c>
    </row>
    <row r="31" ht="22" customHeight="1" spans="1:4">
      <c r="A31" s="1" t="s">
        <v>29</v>
      </c>
      <c r="B31" s="1"/>
      <c r="C31" s="1">
        <v>1</v>
      </c>
      <c r="D31" s="1" t="s">
        <v>48</v>
      </c>
    </row>
    <row r="32" ht="22" customHeight="1" spans="1:4">
      <c r="A32" s="1" t="s">
        <v>13</v>
      </c>
      <c r="B32" s="1">
        <v>3</v>
      </c>
      <c r="C32" s="1">
        <v>1</v>
      </c>
      <c r="D32" s="1" t="s">
        <v>113</v>
      </c>
    </row>
    <row r="33" ht="22" customHeight="1" spans="1:4">
      <c r="A33" s="1" t="s">
        <v>12</v>
      </c>
      <c r="B33" s="1"/>
      <c r="C33" s="1">
        <v>1</v>
      </c>
      <c r="D33" s="1" t="s">
        <v>56</v>
      </c>
    </row>
    <row r="34" ht="22" customHeight="1" spans="1:4">
      <c r="A34" s="1" t="s">
        <v>5</v>
      </c>
      <c r="B34" s="1"/>
      <c r="C34" s="1">
        <v>1</v>
      </c>
      <c r="D34" s="1" t="s">
        <v>56</v>
      </c>
    </row>
    <row r="35" ht="22" customHeight="1" spans="1:4">
      <c r="A35" s="1" t="s">
        <v>6</v>
      </c>
      <c r="B35" s="1">
        <v>1</v>
      </c>
      <c r="C35" s="1">
        <v>1</v>
      </c>
      <c r="D35" s="1" t="s">
        <v>114</v>
      </c>
    </row>
    <row r="36" ht="22" customHeight="1" spans="1:4">
      <c r="A36" s="1" t="s">
        <v>4</v>
      </c>
      <c r="B36" s="1"/>
      <c r="C36" s="1">
        <v>1</v>
      </c>
      <c r="D36" s="1" t="s">
        <v>62</v>
      </c>
    </row>
    <row r="37" ht="22" customHeight="1" spans="1:4">
      <c r="A37" s="1" t="s">
        <v>15</v>
      </c>
      <c r="B37" s="1"/>
      <c r="C37" s="1">
        <v>1</v>
      </c>
      <c r="D37" s="1" t="s">
        <v>62</v>
      </c>
    </row>
    <row r="38" ht="22" customHeight="1" spans="1:4">
      <c r="A38" s="1" t="s">
        <v>7</v>
      </c>
      <c r="B38" s="1"/>
      <c r="C38" s="1">
        <v>1</v>
      </c>
      <c r="D38" s="1" t="s">
        <v>66</v>
      </c>
    </row>
    <row r="39" ht="22" customHeight="1" spans="1:4">
      <c r="A39" s="151" t="s">
        <v>9</v>
      </c>
      <c r="B39" s="1"/>
      <c r="C39" s="1">
        <v>1</v>
      </c>
      <c r="D39" s="1" t="s">
        <v>66</v>
      </c>
    </row>
    <row r="40" ht="22" customHeight="1" spans="1:4">
      <c r="A40" s="1" t="s">
        <v>11</v>
      </c>
      <c r="B40" s="1"/>
      <c r="C40" s="1">
        <v>1</v>
      </c>
      <c r="D40" s="1" t="s">
        <v>66</v>
      </c>
    </row>
    <row r="41" ht="22" customHeight="1" spans="1:4">
      <c r="A41" s="1" t="s">
        <v>25</v>
      </c>
      <c r="B41" s="1">
        <v>1</v>
      </c>
      <c r="C41" s="1">
        <v>1</v>
      </c>
      <c r="D41" s="1" t="s">
        <v>70</v>
      </c>
    </row>
    <row r="42" ht="22" customHeight="1" spans="1:4">
      <c r="A42" s="1" t="s">
        <v>20</v>
      </c>
      <c r="B42" s="1">
        <v>1</v>
      </c>
      <c r="C42" s="1"/>
      <c r="D42" s="1" t="s">
        <v>72</v>
      </c>
    </row>
    <row r="43" ht="22" customHeight="1" spans="1:4">
      <c r="A43" s="1" t="s">
        <v>19</v>
      </c>
      <c r="B43" s="1"/>
      <c r="C43" s="1">
        <v>1</v>
      </c>
      <c r="D43" s="1" t="s">
        <v>72</v>
      </c>
    </row>
    <row r="44" ht="22" customHeight="1" spans="1:4">
      <c r="A44" s="151" t="s">
        <v>10</v>
      </c>
      <c r="B44" s="1"/>
      <c r="C44" s="1">
        <v>1</v>
      </c>
      <c r="D44" s="1" t="s">
        <v>72</v>
      </c>
    </row>
    <row r="45" ht="22" customHeight="1" spans="1:4">
      <c r="A45" s="1" t="s">
        <v>16</v>
      </c>
      <c r="B45" s="1"/>
      <c r="C45" s="1">
        <v>1</v>
      </c>
      <c r="D45" s="1" t="s">
        <v>76</v>
      </c>
    </row>
    <row r="46" ht="22" customHeight="1" spans="1:4">
      <c r="A46" s="1" t="s">
        <v>17</v>
      </c>
      <c r="B46" s="1"/>
      <c r="C46" s="1">
        <v>1</v>
      </c>
      <c r="D46" s="1" t="s">
        <v>76</v>
      </c>
    </row>
    <row r="47" ht="22" customHeight="1" spans="1:4">
      <c r="A47" s="1" t="s">
        <v>18</v>
      </c>
      <c r="B47" s="1"/>
      <c r="C47" s="1">
        <v>1</v>
      </c>
      <c r="D47" s="1" t="s">
        <v>76</v>
      </c>
    </row>
    <row r="48" ht="22" customHeight="1" spans="1:4">
      <c r="A48" s="1" t="s">
        <v>26</v>
      </c>
      <c r="B48" s="1"/>
      <c r="C48" s="1">
        <v>1</v>
      </c>
      <c r="D48" s="1" t="s">
        <v>80</v>
      </c>
    </row>
    <row r="49" ht="22" customHeight="1" spans="1:4">
      <c r="A49" s="1" t="s">
        <v>3</v>
      </c>
      <c r="B49" s="1"/>
      <c r="C49" s="1">
        <v>1</v>
      </c>
      <c r="D49" s="1" t="s">
        <v>80</v>
      </c>
    </row>
    <row r="50" ht="22" customHeight="1" spans="1:4">
      <c r="A50" s="151" t="s">
        <v>22</v>
      </c>
      <c r="B50" s="1"/>
      <c r="C50" s="1">
        <v>1</v>
      </c>
      <c r="D50" s="1" t="s">
        <v>80</v>
      </c>
    </row>
    <row r="51" ht="22" customHeight="1" spans="1:4">
      <c r="A51" s="1" t="s">
        <v>21</v>
      </c>
      <c r="B51" s="1"/>
      <c r="C51" s="1">
        <v>1</v>
      </c>
      <c r="D51" s="1" t="s">
        <v>84</v>
      </c>
    </row>
    <row r="52" ht="22" customHeight="1" spans="1:4">
      <c r="A52" s="1" t="s">
        <v>23</v>
      </c>
      <c r="B52" s="1"/>
      <c r="C52" s="1">
        <v>1</v>
      </c>
      <c r="D52" s="1" t="s">
        <v>84</v>
      </c>
    </row>
    <row r="53" ht="22" customHeight="1" spans="1:4">
      <c r="A53" s="1" t="s">
        <v>30</v>
      </c>
      <c r="B53" s="1"/>
      <c r="C53" s="1">
        <v>1</v>
      </c>
      <c r="D53" s="1" t="s">
        <v>84</v>
      </c>
    </row>
  </sheetData>
  <sheetProtection formatCells="0" insertHyperlinks="0" autoFilter="0"/>
  <mergeCells count="5">
    <mergeCell ref="A1:D1"/>
    <mergeCell ref="B2:D2"/>
    <mergeCell ref="B24:D24"/>
    <mergeCell ref="A2:A3"/>
    <mergeCell ref="A24:A25"/>
  </mergeCells>
  <printOptions horizontalCentered="1"/>
  <pageMargins left="0.751388888888889" right="0.751388888888889"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
  <sheetViews>
    <sheetView workbookViewId="0">
      <selection activeCell="J16" sqref="J16"/>
    </sheetView>
  </sheetViews>
  <sheetFormatPr defaultColWidth="9" defaultRowHeight="20" customHeight="1" outlineLevelCol="5"/>
  <cols>
    <col min="2" max="2" width="18.6296296296296" customWidth="1"/>
    <col min="3" max="3" width="12.6296296296296" customWidth="1"/>
    <col min="4" max="4" width="12.3796296296296" customWidth="1"/>
    <col min="5" max="5" width="14.25" customWidth="1"/>
    <col min="6" max="6" width="11.25" style="151" customWidth="1"/>
  </cols>
  <sheetData>
    <row r="1" ht="25" customHeight="1" spans="1:6">
      <c r="A1" s="88" t="s">
        <v>115</v>
      </c>
      <c r="B1" s="88"/>
      <c r="C1" s="88"/>
      <c r="D1" s="88"/>
      <c r="E1" s="88"/>
      <c r="F1" s="88"/>
    </row>
    <row r="2" ht="18" customHeight="1" spans="1:6">
      <c r="A2" s="1" t="s">
        <v>116</v>
      </c>
      <c r="B2" s="1" t="s">
        <v>107</v>
      </c>
      <c r="C2" s="1" t="s">
        <v>117</v>
      </c>
      <c r="D2" s="1" t="s">
        <v>118</v>
      </c>
      <c r="E2" s="1" t="s">
        <v>35</v>
      </c>
      <c r="F2" s="1" t="s">
        <v>119</v>
      </c>
    </row>
    <row r="3" ht="18" customHeight="1" spans="1:6">
      <c r="A3" s="1"/>
      <c r="B3" s="1" t="s">
        <v>120</v>
      </c>
      <c r="C3" s="1">
        <f>SUM(C4:C36)</f>
        <v>515</v>
      </c>
      <c r="D3" s="1">
        <f>SUM(D4:D36)</f>
        <v>555</v>
      </c>
      <c r="E3" s="1">
        <f>SUM(E4:E36)</f>
        <v>1070</v>
      </c>
      <c r="F3" s="1"/>
    </row>
    <row r="4" s="150" customFormat="1" ht="18" customHeight="1" spans="1:6">
      <c r="A4" s="157">
        <v>1</v>
      </c>
      <c r="B4" s="157" t="s">
        <v>26</v>
      </c>
      <c r="C4" s="157">
        <v>9</v>
      </c>
      <c r="D4" s="157">
        <v>7</v>
      </c>
      <c r="E4" s="157">
        <f>SUM(C4:D4)</f>
        <v>16</v>
      </c>
      <c r="F4" s="157"/>
    </row>
    <row r="5" s="150" customFormat="1" ht="18" customHeight="1" spans="1:6">
      <c r="A5" s="157">
        <v>2</v>
      </c>
      <c r="B5" s="157" t="s">
        <v>14</v>
      </c>
      <c r="C5" s="157">
        <v>65</v>
      </c>
      <c r="D5" s="157">
        <v>14</v>
      </c>
      <c r="E5" s="157">
        <f t="shared" ref="E5:E36" si="0">SUM(C5:D5)</f>
        <v>79</v>
      </c>
      <c r="F5" s="157"/>
    </row>
    <row r="6" ht="18" customHeight="1" spans="1:6">
      <c r="A6" s="1">
        <v>3</v>
      </c>
      <c r="B6" s="1" t="s">
        <v>121</v>
      </c>
      <c r="C6" s="1"/>
      <c r="D6" s="1">
        <v>158</v>
      </c>
      <c r="E6" s="1">
        <f t="shared" si="0"/>
        <v>158</v>
      </c>
      <c r="F6" s="1"/>
    </row>
    <row r="7" s="150" customFormat="1" ht="18" customHeight="1" spans="1:6">
      <c r="A7" s="157">
        <v>4</v>
      </c>
      <c r="B7" s="157" t="s">
        <v>20</v>
      </c>
      <c r="C7" s="157">
        <v>12</v>
      </c>
      <c r="D7" s="157">
        <v>10</v>
      </c>
      <c r="E7" s="157">
        <f t="shared" si="0"/>
        <v>22</v>
      </c>
      <c r="F7" s="157"/>
    </row>
    <row r="8" s="150" customFormat="1" ht="18" customHeight="1" spans="1:6">
      <c r="A8" s="157">
        <v>5</v>
      </c>
      <c r="B8" s="157" t="s">
        <v>8</v>
      </c>
      <c r="C8" s="157">
        <v>56</v>
      </c>
      <c r="D8" s="157">
        <v>15</v>
      </c>
      <c r="E8" s="157">
        <f t="shared" si="0"/>
        <v>71</v>
      </c>
      <c r="F8" s="157"/>
    </row>
    <row r="9" ht="18" customHeight="1" spans="1:6">
      <c r="A9" s="1">
        <v>6</v>
      </c>
      <c r="B9" s="1" t="s">
        <v>122</v>
      </c>
      <c r="C9" s="1"/>
      <c r="D9" s="1">
        <v>137</v>
      </c>
      <c r="E9" s="1">
        <f t="shared" si="0"/>
        <v>137</v>
      </c>
      <c r="F9" s="1"/>
    </row>
    <row r="10" s="150" customFormat="1" ht="18" customHeight="1" spans="1:6">
      <c r="A10" s="157">
        <v>7</v>
      </c>
      <c r="B10" s="157" t="s">
        <v>25</v>
      </c>
      <c r="C10" s="157">
        <v>30</v>
      </c>
      <c r="D10" s="157">
        <v>10</v>
      </c>
      <c r="E10" s="157">
        <f t="shared" si="0"/>
        <v>40</v>
      </c>
      <c r="F10" s="157"/>
    </row>
    <row r="11" s="150" customFormat="1" ht="18" customHeight="1" spans="1:6">
      <c r="A11" s="157">
        <v>8</v>
      </c>
      <c r="B11" s="157" t="s">
        <v>13</v>
      </c>
      <c r="C11" s="157">
        <v>96</v>
      </c>
      <c r="D11" s="157">
        <v>33</v>
      </c>
      <c r="E11" s="157">
        <f t="shared" si="0"/>
        <v>129</v>
      </c>
      <c r="F11" s="157"/>
    </row>
    <row r="12" ht="18" customHeight="1" spans="1:6">
      <c r="A12" s="1">
        <v>9</v>
      </c>
      <c r="B12" s="1" t="s">
        <v>123</v>
      </c>
      <c r="C12" s="1"/>
      <c r="D12" s="1">
        <v>61</v>
      </c>
      <c r="E12" s="1">
        <f t="shared" si="0"/>
        <v>61</v>
      </c>
      <c r="F12" s="1"/>
    </row>
    <row r="13" s="150" customFormat="1" ht="18" customHeight="1" spans="1:6">
      <c r="A13" s="157">
        <v>10</v>
      </c>
      <c r="B13" s="157" t="s">
        <v>22</v>
      </c>
      <c r="C13" s="157">
        <v>1</v>
      </c>
      <c r="D13" s="157">
        <v>5</v>
      </c>
      <c r="E13" s="157">
        <f t="shared" si="0"/>
        <v>6</v>
      </c>
      <c r="F13" s="157"/>
    </row>
    <row r="14" s="150" customFormat="1" ht="18" customHeight="1" spans="1:6">
      <c r="A14" s="157">
        <v>11</v>
      </c>
      <c r="B14" s="157" t="s">
        <v>10</v>
      </c>
      <c r="C14" s="157">
        <v>2</v>
      </c>
      <c r="D14" s="157">
        <v>9</v>
      </c>
      <c r="E14" s="157">
        <f t="shared" si="0"/>
        <v>11</v>
      </c>
      <c r="F14" s="157"/>
    </row>
    <row r="15" s="150" customFormat="1" ht="18" customHeight="1" spans="1:6">
      <c r="A15" s="157">
        <v>12</v>
      </c>
      <c r="B15" s="157" t="s">
        <v>16</v>
      </c>
      <c r="C15" s="157">
        <v>11</v>
      </c>
      <c r="D15" s="157">
        <v>4</v>
      </c>
      <c r="E15" s="157">
        <f t="shared" si="0"/>
        <v>15</v>
      </c>
      <c r="F15" s="157"/>
    </row>
    <row r="16" s="150" customFormat="1" ht="18" customHeight="1" spans="1:6">
      <c r="A16" s="157">
        <v>13</v>
      </c>
      <c r="B16" s="157" t="s">
        <v>4</v>
      </c>
      <c r="C16" s="157">
        <v>12</v>
      </c>
      <c r="D16" s="157">
        <v>3</v>
      </c>
      <c r="E16" s="157">
        <f t="shared" si="0"/>
        <v>15</v>
      </c>
      <c r="F16" s="157"/>
    </row>
    <row r="17" ht="18" customHeight="1" spans="1:6">
      <c r="A17" s="1">
        <v>14</v>
      </c>
      <c r="B17" s="1" t="s">
        <v>19</v>
      </c>
      <c r="C17" s="1">
        <v>3</v>
      </c>
      <c r="D17" s="1"/>
      <c r="E17" s="1">
        <f t="shared" si="0"/>
        <v>3</v>
      </c>
      <c r="F17" s="1"/>
    </row>
    <row r="18" ht="18" customHeight="1" spans="1:6">
      <c r="A18" s="1">
        <v>15</v>
      </c>
      <c r="B18" s="1" t="s">
        <v>7</v>
      </c>
      <c r="C18" s="1">
        <v>6</v>
      </c>
      <c r="D18" s="1"/>
      <c r="E18" s="1">
        <f t="shared" si="0"/>
        <v>6</v>
      </c>
      <c r="F18" s="1"/>
    </row>
    <row r="19" ht="18" customHeight="1" spans="1:6">
      <c r="A19" s="1">
        <v>16</v>
      </c>
      <c r="B19" s="1" t="s">
        <v>27</v>
      </c>
      <c r="C19" s="1">
        <v>2</v>
      </c>
      <c r="D19" s="1"/>
      <c r="E19" s="1">
        <f t="shared" si="0"/>
        <v>2</v>
      </c>
      <c r="F19" s="1"/>
    </row>
    <row r="20" ht="18" customHeight="1" spans="1:6">
      <c r="A20" s="1">
        <v>17</v>
      </c>
      <c r="B20" s="1" t="s">
        <v>15</v>
      </c>
      <c r="C20" s="1">
        <v>10</v>
      </c>
      <c r="D20" s="1"/>
      <c r="E20" s="1">
        <f t="shared" si="0"/>
        <v>10</v>
      </c>
      <c r="F20" s="1"/>
    </row>
    <row r="21" ht="18" customHeight="1" spans="1:6">
      <c r="A21" s="1">
        <v>18</v>
      </c>
      <c r="B21" s="1" t="s">
        <v>17</v>
      </c>
      <c r="C21" s="1">
        <v>5</v>
      </c>
      <c r="D21" s="1"/>
      <c r="E21" s="1">
        <f t="shared" si="0"/>
        <v>5</v>
      </c>
      <c r="F21" s="1"/>
    </row>
    <row r="22" ht="18" customHeight="1" spans="1:6">
      <c r="A22" s="1">
        <v>19</v>
      </c>
      <c r="B22" s="1" t="s">
        <v>5</v>
      </c>
      <c r="C22" s="1">
        <v>8</v>
      </c>
      <c r="D22" s="1"/>
      <c r="E22" s="1">
        <f t="shared" si="0"/>
        <v>8</v>
      </c>
      <c r="F22" s="1"/>
    </row>
    <row r="23" ht="18" customHeight="1" spans="1:6">
      <c r="A23" s="1">
        <v>20</v>
      </c>
      <c r="B23" s="1" t="s">
        <v>3</v>
      </c>
      <c r="C23" s="1">
        <v>6</v>
      </c>
      <c r="D23" s="1"/>
      <c r="E23" s="1">
        <f t="shared" si="0"/>
        <v>6</v>
      </c>
      <c r="F23" s="1"/>
    </row>
    <row r="24" ht="18" customHeight="1" spans="1:6">
      <c r="A24" s="1">
        <v>21</v>
      </c>
      <c r="B24" s="1" t="s">
        <v>23</v>
      </c>
      <c r="C24" s="1">
        <v>4</v>
      </c>
      <c r="D24" s="1"/>
      <c r="E24" s="1">
        <f t="shared" si="0"/>
        <v>4</v>
      </c>
      <c r="F24" s="1"/>
    </row>
    <row r="25" ht="18" customHeight="1" spans="1:6">
      <c r="A25" s="1">
        <v>22</v>
      </c>
      <c r="B25" s="1" t="s">
        <v>11</v>
      </c>
      <c r="C25" s="1">
        <v>2</v>
      </c>
      <c r="D25" s="1"/>
      <c r="E25" s="1">
        <f t="shared" si="0"/>
        <v>2</v>
      </c>
      <c r="F25" s="1"/>
    </row>
    <row r="26" s="150" customFormat="1" ht="18" customHeight="1" spans="1:6">
      <c r="A26" s="157">
        <v>23</v>
      </c>
      <c r="B26" s="157" t="s">
        <v>12</v>
      </c>
      <c r="C26" s="157">
        <v>9</v>
      </c>
      <c r="D26" s="157">
        <v>5</v>
      </c>
      <c r="E26" s="157">
        <f t="shared" si="0"/>
        <v>14</v>
      </c>
      <c r="F26" s="157"/>
    </row>
    <row r="27" ht="18" customHeight="1" spans="1:6">
      <c r="A27" s="1">
        <v>24</v>
      </c>
      <c r="B27" s="1" t="s">
        <v>124</v>
      </c>
      <c r="C27" s="1"/>
      <c r="D27" s="1">
        <v>9</v>
      </c>
      <c r="E27" s="1">
        <f t="shared" si="0"/>
        <v>9</v>
      </c>
      <c r="F27" s="1"/>
    </row>
    <row r="28" ht="18" customHeight="1" spans="1:6">
      <c r="A28" s="1">
        <v>25</v>
      </c>
      <c r="B28" s="1" t="s">
        <v>21</v>
      </c>
      <c r="C28" s="1">
        <v>14</v>
      </c>
      <c r="D28" s="1"/>
      <c r="E28" s="1">
        <f t="shared" si="0"/>
        <v>14</v>
      </c>
      <c r="F28" s="1"/>
    </row>
    <row r="29" s="150" customFormat="1" ht="18" customHeight="1" spans="1:6">
      <c r="A29" s="157">
        <v>26</v>
      </c>
      <c r="B29" s="157" t="s">
        <v>9</v>
      </c>
      <c r="C29" s="157">
        <v>11</v>
      </c>
      <c r="D29" s="157">
        <v>9</v>
      </c>
      <c r="E29" s="157">
        <f t="shared" si="0"/>
        <v>20</v>
      </c>
      <c r="F29" s="157"/>
    </row>
    <row r="30" ht="18" customHeight="1" spans="1:6">
      <c r="A30" s="1">
        <v>27</v>
      </c>
      <c r="B30" s="1" t="s">
        <v>125</v>
      </c>
      <c r="C30" s="1"/>
      <c r="D30" s="1">
        <v>16</v>
      </c>
      <c r="E30" s="1">
        <f t="shared" si="0"/>
        <v>16</v>
      </c>
      <c r="F30" s="1"/>
    </row>
    <row r="31" ht="18" customHeight="1" spans="1:6">
      <c r="A31" s="1">
        <v>28</v>
      </c>
      <c r="B31" s="1" t="s">
        <v>18</v>
      </c>
      <c r="C31" s="1">
        <v>4</v>
      </c>
      <c r="D31" s="1"/>
      <c r="E31" s="1">
        <f t="shared" si="0"/>
        <v>4</v>
      </c>
      <c r="F31" s="1"/>
    </row>
    <row r="32" s="150" customFormat="1" ht="18" customHeight="1" spans="1:6">
      <c r="A32" s="157">
        <v>29</v>
      </c>
      <c r="B32" s="157" t="s">
        <v>6</v>
      </c>
      <c r="C32" s="157">
        <v>36</v>
      </c>
      <c r="D32" s="157">
        <v>3</v>
      </c>
      <c r="E32" s="157">
        <f t="shared" si="0"/>
        <v>39</v>
      </c>
      <c r="F32" s="157"/>
    </row>
    <row r="33" ht="18" customHeight="1" spans="1:6">
      <c r="A33" s="1">
        <v>30</v>
      </c>
      <c r="B33" s="1" t="s">
        <v>126</v>
      </c>
      <c r="C33" s="1"/>
      <c r="D33" s="1">
        <v>9</v>
      </c>
      <c r="E33" s="1">
        <f t="shared" si="0"/>
        <v>9</v>
      </c>
      <c r="F33" s="1"/>
    </row>
    <row r="34" s="150" customFormat="1" ht="18" customHeight="1" spans="1:6">
      <c r="A34" s="157">
        <v>31</v>
      </c>
      <c r="B34" s="157" t="s">
        <v>28</v>
      </c>
      <c r="C34" s="157">
        <v>99</v>
      </c>
      <c r="D34" s="157">
        <v>38</v>
      </c>
      <c r="E34" s="157">
        <f t="shared" si="0"/>
        <v>137</v>
      </c>
      <c r="F34" s="157"/>
    </row>
    <row r="35" ht="18" customHeight="1" spans="1:6">
      <c r="A35" s="1">
        <v>32</v>
      </c>
      <c r="B35" s="1" t="s">
        <v>29</v>
      </c>
      <c r="C35" s="1">
        <v>1</v>
      </c>
      <c r="D35" s="1"/>
      <c r="E35" s="1">
        <f t="shared" si="0"/>
        <v>1</v>
      </c>
      <c r="F35" s="1"/>
    </row>
    <row r="36" ht="18" customHeight="1" spans="1:6">
      <c r="A36" s="1">
        <v>33</v>
      </c>
      <c r="B36" s="1" t="s">
        <v>30</v>
      </c>
      <c r="C36" s="1">
        <v>1</v>
      </c>
      <c r="D36" s="1"/>
      <c r="E36" s="1">
        <f t="shared" si="0"/>
        <v>1</v>
      </c>
      <c r="F36" s="1"/>
    </row>
  </sheetData>
  <sheetProtection formatCells="0" insertHyperlinks="0" autoFilter="0"/>
  <mergeCells count="1">
    <mergeCell ref="A1:F1"/>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K19" sqref="K19"/>
    </sheetView>
  </sheetViews>
  <sheetFormatPr defaultColWidth="9" defaultRowHeight="20" customHeight="1" outlineLevelCol="7"/>
  <cols>
    <col min="1" max="1" width="7.12962962962963" customWidth="1"/>
    <col min="2" max="2" width="19" customWidth="1"/>
    <col min="3" max="7" width="7.62962962962963" customWidth="1"/>
    <col min="8" max="8" width="7.62962962962963" style="151" customWidth="1"/>
  </cols>
  <sheetData>
    <row r="1" ht="25" customHeight="1" spans="1:8">
      <c r="A1" s="88" t="s">
        <v>127</v>
      </c>
      <c r="B1" s="88"/>
      <c r="C1" s="88"/>
      <c r="D1" s="88"/>
      <c r="E1" s="88"/>
      <c r="F1" s="88"/>
      <c r="G1" s="88"/>
      <c r="H1" s="88"/>
    </row>
    <row r="2" ht="16" customHeight="1" spans="1:8">
      <c r="A2" s="152" t="s">
        <v>116</v>
      </c>
      <c r="B2" s="152" t="s">
        <v>107</v>
      </c>
      <c r="C2" s="153" t="s">
        <v>128</v>
      </c>
      <c r="D2" s="154"/>
      <c r="E2" s="153" t="s">
        <v>129</v>
      </c>
      <c r="F2" s="154"/>
      <c r="G2" s="152" t="s">
        <v>35</v>
      </c>
      <c r="H2" s="152" t="s">
        <v>119</v>
      </c>
    </row>
    <row r="3" ht="16" customHeight="1" spans="1:8">
      <c r="A3" s="155"/>
      <c r="B3" s="156"/>
      <c r="C3" s="1" t="s">
        <v>89</v>
      </c>
      <c r="D3" s="1" t="s">
        <v>90</v>
      </c>
      <c r="E3" s="1" t="s">
        <v>89</v>
      </c>
      <c r="F3" s="1" t="s">
        <v>90</v>
      </c>
      <c r="G3" s="156"/>
      <c r="H3" s="156"/>
    </row>
    <row r="4" ht="16" customHeight="1" spans="1:8">
      <c r="A4" s="156"/>
      <c r="B4" s="1" t="s">
        <v>120</v>
      </c>
      <c r="C4" s="1">
        <f>SUM(C5:C37)</f>
        <v>13</v>
      </c>
      <c r="D4" s="1">
        <f>SUM(D5:D37)</f>
        <v>25</v>
      </c>
      <c r="E4" s="1">
        <f>SUM(E5:E37)</f>
        <v>16</v>
      </c>
      <c r="F4" s="1">
        <f>SUM(F5:F37)</f>
        <v>17</v>
      </c>
      <c r="G4" s="1">
        <f>SUM(C4:F4)</f>
        <v>71</v>
      </c>
      <c r="H4" s="1"/>
    </row>
    <row r="5" s="150" customFormat="1" ht="16" customHeight="1" spans="1:8">
      <c r="A5" s="157">
        <v>1</v>
      </c>
      <c r="B5" s="157" t="s">
        <v>26</v>
      </c>
      <c r="C5" s="157"/>
      <c r="D5" s="157">
        <v>1</v>
      </c>
      <c r="E5" s="157"/>
      <c r="F5" s="157">
        <v>1</v>
      </c>
      <c r="G5" s="1">
        <f t="shared" ref="G5:G37" si="0">SUM(C5:F5)</f>
        <v>2</v>
      </c>
      <c r="H5" s="157"/>
    </row>
    <row r="6" s="150" customFormat="1" ht="16" customHeight="1" spans="1:8">
      <c r="A6" s="157">
        <v>2</v>
      </c>
      <c r="B6" s="157" t="s">
        <v>14</v>
      </c>
      <c r="C6" s="157">
        <v>2</v>
      </c>
      <c r="D6" s="157">
        <v>1</v>
      </c>
      <c r="E6" s="157"/>
      <c r="F6" s="157">
        <v>1</v>
      </c>
      <c r="G6" s="1">
        <f t="shared" si="0"/>
        <v>4</v>
      </c>
      <c r="H6" s="157"/>
    </row>
    <row r="7" ht="16" customHeight="1" spans="1:8">
      <c r="A7" s="1">
        <v>3</v>
      </c>
      <c r="B7" s="1" t="s">
        <v>121</v>
      </c>
      <c r="C7" s="1"/>
      <c r="D7" s="1"/>
      <c r="E7" s="1">
        <v>5</v>
      </c>
      <c r="F7" s="1">
        <v>1</v>
      </c>
      <c r="G7" s="1">
        <f t="shared" si="0"/>
        <v>6</v>
      </c>
      <c r="H7" s="1"/>
    </row>
    <row r="8" s="150" customFormat="1" ht="16" customHeight="1" spans="1:8">
      <c r="A8" s="157">
        <v>4</v>
      </c>
      <c r="B8" s="157" t="s">
        <v>20</v>
      </c>
      <c r="C8" s="157">
        <v>1</v>
      </c>
      <c r="D8" s="157"/>
      <c r="E8" s="157"/>
      <c r="F8" s="157">
        <v>1</v>
      </c>
      <c r="G8" s="1">
        <f t="shared" si="0"/>
        <v>2</v>
      </c>
      <c r="H8" s="157"/>
    </row>
    <row r="9" s="150" customFormat="1" ht="16" customHeight="1" spans="1:8">
      <c r="A9" s="157">
        <v>5</v>
      </c>
      <c r="B9" s="157" t="s">
        <v>8</v>
      </c>
      <c r="C9" s="157">
        <v>2</v>
      </c>
      <c r="D9" s="157"/>
      <c r="E9" s="157">
        <v>1</v>
      </c>
      <c r="F9" s="157"/>
      <c r="G9" s="1">
        <f t="shared" si="0"/>
        <v>3</v>
      </c>
      <c r="H9" s="157"/>
    </row>
    <row r="10" ht="16" customHeight="1" spans="1:8">
      <c r="A10" s="1">
        <v>6</v>
      </c>
      <c r="B10" s="1" t="s">
        <v>122</v>
      </c>
      <c r="C10" s="1"/>
      <c r="D10" s="1"/>
      <c r="E10" s="1">
        <v>5</v>
      </c>
      <c r="F10" s="1"/>
      <c r="G10" s="1">
        <f t="shared" si="0"/>
        <v>5</v>
      </c>
      <c r="H10" s="1"/>
    </row>
    <row r="11" s="150" customFormat="1" ht="16" customHeight="1" spans="1:8">
      <c r="A11" s="157">
        <v>7</v>
      </c>
      <c r="B11" s="157" t="s">
        <v>25</v>
      </c>
      <c r="C11" s="157">
        <v>1</v>
      </c>
      <c r="D11" s="157">
        <v>1</v>
      </c>
      <c r="E11" s="157"/>
      <c r="F11" s="157">
        <v>1</v>
      </c>
      <c r="G11" s="1">
        <f t="shared" si="0"/>
        <v>3</v>
      </c>
      <c r="H11" s="157"/>
    </row>
    <row r="12" s="150" customFormat="1" ht="16" customHeight="1" spans="1:8">
      <c r="A12" s="157">
        <v>8</v>
      </c>
      <c r="B12" s="157" t="s">
        <v>13</v>
      </c>
      <c r="C12" s="157">
        <v>3</v>
      </c>
      <c r="D12" s="157">
        <v>1</v>
      </c>
      <c r="E12" s="157">
        <v>1</v>
      </c>
      <c r="F12" s="157">
        <v>1</v>
      </c>
      <c r="G12" s="1">
        <f t="shared" si="0"/>
        <v>6</v>
      </c>
      <c r="H12" s="157"/>
    </row>
    <row r="13" ht="16" customHeight="1" spans="1:8">
      <c r="A13" s="1">
        <v>9</v>
      </c>
      <c r="B13" s="1" t="s">
        <v>123</v>
      </c>
      <c r="C13" s="1"/>
      <c r="D13" s="1"/>
      <c r="E13" s="1">
        <v>2</v>
      </c>
      <c r="F13" s="1">
        <v>1</v>
      </c>
      <c r="G13" s="1">
        <f t="shared" si="0"/>
        <v>3</v>
      </c>
      <c r="H13" s="1"/>
    </row>
    <row r="14" s="150" customFormat="1" ht="16" customHeight="1" spans="1:8">
      <c r="A14" s="157">
        <v>10</v>
      </c>
      <c r="B14" s="157" t="s">
        <v>22</v>
      </c>
      <c r="C14" s="157"/>
      <c r="D14" s="157">
        <v>1</v>
      </c>
      <c r="E14" s="157"/>
      <c r="F14" s="157">
        <v>1</v>
      </c>
      <c r="G14" s="1">
        <f t="shared" si="0"/>
        <v>2</v>
      </c>
      <c r="H14" s="157"/>
    </row>
    <row r="15" s="150" customFormat="1" ht="16" customHeight="1" spans="1:8">
      <c r="A15" s="157">
        <v>11</v>
      </c>
      <c r="B15" s="157" t="s">
        <v>10</v>
      </c>
      <c r="C15" s="157"/>
      <c r="D15" s="157">
        <v>1</v>
      </c>
      <c r="E15" s="157"/>
      <c r="F15" s="157">
        <v>1</v>
      </c>
      <c r="G15" s="1">
        <f t="shared" si="0"/>
        <v>2</v>
      </c>
      <c r="H15" s="157"/>
    </row>
    <row r="16" s="150" customFormat="1" ht="16" customHeight="1" spans="1:8">
      <c r="A16" s="157">
        <v>12</v>
      </c>
      <c r="B16" s="157" t="s">
        <v>16</v>
      </c>
      <c r="C16" s="157"/>
      <c r="D16" s="157">
        <v>1</v>
      </c>
      <c r="E16" s="157"/>
      <c r="F16" s="157">
        <v>1</v>
      </c>
      <c r="G16" s="1">
        <f t="shared" si="0"/>
        <v>2</v>
      </c>
      <c r="H16" s="157"/>
    </row>
    <row r="17" s="150" customFormat="1" ht="16" customHeight="1" spans="1:8">
      <c r="A17" s="157">
        <v>13</v>
      </c>
      <c r="B17" s="157" t="s">
        <v>4</v>
      </c>
      <c r="C17" s="157"/>
      <c r="D17" s="157">
        <v>1</v>
      </c>
      <c r="E17" s="157"/>
      <c r="F17" s="157">
        <v>1</v>
      </c>
      <c r="G17" s="1">
        <f t="shared" si="0"/>
        <v>2</v>
      </c>
      <c r="H17" s="157"/>
    </row>
    <row r="18" ht="16" customHeight="1" spans="1:8">
      <c r="A18" s="1">
        <v>14</v>
      </c>
      <c r="B18" s="1" t="s">
        <v>19</v>
      </c>
      <c r="C18" s="1"/>
      <c r="D18" s="1">
        <v>1</v>
      </c>
      <c r="E18" s="1"/>
      <c r="F18" s="1"/>
      <c r="G18" s="1">
        <f t="shared" si="0"/>
        <v>1</v>
      </c>
      <c r="H18" s="1"/>
    </row>
    <row r="19" ht="16" customHeight="1" spans="1:8">
      <c r="A19" s="1">
        <v>15</v>
      </c>
      <c r="B19" s="1" t="s">
        <v>7</v>
      </c>
      <c r="C19" s="1"/>
      <c r="D19" s="1">
        <v>1</v>
      </c>
      <c r="E19" s="1"/>
      <c r="F19" s="1"/>
      <c r="G19" s="1">
        <f t="shared" si="0"/>
        <v>1</v>
      </c>
      <c r="H19" s="1"/>
    </row>
    <row r="20" ht="16" customHeight="1" spans="1:8">
      <c r="A20" s="1">
        <v>16</v>
      </c>
      <c r="B20" s="1" t="s">
        <v>27</v>
      </c>
      <c r="C20" s="1"/>
      <c r="D20" s="1">
        <v>1</v>
      </c>
      <c r="E20" s="1"/>
      <c r="F20" s="1"/>
      <c r="G20" s="1">
        <f t="shared" si="0"/>
        <v>1</v>
      </c>
      <c r="H20" s="1"/>
    </row>
    <row r="21" ht="16" customHeight="1" spans="1:8">
      <c r="A21" s="1">
        <v>17</v>
      </c>
      <c r="B21" s="1" t="s">
        <v>15</v>
      </c>
      <c r="C21" s="1"/>
      <c r="D21" s="1">
        <v>1</v>
      </c>
      <c r="E21" s="1"/>
      <c r="F21" s="1"/>
      <c r="G21" s="1">
        <f t="shared" si="0"/>
        <v>1</v>
      </c>
      <c r="H21" s="1"/>
    </row>
    <row r="22" ht="16" customHeight="1" spans="1:8">
      <c r="A22" s="1">
        <v>18</v>
      </c>
      <c r="B22" s="1" t="s">
        <v>17</v>
      </c>
      <c r="C22" s="1"/>
      <c r="D22" s="1">
        <v>1</v>
      </c>
      <c r="E22" s="1"/>
      <c r="F22" s="1"/>
      <c r="G22" s="1">
        <f t="shared" si="0"/>
        <v>1</v>
      </c>
      <c r="H22" s="1"/>
    </row>
    <row r="23" ht="16" customHeight="1" spans="1:8">
      <c r="A23" s="1">
        <v>19</v>
      </c>
      <c r="B23" s="1" t="s">
        <v>5</v>
      </c>
      <c r="C23" s="1"/>
      <c r="D23" s="1">
        <v>1</v>
      </c>
      <c r="E23" s="1"/>
      <c r="F23" s="1"/>
      <c r="G23" s="1">
        <f t="shared" si="0"/>
        <v>1</v>
      </c>
      <c r="H23" s="1"/>
    </row>
    <row r="24" ht="16" customHeight="1" spans="1:8">
      <c r="A24" s="1">
        <v>20</v>
      </c>
      <c r="B24" s="1" t="s">
        <v>3</v>
      </c>
      <c r="C24" s="1"/>
      <c r="D24" s="1">
        <v>1</v>
      </c>
      <c r="E24" s="1"/>
      <c r="F24" s="1"/>
      <c r="G24" s="1">
        <f t="shared" si="0"/>
        <v>1</v>
      </c>
      <c r="H24" s="1"/>
    </row>
    <row r="25" ht="16" customHeight="1" spans="1:8">
      <c r="A25" s="1">
        <v>21</v>
      </c>
      <c r="B25" s="1" t="s">
        <v>23</v>
      </c>
      <c r="C25" s="1"/>
      <c r="D25" s="1">
        <v>1</v>
      </c>
      <c r="E25" s="1"/>
      <c r="F25" s="1"/>
      <c r="G25" s="1">
        <f t="shared" si="0"/>
        <v>1</v>
      </c>
      <c r="H25" s="1"/>
    </row>
    <row r="26" ht="16" customHeight="1" spans="1:8">
      <c r="A26" s="1">
        <v>22</v>
      </c>
      <c r="B26" s="1" t="s">
        <v>11</v>
      </c>
      <c r="C26" s="1"/>
      <c r="D26" s="1">
        <v>1</v>
      </c>
      <c r="E26" s="1"/>
      <c r="F26" s="1"/>
      <c r="G26" s="1">
        <f t="shared" si="0"/>
        <v>1</v>
      </c>
      <c r="H26" s="1"/>
    </row>
    <row r="27" s="150" customFormat="1" ht="16" customHeight="1" spans="1:8">
      <c r="A27" s="157">
        <v>23</v>
      </c>
      <c r="B27" s="157" t="s">
        <v>12</v>
      </c>
      <c r="C27" s="157"/>
      <c r="D27" s="157">
        <v>1</v>
      </c>
      <c r="E27" s="157"/>
      <c r="F27" s="157">
        <v>1</v>
      </c>
      <c r="G27" s="1">
        <f t="shared" si="0"/>
        <v>2</v>
      </c>
      <c r="H27" s="157"/>
    </row>
    <row r="28" ht="16" customHeight="1" spans="1:8">
      <c r="A28" s="1">
        <v>24</v>
      </c>
      <c r="B28" s="1" t="s">
        <v>124</v>
      </c>
      <c r="C28" s="1"/>
      <c r="D28" s="1"/>
      <c r="E28" s="1"/>
      <c r="F28" s="1">
        <v>1</v>
      </c>
      <c r="G28" s="1">
        <f t="shared" si="0"/>
        <v>1</v>
      </c>
      <c r="H28" s="1"/>
    </row>
    <row r="29" ht="16" customHeight="1" spans="1:8">
      <c r="A29" s="1">
        <v>25</v>
      </c>
      <c r="B29" s="1" t="s">
        <v>21</v>
      </c>
      <c r="C29" s="1"/>
      <c r="D29" s="1">
        <v>1</v>
      </c>
      <c r="E29" s="1"/>
      <c r="F29" s="1"/>
      <c r="G29" s="1">
        <f t="shared" si="0"/>
        <v>1</v>
      </c>
      <c r="H29" s="1"/>
    </row>
    <row r="30" s="150" customFormat="1" ht="16" customHeight="1" spans="1:8">
      <c r="A30" s="157">
        <v>26</v>
      </c>
      <c r="B30" s="157" t="s">
        <v>9</v>
      </c>
      <c r="C30" s="157"/>
      <c r="D30" s="157">
        <v>1</v>
      </c>
      <c r="E30" s="157"/>
      <c r="F30" s="157">
        <v>1</v>
      </c>
      <c r="G30" s="1">
        <f t="shared" si="0"/>
        <v>2</v>
      </c>
      <c r="H30" s="157"/>
    </row>
    <row r="31" ht="16" customHeight="1" spans="1:8">
      <c r="A31" s="1">
        <v>27</v>
      </c>
      <c r="B31" s="1" t="s">
        <v>125</v>
      </c>
      <c r="C31" s="1"/>
      <c r="D31" s="1"/>
      <c r="E31" s="1">
        <v>1</v>
      </c>
      <c r="F31" s="1"/>
      <c r="G31" s="1">
        <f t="shared" si="0"/>
        <v>1</v>
      </c>
      <c r="H31" s="1"/>
    </row>
    <row r="32" ht="16" customHeight="1" spans="1:8">
      <c r="A32" s="1">
        <v>28</v>
      </c>
      <c r="B32" s="1" t="s">
        <v>18</v>
      </c>
      <c r="C32" s="1"/>
      <c r="D32" s="1">
        <v>1</v>
      </c>
      <c r="E32" s="1"/>
      <c r="F32" s="1"/>
      <c r="G32" s="1">
        <f t="shared" si="0"/>
        <v>1</v>
      </c>
      <c r="H32" s="1"/>
    </row>
    <row r="33" s="150" customFormat="1" ht="16" customHeight="1" spans="1:8">
      <c r="A33" s="157">
        <v>29</v>
      </c>
      <c r="B33" s="157" t="s">
        <v>6</v>
      </c>
      <c r="C33" s="157">
        <v>1</v>
      </c>
      <c r="D33" s="157">
        <v>1</v>
      </c>
      <c r="E33" s="157"/>
      <c r="F33" s="157">
        <v>1</v>
      </c>
      <c r="G33" s="1">
        <f t="shared" si="0"/>
        <v>3</v>
      </c>
      <c r="H33" s="157"/>
    </row>
    <row r="34" ht="16" customHeight="1" spans="1:8">
      <c r="A34" s="1">
        <v>30</v>
      </c>
      <c r="B34" s="1" t="s">
        <v>126</v>
      </c>
      <c r="C34" s="1"/>
      <c r="D34" s="1"/>
      <c r="E34" s="1"/>
      <c r="F34" s="1">
        <v>1</v>
      </c>
      <c r="G34" s="1">
        <f t="shared" si="0"/>
        <v>1</v>
      </c>
      <c r="H34" s="1"/>
    </row>
    <row r="35" s="150" customFormat="1" ht="16" customHeight="1" spans="1:8">
      <c r="A35" s="157">
        <v>31</v>
      </c>
      <c r="B35" s="157" t="s">
        <v>28</v>
      </c>
      <c r="C35" s="157">
        <v>3</v>
      </c>
      <c r="D35" s="157">
        <v>1</v>
      </c>
      <c r="E35" s="157">
        <v>1</v>
      </c>
      <c r="F35" s="157">
        <v>1</v>
      </c>
      <c r="G35" s="1">
        <f t="shared" si="0"/>
        <v>6</v>
      </c>
      <c r="H35" s="157"/>
    </row>
    <row r="36" ht="16" customHeight="1" spans="1:8">
      <c r="A36" s="1">
        <v>32</v>
      </c>
      <c r="B36" s="1" t="s">
        <v>29</v>
      </c>
      <c r="C36" s="1"/>
      <c r="D36" s="1">
        <v>1</v>
      </c>
      <c r="E36" s="1"/>
      <c r="F36" s="1"/>
      <c r="G36" s="1">
        <f t="shared" si="0"/>
        <v>1</v>
      </c>
      <c r="H36" s="1"/>
    </row>
    <row r="37" ht="16" customHeight="1" spans="1:8">
      <c r="A37" s="1">
        <v>33</v>
      </c>
      <c r="B37" s="1" t="s">
        <v>30</v>
      </c>
      <c r="C37" s="1"/>
      <c r="D37" s="1">
        <v>1</v>
      </c>
      <c r="E37" s="1"/>
      <c r="F37" s="1"/>
      <c r="G37" s="1">
        <f t="shared" si="0"/>
        <v>1</v>
      </c>
      <c r="H37" s="1"/>
    </row>
  </sheetData>
  <sheetProtection formatCells="0" insertHyperlinks="0" autoFilter="0"/>
  <mergeCells count="7">
    <mergeCell ref="A1:H1"/>
    <mergeCell ref="C2:D2"/>
    <mergeCell ref="E2:F2"/>
    <mergeCell ref="A2:A4"/>
    <mergeCell ref="B2:B3"/>
    <mergeCell ref="G2:G3"/>
    <mergeCell ref="H2:H3"/>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U552"/>
  <sheetViews>
    <sheetView workbookViewId="0">
      <selection activeCell="W4" sqref="W4"/>
    </sheetView>
  </sheetViews>
  <sheetFormatPr defaultColWidth="8.7962962962963" defaultRowHeight="60" customHeight="1"/>
  <cols>
    <col min="1" max="1" width="1.5" style="3" customWidth="1"/>
    <col min="2" max="3" width="2" style="3" customWidth="1"/>
    <col min="4" max="6" width="8.7962962962963" style="3" customWidth="1"/>
    <col min="7" max="7" width="12.6296296296296" style="3" customWidth="1"/>
    <col min="8" max="8" width="15.25" style="3" customWidth="1"/>
    <col min="9" max="10" width="8.7962962962963" style="3" customWidth="1"/>
    <col min="11" max="11" width="10.3796296296296" style="3" customWidth="1"/>
    <col min="12" max="17" width="8.7962962962963" style="3" customWidth="1"/>
    <col min="18" max="18" width="10.3796296296296" style="3" customWidth="1"/>
    <col min="19" max="19" width="11.6296296296296" style="3" customWidth="1"/>
    <col min="20" max="20" width="16.8796296296296" style="2" customWidth="1"/>
    <col min="21" max="21" width="8" style="3" customWidth="1"/>
    <col min="22" max="16374" width="8.7962962962963" style="3" customWidth="1"/>
    <col min="16375" max="16384" width="8.7962962962963" style="3"/>
  </cols>
  <sheetData>
    <row r="1" s="2" customFormat="1" ht="50" customHeight="1" spans="1:21">
      <c r="A1" s="115" t="s">
        <v>130</v>
      </c>
      <c r="B1" s="115" t="s">
        <v>131</v>
      </c>
      <c r="C1" s="115" t="s">
        <v>132</v>
      </c>
      <c r="D1" s="115" t="s">
        <v>133</v>
      </c>
      <c r="E1" s="115" t="s">
        <v>134</v>
      </c>
      <c r="F1" s="115" t="s">
        <v>135</v>
      </c>
      <c r="G1" s="115" t="s">
        <v>136</v>
      </c>
      <c r="H1" s="115" t="s">
        <v>137</v>
      </c>
      <c r="I1" s="115" t="s">
        <v>138</v>
      </c>
      <c r="J1" s="115" t="s">
        <v>1</v>
      </c>
      <c r="K1" s="115" t="s">
        <v>139</v>
      </c>
      <c r="L1" s="115" t="s">
        <v>140</v>
      </c>
      <c r="M1" s="115" t="s">
        <v>141</v>
      </c>
      <c r="N1" s="115" t="s">
        <v>142</v>
      </c>
      <c r="O1" s="115" t="s">
        <v>143</v>
      </c>
      <c r="P1" s="115" t="s">
        <v>144</v>
      </c>
      <c r="Q1" s="115" t="s">
        <v>145</v>
      </c>
      <c r="R1" s="115" t="s">
        <v>146</v>
      </c>
      <c r="S1" s="115" t="s">
        <v>147</v>
      </c>
      <c r="T1" s="115" t="s">
        <v>148</v>
      </c>
      <c r="U1" s="115" t="s">
        <v>149</v>
      </c>
    </row>
    <row r="2" s="3" customFormat="1" customHeight="1" spans="1:21">
      <c r="A2" s="144">
        <v>44357.3763541667</v>
      </c>
      <c r="B2" s="27" t="s">
        <v>150</v>
      </c>
      <c r="C2" s="27" t="s">
        <v>151</v>
      </c>
      <c r="D2" s="162" t="s">
        <v>152</v>
      </c>
      <c r="E2" s="162" t="s">
        <v>153</v>
      </c>
      <c r="F2" s="162" t="s">
        <v>154</v>
      </c>
      <c r="G2" s="27">
        <v>18807023240</v>
      </c>
      <c r="H2" s="162" t="s">
        <v>155</v>
      </c>
      <c r="I2" s="162" t="s">
        <v>156</v>
      </c>
      <c r="J2" s="162" t="s">
        <v>10</v>
      </c>
      <c r="K2" s="27">
        <v>202102004</v>
      </c>
      <c r="L2" s="162" t="s">
        <v>157</v>
      </c>
      <c r="M2" s="162" t="s">
        <v>158</v>
      </c>
      <c r="N2" s="162" t="s">
        <v>159</v>
      </c>
      <c r="O2" s="162" t="s">
        <v>160</v>
      </c>
      <c r="P2" s="162" t="s">
        <v>161</v>
      </c>
      <c r="Q2" s="162" t="s">
        <v>10</v>
      </c>
      <c r="R2" s="27">
        <v>0</v>
      </c>
      <c r="S2" s="118" t="str">
        <f>_xlfn.DISPIMG("ID_1BBFB8252D30496F95F71593A2B76AF5",1)</f>
        <v>=DISPIMG("ID_1BBFB8252D30496F95F71593A2B76AF5",1)</v>
      </c>
      <c r="T2" s="115" t="s">
        <v>162</v>
      </c>
      <c r="U2" s="27">
        <v>2</v>
      </c>
    </row>
    <row r="3" s="3" customFormat="1" customHeight="1" spans="1:21">
      <c r="A3" s="144">
        <v>44357.3784837963</v>
      </c>
      <c r="B3" s="27" t="s">
        <v>163</v>
      </c>
      <c r="C3" s="27" t="s">
        <v>164</v>
      </c>
      <c r="D3" s="162" t="s">
        <v>164</v>
      </c>
      <c r="E3" s="162" t="s">
        <v>165</v>
      </c>
      <c r="F3" s="162" t="s">
        <v>166</v>
      </c>
      <c r="G3" s="27">
        <v>15879299279</v>
      </c>
      <c r="H3" s="162" t="s">
        <v>167</v>
      </c>
      <c r="I3" s="162" t="s">
        <v>156</v>
      </c>
      <c r="J3" s="162" t="s">
        <v>4</v>
      </c>
      <c r="K3" s="27">
        <v>202102005</v>
      </c>
      <c r="L3" s="162" t="s">
        <v>157</v>
      </c>
      <c r="M3" s="162" t="s">
        <v>168</v>
      </c>
      <c r="N3" s="162" t="s">
        <v>169</v>
      </c>
      <c r="O3" s="162" t="s">
        <v>170</v>
      </c>
      <c r="P3" s="162" t="s">
        <v>171</v>
      </c>
      <c r="Q3" s="162" t="s">
        <v>4</v>
      </c>
      <c r="R3" s="27">
        <v>0</v>
      </c>
      <c r="S3" s="118" t="str">
        <f>_xlfn.DISPIMG("ID_7D4B330FD7544FC19CF8CAA4A42A6F11",1)</f>
        <v>=DISPIMG("ID_7D4B330FD7544FC19CF8CAA4A42A6F11",1)</v>
      </c>
      <c r="T3" s="115" t="s">
        <v>172</v>
      </c>
      <c r="U3" s="27">
        <v>3</v>
      </c>
    </row>
    <row r="4" s="3" customFormat="1" customHeight="1" spans="1:21">
      <c r="A4" s="144">
        <v>44357.3857986111</v>
      </c>
      <c r="B4" s="27" t="s">
        <v>173</v>
      </c>
      <c r="C4" s="27" t="s">
        <v>174</v>
      </c>
      <c r="D4" s="162" t="s">
        <v>175</v>
      </c>
      <c r="E4" s="162" t="s">
        <v>165</v>
      </c>
      <c r="F4" s="162" t="s">
        <v>176</v>
      </c>
      <c r="G4" s="27">
        <v>18046603817</v>
      </c>
      <c r="H4" s="162" t="s">
        <v>177</v>
      </c>
      <c r="I4" s="162" t="s">
        <v>156</v>
      </c>
      <c r="J4" s="162" t="s">
        <v>14</v>
      </c>
      <c r="K4" s="27">
        <v>202102001</v>
      </c>
      <c r="L4" s="162" t="s">
        <v>157</v>
      </c>
      <c r="M4" s="162" t="s">
        <v>178</v>
      </c>
      <c r="N4" s="162" t="s">
        <v>179</v>
      </c>
      <c r="O4" s="162" t="s">
        <v>170</v>
      </c>
      <c r="P4" s="162" t="s">
        <v>180</v>
      </c>
      <c r="Q4" s="162" t="s">
        <v>14</v>
      </c>
      <c r="R4" s="27">
        <v>0</v>
      </c>
      <c r="S4" s="118" t="str">
        <f>_xlfn.DISPIMG("ID_BD43028E6BB24443B06241FE37DC179A",1)</f>
        <v>=DISPIMG("ID_BD43028E6BB24443B06241FE37DC179A",1)</v>
      </c>
      <c r="T4" s="115" t="s">
        <v>181</v>
      </c>
      <c r="U4" s="27">
        <v>4</v>
      </c>
    </row>
    <row r="5" s="3" customFormat="1" customHeight="1" spans="1:21">
      <c r="A5" s="144">
        <v>44357.3861111111</v>
      </c>
      <c r="B5" s="27" t="s">
        <v>182</v>
      </c>
      <c r="C5" s="27" t="s">
        <v>183</v>
      </c>
      <c r="D5" s="162" t="s">
        <v>184</v>
      </c>
      <c r="E5" s="162" t="s">
        <v>153</v>
      </c>
      <c r="F5" s="162" t="s">
        <v>185</v>
      </c>
      <c r="G5" s="27">
        <v>18038082134</v>
      </c>
      <c r="H5" s="162" t="s">
        <v>186</v>
      </c>
      <c r="I5" s="162" t="s">
        <v>156</v>
      </c>
      <c r="J5" s="162" t="s">
        <v>6</v>
      </c>
      <c r="K5" s="27">
        <v>202102012</v>
      </c>
      <c r="L5" s="162" t="s">
        <v>157</v>
      </c>
      <c r="M5" s="162" t="s">
        <v>187</v>
      </c>
      <c r="N5" s="162" t="s">
        <v>188</v>
      </c>
      <c r="O5" s="162" t="s">
        <v>160</v>
      </c>
      <c r="P5" s="162" t="s">
        <v>189</v>
      </c>
      <c r="Q5" s="162" t="s">
        <v>190</v>
      </c>
      <c r="R5" s="27">
        <v>0</v>
      </c>
      <c r="S5" s="118" t="str">
        <f>_xlfn.DISPIMG("ID_F9EC90828AC344EC8EE9AB75C1318672",1)</f>
        <v>=DISPIMG("ID_F9EC90828AC344EC8EE9AB75C1318672",1)</v>
      </c>
      <c r="T5" s="115" t="s">
        <v>191</v>
      </c>
      <c r="U5" s="27">
        <v>5</v>
      </c>
    </row>
    <row r="6" s="3" customFormat="1" customHeight="1" spans="1:21">
      <c r="A6" s="144">
        <v>44365.6294791667</v>
      </c>
      <c r="B6" s="27" t="s">
        <v>192</v>
      </c>
      <c r="C6" s="27" t="s">
        <v>193</v>
      </c>
      <c r="D6" s="162" t="s">
        <v>194</v>
      </c>
      <c r="E6" s="162" t="s">
        <v>165</v>
      </c>
      <c r="F6" s="162" t="s">
        <v>195</v>
      </c>
      <c r="G6" s="27">
        <v>15079132548</v>
      </c>
      <c r="H6" s="162" t="s">
        <v>196</v>
      </c>
      <c r="I6" s="162" t="s">
        <v>156</v>
      </c>
      <c r="J6" s="162" t="s">
        <v>13</v>
      </c>
      <c r="K6" s="27">
        <v>202102003</v>
      </c>
      <c r="L6" s="162" t="s">
        <v>157</v>
      </c>
      <c r="M6" s="162" t="s">
        <v>197</v>
      </c>
      <c r="N6" s="162" t="s">
        <v>198</v>
      </c>
      <c r="O6" s="162" t="s">
        <v>160</v>
      </c>
      <c r="P6" s="162" t="s">
        <v>199</v>
      </c>
      <c r="Q6" s="162" t="s">
        <v>13</v>
      </c>
      <c r="R6" s="27">
        <v>0</v>
      </c>
      <c r="S6" s="118" t="str">
        <f>_xlfn.DISPIMG("ID_07DCBF9A6CCC43E7BDA66377D7B2A516",1)</f>
        <v>=DISPIMG("ID_07DCBF9A6CCC43E7BDA66377D7B2A516",1)</v>
      </c>
      <c r="T6" s="115" t="s">
        <v>200</v>
      </c>
      <c r="U6" s="27">
        <v>6</v>
      </c>
    </row>
    <row r="7" s="3" customFormat="1" customHeight="1" spans="1:21">
      <c r="A7" s="144">
        <v>44359.084375</v>
      </c>
      <c r="B7" s="27" t="s">
        <v>201</v>
      </c>
      <c r="C7" s="27" t="s">
        <v>202</v>
      </c>
      <c r="D7" s="162" t="s">
        <v>203</v>
      </c>
      <c r="E7" s="162" t="s">
        <v>165</v>
      </c>
      <c r="F7" s="162" t="s">
        <v>204</v>
      </c>
      <c r="G7" s="27">
        <v>18451114131</v>
      </c>
      <c r="H7" s="162" t="s">
        <v>205</v>
      </c>
      <c r="I7" s="162" t="s">
        <v>156</v>
      </c>
      <c r="J7" s="162" t="s">
        <v>6</v>
      </c>
      <c r="K7" s="27">
        <v>202102012</v>
      </c>
      <c r="L7" s="162" t="s">
        <v>157</v>
      </c>
      <c r="M7" s="162" t="s">
        <v>206</v>
      </c>
      <c r="N7" s="162" t="s">
        <v>207</v>
      </c>
      <c r="O7" s="162" t="s">
        <v>160</v>
      </c>
      <c r="P7" s="162" t="s">
        <v>199</v>
      </c>
      <c r="Q7" s="162" t="s">
        <v>6</v>
      </c>
      <c r="R7" s="162" t="s">
        <v>208</v>
      </c>
      <c r="S7" s="118" t="str">
        <f>_xlfn.DISPIMG("ID_F7457C8055E845839E12BBC94DC0151A",1)</f>
        <v>=DISPIMG("ID_F7457C8055E845839E12BBC94DC0151A",1)</v>
      </c>
      <c r="T7" s="115" t="s">
        <v>209</v>
      </c>
      <c r="U7" s="27">
        <v>7</v>
      </c>
    </row>
    <row r="8" s="3" customFormat="1" customHeight="1" spans="1:21">
      <c r="A8" s="144">
        <v>44357.3974768519</v>
      </c>
      <c r="B8" s="27" t="s">
        <v>210</v>
      </c>
      <c r="C8" s="27" t="s">
        <v>211</v>
      </c>
      <c r="D8" s="162" t="s">
        <v>212</v>
      </c>
      <c r="E8" s="162" t="s">
        <v>165</v>
      </c>
      <c r="F8" s="162" t="s">
        <v>213</v>
      </c>
      <c r="G8" s="27">
        <v>13197911998</v>
      </c>
      <c r="H8" s="162" t="s">
        <v>214</v>
      </c>
      <c r="I8" s="162" t="s">
        <v>156</v>
      </c>
      <c r="J8" s="162" t="s">
        <v>15</v>
      </c>
      <c r="K8" s="27">
        <v>202102007</v>
      </c>
      <c r="L8" s="162" t="s">
        <v>157</v>
      </c>
      <c r="M8" s="162" t="s">
        <v>178</v>
      </c>
      <c r="N8" s="162" t="s">
        <v>215</v>
      </c>
      <c r="O8" s="162" t="s">
        <v>170</v>
      </c>
      <c r="P8" s="162" t="s">
        <v>216</v>
      </c>
      <c r="Q8" s="162" t="s">
        <v>15</v>
      </c>
      <c r="R8" s="27">
        <v>0</v>
      </c>
      <c r="S8" s="118" t="str">
        <f>_xlfn.DISPIMG("ID_A8B2B34FEB1F4C29AD364FF328B946F1",1)</f>
        <v>=DISPIMG("ID_A8B2B34FEB1F4C29AD364FF328B946F1",1)</v>
      </c>
      <c r="T8" s="115" t="s">
        <v>217</v>
      </c>
      <c r="U8" s="27">
        <v>8</v>
      </c>
    </row>
    <row r="9" s="3" customFormat="1" customHeight="1" spans="1:21">
      <c r="A9" s="144">
        <v>44357.4103703704</v>
      </c>
      <c r="B9" s="27" t="s">
        <v>218</v>
      </c>
      <c r="C9" s="27" t="s">
        <v>219</v>
      </c>
      <c r="D9" s="162" t="s">
        <v>220</v>
      </c>
      <c r="E9" s="162" t="s">
        <v>165</v>
      </c>
      <c r="F9" s="162" t="s">
        <v>221</v>
      </c>
      <c r="G9" s="27">
        <v>13330102770</v>
      </c>
      <c r="H9" s="162" t="s">
        <v>222</v>
      </c>
      <c r="I9" s="162" t="s">
        <v>156</v>
      </c>
      <c r="J9" s="162" t="s">
        <v>13</v>
      </c>
      <c r="K9" s="27">
        <v>202102003</v>
      </c>
      <c r="L9" s="162" t="s">
        <v>157</v>
      </c>
      <c r="M9" s="162" t="s">
        <v>178</v>
      </c>
      <c r="N9" s="162" t="s">
        <v>223</v>
      </c>
      <c r="O9" s="162" t="s">
        <v>170</v>
      </c>
      <c r="P9" s="162" t="s">
        <v>224</v>
      </c>
      <c r="Q9" s="162" t="s">
        <v>225</v>
      </c>
      <c r="R9" s="162" t="s">
        <v>226</v>
      </c>
      <c r="S9" s="118" t="str">
        <f>_xlfn.DISPIMG("ID_331C6355B784470AAD84DC8B9EBD3F4C",1)</f>
        <v>=DISPIMG("ID_331C6355B784470AAD84DC8B9EBD3F4C",1)</v>
      </c>
      <c r="T9" s="115" t="s">
        <v>227</v>
      </c>
      <c r="U9" s="27">
        <v>9</v>
      </c>
    </row>
    <row r="10" s="3" customFormat="1" customHeight="1" spans="1:21">
      <c r="A10" s="144">
        <v>44357.4106134259</v>
      </c>
      <c r="B10" s="27" t="s">
        <v>228</v>
      </c>
      <c r="C10" s="27" t="s">
        <v>229</v>
      </c>
      <c r="D10" s="162" t="s">
        <v>230</v>
      </c>
      <c r="E10" s="162" t="s">
        <v>165</v>
      </c>
      <c r="F10" s="162" t="s">
        <v>231</v>
      </c>
      <c r="G10" s="27">
        <v>18317923585</v>
      </c>
      <c r="H10" s="162" t="s">
        <v>232</v>
      </c>
      <c r="I10" s="162" t="s">
        <v>156</v>
      </c>
      <c r="J10" s="162" t="s">
        <v>13</v>
      </c>
      <c r="K10" s="27">
        <v>202102003</v>
      </c>
      <c r="L10" s="162" t="s">
        <v>157</v>
      </c>
      <c r="M10" s="162" t="s">
        <v>233</v>
      </c>
      <c r="N10" s="162" t="s">
        <v>234</v>
      </c>
      <c r="O10" s="162" t="s">
        <v>170</v>
      </c>
      <c r="P10" s="162" t="s">
        <v>235</v>
      </c>
      <c r="Q10" s="162" t="s">
        <v>13</v>
      </c>
      <c r="R10" s="162" t="s">
        <v>236</v>
      </c>
      <c r="S10" s="118" t="str">
        <f>_xlfn.DISPIMG("ID_5F2C40BDD5324AC2917B018DDF4B26D9",1)</f>
        <v>=DISPIMG("ID_5F2C40BDD5324AC2917B018DDF4B26D9",1)</v>
      </c>
      <c r="T10" s="115" t="s">
        <v>237</v>
      </c>
      <c r="U10" s="27">
        <v>10</v>
      </c>
    </row>
    <row r="11" s="3" customFormat="1" customHeight="1" spans="1:21">
      <c r="A11" s="144">
        <v>44357.4128125</v>
      </c>
      <c r="B11" s="27" t="s">
        <v>238</v>
      </c>
      <c r="C11" s="27" t="s">
        <v>219</v>
      </c>
      <c r="D11" s="162" t="s">
        <v>239</v>
      </c>
      <c r="E11" s="162" t="s">
        <v>165</v>
      </c>
      <c r="F11" s="162" t="s">
        <v>240</v>
      </c>
      <c r="G11" s="27">
        <v>13697988167</v>
      </c>
      <c r="H11" s="162" t="s">
        <v>241</v>
      </c>
      <c r="I11" s="162" t="s">
        <v>156</v>
      </c>
      <c r="J11" s="162" t="s">
        <v>5</v>
      </c>
      <c r="K11" s="27">
        <v>202102008</v>
      </c>
      <c r="L11" s="162" t="s">
        <v>157</v>
      </c>
      <c r="M11" s="162" t="s">
        <v>242</v>
      </c>
      <c r="N11" s="162" t="s">
        <v>243</v>
      </c>
      <c r="O11" s="162" t="s">
        <v>160</v>
      </c>
      <c r="P11" s="162" t="s">
        <v>161</v>
      </c>
      <c r="Q11" s="162" t="s">
        <v>5</v>
      </c>
      <c r="R11" s="27">
        <v>0</v>
      </c>
      <c r="S11" s="118" t="str">
        <f>_xlfn.DISPIMG("ID_9CBFB21D3F5B4658948522EF0C2AECE4",1)</f>
        <v>=DISPIMG("ID_9CBFB21D3F5B4658948522EF0C2AECE4",1)</v>
      </c>
      <c r="T11" s="115" t="s">
        <v>244</v>
      </c>
      <c r="U11" s="27">
        <v>11</v>
      </c>
    </row>
    <row r="12" s="3" customFormat="1" customHeight="1" spans="1:21">
      <c r="A12" s="144">
        <v>44357.4143402778</v>
      </c>
      <c r="B12" s="27" t="s">
        <v>245</v>
      </c>
      <c r="C12" s="27" t="s">
        <v>246</v>
      </c>
      <c r="D12" s="162" t="s">
        <v>247</v>
      </c>
      <c r="E12" s="162" t="s">
        <v>165</v>
      </c>
      <c r="F12" s="162" t="s">
        <v>248</v>
      </c>
      <c r="G12" s="27">
        <v>18194294670</v>
      </c>
      <c r="H12" s="162" t="s">
        <v>249</v>
      </c>
      <c r="I12" s="162" t="s">
        <v>156</v>
      </c>
      <c r="J12" s="162" t="s">
        <v>6</v>
      </c>
      <c r="K12" s="27">
        <v>202102012</v>
      </c>
      <c r="L12" s="162" t="s">
        <v>157</v>
      </c>
      <c r="M12" s="162" t="s">
        <v>250</v>
      </c>
      <c r="N12" s="162" t="s">
        <v>251</v>
      </c>
      <c r="O12" s="162" t="s">
        <v>160</v>
      </c>
      <c r="P12" s="162" t="s">
        <v>252</v>
      </c>
      <c r="Q12" s="162" t="s">
        <v>253</v>
      </c>
      <c r="R12" s="162" t="s">
        <v>254</v>
      </c>
      <c r="S12" s="118" t="str">
        <f>_xlfn.DISPIMG("ID_75E1D16F2E6F48168F32947A4DF07EC3",1)</f>
        <v>=DISPIMG("ID_75E1D16F2E6F48168F32947A4DF07EC3",1)</v>
      </c>
      <c r="T12" s="115" t="s">
        <v>255</v>
      </c>
      <c r="U12" s="27">
        <v>12</v>
      </c>
    </row>
    <row r="13" s="3" customFormat="1" customHeight="1" spans="1:21">
      <c r="A13" s="144">
        <v>44357.4282986111</v>
      </c>
      <c r="B13" s="27" t="s">
        <v>256</v>
      </c>
      <c r="C13" s="27" t="s">
        <v>257</v>
      </c>
      <c r="D13" s="162" t="s">
        <v>258</v>
      </c>
      <c r="E13" s="162" t="s">
        <v>165</v>
      </c>
      <c r="F13" s="162" t="s">
        <v>259</v>
      </c>
      <c r="G13" s="27">
        <v>15079252433</v>
      </c>
      <c r="H13" s="162" t="s">
        <v>260</v>
      </c>
      <c r="I13" s="162" t="s">
        <v>156</v>
      </c>
      <c r="J13" s="162" t="s">
        <v>13</v>
      </c>
      <c r="K13" s="27">
        <v>202102003</v>
      </c>
      <c r="L13" s="162" t="s">
        <v>157</v>
      </c>
      <c r="M13" s="162" t="s">
        <v>158</v>
      </c>
      <c r="N13" s="162" t="s">
        <v>179</v>
      </c>
      <c r="O13" s="162" t="s">
        <v>170</v>
      </c>
      <c r="P13" s="162" t="s">
        <v>261</v>
      </c>
      <c r="Q13" s="162" t="s">
        <v>13</v>
      </c>
      <c r="R13" s="27">
        <v>0</v>
      </c>
      <c r="S13" s="118" t="str">
        <f>_xlfn.DISPIMG("ID_6612D67BD9E1456A9FAE3B7BC6ABC79B",1)</f>
        <v>=DISPIMG("ID_6612D67BD9E1456A9FAE3B7BC6ABC79B",1)</v>
      </c>
      <c r="T13" s="115" t="s">
        <v>262</v>
      </c>
      <c r="U13" s="27">
        <v>13</v>
      </c>
    </row>
    <row r="14" s="3" customFormat="1" customHeight="1" spans="1:21">
      <c r="A14" s="144">
        <v>44364.8046064815</v>
      </c>
      <c r="B14" s="27" t="s">
        <v>263</v>
      </c>
      <c r="C14" s="27" t="s">
        <v>264</v>
      </c>
      <c r="D14" s="162" t="s">
        <v>265</v>
      </c>
      <c r="E14" s="162" t="s">
        <v>153</v>
      </c>
      <c r="F14" s="162" t="s">
        <v>266</v>
      </c>
      <c r="G14" s="27">
        <v>15720975163</v>
      </c>
      <c r="H14" s="162" t="s">
        <v>267</v>
      </c>
      <c r="I14" s="162" t="s">
        <v>268</v>
      </c>
      <c r="J14" s="162" t="s">
        <v>20</v>
      </c>
      <c r="K14" s="27">
        <v>202101004</v>
      </c>
      <c r="L14" s="162" t="s">
        <v>157</v>
      </c>
      <c r="M14" s="162" t="s">
        <v>269</v>
      </c>
      <c r="N14" s="162" t="s">
        <v>270</v>
      </c>
      <c r="O14" s="162" t="s">
        <v>170</v>
      </c>
      <c r="P14" s="162" t="s">
        <v>261</v>
      </c>
      <c r="Q14" s="162" t="s">
        <v>20</v>
      </c>
      <c r="R14" s="162" t="s">
        <v>271</v>
      </c>
      <c r="S14" s="118" t="str">
        <f>_xlfn.DISPIMG("ID_E6B64D542CF24756B648DE72B52C0790",1)</f>
        <v>=DISPIMG("ID_E6B64D542CF24756B648DE72B52C0790",1)</v>
      </c>
      <c r="T14" s="115" t="s">
        <v>272</v>
      </c>
      <c r="U14" s="27">
        <v>14</v>
      </c>
    </row>
    <row r="15" s="3" customFormat="1" customHeight="1" spans="1:21">
      <c r="A15" s="144">
        <v>44357.431712963</v>
      </c>
      <c r="B15" s="27" t="s">
        <v>273</v>
      </c>
      <c r="C15" s="27" t="s">
        <v>274</v>
      </c>
      <c r="D15" s="162" t="s">
        <v>275</v>
      </c>
      <c r="E15" s="162" t="s">
        <v>165</v>
      </c>
      <c r="F15" s="162" t="s">
        <v>276</v>
      </c>
      <c r="G15" s="27">
        <v>15180601470</v>
      </c>
      <c r="H15" s="162" t="s">
        <v>277</v>
      </c>
      <c r="I15" s="162" t="s">
        <v>278</v>
      </c>
      <c r="J15" s="162" t="s">
        <v>28</v>
      </c>
      <c r="K15" s="27">
        <v>202103001</v>
      </c>
      <c r="L15" s="162" t="s">
        <v>279</v>
      </c>
      <c r="M15" s="162" t="s">
        <v>233</v>
      </c>
      <c r="N15" s="162" t="s">
        <v>280</v>
      </c>
      <c r="O15" s="162" t="s">
        <v>170</v>
      </c>
      <c r="P15" s="162" t="s">
        <v>281</v>
      </c>
      <c r="Q15" s="162" t="s">
        <v>280</v>
      </c>
      <c r="R15" s="162" t="s">
        <v>282</v>
      </c>
      <c r="S15" s="118" t="str">
        <f>_xlfn.DISPIMG("ID_B65C52FC26C14A83A9F7B47ADDC75EF7",1)</f>
        <v>=DISPIMG("ID_B65C52FC26C14A83A9F7B47ADDC75EF7",1)</v>
      </c>
      <c r="T15" s="115" t="s">
        <v>283</v>
      </c>
      <c r="U15" s="27">
        <v>15</v>
      </c>
    </row>
    <row r="16" s="3" customFormat="1" customHeight="1" spans="1:21">
      <c r="A16" s="144">
        <v>44357.4322453704</v>
      </c>
      <c r="B16" s="27" t="s">
        <v>284</v>
      </c>
      <c r="C16" s="27" t="s">
        <v>285</v>
      </c>
      <c r="D16" s="162" t="s">
        <v>286</v>
      </c>
      <c r="E16" s="162" t="s">
        <v>153</v>
      </c>
      <c r="F16" s="162" t="s">
        <v>287</v>
      </c>
      <c r="G16" s="27">
        <v>18755672832</v>
      </c>
      <c r="H16" s="162" t="s">
        <v>288</v>
      </c>
      <c r="I16" s="162" t="s">
        <v>156</v>
      </c>
      <c r="J16" s="162" t="s">
        <v>5</v>
      </c>
      <c r="K16" s="27">
        <v>202102008</v>
      </c>
      <c r="L16" s="162" t="s">
        <v>157</v>
      </c>
      <c r="M16" s="162" t="s">
        <v>289</v>
      </c>
      <c r="N16" s="162" t="s">
        <v>290</v>
      </c>
      <c r="O16" s="162" t="s">
        <v>170</v>
      </c>
      <c r="P16" s="162" t="s">
        <v>261</v>
      </c>
      <c r="Q16" s="162" t="s">
        <v>5</v>
      </c>
      <c r="R16" s="27">
        <v>0</v>
      </c>
      <c r="S16" s="118" t="str">
        <f>_xlfn.DISPIMG("ID_5BB4AA0F377240A584934BCE0D4B941B",1)</f>
        <v>=DISPIMG("ID_5BB4AA0F377240A584934BCE0D4B941B",1)</v>
      </c>
      <c r="T16" s="115" t="s">
        <v>291</v>
      </c>
      <c r="U16" s="27">
        <v>16</v>
      </c>
    </row>
    <row r="17" s="3" customFormat="1" customHeight="1" spans="1:21">
      <c r="A17" s="144">
        <v>44357.4330787037</v>
      </c>
      <c r="B17" s="27" t="s">
        <v>292</v>
      </c>
      <c r="C17" s="27" t="s">
        <v>293</v>
      </c>
      <c r="D17" s="162" t="s">
        <v>294</v>
      </c>
      <c r="E17" s="162" t="s">
        <v>165</v>
      </c>
      <c r="F17" s="162" t="s">
        <v>295</v>
      </c>
      <c r="G17" s="27">
        <v>18214938323</v>
      </c>
      <c r="H17" s="162" t="s">
        <v>296</v>
      </c>
      <c r="I17" s="162" t="s">
        <v>297</v>
      </c>
      <c r="J17" s="162" t="s">
        <v>25</v>
      </c>
      <c r="K17" s="27">
        <v>202101008</v>
      </c>
      <c r="L17" s="162" t="s">
        <v>157</v>
      </c>
      <c r="M17" s="162" t="s">
        <v>178</v>
      </c>
      <c r="N17" s="162" t="s">
        <v>298</v>
      </c>
      <c r="O17" s="162" t="s">
        <v>160</v>
      </c>
      <c r="P17" s="162" t="s">
        <v>261</v>
      </c>
      <c r="Q17" s="162" t="s">
        <v>25</v>
      </c>
      <c r="R17" s="27">
        <v>0</v>
      </c>
      <c r="S17" s="118" t="str">
        <f>_xlfn.DISPIMG("ID_60CDE70AF1564D1B99D89BFC637EF6FF",1)</f>
        <v>=DISPIMG("ID_60CDE70AF1564D1B99D89BFC637EF6FF",1)</v>
      </c>
      <c r="T17" s="115" t="s">
        <v>299</v>
      </c>
      <c r="U17" s="27">
        <v>17</v>
      </c>
    </row>
    <row r="18" s="3" customFormat="1" customHeight="1" spans="1:21">
      <c r="A18" s="144">
        <v>44357.4354513889</v>
      </c>
      <c r="B18" s="27" t="s">
        <v>300</v>
      </c>
      <c r="C18" s="27" t="s">
        <v>301</v>
      </c>
      <c r="D18" s="162" t="s">
        <v>302</v>
      </c>
      <c r="E18" s="162" t="s">
        <v>165</v>
      </c>
      <c r="F18" s="162" t="s">
        <v>303</v>
      </c>
      <c r="G18" s="27">
        <v>18270729426</v>
      </c>
      <c r="H18" s="162" t="s">
        <v>304</v>
      </c>
      <c r="I18" s="162" t="s">
        <v>156</v>
      </c>
      <c r="J18" s="162" t="s">
        <v>13</v>
      </c>
      <c r="K18" s="27">
        <v>202102003</v>
      </c>
      <c r="L18" s="162" t="s">
        <v>157</v>
      </c>
      <c r="M18" s="162" t="s">
        <v>305</v>
      </c>
      <c r="N18" s="162" t="s">
        <v>179</v>
      </c>
      <c r="O18" s="162" t="s">
        <v>170</v>
      </c>
      <c r="P18" s="162" t="s">
        <v>306</v>
      </c>
      <c r="Q18" s="162" t="s">
        <v>307</v>
      </c>
      <c r="R18" s="162" t="s">
        <v>308</v>
      </c>
      <c r="S18" s="118" t="str">
        <f>_xlfn.DISPIMG("ID_BFA65A737AA14FBDAE88EFBDD5E2990B",1)</f>
        <v>=DISPIMG("ID_BFA65A737AA14FBDAE88EFBDD5E2990B",1)</v>
      </c>
      <c r="T18" s="115" t="s">
        <v>309</v>
      </c>
      <c r="U18" s="27">
        <v>18</v>
      </c>
    </row>
    <row r="19" s="3" customFormat="1" customHeight="1" spans="1:21">
      <c r="A19" s="144">
        <v>44358.440150463</v>
      </c>
      <c r="B19" s="27" t="s">
        <v>310</v>
      </c>
      <c r="C19" s="27" t="s">
        <v>311</v>
      </c>
      <c r="D19" s="162" t="s">
        <v>312</v>
      </c>
      <c r="E19" s="162" t="s">
        <v>165</v>
      </c>
      <c r="F19" s="162" t="s">
        <v>313</v>
      </c>
      <c r="G19" s="27">
        <v>13479263942</v>
      </c>
      <c r="H19" s="162" t="s">
        <v>314</v>
      </c>
      <c r="I19" s="162" t="s">
        <v>297</v>
      </c>
      <c r="J19" s="162" t="s">
        <v>25</v>
      </c>
      <c r="K19" s="27">
        <v>202101008</v>
      </c>
      <c r="L19" s="162" t="s">
        <v>157</v>
      </c>
      <c r="M19" s="162" t="s">
        <v>158</v>
      </c>
      <c r="N19" s="162" t="s">
        <v>223</v>
      </c>
      <c r="O19" s="162" t="s">
        <v>170</v>
      </c>
      <c r="P19" s="162" t="s">
        <v>306</v>
      </c>
      <c r="Q19" s="162" t="s">
        <v>315</v>
      </c>
      <c r="R19" s="162" t="s">
        <v>316</v>
      </c>
      <c r="S19" s="118" t="str">
        <f>_xlfn.DISPIMG("ID_70953AC2E42945A88FA3E573D09D6D1B",1)</f>
        <v>=DISPIMG("ID_70953AC2E42945A88FA3E573D09D6D1B",1)</v>
      </c>
      <c r="T19" s="115" t="s">
        <v>317</v>
      </c>
      <c r="U19" s="27">
        <v>19</v>
      </c>
    </row>
    <row r="20" s="3" customFormat="1" customHeight="1" spans="1:21">
      <c r="A20" s="144">
        <v>44357.4402546296</v>
      </c>
      <c r="B20" s="27" t="s">
        <v>318</v>
      </c>
      <c r="C20" s="27" t="s">
        <v>319</v>
      </c>
      <c r="D20" s="162" t="s">
        <v>319</v>
      </c>
      <c r="E20" s="162" t="s">
        <v>165</v>
      </c>
      <c r="F20" s="162" t="s">
        <v>320</v>
      </c>
      <c r="G20" s="27">
        <v>18679938518</v>
      </c>
      <c r="H20" s="162" t="s">
        <v>321</v>
      </c>
      <c r="I20" s="162" t="s">
        <v>156</v>
      </c>
      <c r="J20" s="162" t="s">
        <v>6</v>
      </c>
      <c r="K20" s="27">
        <v>202102012</v>
      </c>
      <c r="L20" s="162" t="s">
        <v>157</v>
      </c>
      <c r="M20" s="162" t="s">
        <v>322</v>
      </c>
      <c r="N20" s="162" t="s">
        <v>323</v>
      </c>
      <c r="O20" s="162" t="s">
        <v>170</v>
      </c>
      <c r="P20" s="162" t="s">
        <v>180</v>
      </c>
      <c r="Q20" s="162" t="s">
        <v>324</v>
      </c>
      <c r="R20" s="162" t="s">
        <v>325</v>
      </c>
      <c r="S20" s="118" t="str">
        <f>_xlfn.DISPIMG("ID_7D94F98EB3D041FA910044FDF5DF1027",1)</f>
        <v>=DISPIMG("ID_7D94F98EB3D041FA910044FDF5DF1027",1)</v>
      </c>
      <c r="T20" s="115" t="s">
        <v>326</v>
      </c>
      <c r="U20" s="27">
        <v>20</v>
      </c>
    </row>
    <row r="21" s="3" customFormat="1" customHeight="1" spans="1:21">
      <c r="A21" s="144">
        <v>44357.4448958333</v>
      </c>
      <c r="B21" s="27" t="s">
        <v>327</v>
      </c>
      <c r="C21" s="27" t="s">
        <v>328</v>
      </c>
      <c r="D21" s="162" t="s">
        <v>329</v>
      </c>
      <c r="E21" s="162" t="s">
        <v>165</v>
      </c>
      <c r="F21" s="162" t="s">
        <v>330</v>
      </c>
      <c r="G21" s="27">
        <v>13635987780</v>
      </c>
      <c r="H21" s="162" t="s">
        <v>331</v>
      </c>
      <c r="I21" s="162" t="s">
        <v>156</v>
      </c>
      <c r="J21" s="162" t="s">
        <v>3</v>
      </c>
      <c r="K21" s="27">
        <v>202102009</v>
      </c>
      <c r="L21" s="162" t="s">
        <v>157</v>
      </c>
      <c r="M21" s="162" t="s">
        <v>332</v>
      </c>
      <c r="N21" s="162" t="s">
        <v>333</v>
      </c>
      <c r="O21" s="162" t="s">
        <v>160</v>
      </c>
      <c r="P21" s="162" t="s">
        <v>199</v>
      </c>
      <c r="Q21" s="162" t="s">
        <v>3</v>
      </c>
      <c r="R21" s="27">
        <v>0</v>
      </c>
      <c r="S21" s="118" t="str">
        <f>_xlfn.DISPIMG("ID_66E2A8C103C040BCBC4789F49E6E9C74",1)</f>
        <v>=DISPIMG("ID_66E2A8C103C040BCBC4789F49E6E9C74",1)</v>
      </c>
      <c r="T21" s="115" t="s">
        <v>334</v>
      </c>
      <c r="U21" s="27">
        <v>21</v>
      </c>
    </row>
    <row r="22" s="3" customFormat="1" customHeight="1" spans="1:21">
      <c r="A22" s="144">
        <v>44357.4480902778</v>
      </c>
      <c r="B22" s="27" t="s">
        <v>335</v>
      </c>
      <c r="C22" s="27" t="s">
        <v>336</v>
      </c>
      <c r="D22" s="162" t="s">
        <v>336</v>
      </c>
      <c r="E22" s="162" t="s">
        <v>165</v>
      </c>
      <c r="F22" s="162" t="s">
        <v>337</v>
      </c>
      <c r="G22" s="27">
        <v>18397927213</v>
      </c>
      <c r="H22" s="162" t="s">
        <v>338</v>
      </c>
      <c r="I22" s="162" t="s">
        <v>278</v>
      </c>
      <c r="J22" s="162" t="s">
        <v>28</v>
      </c>
      <c r="K22" s="27">
        <v>202103001</v>
      </c>
      <c r="L22" s="162" t="s">
        <v>279</v>
      </c>
      <c r="M22" s="162" t="s">
        <v>339</v>
      </c>
      <c r="N22" s="162" t="s">
        <v>280</v>
      </c>
      <c r="O22" s="162" t="s">
        <v>170</v>
      </c>
      <c r="P22" s="162" t="s">
        <v>180</v>
      </c>
      <c r="Q22" s="162" t="s">
        <v>340</v>
      </c>
      <c r="R22" s="162" t="s">
        <v>341</v>
      </c>
      <c r="S22" s="118" t="str">
        <f>_xlfn.DISPIMG("ID_FA546082303144F6A5FD61F335F92D18",1)</f>
        <v>=DISPIMG("ID_FA546082303144F6A5FD61F335F92D18",1)</v>
      </c>
      <c r="T22" s="115" t="s">
        <v>342</v>
      </c>
      <c r="U22" s="27">
        <v>22</v>
      </c>
    </row>
    <row r="23" s="3" customFormat="1" customHeight="1" spans="1:21">
      <c r="A23" s="144">
        <v>44357.4487615741</v>
      </c>
      <c r="B23" s="27" t="s">
        <v>343</v>
      </c>
      <c r="C23" s="27" t="s">
        <v>344</v>
      </c>
      <c r="D23" s="162" t="s">
        <v>345</v>
      </c>
      <c r="E23" s="162" t="s">
        <v>165</v>
      </c>
      <c r="F23" s="162" t="s">
        <v>346</v>
      </c>
      <c r="G23" s="27">
        <v>15179246525</v>
      </c>
      <c r="H23" s="162" t="s">
        <v>347</v>
      </c>
      <c r="I23" s="162" t="s">
        <v>156</v>
      </c>
      <c r="J23" s="162" t="s">
        <v>14</v>
      </c>
      <c r="K23" s="27">
        <v>202102001</v>
      </c>
      <c r="L23" s="162" t="s">
        <v>279</v>
      </c>
      <c r="M23" s="162" t="s">
        <v>158</v>
      </c>
      <c r="N23" s="162" t="s">
        <v>348</v>
      </c>
      <c r="O23" s="162" t="s">
        <v>170</v>
      </c>
      <c r="P23" s="162" t="s">
        <v>349</v>
      </c>
      <c r="Q23" s="162" t="s">
        <v>350</v>
      </c>
      <c r="R23" s="162" t="s">
        <v>351</v>
      </c>
      <c r="S23" s="118" t="str">
        <f>_xlfn.DISPIMG("ID_0FE66397D3464536A23D26C93FD62495",1)</f>
        <v>=DISPIMG("ID_0FE66397D3464536A23D26C93FD62495",1)</v>
      </c>
      <c r="T23" s="115" t="s">
        <v>352</v>
      </c>
      <c r="U23" s="27">
        <v>23</v>
      </c>
    </row>
    <row r="24" s="3" customFormat="1" customHeight="1" spans="1:21">
      <c r="A24" s="144">
        <v>44357.4490162037</v>
      </c>
      <c r="B24" s="27" t="s">
        <v>353</v>
      </c>
      <c r="C24" s="27" t="s">
        <v>354</v>
      </c>
      <c r="D24" s="162" t="s">
        <v>355</v>
      </c>
      <c r="E24" s="162" t="s">
        <v>165</v>
      </c>
      <c r="F24" s="162" t="s">
        <v>356</v>
      </c>
      <c r="G24" s="27">
        <v>18311315751</v>
      </c>
      <c r="H24" s="162" t="s">
        <v>357</v>
      </c>
      <c r="I24" s="162" t="s">
        <v>156</v>
      </c>
      <c r="J24" s="162" t="s">
        <v>13</v>
      </c>
      <c r="K24" s="27">
        <v>202102003</v>
      </c>
      <c r="L24" s="162" t="s">
        <v>157</v>
      </c>
      <c r="M24" s="162" t="s">
        <v>358</v>
      </c>
      <c r="N24" s="162" t="s">
        <v>179</v>
      </c>
      <c r="O24" s="162" t="s">
        <v>160</v>
      </c>
      <c r="P24" s="162" t="s">
        <v>306</v>
      </c>
      <c r="Q24" s="162" t="s">
        <v>359</v>
      </c>
      <c r="R24" s="162" t="s">
        <v>360</v>
      </c>
      <c r="S24" s="118" t="str">
        <f>_xlfn.DISPIMG("ID_FD9EEFBCD596495DACB8A95ACD5E222F",1)</f>
        <v>=DISPIMG("ID_FD9EEFBCD596495DACB8A95ACD5E222F",1)</v>
      </c>
      <c r="T24" s="115" t="s">
        <v>361</v>
      </c>
      <c r="U24" s="27">
        <v>24</v>
      </c>
    </row>
    <row r="25" s="3" customFormat="1" customHeight="1" spans="1:21">
      <c r="A25" s="144">
        <v>44357.4544675926</v>
      </c>
      <c r="B25" s="27" t="s">
        <v>362</v>
      </c>
      <c r="C25" s="27" t="s">
        <v>363</v>
      </c>
      <c r="D25" s="162" t="s">
        <v>364</v>
      </c>
      <c r="E25" s="162" t="s">
        <v>153</v>
      </c>
      <c r="F25" s="162" t="s">
        <v>365</v>
      </c>
      <c r="G25" s="27">
        <v>15879225309</v>
      </c>
      <c r="H25" s="162" t="s">
        <v>366</v>
      </c>
      <c r="I25" s="162" t="s">
        <v>156</v>
      </c>
      <c r="J25" s="162" t="s">
        <v>14</v>
      </c>
      <c r="K25" s="27">
        <v>202102001</v>
      </c>
      <c r="L25" s="162" t="s">
        <v>157</v>
      </c>
      <c r="M25" s="162" t="s">
        <v>367</v>
      </c>
      <c r="N25" s="162" t="s">
        <v>348</v>
      </c>
      <c r="O25" s="162" t="s">
        <v>170</v>
      </c>
      <c r="P25" s="162" t="s">
        <v>368</v>
      </c>
      <c r="Q25" s="162" t="s">
        <v>14</v>
      </c>
      <c r="R25" s="162" t="s">
        <v>369</v>
      </c>
      <c r="S25" s="118" t="str">
        <f>_xlfn.DISPIMG("ID_08B1C5991BF641D590EC606BAB378CA1",1)</f>
        <v>=DISPIMG("ID_08B1C5991BF641D590EC606BAB378CA1",1)</v>
      </c>
      <c r="T25" s="115" t="s">
        <v>370</v>
      </c>
      <c r="U25" s="27">
        <v>25</v>
      </c>
    </row>
    <row r="26" s="3" customFormat="1" customHeight="1" spans="1:21">
      <c r="A26" s="144">
        <v>44357.4574652778</v>
      </c>
      <c r="B26" s="27" t="s">
        <v>371</v>
      </c>
      <c r="C26" s="27" t="s">
        <v>372</v>
      </c>
      <c r="D26" s="162" t="s">
        <v>373</v>
      </c>
      <c r="E26" s="162" t="s">
        <v>165</v>
      </c>
      <c r="F26" s="162" t="s">
        <v>374</v>
      </c>
      <c r="G26" s="27">
        <v>15170964571</v>
      </c>
      <c r="H26" s="162" t="s">
        <v>375</v>
      </c>
      <c r="I26" s="162" t="s">
        <v>278</v>
      </c>
      <c r="J26" s="162" t="s">
        <v>28</v>
      </c>
      <c r="K26" s="27">
        <v>202103001</v>
      </c>
      <c r="L26" s="162" t="s">
        <v>279</v>
      </c>
      <c r="M26" s="162" t="s">
        <v>367</v>
      </c>
      <c r="N26" s="162" t="s">
        <v>280</v>
      </c>
      <c r="O26" s="162" t="s">
        <v>170</v>
      </c>
      <c r="P26" s="162" t="s">
        <v>224</v>
      </c>
      <c r="Q26" s="162" t="s">
        <v>376</v>
      </c>
      <c r="R26" s="162" t="s">
        <v>377</v>
      </c>
      <c r="S26" s="118" t="str">
        <f>_xlfn.DISPIMG("ID_C8327FEC732A4CC39200F90994F97069",1)</f>
        <v>=DISPIMG("ID_C8327FEC732A4CC39200F90994F97069",1)</v>
      </c>
      <c r="T26" s="115" t="s">
        <v>378</v>
      </c>
      <c r="U26" s="27">
        <v>26</v>
      </c>
    </row>
    <row r="27" s="3" customFormat="1" customHeight="1" spans="1:21">
      <c r="A27" s="144">
        <v>44357.4609143519</v>
      </c>
      <c r="B27" s="27" t="s">
        <v>379</v>
      </c>
      <c r="C27" s="27" t="s">
        <v>380</v>
      </c>
      <c r="D27" s="162" t="s">
        <v>381</v>
      </c>
      <c r="E27" s="162" t="s">
        <v>165</v>
      </c>
      <c r="F27" s="162" t="s">
        <v>382</v>
      </c>
      <c r="G27" s="27">
        <v>15180106412</v>
      </c>
      <c r="H27" s="162" t="s">
        <v>383</v>
      </c>
      <c r="I27" s="162" t="s">
        <v>384</v>
      </c>
      <c r="J27" s="162" t="s">
        <v>25</v>
      </c>
      <c r="K27" s="27">
        <v>202101007</v>
      </c>
      <c r="L27" s="162" t="s">
        <v>157</v>
      </c>
      <c r="M27" s="162" t="s">
        <v>385</v>
      </c>
      <c r="N27" s="162" t="s">
        <v>386</v>
      </c>
      <c r="O27" s="162" t="s">
        <v>170</v>
      </c>
      <c r="P27" s="162" t="s">
        <v>216</v>
      </c>
      <c r="Q27" s="162" t="s">
        <v>25</v>
      </c>
      <c r="R27" s="162" t="s">
        <v>387</v>
      </c>
      <c r="S27" s="118" t="str">
        <f>_xlfn.DISPIMG("ID_66D69597049F4F76B0A0201065CACE75",1)</f>
        <v>=DISPIMG("ID_66D69597049F4F76B0A0201065CACE75",1)</v>
      </c>
      <c r="T27" s="115" t="s">
        <v>388</v>
      </c>
      <c r="U27" s="27">
        <v>27</v>
      </c>
    </row>
    <row r="28" s="3" customFormat="1" customHeight="1" spans="1:21">
      <c r="A28" s="144">
        <v>44357.4618055556</v>
      </c>
      <c r="B28" s="27" t="s">
        <v>389</v>
      </c>
      <c r="C28" s="27" t="s">
        <v>390</v>
      </c>
      <c r="D28" s="162" t="s">
        <v>391</v>
      </c>
      <c r="E28" s="162" t="s">
        <v>165</v>
      </c>
      <c r="F28" s="162" t="s">
        <v>392</v>
      </c>
      <c r="G28" s="27">
        <v>17620119411</v>
      </c>
      <c r="H28" s="162" t="s">
        <v>393</v>
      </c>
      <c r="I28" s="162" t="s">
        <v>156</v>
      </c>
      <c r="J28" s="162" t="s">
        <v>15</v>
      </c>
      <c r="K28" s="27">
        <v>202102007</v>
      </c>
      <c r="L28" s="162" t="s">
        <v>157</v>
      </c>
      <c r="M28" s="162" t="s">
        <v>394</v>
      </c>
      <c r="N28" s="162" t="s">
        <v>395</v>
      </c>
      <c r="O28" s="162" t="s">
        <v>160</v>
      </c>
      <c r="P28" s="162" t="s">
        <v>396</v>
      </c>
      <c r="Q28" s="162" t="s">
        <v>15</v>
      </c>
      <c r="R28" s="27">
        <v>0</v>
      </c>
      <c r="S28" s="118" t="str">
        <f>_xlfn.DISPIMG("ID_EBB3EDBB16514C57957D178C829CE459",1)</f>
        <v>=DISPIMG("ID_EBB3EDBB16514C57957D178C829CE459",1)</v>
      </c>
      <c r="T28" s="115" t="s">
        <v>397</v>
      </c>
      <c r="U28" s="27">
        <v>28</v>
      </c>
    </row>
    <row r="29" s="3" customFormat="1" customHeight="1" spans="1:21">
      <c r="A29" s="144">
        <v>44357.4618634259</v>
      </c>
      <c r="B29" s="27" t="s">
        <v>398</v>
      </c>
      <c r="C29" s="27" t="s">
        <v>399</v>
      </c>
      <c r="D29" s="162" t="s">
        <v>400</v>
      </c>
      <c r="E29" s="162" t="s">
        <v>165</v>
      </c>
      <c r="F29" s="162" t="s">
        <v>401</v>
      </c>
      <c r="G29" s="27">
        <v>18279242907</v>
      </c>
      <c r="H29" s="162" t="s">
        <v>402</v>
      </c>
      <c r="I29" s="162" t="s">
        <v>156</v>
      </c>
      <c r="J29" s="162" t="s">
        <v>6</v>
      </c>
      <c r="K29" s="27">
        <v>202102012</v>
      </c>
      <c r="L29" s="162" t="s">
        <v>157</v>
      </c>
      <c r="M29" s="162" t="s">
        <v>403</v>
      </c>
      <c r="N29" s="162" t="s">
        <v>404</v>
      </c>
      <c r="O29" s="162" t="s">
        <v>160</v>
      </c>
      <c r="P29" s="162" t="s">
        <v>252</v>
      </c>
      <c r="Q29" s="162" t="s">
        <v>6</v>
      </c>
      <c r="R29" s="162" t="s">
        <v>405</v>
      </c>
      <c r="S29" s="118" t="str">
        <f>_xlfn.DISPIMG("ID_CF4959AF4AC44C8391DB8D257F1D8B87",1)</f>
        <v>=DISPIMG("ID_CF4959AF4AC44C8391DB8D257F1D8B87",1)</v>
      </c>
      <c r="T29" s="115" t="s">
        <v>406</v>
      </c>
      <c r="U29" s="27">
        <v>29</v>
      </c>
    </row>
    <row r="30" s="3" customFormat="1" customHeight="1" spans="1:21">
      <c r="A30" s="144">
        <v>44357.4638773148</v>
      </c>
      <c r="B30" s="27" t="s">
        <v>407</v>
      </c>
      <c r="C30" s="27" t="s">
        <v>408</v>
      </c>
      <c r="D30" s="162" t="s">
        <v>409</v>
      </c>
      <c r="E30" s="162" t="s">
        <v>153</v>
      </c>
      <c r="F30" s="162" t="s">
        <v>410</v>
      </c>
      <c r="G30" s="27">
        <v>13177702893</v>
      </c>
      <c r="H30" s="162" t="s">
        <v>411</v>
      </c>
      <c r="I30" s="162" t="s">
        <v>156</v>
      </c>
      <c r="J30" s="162" t="s">
        <v>6</v>
      </c>
      <c r="K30" s="27">
        <v>202102012</v>
      </c>
      <c r="L30" s="162" t="s">
        <v>157</v>
      </c>
      <c r="M30" s="162" t="s">
        <v>412</v>
      </c>
      <c r="N30" s="162" t="s">
        <v>323</v>
      </c>
      <c r="O30" s="162" t="s">
        <v>170</v>
      </c>
      <c r="P30" s="162" t="s">
        <v>252</v>
      </c>
      <c r="Q30" s="162" t="s">
        <v>413</v>
      </c>
      <c r="R30" s="162" t="s">
        <v>414</v>
      </c>
      <c r="S30" s="118" t="str">
        <f>_xlfn.DISPIMG("ID_C929C0A6F3B54FF18F2B98BE28643203",1)</f>
        <v>=DISPIMG("ID_C929C0A6F3B54FF18F2B98BE28643203",1)</v>
      </c>
      <c r="T30" s="115" t="s">
        <v>415</v>
      </c>
      <c r="U30" s="27">
        <v>30</v>
      </c>
    </row>
    <row r="31" s="3" customFormat="1" customHeight="1" spans="1:21">
      <c r="A31" s="144">
        <v>44357.4645833333</v>
      </c>
      <c r="B31" s="27" t="s">
        <v>416</v>
      </c>
      <c r="C31" s="27" t="s">
        <v>417</v>
      </c>
      <c r="D31" s="162" t="s">
        <v>418</v>
      </c>
      <c r="E31" s="162" t="s">
        <v>165</v>
      </c>
      <c r="F31" s="162" t="s">
        <v>419</v>
      </c>
      <c r="G31" s="27">
        <v>13870260927</v>
      </c>
      <c r="H31" s="162" t="s">
        <v>420</v>
      </c>
      <c r="I31" s="162" t="s">
        <v>278</v>
      </c>
      <c r="J31" s="162" t="s">
        <v>28</v>
      </c>
      <c r="K31" s="27">
        <v>202103001</v>
      </c>
      <c r="L31" s="162" t="s">
        <v>279</v>
      </c>
      <c r="M31" s="162" t="s">
        <v>367</v>
      </c>
      <c r="N31" s="162" t="s">
        <v>280</v>
      </c>
      <c r="O31" s="162" t="s">
        <v>170</v>
      </c>
      <c r="P31" s="162" t="s">
        <v>224</v>
      </c>
      <c r="Q31" s="162" t="s">
        <v>28</v>
      </c>
      <c r="R31" s="162" t="s">
        <v>421</v>
      </c>
      <c r="S31" s="118" t="str">
        <f>_xlfn.DISPIMG("ID_37FC201A56874EEA918314432BBE8D22",1)</f>
        <v>=DISPIMG("ID_37FC201A56874EEA918314432BBE8D22",1)</v>
      </c>
      <c r="T31" s="115" t="s">
        <v>422</v>
      </c>
      <c r="U31" s="27">
        <v>31</v>
      </c>
    </row>
    <row r="32" s="3" customFormat="1" customHeight="1" spans="1:21">
      <c r="A32" s="144">
        <v>44357.4694791667</v>
      </c>
      <c r="B32" s="27" t="s">
        <v>423</v>
      </c>
      <c r="C32" s="27" t="s">
        <v>424</v>
      </c>
      <c r="D32" s="162" t="s">
        <v>425</v>
      </c>
      <c r="E32" s="162" t="s">
        <v>165</v>
      </c>
      <c r="F32" s="162" t="s">
        <v>426</v>
      </c>
      <c r="G32" s="27">
        <v>18720147865</v>
      </c>
      <c r="H32" s="162" t="s">
        <v>427</v>
      </c>
      <c r="I32" s="162" t="s">
        <v>297</v>
      </c>
      <c r="J32" s="162" t="s">
        <v>29</v>
      </c>
      <c r="K32" s="27">
        <v>202101008</v>
      </c>
      <c r="L32" s="162" t="s">
        <v>157</v>
      </c>
      <c r="M32" s="162" t="s">
        <v>428</v>
      </c>
      <c r="N32" s="162" t="s">
        <v>429</v>
      </c>
      <c r="O32" s="162" t="s">
        <v>160</v>
      </c>
      <c r="P32" s="162" t="s">
        <v>235</v>
      </c>
      <c r="Q32" s="162" t="s">
        <v>430</v>
      </c>
      <c r="R32" s="27">
        <v>0</v>
      </c>
      <c r="S32" s="118" t="str">
        <f>_xlfn.DISPIMG("ID_9C21E529A1D946A49AECBF1B4E991CC9",1)</f>
        <v>=DISPIMG("ID_9C21E529A1D946A49AECBF1B4E991CC9",1)</v>
      </c>
      <c r="T32" s="115" t="s">
        <v>431</v>
      </c>
      <c r="U32" s="27">
        <v>32</v>
      </c>
    </row>
    <row r="33" s="3" customFormat="1" customHeight="1" spans="1:21">
      <c r="A33" s="144">
        <v>44357.4702199074</v>
      </c>
      <c r="B33" s="27" t="s">
        <v>432</v>
      </c>
      <c r="C33" s="27" t="s">
        <v>433</v>
      </c>
      <c r="D33" s="162" t="s">
        <v>434</v>
      </c>
      <c r="E33" s="162" t="s">
        <v>165</v>
      </c>
      <c r="F33" s="162" t="s">
        <v>435</v>
      </c>
      <c r="G33" s="27">
        <v>18707020389</v>
      </c>
      <c r="H33" s="162" t="s">
        <v>436</v>
      </c>
      <c r="I33" s="162" t="s">
        <v>156</v>
      </c>
      <c r="J33" s="162" t="s">
        <v>13</v>
      </c>
      <c r="K33" s="27">
        <v>202102003</v>
      </c>
      <c r="L33" s="162" t="s">
        <v>157</v>
      </c>
      <c r="M33" s="162" t="s">
        <v>437</v>
      </c>
      <c r="N33" s="162" t="s">
        <v>179</v>
      </c>
      <c r="O33" s="162" t="s">
        <v>160</v>
      </c>
      <c r="P33" s="162" t="s">
        <v>161</v>
      </c>
      <c r="Q33" s="162" t="s">
        <v>13</v>
      </c>
      <c r="R33" s="162" t="s">
        <v>438</v>
      </c>
      <c r="S33" s="118" t="str">
        <f>_xlfn.DISPIMG("ID_A9E5DA8466964C2D98F0B0FFCCE562D8",1)</f>
        <v>=DISPIMG("ID_A9E5DA8466964C2D98F0B0FFCCE562D8",1)</v>
      </c>
      <c r="T33" s="115" t="s">
        <v>439</v>
      </c>
      <c r="U33" s="27">
        <v>33</v>
      </c>
    </row>
    <row r="34" s="3" customFormat="1" customHeight="1" spans="1:21">
      <c r="A34" s="144">
        <v>44357.4710069444</v>
      </c>
      <c r="B34" s="27" t="s">
        <v>440</v>
      </c>
      <c r="C34" s="27" t="s">
        <v>408</v>
      </c>
      <c r="D34" s="162" t="s">
        <v>441</v>
      </c>
      <c r="E34" s="162" t="s">
        <v>165</v>
      </c>
      <c r="F34" s="162" t="s">
        <v>442</v>
      </c>
      <c r="G34" s="27">
        <v>15172397471</v>
      </c>
      <c r="H34" s="162" t="s">
        <v>443</v>
      </c>
      <c r="I34" s="162" t="s">
        <v>156</v>
      </c>
      <c r="J34" s="162" t="s">
        <v>12</v>
      </c>
      <c r="K34" s="27">
        <v>202102010</v>
      </c>
      <c r="L34" s="162" t="s">
        <v>157</v>
      </c>
      <c r="M34" s="162" t="s">
        <v>444</v>
      </c>
      <c r="N34" s="162" t="s">
        <v>445</v>
      </c>
      <c r="O34" s="162" t="s">
        <v>160</v>
      </c>
      <c r="P34" s="162" t="s">
        <v>252</v>
      </c>
      <c r="Q34" s="162" t="s">
        <v>446</v>
      </c>
      <c r="R34" s="162" t="s">
        <v>447</v>
      </c>
      <c r="S34" s="118" t="str">
        <f>_xlfn.DISPIMG("ID_8FDFD8CDACA94911BFEF3051E2235221",1)</f>
        <v>=DISPIMG("ID_8FDFD8CDACA94911BFEF3051E2235221",1)</v>
      </c>
      <c r="T34" s="115" t="s">
        <v>448</v>
      </c>
      <c r="U34" s="27">
        <v>34</v>
      </c>
    </row>
    <row r="35" s="3" customFormat="1" customHeight="1" spans="1:21">
      <c r="A35" s="144">
        <v>44357.4720138889</v>
      </c>
      <c r="B35" s="27" t="s">
        <v>449</v>
      </c>
      <c r="C35" s="27" t="s">
        <v>450</v>
      </c>
      <c r="D35" s="162" t="s">
        <v>451</v>
      </c>
      <c r="E35" s="162" t="s">
        <v>165</v>
      </c>
      <c r="F35" s="162" t="s">
        <v>452</v>
      </c>
      <c r="G35" s="27">
        <v>15870856801</v>
      </c>
      <c r="H35" s="162" t="s">
        <v>453</v>
      </c>
      <c r="I35" s="162" t="s">
        <v>156</v>
      </c>
      <c r="J35" s="162" t="s">
        <v>14</v>
      </c>
      <c r="K35" s="27">
        <v>202102001</v>
      </c>
      <c r="L35" s="162" t="s">
        <v>157</v>
      </c>
      <c r="M35" s="162" t="s">
        <v>158</v>
      </c>
      <c r="N35" s="162" t="s">
        <v>454</v>
      </c>
      <c r="O35" s="162" t="s">
        <v>170</v>
      </c>
      <c r="P35" s="162" t="s">
        <v>455</v>
      </c>
      <c r="Q35" s="162" t="s">
        <v>14</v>
      </c>
      <c r="R35" s="27">
        <v>0</v>
      </c>
      <c r="S35" s="118" t="str">
        <f>_xlfn.DISPIMG("ID_B55181394FEF4B858E10F092AB43BFBB",1)</f>
        <v>=DISPIMG("ID_B55181394FEF4B858E10F092AB43BFBB",1)</v>
      </c>
      <c r="T35" s="115" t="s">
        <v>456</v>
      </c>
      <c r="U35" s="27">
        <v>35</v>
      </c>
    </row>
    <row r="36" s="3" customFormat="1" customHeight="1" spans="1:21">
      <c r="A36" s="144">
        <v>44357.4762268519</v>
      </c>
      <c r="B36" s="27" t="s">
        <v>457</v>
      </c>
      <c r="C36" s="27" t="s">
        <v>458</v>
      </c>
      <c r="D36" s="162" t="s">
        <v>459</v>
      </c>
      <c r="E36" s="162" t="s">
        <v>153</v>
      </c>
      <c r="F36" s="162" t="s">
        <v>460</v>
      </c>
      <c r="G36" s="27">
        <v>13265072773</v>
      </c>
      <c r="H36" s="162" t="s">
        <v>461</v>
      </c>
      <c r="I36" s="162" t="s">
        <v>156</v>
      </c>
      <c r="J36" s="162" t="s">
        <v>9</v>
      </c>
      <c r="K36" s="27">
        <v>202102011</v>
      </c>
      <c r="L36" s="162" t="s">
        <v>157</v>
      </c>
      <c r="M36" s="162" t="s">
        <v>462</v>
      </c>
      <c r="N36" s="162" t="s">
        <v>463</v>
      </c>
      <c r="O36" s="162" t="s">
        <v>160</v>
      </c>
      <c r="P36" s="162" t="s">
        <v>161</v>
      </c>
      <c r="Q36" s="162" t="s">
        <v>464</v>
      </c>
      <c r="R36" s="27">
        <v>0</v>
      </c>
      <c r="S36" s="118" t="str">
        <f>_xlfn.DISPIMG("ID_DCCAD4E9E505474E946107D340C03662",1)</f>
        <v>=DISPIMG("ID_DCCAD4E9E505474E946107D340C03662",1)</v>
      </c>
      <c r="T36" s="115" t="s">
        <v>465</v>
      </c>
      <c r="U36" s="27">
        <v>36</v>
      </c>
    </row>
    <row r="37" s="3" customFormat="1" customHeight="1" spans="1:21">
      <c r="A37" s="144">
        <v>44357.4823842593</v>
      </c>
      <c r="B37" s="27" t="s">
        <v>466</v>
      </c>
      <c r="C37" s="27" t="s">
        <v>467</v>
      </c>
      <c r="D37" s="162" t="s">
        <v>468</v>
      </c>
      <c r="E37" s="162" t="s">
        <v>165</v>
      </c>
      <c r="F37" s="162" t="s">
        <v>469</v>
      </c>
      <c r="G37" s="27">
        <v>18146761825</v>
      </c>
      <c r="H37" s="162" t="s">
        <v>470</v>
      </c>
      <c r="I37" s="162" t="s">
        <v>156</v>
      </c>
      <c r="J37" s="162" t="s">
        <v>9</v>
      </c>
      <c r="K37" s="27">
        <v>202101011</v>
      </c>
      <c r="L37" s="162" t="s">
        <v>157</v>
      </c>
      <c r="M37" s="162" t="s">
        <v>471</v>
      </c>
      <c r="N37" s="162" t="s">
        <v>472</v>
      </c>
      <c r="O37" s="162" t="s">
        <v>160</v>
      </c>
      <c r="P37" s="162" t="s">
        <v>261</v>
      </c>
      <c r="Q37" s="162" t="s">
        <v>473</v>
      </c>
      <c r="R37" s="162" t="s">
        <v>474</v>
      </c>
      <c r="S37" s="118" t="str">
        <f>_xlfn.DISPIMG("ID_1D525F375CC54BBBB3EFFDF9EC99FC2F",1)</f>
        <v>=DISPIMG("ID_1D525F375CC54BBBB3EFFDF9EC99FC2F",1)</v>
      </c>
      <c r="T37" s="115" t="s">
        <v>475</v>
      </c>
      <c r="U37" s="27">
        <v>37</v>
      </c>
    </row>
    <row r="38" s="3" customFormat="1" customHeight="1" spans="1:21">
      <c r="A38" s="144">
        <v>44357.4840277778</v>
      </c>
      <c r="B38" s="27" t="s">
        <v>476</v>
      </c>
      <c r="C38" s="27" t="s">
        <v>477</v>
      </c>
      <c r="D38" s="162" t="s">
        <v>477</v>
      </c>
      <c r="E38" s="162" t="s">
        <v>165</v>
      </c>
      <c r="F38" s="162" t="s">
        <v>478</v>
      </c>
      <c r="G38" s="27">
        <v>18770282894</v>
      </c>
      <c r="H38" s="162" t="s">
        <v>479</v>
      </c>
      <c r="I38" s="162" t="s">
        <v>278</v>
      </c>
      <c r="J38" s="162" t="s">
        <v>28</v>
      </c>
      <c r="K38" s="27">
        <v>202103001</v>
      </c>
      <c r="L38" s="162" t="s">
        <v>279</v>
      </c>
      <c r="M38" s="162" t="s">
        <v>367</v>
      </c>
      <c r="N38" s="162" t="s">
        <v>280</v>
      </c>
      <c r="O38" s="162" t="s">
        <v>170</v>
      </c>
      <c r="P38" s="162" t="s">
        <v>216</v>
      </c>
      <c r="Q38" s="162" t="s">
        <v>340</v>
      </c>
      <c r="R38" s="162" t="s">
        <v>480</v>
      </c>
      <c r="S38" s="118" t="str">
        <f>_xlfn.DISPIMG("ID_CA960935E07F423087EFDE1A92D5AFE3",1)</f>
        <v>=DISPIMG("ID_CA960935E07F423087EFDE1A92D5AFE3",1)</v>
      </c>
      <c r="T38" s="115" t="s">
        <v>481</v>
      </c>
      <c r="U38" s="27">
        <v>38</v>
      </c>
    </row>
    <row r="39" s="3" customFormat="1" customHeight="1" spans="1:21">
      <c r="A39" s="144">
        <v>44357.4853935185</v>
      </c>
      <c r="B39" s="27" t="s">
        <v>482</v>
      </c>
      <c r="C39" s="27" t="s">
        <v>483</v>
      </c>
      <c r="D39" s="162" t="s">
        <v>484</v>
      </c>
      <c r="E39" s="162" t="s">
        <v>165</v>
      </c>
      <c r="F39" s="162" t="s">
        <v>485</v>
      </c>
      <c r="G39" s="27">
        <v>15079175289</v>
      </c>
      <c r="H39" s="162" t="s">
        <v>486</v>
      </c>
      <c r="I39" s="162" t="s">
        <v>156</v>
      </c>
      <c r="J39" s="162" t="s">
        <v>13</v>
      </c>
      <c r="K39" s="27">
        <v>202102003</v>
      </c>
      <c r="L39" s="162" t="s">
        <v>279</v>
      </c>
      <c r="M39" s="162" t="s">
        <v>178</v>
      </c>
      <c r="N39" s="162" t="s">
        <v>223</v>
      </c>
      <c r="O39" s="162" t="s">
        <v>170</v>
      </c>
      <c r="P39" s="162" t="s">
        <v>180</v>
      </c>
      <c r="Q39" s="162" t="s">
        <v>487</v>
      </c>
      <c r="R39" s="162" t="s">
        <v>488</v>
      </c>
      <c r="S39" s="118" t="str">
        <f>_xlfn.DISPIMG("ID_090E35C53BC1424DB22E97EDD7B66993",1)</f>
        <v>=DISPIMG("ID_090E35C53BC1424DB22E97EDD7B66993",1)</v>
      </c>
      <c r="T39" s="115" t="s">
        <v>489</v>
      </c>
      <c r="U39" s="27">
        <v>39</v>
      </c>
    </row>
    <row r="40" s="98" customFormat="1" customHeight="1" spans="1:21">
      <c r="A40" s="148">
        <v>44357.4941550926</v>
      </c>
      <c r="B40" s="21" t="s">
        <v>490</v>
      </c>
      <c r="C40" s="21" t="s">
        <v>491</v>
      </c>
      <c r="D40" s="163" t="s">
        <v>468</v>
      </c>
      <c r="E40" s="163" t="s">
        <v>165</v>
      </c>
      <c r="F40" s="163" t="s">
        <v>469</v>
      </c>
      <c r="G40" s="21">
        <v>18146761825</v>
      </c>
      <c r="H40" s="163" t="s">
        <v>470</v>
      </c>
      <c r="I40" s="163" t="s">
        <v>156</v>
      </c>
      <c r="J40" s="163" t="s">
        <v>9</v>
      </c>
      <c r="K40" s="21">
        <v>202101011</v>
      </c>
      <c r="L40" s="163" t="s">
        <v>157</v>
      </c>
      <c r="M40" s="163" t="s">
        <v>471</v>
      </c>
      <c r="N40" s="163" t="s">
        <v>472</v>
      </c>
      <c r="O40" s="163" t="s">
        <v>160</v>
      </c>
      <c r="P40" s="163" t="s">
        <v>261</v>
      </c>
      <c r="Q40" s="163" t="s">
        <v>473</v>
      </c>
      <c r="R40" s="163" t="s">
        <v>474</v>
      </c>
      <c r="S40" s="100" t="str">
        <f>_xlfn.DISPIMG("ID_E6FAEDD85D0A4C7CBFEED961D2655370",1)</f>
        <v>=DISPIMG("ID_E6FAEDD85D0A4C7CBFEED961D2655370",1)</v>
      </c>
      <c r="T40" s="99" t="s">
        <v>475</v>
      </c>
      <c r="U40" s="27">
        <v>40</v>
      </c>
    </row>
    <row r="41" s="3" customFormat="1" customHeight="1" spans="1:21">
      <c r="A41" s="144">
        <v>44357.5022916667</v>
      </c>
      <c r="B41" s="27" t="s">
        <v>492</v>
      </c>
      <c r="C41" s="27" t="s">
        <v>493</v>
      </c>
      <c r="D41" s="162" t="s">
        <v>494</v>
      </c>
      <c r="E41" s="162" t="s">
        <v>165</v>
      </c>
      <c r="F41" s="162" t="s">
        <v>495</v>
      </c>
      <c r="G41" s="27">
        <v>13662204471</v>
      </c>
      <c r="H41" s="162" t="s">
        <v>496</v>
      </c>
      <c r="I41" s="162" t="s">
        <v>156</v>
      </c>
      <c r="J41" s="162" t="s">
        <v>8</v>
      </c>
      <c r="K41" s="27">
        <v>202102002</v>
      </c>
      <c r="L41" s="162" t="s">
        <v>279</v>
      </c>
      <c r="M41" s="162" t="s">
        <v>158</v>
      </c>
      <c r="N41" s="162" t="s">
        <v>497</v>
      </c>
      <c r="O41" s="162" t="s">
        <v>170</v>
      </c>
      <c r="P41" s="162" t="s">
        <v>180</v>
      </c>
      <c r="Q41" s="162" t="s">
        <v>498</v>
      </c>
      <c r="R41" s="162" t="s">
        <v>499</v>
      </c>
      <c r="S41" s="118" t="str">
        <f>_xlfn.DISPIMG("ID_83DE97F5DD9E4626804875394FE0FC9C",1)</f>
        <v>=DISPIMG("ID_83DE97F5DD9E4626804875394FE0FC9C",1)</v>
      </c>
      <c r="T41" s="115" t="s">
        <v>500</v>
      </c>
      <c r="U41" s="27">
        <v>41</v>
      </c>
    </row>
    <row r="42" s="3" customFormat="1" customHeight="1" spans="1:21">
      <c r="A42" s="144">
        <v>44357.5072222222</v>
      </c>
      <c r="B42" s="27" t="s">
        <v>501</v>
      </c>
      <c r="C42" s="27" t="s">
        <v>502</v>
      </c>
      <c r="D42" s="162" t="s">
        <v>503</v>
      </c>
      <c r="E42" s="162" t="s">
        <v>165</v>
      </c>
      <c r="F42" s="162" t="s">
        <v>504</v>
      </c>
      <c r="G42" s="27">
        <v>18279271412</v>
      </c>
      <c r="H42" s="162" t="s">
        <v>505</v>
      </c>
      <c r="I42" s="162" t="s">
        <v>506</v>
      </c>
      <c r="J42" s="162" t="s">
        <v>13</v>
      </c>
      <c r="K42" s="27">
        <v>202102016</v>
      </c>
      <c r="L42" s="162" t="s">
        <v>157</v>
      </c>
      <c r="M42" s="162" t="s">
        <v>507</v>
      </c>
      <c r="N42" s="162" t="s">
        <v>298</v>
      </c>
      <c r="O42" s="162" t="s">
        <v>160</v>
      </c>
      <c r="P42" s="162" t="s">
        <v>252</v>
      </c>
      <c r="Q42" s="162" t="s">
        <v>13</v>
      </c>
      <c r="R42" s="162" t="s">
        <v>508</v>
      </c>
      <c r="S42" s="118" t="str">
        <f>_xlfn.DISPIMG("ID_40FEE490C2E64411A9F9A70FED108C60",1)</f>
        <v>=DISPIMG("ID_40FEE490C2E64411A9F9A70FED108C60",1)</v>
      </c>
      <c r="T42" s="115" t="s">
        <v>509</v>
      </c>
      <c r="U42" s="27">
        <v>42</v>
      </c>
    </row>
    <row r="43" s="3" customFormat="1" customHeight="1" spans="1:21">
      <c r="A43" s="144">
        <v>44357.5091550926</v>
      </c>
      <c r="B43" s="27" t="s">
        <v>510</v>
      </c>
      <c r="C43" s="27" t="s">
        <v>511</v>
      </c>
      <c r="D43" s="162" t="s">
        <v>512</v>
      </c>
      <c r="E43" s="162" t="s">
        <v>165</v>
      </c>
      <c r="F43" s="162" t="s">
        <v>513</v>
      </c>
      <c r="G43" s="27">
        <v>15007008219</v>
      </c>
      <c r="H43" s="162" t="s">
        <v>514</v>
      </c>
      <c r="I43" s="162" t="s">
        <v>278</v>
      </c>
      <c r="J43" s="162" t="s">
        <v>28</v>
      </c>
      <c r="K43" s="27">
        <v>202103001</v>
      </c>
      <c r="L43" s="162" t="s">
        <v>279</v>
      </c>
      <c r="M43" s="162" t="s">
        <v>515</v>
      </c>
      <c r="N43" s="162" t="s">
        <v>280</v>
      </c>
      <c r="O43" s="162" t="s">
        <v>170</v>
      </c>
      <c r="P43" s="162" t="s">
        <v>516</v>
      </c>
      <c r="Q43" s="162" t="s">
        <v>517</v>
      </c>
      <c r="R43" s="162" t="s">
        <v>518</v>
      </c>
      <c r="S43" s="118" t="str">
        <f>_xlfn.DISPIMG("ID_07A071EC50BE4110A9ABC6B339CCBE2D",1)</f>
        <v>=DISPIMG("ID_07A071EC50BE4110A9ABC6B339CCBE2D",1)</v>
      </c>
      <c r="T43" s="115" t="s">
        <v>519</v>
      </c>
      <c r="U43" s="27">
        <v>43</v>
      </c>
    </row>
    <row r="44" s="3" customFormat="1" customHeight="1" spans="1:21">
      <c r="A44" s="144">
        <v>44357.5199537037</v>
      </c>
      <c r="B44" s="27" t="s">
        <v>520</v>
      </c>
      <c r="C44" s="27" t="s">
        <v>521</v>
      </c>
      <c r="D44" s="162" t="s">
        <v>522</v>
      </c>
      <c r="E44" s="162" t="s">
        <v>165</v>
      </c>
      <c r="F44" s="162" t="s">
        <v>523</v>
      </c>
      <c r="G44" s="27">
        <v>18779278905</v>
      </c>
      <c r="H44" s="162" t="s">
        <v>524</v>
      </c>
      <c r="I44" s="162" t="s">
        <v>268</v>
      </c>
      <c r="J44" s="162" t="s">
        <v>20</v>
      </c>
      <c r="K44" s="27">
        <v>202101004</v>
      </c>
      <c r="L44" s="162" t="s">
        <v>157</v>
      </c>
      <c r="M44" s="162" t="s">
        <v>233</v>
      </c>
      <c r="N44" s="162" t="s">
        <v>525</v>
      </c>
      <c r="O44" s="162" t="s">
        <v>170</v>
      </c>
      <c r="P44" s="162" t="s">
        <v>161</v>
      </c>
      <c r="Q44" s="162" t="s">
        <v>20</v>
      </c>
      <c r="R44" s="27">
        <v>0</v>
      </c>
      <c r="S44" s="118" t="str">
        <f>_xlfn.DISPIMG("ID_71DE12F1CD59449693F0263DC215D27B",1)</f>
        <v>=DISPIMG("ID_71DE12F1CD59449693F0263DC215D27B",1)</v>
      </c>
      <c r="T44" s="115" t="s">
        <v>526</v>
      </c>
      <c r="U44" s="27">
        <v>44</v>
      </c>
    </row>
    <row r="45" s="3" customFormat="1" customHeight="1" spans="1:21">
      <c r="A45" s="144">
        <v>44357.5212268519</v>
      </c>
      <c r="B45" s="27" t="s">
        <v>527</v>
      </c>
      <c r="C45" s="27" t="s">
        <v>528</v>
      </c>
      <c r="D45" s="162" t="s">
        <v>529</v>
      </c>
      <c r="E45" s="162" t="s">
        <v>165</v>
      </c>
      <c r="F45" s="162" t="s">
        <v>530</v>
      </c>
      <c r="G45" s="27">
        <v>13870852168</v>
      </c>
      <c r="H45" s="162" t="s">
        <v>531</v>
      </c>
      <c r="I45" s="162" t="s">
        <v>156</v>
      </c>
      <c r="J45" s="162" t="s">
        <v>14</v>
      </c>
      <c r="K45" s="27">
        <v>202102001</v>
      </c>
      <c r="L45" s="162" t="s">
        <v>157</v>
      </c>
      <c r="M45" s="162" t="s">
        <v>532</v>
      </c>
      <c r="N45" s="162" t="s">
        <v>533</v>
      </c>
      <c r="O45" s="162" t="s">
        <v>160</v>
      </c>
      <c r="P45" s="162" t="s">
        <v>516</v>
      </c>
      <c r="Q45" s="162" t="s">
        <v>14</v>
      </c>
      <c r="R45" s="27">
        <v>0</v>
      </c>
      <c r="S45" s="118" t="str">
        <f>_xlfn.DISPIMG("ID_DE54808A64424090BF3B2071C574D915",1)</f>
        <v>=DISPIMG("ID_DE54808A64424090BF3B2071C574D915",1)</v>
      </c>
      <c r="T45" s="115" t="s">
        <v>534</v>
      </c>
      <c r="U45" s="27">
        <v>45</v>
      </c>
    </row>
    <row r="46" s="3" customFormat="1" customHeight="1" spans="1:21">
      <c r="A46" s="144">
        <v>44357.522662037</v>
      </c>
      <c r="B46" s="27" t="s">
        <v>535</v>
      </c>
      <c r="C46" s="27" t="s">
        <v>536</v>
      </c>
      <c r="D46" s="162" t="s">
        <v>537</v>
      </c>
      <c r="E46" s="162" t="s">
        <v>165</v>
      </c>
      <c r="F46" s="162" t="s">
        <v>538</v>
      </c>
      <c r="G46" s="27">
        <v>18720218990</v>
      </c>
      <c r="H46" s="162" t="s">
        <v>539</v>
      </c>
      <c r="I46" s="162" t="s">
        <v>156</v>
      </c>
      <c r="J46" s="162" t="s">
        <v>13</v>
      </c>
      <c r="K46" s="27">
        <v>202102003</v>
      </c>
      <c r="L46" s="162" t="s">
        <v>157</v>
      </c>
      <c r="M46" s="162" t="s">
        <v>540</v>
      </c>
      <c r="N46" s="162" t="s">
        <v>179</v>
      </c>
      <c r="O46" s="162" t="s">
        <v>160</v>
      </c>
      <c r="P46" s="162" t="s">
        <v>541</v>
      </c>
      <c r="Q46" s="162" t="s">
        <v>25</v>
      </c>
      <c r="R46" s="27">
        <v>0</v>
      </c>
      <c r="S46" s="118" t="str">
        <f>_xlfn.DISPIMG("ID_9605826B48E04C21832E1CDFB6E0AF15",1)</f>
        <v>=DISPIMG("ID_9605826B48E04C21832E1CDFB6E0AF15",1)</v>
      </c>
      <c r="T46" s="115" t="s">
        <v>542</v>
      </c>
      <c r="U46" s="27">
        <v>46</v>
      </c>
    </row>
    <row r="47" s="3" customFormat="1" customHeight="1" spans="1:21">
      <c r="A47" s="144">
        <v>44357.5260648148</v>
      </c>
      <c r="B47" s="27" t="s">
        <v>543</v>
      </c>
      <c r="C47" s="27" t="s">
        <v>544</v>
      </c>
      <c r="D47" s="162" t="s">
        <v>545</v>
      </c>
      <c r="E47" s="162" t="s">
        <v>165</v>
      </c>
      <c r="F47" s="162" t="s">
        <v>546</v>
      </c>
      <c r="G47" s="27">
        <v>13282964470</v>
      </c>
      <c r="H47" s="162" t="s">
        <v>547</v>
      </c>
      <c r="I47" s="162" t="s">
        <v>384</v>
      </c>
      <c r="J47" s="162" t="s">
        <v>25</v>
      </c>
      <c r="K47" s="27">
        <v>202101007</v>
      </c>
      <c r="L47" s="162" t="s">
        <v>157</v>
      </c>
      <c r="M47" s="162" t="s">
        <v>158</v>
      </c>
      <c r="N47" s="162" t="s">
        <v>223</v>
      </c>
      <c r="O47" s="162" t="s">
        <v>170</v>
      </c>
      <c r="P47" s="162" t="s">
        <v>548</v>
      </c>
      <c r="Q47" s="162" t="s">
        <v>549</v>
      </c>
      <c r="R47" s="162" t="s">
        <v>550</v>
      </c>
      <c r="S47" s="118" t="str">
        <f>_xlfn.DISPIMG("ID_815DB3FDB9924FE5A27318CA3E9A763D",1)</f>
        <v>=DISPIMG("ID_815DB3FDB9924FE5A27318CA3E9A763D",1)</v>
      </c>
      <c r="T47" s="115" t="s">
        <v>551</v>
      </c>
      <c r="U47" s="27">
        <v>47</v>
      </c>
    </row>
    <row r="48" s="3" customFormat="1" customHeight="1" spans="1:21">
      <c r="A48" s="144">
        <v>44357.5314699074</v>
      </c>
      <c r="B48" s="27" t="s">
        <v>552</v>
      </c>
      <c r="C48" s="27" t="s">
        <v>553</v>
      </c>
      <c r="D48" s="162" t="s">
        <v>554</v>
      </c>
      <c r="E48" s="162" t="s">
        <v>165</v>
      </c>
      <c r="F48" s="162" t="s">
        <v>555</v>
      </c>
      <c r="G48" s="27">
        <v>15508941977</v>
      </c>
      <c r="H48" s="162" t="s">
        <v>556</v>
      </c>
      <c r="I48" s="162" t="s">
        <v>384</v>
      </c>
      <c r="J48" s="162" t="s">
        <v>25</v>
      </c>
      <c r="K48" s="27">
        <v>202101007</v>
      </c>
      <c r="L48" s="162" t="s">
        <v>157</v>
      </c>
      <c r="M48" s="162" t="s">
        <v>557</v>
      </c>
      <c r="N48" s="162" t="s">
        <v>558</v>
      </c>
      <c r="O48" s="162" t="s">
        <v>170</v>
      </c>
      <c r="P48" s="162" t="s">
        <v>559</v>
      </c>
      <c r="Q48" s="162" t="s">
        <v>560</v>
      </c>
      <c r="R48" s="162" t="s">
        <v>561</v>
      </c>
      <c r="S48" s="118" t="str">
        <f>_xlfn.DISPIMG("ID_ED037D5B8E7D49BEA8FD0DBFF3A4827B",1)</f>
        <v>=DISPIMG("ID_ED037D5B8E7D49BEA8FD0DBFF3A4827B",1)</v>
      </c>
      <c r="T48" s="115" t="s">
        <v>562</v>
      </c>
      <c r="U48" s="27">
        <v>48</v>
      </c>
    </row>
    <row r="49" s="3" customFormat="1" customHeight="1" spans="1:21">
      <c r="A49" s="144">
        <v>44357.5417592593</v>
      </c>
      <c r="B49" s="27" t="s">
        <v>563</v>
      </c>
      <c r="C49" s="27" t="s">
        <v>564</v>
      </c>
      <c r="D49" s="162" t="s">
        <v>565</v>
      </c>
      <c r="E49" s="162" t="s">
        <v>165</v>
      </c>
      <c r="F49" s="162" t="s">
        <v>566</v>
      </c>
      <c r="G49" s="27">
        <v>13184588975</v>
      </c>
      <c r="H49" s="162" t="s">
        <v>567</v>
      </c>
      <c r="I49" s="162" t="s">
        <v>156</v>
      </c>
      <c r="J49" s="162" t="s">
        <v>8</v>
      </c>
      <c r="K49" s="27">
        <v>202102002</v>
      </c>
      <c r="L49" s="162" t="s">
        <v>279</v>
      </c>
      <c r="M49" s="162" t="s">
        <v>178</v>
      </c>
      <c r="N49" s="162" t="s">
        <v>497</v>
      </c>
      <c r="O49" s="162" t="s">
        <v>170</v>
      </c>
      <c r="P49" s="162" t="s">
        <v>368</v>
      </c>
      <c r="Q49" s="162" t="s">
        <v>568</v>
      </c>
      <c r="R49" s="162" t="s">
        <v>569</v>
      </c>
      <c r="S49" s="118" t="str">
        <f>_xlfn.DISPIMG("ID_937169E203CF4CFF91192737B547BFCD",1)</f>
        <v>=DISPIMG("ID_937169E203CF4CFF91192737B547BFCD",1)</v>
      </c>
      <c r="T49" s="115" t="s">
        <v>570</v>
      </c>
      <c r="U49" s="27">
        <v>49</v>
      </c>
    </row>
    <row r="50" s="3" customFormat="1" customHeight="1" spans="1:21">
      <c r="A50" s="144">
        <v>44357.5467939815</v>
      </c>
      <c r="B50" s="27" t="s">
        <v>571</v>
      </c>
      <c r="C50" s="27" t="s">
        <v>572</v>
      </c>
      <c r="D50" s="162" t="s">
        <v>573</v>
      </c>
      <c r="E50" s="162" t="s">
        <v>165</v>
      </c>
      <c r="F50" s="162" t="s">
        <v>574</v>
      </c>
      <c r="G50" s="27">
        <v>13387029092</v>
      </c>
      <c r="H50" s="162" t="s">
        <v>575</v>
      </c>
      <c r="I50" s="162" t="s">
        <v>278</v>
      </c>
      <c r="J50" s="162" t="s">
        <v>28</v>
      </c>
      <c r="K50" s="27">
        <v>202103001</v>
      </c>
      <c r="L50" s="162" t="s">
        <v>279</v>
      </c>
      <c r="M50" s="162" t="s">
        <v>576</v>
      </c>
      <c r="N50" s="162" t="s">
        <v>280</v>
      </c>
      <c r="O50" s="162" t="s">
        <v>170</v>
      </c>
      <c r="P50" s="162" t="s">
        <v>577</v>
      </c>
      <c r="Q50" s="162" t="s">
        <v>280</v>
      </c>
      <c r="R50" s="162" t="s">
        <v>578</v>
      </c>
      <c r="S50" s="118" t="str">
        <f>_xlfn.DISPIMG("ID_82D3A4866E584D37A328F1F75C226980",1)</f>
        <v>=DISPIMG("ID_82D3A4866E584D37A328F1F75C226980",1)</v>
      </c>
      <c r="T50" s="115" t="s">
        <v>579</v>
      </c>
      <c r="U50" s="27">
        <v>50</v>
      </c>
    </row>
    <row r="51" s="4" customFormat="1" customHeight="1" spans="1:21">
      <c r="A51" s="145">
        <v>44362.8841435185</v>
      </c>
      <c r="B51" s="22" t="s">
        <v>580</v>
      </c>
      <c r="C51" s="22" t="s">
        <v>581</v>
      </c>
      <c r="D51" s="164" t="s">
        <v>582</v>
      </c>
      <c r="E51" s="164" t="s">
        <v>165</v>
      </c>
      <c r="F51" s="164" t="s">
        <v>583</v>
      </c>
      <c r="G51" s="22">
        <v>18879297924</v>
      </c>
      <c r="H51" s="164" t="s">
        <v>584</v>
      </c>
      <c r="I51" s="164" t="s">
        <v>278</v>
      </c>
      <c r="J51" s="164" t="s">
        <v>28</v>
      </c>
      <c r="K51" s="22">
        <v>202103001</v>
      </c>
      <c r="L51" s="164" t="s">
        <v>585</v>
      </c>
      <c r="M51" s="164" t="s">
        <v>367</v>
      </c>
      <c r="N51" s="164" t="s">
        <v>586</v>
      </c>
      <c r="O51" s="164" t="s">
        <v>170</v>
      </c>
      <c r="P51" s="164" t="s">
        <v>587</v>
      </c>
      <c r="Q51" s="164" t="s">
        <v>588</v>
      </c>
      <c r="R51" s="164" t="s">
        <v>589</v>
      </c>
      <c r="S51" s="23" t="str">
        <f>_xlfn.DISPIMG("ID_6DA92F60F38D4176A8885E139DCAD5AE",1)</f>
        <v>=DISPIMG("ID_6DA92F60F38D4176A8885E139DCAD5AE",1)</v>
      </c>
      <c r="T51" s="103" t="s">
        <v>590</v>
      </c>
      <c r="U51" s="27">
        <v>51</v>
      </c>
    </row>
    <row r="52" s="3" customFormat="1" customHeight="1" spans="1:21">
      <c r="A52" s="144">
        <v>44357.5543865741</v>
      </c>
      <c r="B52" s="27" t="s">
        <v>591</v>
      </c>
      <c r="C52" s="27" t="s">
        <v>572</v>
      </c>
      <c r="D52" s="162" t="s">
        <v>592</v>
      </c>
      <c r="E52" s="162" t="s">
        <v>165</v>
      </c>
      <c r="F52" s="162" t="s">
        <v>593</v>
      </c>
      <c r="G52" s="27">
        <v>13177706682</v>
      </c>
      <c r="H52" s="162" t="s">
        <v>594</v>
      </c>
      <c r="I52" s="162" t="s">
        <v>278</v>
      </c>
      <c r="J52" s="162" t="s">
        <v>28</v>
      </c>
      <c r="K52" s="27">
        <v>202103001</v>
      </c>
      <c r="L52" s="162" t="s">
        <v>279</v>
      </c>
      <c r="M52" s="162" t="s">
        <v>595</v>
      </c>
      <c r="N52" s="162" t="s">
        <v>280</v>
      </c>
      <c r="O52" s="162" t="s">
        <v>170</v>
      </c>
      <c r="P52" s="162" t="s">
        <v>281</v>
      </c>
      <c r="Q52" s="162" t="s">
        <v>28</v>
      </c>
      <c r="R52" s="162" t="s">
        <v>596</v>
      </c>
      <c r="S52" s="118" t="str">
        <f>_xlfn.DISPIMG("ID_4A2B45245E6541EDAAF502188C295214",1)</f>
        <v>=DISPIMG("ID_4A2B45245E6541EDAAF502188C295214",1)</v>
      </c>
      <c r="T52" s="115" t="s">
        <v>597</v>
      </c>
      <c r="U52" s="27">
        <v>52</v>
      </c>
    </row>
    <row r="53" s="3" customFormat="1" customHeight="1" spans="1:21">
      <c r="A53" s="144">
        <v>44357.5545833333</v>
      </c>
      <c r="B53" s="27" t="s">
        <v>598</v>
      </c>
      <c r="C53" s="27" t="s">
        <v>599</v>
      </c>
      <c r="D53" s="162" t="s">
        <v>600</v>
      </c>
      <c r="E53" s="162" t="s">
        <v>165</v>
      </c>
      <c r="F53" s="162" t="s">
        <v>601</v>
      </c>
      <c r="G53" s="27">
        <v>18170238971</v>
      </c>
      <c r="H53" s="162" t="s">
        <v>602</v>
      </c>
      <c r="I53" s="162" t="s">
        <v>506</v>
      </c>
      <c r="J53" s="162" t="s">
        <v>13</v>
      </c>
      <c r="K53" s="27">
        <v>202102016</v>
      </c>
      <c r="L53" s="162" t="s">
        <v>157</v>
      </c>
      <c r="M53" s="162" t="s">
        <v>603</v>
      </c>
      <c r="N53" s="162" t="s">
        <v>179</v>
      </c>
      <c r="O53" s="162" t="s">
        <v>160</v>
      </c>
      <c r="P53" s="162" t="s">
        <v>216</v>
      </c>
      <c r="Q53" s="162" t="s">
        <v>13</v>
      </c>
      <c r="R53" s="162" t="s">
        <v>604</v>
      </c>
      <c r="S53" s="118" t="str">
        <f>_xlfn.DISPIMG("ID_274A21E15DE94C9DB65D865C0AE50BA3",1)</f>
        <v>=DISPIMG("ID_274A21E15DE94C9DB65D865C0AE50BA3",1)</v>
      </c>
      <c r="T53" s="115" t="s">
        <v>605</v>
      </c>
      <c r="U53" s="27">
        <v>53</v>
      </c>
    </row>
    <row r="54" s="3" customFormat="1" customHeight="1" spans="1:21">
      <c r="A54" s="144">
        <v>44357.5605324074</v>
      </c>
      <c r="B54" s="27" t="s">
        <v>606</v>
      </c>
      <c r="C54" s="27" t="s">
        <v>607</v>
      </c>
      <c r="D54" s="162" t="s">
        <v>608</v>
      </c>
      <c r="E54" s="162" t="s">
        <v>165</v>
      </c>
      <c r="F54" s="162" t="s">
        <v>609</v>
      </c>
      <c r="G54" s="27">
        <v>18779299502</v>
      </c>
      <c r="H54" s="162" t="s">
        <v>610</v>
      </c>
      <c r="I54" s="162" t="s">
        <v>156</v>
      </c>
      <c r="J54" s="162" t="s">
        <v>13</v>
      </c>
      <c r="K54" s="27">
        <v>202102003</v>
      </c>
      <c r="L54" s="162" t="s">
        <v>157</v>
      </c>
      <c r="M54" s="162" t="s">
        <v>611</v>
      </c>
      <c r="N54" s="162" t="s">
        <v>179</v>
      </c>
      <c r="O54" s="162" t="s">
        <v>160</v>
      </c>
      <c r="P54" s="162" t="s">
        <v>261</v>
      </c>
      <c r="Q54" s="162" t="s">
        <v>13</v>
      </c>
      <c r="R54" s="27">
        <v>0</v>
      </c>
      <c r="S54" s="118" t="str">
        <f>_xlfn.DISPIMG("ID_AED44616ADF34083BED4818BEE7F954D",1)</f>
        <v>=DISPIMG("ID_AED44616ADF34083BED4818BEE7F954D",1)</v>
      </c>
      <c r="T54" s="115" t="s">
        <v>612</v>
      </c>
      <c r="U54" s="27">
        <v>54</v>
      </c>
    </row>
    <row r="55" s="3" customFormat="1" customHeight="1" spans="1:21">
      <c r="A55" s="144">
        <v>44357.5615972222</v>
      </c>
      <c r="B55" s="27" t="s">
        <v>613</v>
      </c>
      <c r="C55" s="27" t="s">
        <v>572</v>
      </c>
      <c r="D55" s="162" t="s">
        <v>614</v>
      </c>
      <c r="E55" s="162" t="s">
        <v>165</v>
      </c>
      <c r="F55" s="162" t="s">
        <v>615</v>
      </c>
      <c r="G55" s="27">
        <v>13755265925</v>
      </c>
      <c r="H55" s="162" t="s">
        <v>616</v>
      </c>
      <c r="I55" s="162" t="s">
        <v>278</v>
      </c>
      <c r="J55" s="162" t="s">
        <v>28</v>
      </c>
      <c r="K55" s="27">
        <v>202103001</v>
      </c>
      <c r="L55" s="162" t="s">
        <v>585</v>
      </c>
      <c r="M55" s="162" t="s">
        <v>595</v>
      </c>
      <c r="N55" s="162" t="s">
        <v>280</v>
      </c>
      <c r="O55" s="162" t="s">
        <v>170</v>
      </c>
      <c r="P55" s="162" t="s">
        <v>281</v>
      </c>
      <c r="Q55" s="162" t="s">
        <v>28</v>
      </c>
      <c r="R55" s="162" t="s">
        <v>617</v>
      </c>
      <c r="S55" s="118" t="str">
        <f>_xlfn.DISPIMG("ID_85355BEE288D4456A9F8FBBF22F43B44",1)</f>
        <v>=DISPIMG("ID_85355BEE288D4456A9F8FBBF22F43B44",1)</v>
      </c>
      <c r="T55" s="115" t="s">
        <v>618</v>
      </c>
      <c r="U55" s="27">
        <v>55</v>
      </c>
    </row>
    <row r="56" s="3" customFormat="1" customHeight="1" spans="1:21">
      <c r="A56" s="144">
        <v>44357.5669097222</v>
      </c>
      <c r="B56" s="27" t="s">
        <v>619</v>
      </c>
      <c r="C56" s="27" t="s">
        <v>572</v>
      </c>
      <c r="D56" s="162" t="s">
        <v>620</v>
      </c>
      <c r="E56" s="162" t="s">
        <v>165</v>
      </c>
      <c r="F56" s="162" t="s">
        <v>621</v>
      </c>
      <c r="G56" s="27">
        <v>18370123772</v>
      </c>
      <c r="H56" s="162" t="s">
        <v>622</v>
      </c>
      <c r="I56" s="162" t="s">
        <v>278</v>
      </c>
      <c r="J56" s="162" t="s">
        <v>28</v>
      </c>
      <c r="K56" s="27">
        <v>202103001</v>
      </c>
      <c r="L56" s="162" t="s">
        <v>585</v>
      </c>
      <c r="M56" s="162" t="s">
        <v>595</v>
      </c>
      <c r="N56" s="162" t="s">
        <v>280</v>
      </c>
      <c r="O56" s="162" t="s">
        <v>170</v>
      </c>
      <c r="P56" s="162" t="s">
        <v>368</v>
      </c>
      <c r="Q56" s="162" t="s">
        <v>28</v>
      </c>
      <c r="R56" s="162" t="s">
        <v>623</v>
      </c>
      <c r="S56" s="118" t="str">
        <f>_xlfn.DISPIMG("ID_109F9871D9934FD3B362EB8D2EAFD060",1)</f>
        <v>=DISPIMG("ID_109F9871D9934FD3B362EB8D2EAFD060",1)</v>
      </c>
      <c r="T56" s="115" t="s">
        <v>624</v>
      </c>
      <c r="U56" s="27">
        <v>56</v>
      </c>
    </row>
    <row r="57" s="3" customFormat="1" customHeight="1" spans="1:21">
      <c r="A57" s="144">
        <v>44357.5681481482</v>
      </c>
      <c r="B57" s="27" t="s">
        <v>625</v>
      </c>
      <c r="C57" s="27" t="s">
        <v>626</v>
      </c>
      <c r="D57" s="162" t="s">
        <v>627</v>
      </c>
      <c r="E57" s="162" t="s">
        <v>165</v>
      </c>
      <c r="F57" s="162" t="s">
        <v>628</v>
      </c>
      <c r="G57" s="27">
        <v>18162269962</v>
      </c>
      <c r="H57" s="162" t="s">
        <v>629</v>
      </c>
      <c r="I57" s="162" t="s">
        <v>156</v>
      </c>
      <c r="J57" s="162" t="s">
        <v>6</v>
      </c>
      <c r="K57" s="27">
        <v>202102012</v>
      </c>
      <c r="L57" s="162" t="s">
        <v>157</v>
      </c>
      <c r="M57" s="162" t="s">
        <v>630</v>
      </c>
      <c r="N57" s="162" t="s">
        <v>207</v>
      </c>
      <c r="O57" s="162" t="s">
        <v>160</v>
      </c>
      <c r="P57" s="162" t="s">
        <v>541</v>
      </c>
      <c r="Q57" s="162" t="s">
        <v>18</v>
      </c>
      <c r="R57" s="162" t="s">
        <v>631</v>
      </c>
      <c r="S57" s="118" t="str">
        <f>_xlfn.DISPIMG("ID_50ADA4D0B38B42B786E2DD18C78CCC60",1)</f>
        <v>=DISPIMG("ID_50ADA4D0B38B42B786E2DD18C78CCC60",1)</v>
      </c>
      <c r="T57" s="115" t="s">
        <v>632</v>
      </c>
      <c r="U57" s="27">
        <v>57</v>
      </c>
    </row>
    <row r="58" s="3" customFormat="1" customHeight="1" spans="1:21">
      <c r="A58" s="144">
        <v>44357.5701388889</v>
      </c>
      <c r="B58" s="27" t="s">
        <v>633</v>
      </c>
      <c r="C58" s="27" t="s">
        <v>634</v>
      </c>
      <c r="D58" s="162" t="s">
        <v>635</v>
      </c>
      <c r="E58" s="162" t="s">
        <v>165</v>
      </c>
      <c r="F58" s="162" t="s">
        <v>636</v>
      </c>
      <c r="G58" s="27">
        <v>15070232391</v>
      </c>
      <c r="H58" s="162" t="s">
        <v>637</v>
      </c>
      <c r="I58" s="162" t="s">
        <v>156</v>
      </c>
      <c r="J58" s="162" t="s">
        <v>14</v>
      </c>
      <c r="K58" s="27">
        <v>202102001</v>
      </c>
      <c r="L58" s="162" t="s">
        <v>279</v>
      </c>
      <c r="M58" s="162" t="s">
        <v>158</v>
      </c>
      <c r="N58" s="162" t="s">
        <v>348</v>
      </c>
      <c r="O58" s="162" t="s">
        <v>170</v>
      </c>
      <c r="P58" s="162" t="s">
        <v>548</v>
      </c>
      <c r="Q58" s="162" t="s">
        <v>638</v>
      </c>
      <c r="R58" s="162" t="s">
        <v>639</v>
      </c>
      <c r="S58" s="118" t="str">
        <f>_xlfn.DISPIMG("ID_89E406E2AE894B018BFF7E7198130BCA",1)</f>
        <v>=DISPIMG("ID_89E406E2AE894B018BFF7E7198130BCA",1)</v>
      </c>
      <c r="T58" s="115" t="s">
        <v>640</v>
      </c>
      <c r="U58" s="27">
        <v>58</v>
      </c>
    </row>
    <row r="59" s="3" customFormat="1" customHeight="1" spans="1:21">
      <c r="A59" s="144">
        <v>44357.5761342593</v>
      </c>
      <c r="B59" s="27" t="s">
        <v>641</v>
      </c>
      <c r="C59" s="27" t="s">
        <v>642</v>
      </c>
      <c r="D59" s="162" t="s">
        <v>643</v>
      </c>
      <c r="E59" s="162" t="s">
        <v>165</v>
      </c>
      <c r="F59" s="162" t="s">
        <v>644</v>
      </c>
      <c r="G59" s="27">
        <v>17808826021</v>
      </c>
      <c r="H59" s="162" t="s">
        <v>645</v>
      </c>
      <c r="I59" s="162" t="s">
        <v>156</v>
      </c>
      <c r="J59" s="162" t="s">
        <v>14</v>
      </c>
      <c r="K59" s="27">
        <v>202102001</v>
      </c>
      <c r="L59" s="162" t="s">
        <v>157</v>
      </c>
      <c r="M59" s="162" t="s">
        <v>646</v>
      </c>
      <c r="N59" s="162" t="s">
        <v>454</v>
      </c>
      <c r="O59" s="162" t="s">
        <v>160</v>
      </c>
      <c r="P59" s="162" t="s">
        <v>224</v>
      </c>
      <c r="Q59" s="162" t="s">
        <v>14</v>
      </c>
      <c r="R59" s="162" t="s">
        <v>647</v>
      </c>
      <c r="S59" s="118" t="str">
        <f>_xlfn.DISPIMG("ID_905C387E694F4B30B6CB8B8291B01F38",1)</f>
        <v>=DISPIMG("ID_905C387E694F4B30B6CB8B8291B01F38",1)</v>
      </c>
      <c r="T59" s="115" t="s">
        <v>648</v>
      </c>
      <c r="U59" s="27">
        <v>59</v>
      </c>
    </row>
    <row r="60" s="3" customFormat="1" customHeight="1" spans="1:21">
      <c r="A60" s="144">
        <v>44357.5943634259</v>
      </c>
      <c r="B60" s="27" t="s">
        <v>649</v>
      </c>
      <c r="C60" s="27" t="s">
        <v>650</v>
      </c>
      <c r="D60" s="162" t="s">
        <v>651</v>
      </c>
      <c r="E60" s="162" t="s">
        <v>165</v>
      </c>
      <c r="F60" s="162" t="s">
        <v>652</v>
      </c>
      <c r="G60" s="27">
        <v>13677913381</v>
      </c>
      <c r="H60" s="162" t="s">
        <v>653</v>
      </c>
      <c r="I60" s="162" t="s">
        <v>156</v>
      </c>
      <c r="J60" s="162" t="s">
        <v>14</v>
      </c>
      <c r="K60" s="27">
        <v>202102001</v>
      </c>
      <c r="L60" s="162" t="s">
        <v>279</v>
      </c>
      <c r="M60" s="162" t="s">
        <v>339</v>
      </c>
      <c r="N60" s="162" t="s">
        <v>348</v>
      </c>
      <c r="O60" s="162" t="s">
        <v>170</v>
      </c>
      <c r="P60" s="162" t="s">
        <v>171</v>
      </c>
      <c r="Q60" s="162" t="s">
        <v>654</v>
      </c>
      <c r="R60" s="162" t="s">
        <v>655</v>
      </c>
      <c r="S60" s="118" t="str">
        <f>_xlfn.DISPIMG("ID_F245B8B6D20E4BBA8409FA8C63902E06",1)</f>
        <v>=DISPIMG("ID_F245B8B6D20E4BBA8409FA8C63902E06",1)</v>
      </c>
      <c r="T60" s="115" t="s">
        <v>656</v>
      </c>
      <c r="U60" s="27">
        <v>60</v>
      </c>
    </row>
    <row r="61" s="3" customFormat="1" customHeight="1" spans="1:21">
      <c r="A61" s="144">
        <v>44364.8195023148</v>
      </c>
      <c r="B61" s="27" t="s">
        <v>657</v>
      </c>
      <c r="C61" s="27" t="s">
        <v>658</v>
      </c>
      <c r="D61" s="162" t="s">
        <v>659</v>
      </c>
      <c r="E61" s="162" t="s">
        <v>165</v>
      </c>
      <c r="F61" s="162" t="s">
        <v>660</v>
      </c>
      <c r="G61" s="27">
        <v>18370120304</v>
      </c>
      <c r="H61" s="162" t="s">
        <v>661</v>
      </c>
      <c r="I61" s="162" t="s">
        <v>278</v>
      </c>
      <c r="J61" s="162" t="s">
        <v>28</v>
      </c>
      <c r="K61" s="27">
        <v>202103001</v>
      </c>
      <c r="L61" s="162" t="s">
        <v>279</v>
      </c>
      <c r="M61" s="162" t="s">
        <v>662</v>
      </c>
      <c r="N61" s="162" t="s">
        <v>280</v>
      </c>
      <c r="O61" s="162" t="s">
        <v>170</v>
      </c>
      <c r="P61" s="162" t="s">
        <v>368</v>
      </c>
      <c r="Q61" s="162" t="s">
        <v>663</v>
      </c>
      <c r="R61" s="162" t="s">
        <v>664</v>
      </c>
      <c r="S61" s="118" t="str">
        <f>_xlfn.DISPIMG("ID_4AE3C77D21184B118F491A1655043931",1)</f>
        <v>=DISPIMG("ID_4AE3C77D21184B118F491A1655043931",1)</v>
      </c>
      <c r="T61" s="115" t="s">
        <v>665</v>
      </c>
      <c r="U61" s="27">
        <v>61</v>
      </c>
    </row>
    <row r="62" s="3" customFormat="1" customHeight="1" spans="1:21">
      <c r="A62" s="144">
        <v>44357.5904166667</v>
      </c>
      <c r="B62" s="27" t="s">
        <v>666</v>
      </c>
      <c r="C62" s="27" t="s">
        <v>667</v>
      </c>
      <c r="D62" s="162" t="s">
        <v>668</v>
      </c>
      <c r="E62" s="162" t="s">
        <v>165</v>
      </c>
      <c r="F62" s="162" t="s">
        <v>669</v>
      </c>
      <c r="G62" s="27">
        <v>19970219155</v>
      </c>
      <c r="H62" s="162" t="s">
        <v>670</v>
      </c>
      <c r="I62" s="162" t="s">
        <v>156</v>
      </c>
      <c r="J62" s="162" t="s">
        <v>8</v>
      </c>
      <c r="K62" s="27">
        <v>202102002</v>
      </c>
      <c r="L62" s="162" t="s">
        <v>279</v>
      </c>
      <c r="M62" s="162" t="s">
        <v>671</v>
      </c>
      <c r="N62" s="162" t="s">
        <v>672</v>
      </c>
      <c r="O62" s="162" t="s">
        <v>160</v>
      </c>
      <c r="P62" s="162" t="s">
        <v>673</v>
      </c>
      <c r="Q62" s="162" t="s">
        <v>674</v>
      </c>
      <c r="R62" s="162" t="s">
        <v>675</v>
      </c>
      <c r="S62" s="118" t="str">
        <f>_xlfn.DISPIMG("ID_350951056247403B99D5F5C96BCE4CA8",1)</f>
        <v>=DISPIMG("ID_350951056247403B99D5F5C96BCE4CA8",1)</v>
      </c>
      <c r="T62" s="115" t="s">
        <v>676</v>
      </c>
      <c r="U62" s="27">
        <v>62</v>
      </c>
    </row>
    <row r="63" s="3" customFormat="1" customHeight="1" spans="1:21">
      <c r="A63" s="144">
        <v>44357.5981134259</v>
      </c>
      <c r="B63" s="27" t="s">
        <v>677</v>
      </c>
      <c r="C63" s="27" t="s">
        <v>678</v>
      </c>
      <c r="D63" s="162" t="s">
        <v>679</v>
      </c>
      <c r="E63" s="162" t="s">
        <v>165</v>
      </c>
      <c r="F63" s="162" t="s">
        <v>680</v>
      </c>
      <c r="G63" s="27">
        <v>15079252278</v>
      </c>
      <c r="H63" s="162" t="s">
        <v>681</v>
      </c>
      <c r="I63" s="162" t="s">
        <v>384</v>
      </c>
      <c r="J63" s="162" t="s">
        <v>21</v>
      </c>
      <c r="K63" s="27">
        <v>202101023</v>
      </c>
      <c r="L63" s="162" t="s">
        <v>157</v>
      </c>
      <c r="M63" s="162" t="s">
        <v>233</v>
      </c>
      <c r="N63" s="162" t="s">
        <v>682</v>
      </c>
      <c r="O63" s="162" t="s">
        <v>170</v>
      </c>
      <c r="P63" s="162" t="s">
        <v>261</v>
      </c>
      <c r="Q63" s="162" t="s">
        <v>683</v>
      </c>
      <c r="R63" s="27">
        <v>0</v>
      </c>
      <c r="S63" s="118" t="str">
        <f>_xlfn.DISPIMG("ID_6F0A1E5B97CE4F0C8967B602A8189E7F",1)</f>
        <v>=DISPIMG("ID_6F0A1E5B97CE4F0C8967B602A8189E7F",1)</v>
      </c>
      <c r="T63" s="115" t="s">
        <v>684</v>
      </c>
      <c r="U63" s="27">
        <v>63</v>
      </c>
    </row>
    <row r="64" s="3" customFormat="1" customHeight="1" spans="1:21">
      <c r="A64" s="144">
        <v>44357.5988773148</v>
      </c>
      <c r="B64" s="27" t="s">
        <v>685</v>
      </c>
      <c r="C64" s="27" t="s">
        <v>686</v>
      </c>
      <c r="D64" s="162" t="s">
        <v>687</v>
      </c>
      <c r="E64" s="162" t="s">
        <v>153</v>
      </c>
      <c r="F64" s="162" t="s">
        <v>688</v>
      </c>
      <c r="G64" s="27">
        <v>18370106328</v>
      </c>
      <c r="H64" s="162" t="s">
        <v>514</v>
      </c>
      <c r="I64" s="162" t="s">
        <v>156</v>
      </c>
      <c r="J64" s="162" t="s">
        <v>14</v>
      </c>
      <c r="K64" s="27">
        <v>202102001</v>
      </c>
      <c r="L64" s="162" t="s">
        <v>279</v>
      </c>
      <c r="M64" s="162" t="s">
        <v>158</v>
      </c>
      <c r="N64" s="162" t="s">
        <v>348</v>
      </c>
      <c r="O64" s="162" t="s">
        <v>170</v>
      </c>
      <c r="P64" s="162" t="s">
        <v>281</v>
      </c>
      <c r="Q64" s="162" t="s">
        <v>689</v>
      </c>
      <c r="R64" s="162" t="s">
        <v>690</v>
      </c>
      <c r="S64" s="118" t="str">
        <f>_xlfn.DISPIMG("ID_54204C01855F423A99B7E1E3FD940E61",1)</f>
        <v>=DISPIMG("ID_54204C01855F423A99B7E1E3FD940E61",1)</v>
      </c>
      <c r="T64" s="115" t="s">
        <v>691</v>
      </c>
      <c r="U64" s="27">
        <v>64</v>
      </c>
    </row>
    <row r="65" s="3" customFormat="1" customHeight="1" spans="1:21">
      <c r="A65" s="144">
        <v>44357.6061342593</v>
      </c>
      <c r="B65" s="27" t="s">
        <v>692</v>
      </c>
      <c r="C65" s="27" t="s">
        <v>693</v>
      </c>
      <c r="D65" s="162" t="s">
        <v>694</v>
      </c>
      <c r="E65" s="162" t="s">
        <v>165</v>
      </c>
      <c r="F65" s="162" t="s">
        <v>695</v>
      </c>
      <c r="G65" s="27">
        <v>15779270127</v>
      </c>
      <c r="H65" s="162" t="s">
        <v>696</v>
      </c>
      <c r="I65" s="162" t="s">
        <v>278</v>
      </c>
      <c r="J65" s="162" t="s">
        <v>28</v>
      </c>
      <c r="K65" s="27">
        <v>202103001</v>
      </c>
      <c r="L65" s="162" t="s">
        <v>279</v>
      </c>
      <c r="M65" s="162" t="s">
        <v>697</v>
      </c>
      <c r="N65" s="162" t="s">
        <v>280</v>
      </c>
      <c r="O65" s="162" t="s">
        <v>160</v>
      </c>
      <c r="P65" s="162" t="s">
        <v>180</v>
      </c>
      <c r="Q65" s="162" t="s">
        <v>28</v>
      </c>
      <c r="R65" s="162" t="s">
        <v>698</v>
      </c>
      <c r="S65" s="118" t="str">
        <f>_xlfn.DISPIMG("ID_E6AFBB076E18415F8E4E8CB1E3BFC1A0",1)</f>
        <v>=DISPIMG("ID_E6AFBB076E18415F8E4E8CB1E3BFC1A0",1)</v>
      </c>
      <c r="T65" s="115" t="s">
        <v>699</v>
      </c>
      <c r="U65" s="27">
        <v>65</v>
      </c>
    </row>
    <row r="66" s="3" customFormat="1" customHeight="1" spans="1:21">
      <c r="A66" s="144">
        <v>44357.657662037</v>
      </c>
      <c r="B66" s="27" t="s">
        <v>700</v>
      </c>
      <c r="C66" s="27" t="s">
        <v>701</v>
      </c>
      <c r="D66" s="162" t="s">
        <v>702</v>
      </c>
      <c r="E66" s="162" t="s">
        <v>165</v>
      </c>
      <c r="F66" s="162" t="s">
        <v>703</v>
      </c>
      <c r="G66" s="27">
        <v>18720956827</v>
      </c>
      <c r="H66" s="162" t="s">
        <v>704</v>
      </c>
      <c r="I66" s="162" t="s">
        <v>384</v>
      </c>
      <c r="J66" s="162" t="s">
        <v>26</v>
      </c>
      <c r="K66" s="27">
        <v>202101002</v>
      </c>
      <c r="L66" s="162" t="s">
        <v>705</v>
      </c>
      <c r="M66" s="162" t="s">
        <v>233</v>
      </c>
      <c r="N66" s="162" t="s">
        <v>706</v>
      </c>
      <c r="O66" s="162" t="s">
        <v>170</v>
      </c>
      <c r="P66" s="162" t="s">
        <v>161</v>
      </c>
      <c r="Q66" s="162" t="s">
        <v>707</v>
      </c>
      <c r="R66" s="162" t="s">
        <v>708</v>
      </c>
      <c r="S66" s="118" t="str">
        <f>_xlfn.DISPIMG("ID_0553F27943C1489A99AB032B2AD0761A",1)</f>
        <v>=DISPIMG("ID_0553F27943C1489A99AB032B2AD0761A",1)</v>
      </c>
      <c r="T66" s="115" t="s">
        <v>709</v>
      </c>
      <c r="U66" s="27">
        <v>66</v>
      </c>
    </row>
    <row r="67" s="3" customFormat="1" customHeight="1" spans="1:21">
      <c r="A67" s="144">
        <v>44357.6209722222</v>
      </c>
      <c r="B67" s="27" t="s">
        <v>710</v>
      </c>
      <c r="C67" s="27" t="s">
        <v>711</v>
      </c>
      <c r="D67" s="162" t="s">
        <v>712</v>
      </c>
      <c r="E67" s="162" t="s">
        <v>165</v>
      </c>
      <c r="F67" s="162" t="s">
        <v>713</v>
      </c>
      <c r="G67" s="27">
        <v>18379282600</v>
      </c>
      <c r="H67" s="162" t="s">
        <v>714</v>
      </c>
      <c r="I67" s="162" t="s">
        <v>278</v>
      </c>
      <c r="J67" s="162" t="s">
        <v>28</v>
      </c>
      <c r="K67" s="27">
        <v>202103001</v>
      </c>
      <c r="L67" s="162" t="s">
        <v>279</v>
      </c>
      <c r="M67" s="162" t="s">
        <v>168</v>
      </c>
      <c r="N67" s="162" t="s">
        <v>280</v>
      </c>
      <c r="O67" s="162" t="s">
        <v>170</v>
      </c>
      <c r="P67" s="162" t="s">
        <v>199</v>
      </c>
      <c r="Q67" s="162" t="s">
        <v>715</v>
      </c>
      <c r="R67" s="162" t="s">
        <v>716</v>
      </c>
      <c r="S67" s="118" t="str">
        <f>_xlfn.DISPIMG("ID_CF0B9D1514D24BCEBECEF1FC59445AFE",1)</f>
        <v>=DISPIMG("ID_CF0B9D1514D24BCEBECEF1FC59445AFE",1)</v>
      </c>
      <c r="T67" s="115" t="s">
        <v>717</v>
      </c>
      <c r="U67" s="27">
        <v>67</v>
      </c>
    </row>
    <row r="68" s="3" customFormat="1" customHeight="1" spans="1:21">
      <c r="A68" s="144">
        <v>44357.6212152778</v>
      </c>
      <c r="B68" s="27" t="s">
        <v>718</v>
      </c>
      <c r="C68" s="27" t="s">
        <v>719</v>
      </c>
      <c r="D68" s="162" t="s">
        <v>720</v>
      </c>
      <c r="E68" s="162" t="s">
        <v>165</v>
      </c>
      <c r="F68" s="162" t="s">
        <v>721</v>
      </c>
      <c r="G68" s="27">
        <v>18070248182</v>
      </c>
      <c r="H68" s="162" t="s">
        <v>722</v>
      </c>
      <c r="I68" s="162" t="s">
        <v>384</v>
      </c>
      <c r="J68" s="162" t="s">
        <v>25</v>
      </c>
      <c r="K68" s="27">
        <v>202101007</v>
      </c>
      <c r="L68" s="162" t="s">
        <v>157</v>
      </c>
      <c r="M68" s="162" t="s">
        <v>723</v>
      </c>
      <c r="N68" s="162" t="s">
        <v>223</v>
      </c>
      <c r="O68" s="162" t="s">
        <v>170</v>
      </c>
      <c r="P68" s="162" t="s">
        <v>252</v>
      </c>
      <c r="Q68" s="162" t="s">
        <v>724</v>
      </c>
      <c r="R68" s="162" t="s">
        <v>725</v>
      </c>
      <c r="S68" s="118" t="str">
        <f>_xlfn.DISPIMG("ID_18752421A8044E9999D06F0B98A5B3A9",1)</f>
        <v>=DISPIMG("ID_18752421A8044E9999D06F0B98A5B3A9",1)</v>
      </c>
      <c r="T68" s="115" t="s">
        <v>726</v>
      </c>
      <c r="U68" s="27">
        <v>68</v>
      </c>
    </row>
    <row r="69" s="3" customFormat="1" customHeight="1" spans="1:21">
      <c r="A69" s="144">
        <v>44357.771412037</v>
      </c>
      <c r="B69" s="27" t="s">
        <v>727</v>
      </c>
      <c r="C69" s="27" t="s">
        <v>728</v>
      </c>
      <c r="D69" s="162" t="s">
        <v>729</v>
      </c>
      <c r="E69" s="162" t="s">
        <v>165</v>
      </c>
      <c r="F69" s="162" t="s">
        <v>730</v>
      </c>
      <c r="G69" s="27">
        <v>18270279001</v>
      </c>
      <c r="H69" s="162" t="s">
        <v>731</v>
      </c>
      <c r="I69" s="162" t="s">
        <v>278</v>
      </c>
      <c r="J69" s="162" t="s">
        <v>28</v>
      </c>
      <c r="K69" s="27">
        <v>202103001</v>
      </c>
      <c r="L69" s="162" t="s">
        <v>279</v>
      </c>
      <c r="M69" s="162" t="s">
        <v>732</v>
      </c>
      <c r="N69" s="162" t="s">
        <v>280</v>
      </c>
      <c r="O69" s="162" t="s">
        <v>170</v>
      </c>
      <c r="P69" s="162" t="s">
        <v>733</v>
      </c>
      <c r="Q69" s="162" t="s">
        <v>517</v>
      </c>
      <c r="R69" s="162" t="s">
        <v>734</v>
      </c>
      <c r="S69" s="118" t="str">
        <f>_xlfn.DISPIMG("ID_9786F64DF5E04D0EBFF7257960884627",1)</f>
        <v>=DISPIMG("ID_9786F64DF5E04D0EBFF7257960884627",1)</v>
      </c>
      <c r="T69" s="115" t="s">
        <v>735</v>
      </c>
      <c r="U69" s="27">
        <v>69</v>
      </c>
    </row>
    <row r="70" s="5" customFormat="1" customHeight="1" spans="1:21">
      <c r="A70" s="146">
        <v>44363.4802662037</v>
      </c>
      <c r="B70" s="116" t="s">
        <v>736</v>
      </c>
      <c r="C70" s="116" t="s">
        <v>737</v>
      </c>
      <c r="D70" s="165" t="s">
        <v>738</v>
      </c>
      <c r="E70" s="165" t="s">
        <v>165</v>
      </c>
      <c r="F70" s="165" t="s">
        <v>739</v>
      </c>
      <c r="G70" s="116">
        <v>15279225160</v>
      </c>
      <c r="H70" s="165" t="s">
        <v>740</v>
      </c>
      <c r="I70" s="165" t="s">
        <v>156</v>
      </c>
      <c r="J70" s="165" t="s">
        <v>14</v>
      </c>
      <c r="K70" s="116">
        <v>202102001</v>
      </c>
      <c r="L70" s="165" t="s">
        <v>279</v>
      </c>
      <c r="M70" s="165" t="s">
        <v>576</v>
      </c>
      <c r="N70" s="165" t="s">
        <v>348</v>
      </c>
      <c r="O70" s="165" t="s">
        <v>170</v>
      </c>
      <c r="P70" s="165" t="s">
        <v>224</v>
      </c>
      <c r="Q70" s="165" t="s">
        <v>741</v>
      </c>
      <c r="R70" s="165" t="s">
        <v>742</v>
      </c>
      <c r="S70" s="119" t="str">
        <f>_xlfn.DISPIMG("ID_05F523224C924653A8F56CD5737A4E8C",1)</f>
        <v>=DISPIMG("ID_05F523224C924653A8F56CD5737A4E8C",1)</v>
      </c>
      <c r="T70" s="120" t="s">
        <v>743</v>
      </c>
      <c r="U70" s="27">
        <v>70</v>
      </c>
    </row>
    <row r="71" s="3" customFormat="1" customHeight="1" spans="1:21">
      <c r="A71" s="144">
        <v>44357.6346527778</v>
      </c>
      <c r="B71" s="27" t="s">
        <v>744</v>
      </c>
      <c r="C71" s="27" t="s">
        <v>745</v>
      </c>
      <c r="D71" s="162" t="s">
        <v>746</v>
      </c>
      <c r="E71" s="162" t="s">
        <v>165</v>
      </c>
      <c r="F71" s="162" t="s">
        <v>747</v>
      </c>
      <c r="G71" s="27">
        <v>15641592275</v>
      </c>
      <c r="H71" s="162" t="s">
        <v>748</v>
      </c>
      <c r="I71" s="162" t="s">
        <v>156</v>
      </c>
      <c r="J71" s="162" t="s">
        <v>6</v>
      </c>
      <c r="K71" s="27">
        <v>202102012</v>
      </c>
      <c r="L71" s="162" t="s">
        <v>157</v>
      </c>
      <c r="M71" s="162" t="s">
        <v>749</v>
      </c>
      <c r="N71" s="162" t="s">
        <v>750</v>
      </c>
      <c r="O71" s="162" t="s">
        <v>160</v>
      </c>
      <c r="P71" s="162" t="s">
        <v>252</v>
      </c>
      <c r="Q71" s="162" t="s">
        <v>6</v>
      </c>
      <c r="R71" s="27">
        <v>0</v>
      </c>
      <c r="S71" s="118" t="str">
        <f>_xlfn.DISPIMG("ID_7B1FBC3D2E8F42D28CA9AC35B8C2D010",1)</f>
        <v>=DISPIMG("ID_7B1FBC3D2E8F42D28CA9AC35B8C2D010",1)</v>
      </c>
      <c r="T71" s="115" t="s">
        <v>751</v>
      </c>
      <c r="U71" s="27">
        <v>71</v>
      </c>
    </row>
    <row r="72" s="3" customFormat="1" customHeight="1" spans="1:21">
      <c r="A72" s="144">
        <v>44357.6363310185</v>
      </c>
      <c r="B72" s="27" t="s">
        <v>752</v>
      </c>
      <c r="C72" s="27" t="s">
        <v>753</v>
      </c>
      <c r="D72" s="162" t="s">
        <v>754</v>
      </c>
      <c r="E72" s="162" t="s">
        <v>165</v>
      </c>
      <c r="F72" s="162" t="s">
        <v>755</v>
      </c>
      <c r="G72" s="27">
        <v>18679201139</v>
      </c>
      <c r="H72" s="162" t="s">
        <v>756</v>
      </c>
      <c r="I72" s="162" t="s">
        <v>278</v>
      </c>
      <c r="J72" s="162" t="s">
        <v>28</v>
      </c>
      <c r="K72" s="27">
        <v>202103001</v>
      </c>
      <c r="L72" s="162" t="s">
        <v>585</v>
      </c>
      <c r="M72" s="162" t="s">
        <v>576</v>
      </c>
      <c r="N72" s="162" t="s">
        <v>757</v>
      </c>
      <c r="O72" s="162" t="s">
        <v>170</v>
      </c>
      <c r="P72" s="162" t="s">
        <v>224</v>
      </c>
      <c r="Q72" s="162" t="s">
        <v>376</v>
      </c>
      <c r="R72" s="162" t="s">
        <v>758</v>
      </c>
      <c r="S72" s="118" t="str">
        <f>_xlfn.DISPIMG("ID_7BB67F893C7640E3B6FEA6424D027990",1)</f>
        <v>=DISPIMG("ID_7BB67F893C7640E3B6FEA6424D027990",1)</v>
      </c>
      <c r="T72" s="115" t="s">
        <v>759</v>
      </c>
      <c r="U72" s="27">
        <v>72</v>
      </c>
    </row>
    <row r="73" s="3" customFormat="1" customHeight="1" spans="1:21">
      <c r="A73" s="144">
        <v>44357.6364699074</v>
      </c>
      <c r="B73" s="27" t="s">
        <v>760</v>
      </c>
      <c r="C73" s="27" t="s">
        <v>761</v>
      </c>
      <c r="D73" s="162" t="s">
        <v>762</v>
      </c>
      <c r="E73" s="162" t="s">
        <v>165</v>
      </c>
      <c r="F73" s="162" t="s">
        <v>763</v>
      </c>
      <c r="G73" s="27">
        <v>13697921659</v>
      </c>
      <c r="H73" s="162" t="s">
        <v>764</v>
      </c>
      <c r="I73" s="162" t="s">
        <v>278</v>
      </c>
      <c r="J73" s="162" t="s">
        <v>28</v>
      </c>
      <c r="K73" s="27">
        <v>202103001</v>
      </c>
      <c r="L73" s="162" t="s">
        <v>279</v>
      </c>
      <c r="M73" s="162" t="s">
        <v>765</v>
      </c>
      <c r="N73" s="162" t="s">
        <v>280</v>
      </c>
      <c r="O73" s="162" t="s">
        <v>170</v>
      </c>
      <c r="P73" s="162" t="s">
        <v>235</v>
      </c>
      <c r="Q73" s="162" t="s">
        <v>340</v>
      </c>
      <c r="R73" s="162" t="s">
        <v>766</v>
      </c>
      <c r="S73" s="118" t="str">
        <f>_xlfn.DISPIMG("ID_4E1CCA66E504445CA5B7AB8D0FB70FB1",1)</f>
        <v>=DISPIMG("ID_4E1CCA66E504445CA5B7AB8D0FB70FB1",1)</v>
      </c>
      <c r="T73" s="115" t="s">
        <v>767</v>
      </c>
      <c r="U73" s="27">
        <v>73</v>
      </c>
    </row>
    <row r="74" s="3" customFormat="1" customHeight="1" spans="1:21">
      <c r="A74" s="144">
        <v>44357.6374884259</v>
      </c>
      <c r="B74" s="27" t="s">
        <v>768</v>
      </c>
      <c r="C74" s="27" t="s">
        <v>769</v>
      </c>
      <c r="D74" s="162" t="s">
        <v>770</v>
      </c>
      <c r="E74" s="162" t="s">
        <v>165</v>
      </c>
      <c r="F74" s="162" t="s">
        <v>771</v>
      </c>
      <c r="G74" s="27">
        <v>13360075847</v>
      </c>
      <c r="H74" s="162" t="s">
        <v>772</v>
      </c>
      <c r="I74" s="162" t="s">
        <v>156</v>
      </c>
      <c r="J74" s="162" t="s">
        <v>6</v>
      </c>
      <c r="K74" s="27">
        <v>202102012</v>
      </c>
      <c r="L74" s="162" t="s">
        <v>157</v>
      </c>
      <c r="M74" s="162" t="s">
        <v>773</v>
      </c>
      <c r="N74" s="162" t="s">
        <v>188</v>
      </c>
      <c r="O74" s="162" t="s">
        <v>160</v>
      </c>
      <c r="P74" s="162" t="s">
        <v>516</v>
      </c>
      <c r="Q74" s="162" t="s">
        <v>774</v>
      </c>
      <c r="R74" s="162" t="s">
        <v>775</v>
      </c>
      <c r="S74" s="118" t="str">
        <f>_xlfn.DISPIMG("ID_F0D9772787374E2C95921274F505EDAD",1)</f>
        <v>=DISPIMG("ID_F0D9772787374E2C95921274F505EDAD",1)</v>
      </c>
      <c r="T74" s="115" t="s">
        <v>776</v>
      </c>
      <c r="U74" s="27">
        <v>74</v>
      </c>
    </row>
    <row r="75" s="3" customFormat="1" customHeight="1" spans="1:21">
      <c r="A75" s="144">
        <v>44357.6619097222</v>
      </c>
      <c r="B75" s="27" t="s">
        <v>777</v>
      </c>
      <c r="C75" s="27" t="s">
        <v>778</v>
      </c>
      <c r="D75" s="162" t="s">
        <v>779</v>
      </c>
      <c r="E75" s="162" t="s">
        <v>165</v>
      </c>
      <c r="F75" s="162" t="s">
        <v>780</v>
      </c>
      <c r="G75" s="27">
        <v>18379173946</v>
      </c>
      <c r="H75" s="162" t="s">
        <v>781</v>
      </c>
      <c r="I75" s="162" t="s">
        <v>506</v>
      </c>
      <c r="J75" s="162" t="s">
        <v>8</v>
      </c>
      <c r="K75" s="27">
        <v>202102015</v>
      </c>
      <c r="L75" s="162" t="s">
        <v>279</v>
      </c>
      <c r="M75" s="162" t="s">
        <v>662</v>
      </c>
      <c r="N75" s="162" t="s">
        <v>497</v>
      </c>
      <c r="O75" s="162" t="s">
        <v>170</v>
      </c>
      <c r="P75" s="162" t="s">
        <v>171</v>
      </c>
      <c r="Q75" s="162" t="s">
        <v>568</v>
      </c>
      <c r="R75" s="162" t="s">
        <v>782</v>
      </c>
      <c r="S75" s="118" t="str">
        <f>_xlfn.DISPIMG("ID_F2E1FDE086E6423DAF30A93C1D5DA4A4",1)</f>
        <v>=DISPIMG("ID_F2E1FDE086E6423DAF30A93C1D5DA4A4",1)</v>
      </c>
      <c r="T75" s="115" t="s">
        <v>783</v>
      </c>
      <c r="U75" s="27">
        <v>75</v>
      </c>
    </row>
    <row r="76" s="3" customFormat="1" customHeight="1" spans="1:21">
      <c r="A76" s="144">
        <v>44357.6637268519</v>
      </c>
      <c r="B76" s="27" t="s">
        <v>784</v>
      </c>
      <c r="C76" s="27" t="s">
        <v>785</v>
      </c>
      <c r="D76" s="162" t="s">
        <v>786</v>
      </c>
      <c r="E76" s="162" t="s">
        <v>165</v>
      </c>
      <c r="F76" s="162" t="s">
        <v>787</v>
      </c>
      <c r="G76" s="27">
        <v>15870883510</v>
      </c>
      <c r="H76" s="162" t="s">
        <v>788</v>
      </c>
      <c r="I76" s="162" t="s">
        <v>384</v>
      </c>
      <c r="J76" s="162" t="s">
        <v>25</v>
      </c>
      <c r="K76" s="27">
        <v>202101007</v>
      </c>
      <c r="L76" s="162" t="s">
        <v>705</v>
      </c>
      <c r="M76" s="162" t="s">
        <v>789</v>
      </c>
      <c r="N76" s="162" t="s">
        <v>790</v>
      </c>
      <c r="O76" s="162" t="s">
        <v>160</v>
      </c>
      <c r="P76" s="162" t="s">
        <v>455</v>
      </c>
      <c r="Q76" s="162" t="s">
        <v>307</v>
      </c>
      <c r="R76" s="162" t="s">
        <v>791</v>
      </c>
      <c r="S76" s="118" t="str">
        <f>_xlfn.DISPIMG("ID_81CFC0148DBF4084ADB804B82E5E7200",1)</f>
        <v>=DISPIMG("ID_81CFC0148DBF4084ADB804B82E5E7200",1)</v>
      </c>
      <c r="T76" s="115" t="s">
        <v>792</v>
      </c>
      <c r="U76" s="27">
        <v>76</v>
      </c>
    </row>
    <row r="77" s="3" customFormat="1" customHeight="1" spans="1:21">
      <c r="A77" s="144">
        <v>44357.6859953704</v>
      </c>
      <c r="B77" s="27" t="s">
        <v>793</v>
      </c>
      <c r="C77" s="27" t="s">
        <v>794</v>
      </c>
      <c r="D77" s="162" t="s">
        <v>794</v>
      </c>
      <c r="E77" s="162" t="s">
        <v>165</v>
      </c>
      <c r="F77" s="162" t="s">
        <v>795</v>
      </c>
      <c r="G77" s="27">
        <v>18707021672</v>
      </c>
      <c r="H77" s="162" t="s">
        <v>796</v>
      </c>
      <c r="I77" s="162" t="s">
        <v>278</v>
      </c>
      <c r="J77" s="162" t="s">
        <v>28</v>
      </c>
      <c r="K77" s="27">
        <v>202103001</v>
      </c>
      <c r="L77" s="162" t="s">
        <v>279</v>
      </c>
      <c r="M77" s="162" t="s">
        <v>367</v>
      </c>
      <c r="N77" s="162" t="s">
        <v>280</v>
      </c>
      <c r="O77" s="162" t="s">
        <v>170</v>
      </c>
      <c r="P77" s="162" t="s">
        <v>306</v>
      </c>
      <c r="Q77" s="162" t="s">
        <v>376</v>
      </c>
      <c r="R77" s="162" t="s">
        <v>797</v>
      </c>
      <c r="S77" s="118" t="str">
        <f>_xlfn.DISPIMG("ID_639B898E1B304FC0A6FA0E13C551BEC4",1)</f>
        <v>=DISPIMG("ID_639B898E1B304FC0A6FA0E13C551BEC4",1)</v>
      </c>
      <c r="T77" s="115" t="s">
        <v>798</v>
      </c>
      <c r="U77" s="27">
        <v>77</v>
      </c>
    </row>
    <row r="78" s="3" customFormat="1" customHeight="1" spans="1:21">
      <c r="A78" s="144">
        <v>44357.6919328704</v>
      </c>
      <c r="B78" s="27" t="s">
        <v>799</v>
      </c>
      <c r="C78" s="27" t="s">
        <v>800</v>
      </c>
      <c r="D78" s="162" t="s">
        <v>801</v>
      </c>
      <c r="E78" s="162" t="s">
        <v>165</v>
      </c>
      <c r="F78" s="162" t="s">
        <v>802</v>
      </c>
      <c r="G78" s="27">
        <v>13698021995</v>
      </c>
      <c r="H78" s="162" t="s">
        <v>803</v>
      </c>
      <c r="I78" s="162" t="s">
        <v>278</v>
      </c>
      <c r="J78" s="162" t="s">
        <v>28</v>
      </c>
      <c r="K78" s="27">
        <v>202103001</v>
      </c>
      <c r="L78" s="162" t="s">
        <v>585</v>
      </c>
      <c r="M78" s="162" t="s">
        <v>804</v>
      </c>
      <c r="N78" s="162" t="s">
        <v>280</v>
      </c>
      <c r="O78" s="162" t="s">
        <v>170</v>
      </c>
      <c r="P78" s="162" t="s">
        <v>805</v>
      </c>
      <c r="Q78" s="162" t="s">
        <v>376</v>
      </c>
      <c r="R78" s="162" t="s">
        <v>806</v>
      </c>
      <c r="S78" s="118" t="str">
        <f>_xlfn.DISPIMG("ID_AEB241E66C41495DBC633E36C32A72C8",1)</f>
        <v>=DISPIMG("ID_AEB241E66C41495DBC633E36C32A72C8",1)</v>
      </c>
      <c r="T78" s="115" t="s">
        <v>807</v>
      </c>
      <c r="U78" s="27">
        <v>78</v>
      </c>
    </row>
    <row r="79" s="3" customFormat="1" customHeight="1" spans="1:21">
      <c r="A79" s="144">
        <v>44357.6961921296</v>
      </c>
      <c r="B79" s="27" t="s">
        <v>808</v>
      </c>
      <c r="C79" s="27" t="s">
        <v>809</v>
      </c>
      <c r="D79" s="162" t="s">
        <v>810</v>
      </c>
      <c r="E79" s="162" t="s">
        <v>165</v>
      </c>
      <c r="F79" s="162" t="s">
        <v>811</v>
      </c>
      <c r="G79" s="27">
        <v>13767213363</v>
      </c>
      <c r="H79" s="162" t="s">
        <v>812</v>
      </c>
      <c r="I79" s="162" t="s">
        <v>156</v>
      </c>
      <c r="J79" s="162" t="s">
        <v>8</v>
      </c>
      <c r="K79" s="27">
        <v>202102002</v>
      </c>
      <c r="L79" s="162" t="s">
        <v>157</v>
      </c>
      <c r="M79" s="162" t="s">
        <v>158</v>
      </c>
      <c r="N79" s="162" t="s">
        <v>813</v>
      </c>
      <c r="O79" s="162" t="s">
        <v>160</v>
      </c>
      <c r="P79" s="162" t="s">
        <v>161</v>
      </c>
      <c r="Q79" s="162" t="s">
        <v>8</v>
      </c>
      <c r="R79" s="27">
        <v>0</v>
      </c>
      <c r="S79" s="118" t="str">
        <f>_xlfn.DISPIMG("ID_5528F9D8BCB3449AB737B926D9AAB949",1)</f>
        <v>=DISPIMG("ID_5528F9D8BCB3449AB737B926D9AAB949",1)</v>
      </c>
      <c r="T79" s="115" t="s">
        <v>814</v>
      </c>
      <c r="U79" s="27">
        <v>79</v>
      </c>
    </row>
    <row r="80" s="3" customFormat="1" customHeight="1" spans="1:21">
      <c r="A80" s="144">
        <v>44357.6997569444</v>
      </c>
      <c r="B80" s="27" t="s">
        <v>815</v>
      </c>
      <c r="C80" s="27" t="s">
        <v>816</v>
      </c>
      <c r="D80" s="162" t="s">
        <v>817</v>
      </c>
      <c r="E80" s="162" t="s">
        <v>165</v>
      </c>
      <c r="F80" s="162" t="s">
        <v>818</v>
      </c>
      <c r="G80" s="27">
        <v>15270286273</v>
      </c>
      <c r="H80" s="162" t="s">
        <v>819</v>
      </c>
      <c r="I80" s="162" t="s">
        <v>297</v>
      </c>
      <c r="J80" s="162" t="s">
        <v>26</v>
      </c>
      <c r="K80" s="27">
        <v>202101003</v>
      </c>
      <c r="L80" s="162" t="s">
        <v>157</v>
      </c>
      <c r="M80" s="162" t="s">
        <v>820</v>
      </c>
      <c r="N80" s="162" t="s">
        <v>454</v>
      </c>
      <c r="O80" s="162" t="s">
        <v>160</v>
      </c>
      <c r="P80" s="162" t="s">
        <v>252</v>
      </c>
      <c r="Q80" s="162" t="s">
        <v>26</v>
      </c>
      <c r="R80" s="27">
        <v>0</v>
      </c>
      <c r="S80" s="118" t="str">
        <f>_xlfn.DISPIMG("ID_D94148DE170D425EB66AE2DFFF655A13",1)</f>
        <v>=DISPIMG("ID_D94148DE170D425EB66AE2DFFF655A13",1)</v>
      </c>
      <c r="T80" s="115" t="s">
        <v>821</v>
      </c>
      <c r="U80" s="27">
        <v>80</v>
      </c>
    </row>
    <row r="81" s="3" customFormat="1" customHeight="1" spans="1:21">
      <c r="A81" s="144">
        <v>44357.702337963</v>
      </c>
      <c r="B81" s="27" t="s">
        <v>822</v>
      </c>
      <c r="C81" s="27" t="s">
        <v>823</v>
      </c>
      <c r="D81" s="162" t="s">
        <v>824</v>
      </c>
      <c r="E81" s="162" t="s">
        <v>165</v>
      </c>
      <c r="F81" s="162" t="s">
        <v>825</v>
      </c>
      <c r="G81" s="27">
        <v>18870036528</v>
      </c>
      <c r="H81" s="162" t="s">
        <v>826</v>
      </c>
      <c r="I81" s="162" t="s">
        <v>297</v>
      </c>
      <c r="J81" s="162" t="s">
        <v>25</v>
      </c>
      <c r="K81" s="27">
        <v>202101008</v>
      </c>
      <c r="L81" s="162" t="s">
        <v>157</v>
      </c>
      <c r="M81" s="162" t="s">
        <v>827</v>
      </c>
      <c r="N81" s="162" t="s">
        <v>828</v>
      </c>
      <c r="O81" s="162" t="s">
        <v>170</v>
      </c>
      <c r="P81" s="162" t="s">
        <v>396</v>
      </c>
      <c r="Q81" s="162" t="s">
        <v>25</v>
      </c>
      <c r="R81" s="162" t="s">
        <v>829</v>
      </c>
      <c r="S81" s="118" t="str">
        <f>_xlfn.DISPIMG("ID_8A1A22938F334E1D900FC8311DB2BE9A",1)</f>
        <v>=DISPIMG("ID_8A1A22938F334E1D900FC8311DB2BE9A",1)</v>
      </c>
      <c r="T81" s="115" t="s">
        <v>830</v>
      </c>
      <c r="U81" s="27">
        <v>81</v>
      </c>
    </row>
    <row r="82" s="3" customFormat="1" customHeight="1" spans="1:21">
      <c r="A82" s="144">
        <v>44357.7046759259</v>
      </c>
      <c r="B82" s="27" t="s">
        <v>831</v>
      </c>
      <c r="C82" s="27" t="s">
        <v>832</v>
      </c>
      <c r="D82" s="162" t="s">
        <v>833</v>
      </c>
      <c r="E82" s="162" t="s">
        <v>165</v>
      </c>
      <c r="F82" s="162" t="s">
        <v>834</v>
      </c>
      <c r="G82" s="27">
        <v>13517923087</v>
      </c>
      <c r="H82" s="162" t="s">
        <v>835</v>
      </c>
      <c r="I82" s="162" t="s">
        <v>156</v>
      </c>
      <c r="J82" s="162" t="s">
        <v>13</v>
      </c>
      <c r="K82" s="27">
        <v>202102003</v>
      </c>
      <c r="L82" s="162" t="s">
        <v>279</v>
      </c>
      <c r="M82" s="162" t="s">
        <v>339</v>
      </c>
      <c r="N82" s="162" t="s">
        <v>223</v>
      </c>
      <c r="O82" s="162" t="s">
        <v>170</v>
      </c>
      <c r="P82" s="162" t="s">
        <v>224</v>
      </c>
      <c r="Q82" s="162" t="s">
        <v>13</v>
      </c>
      <c r="R82" s="162" t="s">
        <v>836</v>
      </c>
      <c r="S82" s="118" t="str">
        <f>_xlfn.DISPIMG("ID_89C7FFEC948F45D4B7C91F290C37CCB6",1)</f>
        <v>=DISPIMG("ID_89C7FFEC948F45D4B7C91F290C37CCB6",1)</v>
      </c>
      <c r="T82" s="115" t="s">
        <v>837</v>
      </c>
      <c r="U82" s="27">
        <v>82</v>
      </c>
    </row>
    <row r="83" s="3" customFormat="1" customHeight="1" spans="1:21">
      <c r="A83" s="144">
        <v>44357.7088657407</v>
      </c>
      <c r="B83" s="27" t="s">
        <v>838</v>
      </c>
      <c r="C83" s="27" t="s">
        <v>839</v>
      </c>
      <c r="D83" s="162" t="s">
        <v>840</v>
      </c>
      <c r="E83" s="162" t="s">
        <v>165</v>
      </c>
      <c r="F83" s="162" t="s">
        <v>841</v>
      </c>
      <c r="G83" s="27">
        <v>15059878679</v>
      </c>
      <c r="H83" s="162" t="s">
        <v>842</v>
      </c>
      <c r="I83" s="162" t="s">
        <v>278</v>
      </c>
      <c r="J83" s="162" t="s">
        <v>28</v>
      </c>
      <c r="K83" s="27">
        <v>202103001</v>
      </c>
      <c r="L83" s="162" t="s">
        <v>279</v>
      </c>
      <c r="M83" s="162" t="s">
        <v>339</v>
      </c>
      <c r="N83" s="162" t="s">
        <v>280</v>
      </c>
      <c r="O83" s="162" t="s">
        <v>170</v>
      </c>
      <c r="P83" s="162" t="s">
        <v>843</v>
      </c>
      <c r="Q83" s="162" t="s">
        <v>376</v>
      </c>
      <c r="R83" s="162" t="s">
        <v>844</v>
      </c>
      <c r="S83" s="118" t="str">
        <f>_xlfn.DISPIMG("ID_424B9BE152D1418A818313627A199A3A",1)</f>
        <v>=DISPIMG("ID_424B9BE152D1418A818313627A199A3A",1)</v>
      </c>
      <c r="T83" s="115" t="s">
        <v>845</v>
      </c>
      <c r="U83" s="27">
        <v>83</v>
      </c>
    </row>
    <row r="84" s="3" customFormat="1" customHeight="1" spans="1:21">
      <c r="A84" s="144">
        <v>44357.7108217593</v>
      </c>
      <c r="B84" s="27" t="s">
        <v>846</v>
      </c>
      <c r="C84" s="27" t="s">
        <v>847</v>
      </c>
      <c r="D84" s="162" t="s">
        <v>848</v>
      </c>
      <c r="E84" s="162" t="s">
        <v>165</v>
      </c>
      <c r="F84" s="162" t="s">
        <v>849</v>
      </c>
      <c r="G84" s="27">
        <v>18379626219</v>
      </c>
      <c r="H84" s="162" t="s">
        <v>850</v>
      </c>
      <c r="I84" s="162" t="s">
        <v>278</v>
      </c>
      <c r="J84" s="162" t="s">
        <v>28</v>
      </c>
      <c r="K84" s="27">
        <v>202103001</v>
      </c>
      <c r="L84" s="162" t="s">
        <v>279</v>
      </c>
      <c r="M84" s="162" t="s">
        <v>851</v>
      </c>
      <c r="N84" s="162" t="s">
        <v>280</v>
      </c>
      <c r="O84" s="162" t="s">
        <v>170</v>
      </c>
      <c r="P84" s="162" t="s">
        <v>235</v>
      </c>
      <c r="Q84" s="162" t="s">
        <v>340</v>
      </c>
      <c r="R84" s="162" t="s">
        <v>852</v>
      </c>
      <c r="S84" s="118" t="str">
        <f>_xlfn.DISPIMG("ID_42372BFB4B414C38BA1598FF5C930944",1)</f>
        <v>=DISPIMG("ID_42372BFB4B414C38BA1598FF5C930944",1)</v>
      </c>
      <c r="T84" s="115" t="s">
        <v>853</v>
      </c>
      <c r="U84" s="27">
        <v>84</v>
      </c>
    </row>
    <row r="85" s="3" customFormat="1" customHeight="1" spans="1:21">
      <c r="A85" s="144">
        <v>44357.7247222222</v>
      </c>
      <c r="B85" s="27" t="s">
        <v>854</v>
      </c>
      <c r="C85" s="27" t="s">
        <v>855</v>
      </c>
      <c r="D85" s="162" t="s">
        <v>856</v>
      </c>
      <c r="E85" s="162" t="s">
        <v>165</v>
      </c>
      <c r="F85" s="162" t="s">
        <v>857</v>
      </c>
      <c r="G85" s="27">
        <v>18296159294</v>
      </c>
      <c r="H85" s="162" t="s">
        <v>858</v>
      </c>
      <c r="I85" s="162" t="s">
        <v>156</v>
      </c>
      <c r="J85" s="162" t="s">
        <v>15</v>
      </c>
      <c r="K85" s="27">
        <v>202102007</v>
      </c>
      <c r="L85" s="162" t="s">
        <v>279</v>
      </c>
      <c r="M85" s="162" t="s">
        <v>178</v>
      </c>
      <c r="N85" s="162" t="s">
        <v>215</v>
      </c>
      <c r="O85" s="162" t="s">
        <v>170</v>
      </c>
      <c r="P85" s="162" t="s">
        <v>216</v>
      </c>
      <c r="Q85" s="162" t="s">
        <v>859</v>
      </c>
      <c r="R85" s="162" t="s">
        <v>860</v>
      </c>
      <c r="S85" s="118" t="str">
        <f>_xlfn.DISPIMG("ID_D74EFBEA1A81482A857D7A1473663067",1)</f>
        <v>=DISPIMG("ID_D74EFBEA1A81482A857D7A1473663067",1)</v>
      </c>
      <c r="T85" s="115" t="s">
        <v>861</v>
      </c>
      <c r="U85" s="27">
        <v>85</v>
      </c>
    </row>
    <row r="86" s="3" customFormat="1" customHeight="1" spans="1:21">
      <c r="A86" s="144">
        <v>44357.736087963</v>
      </c>
      <c r="B86" s="27" t="s">
        <v>862</v>
      </c>
      <c r="C86" s="27" t="s">
        <v>863</v>
      </c>
      <c r="D86" s="162" t="s">
        <v>864</v>
      </c>
      <c r="E86" s="162" t="s">
        <v>165</v>
      </c>
      <c r="F86" s="162" t="s">
        <v>865</v>
      </c>
      <c r="G86" s="27">
        <v>18958190827</v>
      </c>
      <c r="H86" s="162" t="s">
        <v>866</v>
      </c>
      <c r="I86" s="162" t="s">
        <v>156</v>
      </c>
      <c r="J86" s="162" t="s">
        <v>8</v>
      </c>
      <c r="K86" s="27">
        <v>202102002</v>
      </c>
      <c r="L86" s="162" t="s">
        <v>157</v>
      </c>
      <c r="M86" s="162" t="s">
        <v>867</v>
      </c>
      <c r="N86" s="162" t="s">
        <v>868</v>
      </c>
      <c r="O86" s="162" t="s">
        <v>160</v>
      </c>
      <c r="P86" s="162" t="s">
        <v>548</v>
      </c>
      <c r="Q86" s="162" t="s">
        <v>8</v>
      </c>
      <c r="R86" s="162" t="s">
        <v>869</v>
      </c>
      <c r="S86" s="118" t="str">
        <f>_xlfn.DISPIMG("ID_019B47D80B6342B48EC2873E3CE82AE8",1)</f>
        <v>=DISPIMG("ID_019B47D80B6342B48EC2873E3CE82AE8",1)</v>
      </c>
      <c r="T86" s="115" t="s">
        <v>870</v>
      </c>
      <c r="U86" s="27">
        <v>86</v>
      </c>
    </row>
    <row r="87" s="3" customFormat="1" customHeight="1" spans="1:21">
      <c r="A87" s="144">
        <v>44357.7403356481</v>
      </c>
      <c r="B87" s="27" t="s">
        <v>871</v>
      </c>
      <c r="C87" s="27" t="s">
        <v>872</v>
      </c>
      <c r="D87" s="162" t="s">
        <v>873</v>
      </c>
      <c r="E87" s="162" t="s">
        <v>165</v>
      </c>
      <c r="F87" s="162" t="s">
        <v>874</v>
      </c>
      <c r="G87" s="27">
        <v>15070424036</v>
      </c>
      <c r="H87" s="162" t="s">
        <v>875</v>
      </c>
      <c r="I87" s="162" t="s">
        <v>278</v>
      </c>
      <c r="J87" s="162" t="s">
        <v>28</v>
      </c>
      <c r="K87" s="27">
        <v>202103001</v>
      </c>
      <c r="L87" s="162" t="s">
        <v>279</v>
      </c>
      <c r="M87" s="162" t="s">
        <v>876</v>
      </c>
      <c r="N87" s="162" t="s">
        <v>280</v>
      </c>
      <c r="O87" s="162" t="s">
        <v>170</v>
      </c>
      <c r="P87" s="162" t="s">
        <v>180</v>
      </c>
      <c r="Q87" s="162" t="s">
        <v>517</v>
      </c>
      <c r="R87" s="162" t="s">
        <v>877</v>
      </c>
      <c r="S87" s="118" t="str">
        <f>_xlfn.DISPIMG("ID_FA24C7A6F2FA44B892B9DF563FC4E960",1)</f>
        <v>=DISPIMG("ID_FA24C7A6F2FA44B892B9DF563FC4E960",1)</v>
      </c>
      <c r="T87" s="115" t="s">
        <v>878</v>
      </c>
      <c r="U87" s="27">
        <v>87</v>
      </c>
    </row>
    <row r="88" s="5" customFormat="1" customHeight="1" spans="1:21">
      <c r="A88" s="146">
        <v>44357.7473611111</v>
      </c>
      <c r="B88" s="116" t="s">
        <v>879</v>
      </c>
      <c r="C88" s="116" t="s">
        <v>880</v>
      </c>
      <c r="D88" s="165" t="s">
        <v>881</v>
      </c>
      <c r="E88" s="165" t="s">
        <v>165</v>
      </c>
      <c r="F88" s="165" t="s">
        <v>882</v>
      </c>
      <c r="G88" s="116">
        <v>15279260286</v>
      </c>
      <c r="H88" s="165" t="s">
        <v>883</v>
      </c>
      <c r="I88" s="165" t="s">
        <v>278</v>
      </c>
      <c r="J88" s="165" t="s">
        <v>28</v>
      </c>
      <c r="K88" s="116">
        <v>202103001</v>
      </c>
      <c r="L88" s="165" t="s">
        <v>279</v>
      </c>
      <c r="M88" s="165" t="s">
        <v>884</v>
      </c>
      <c r="N88" s="165" t="s">
        <v>223</v>
      </c>
      <c r="O88" s="165" t="s">
        <v>170</v>
      </c>
      <c r="P88" s="165" t="s">
        <v>733</v>
      </c>
      <c r="Q88" s="165" t="s">
        <v>885</v>
      </c>
      <c r="R88" s="165" t="s">
        <v>886</v>
      </c>
      <c r="S88" s="119" t="str">
        <f>_xlfn.DISPIMG("ID_79374B2C837849A79ABAFBB6FF76D11C",1)</f>
        <v>=DISPIMG("ID_79374B2C837849A79ABAFBB6FF76D11C",1)</v>
      </c>
      <c r="T88" s="120" t="s">
        <v>887</v>
      </c>
      <c r="U88" s="27">
        <v>88</v>
      </c>
    </row>
    <row r="89" s="3" customFormat="1" customHeight="1" spans="1:21">
      <c r="A89" s="144">
        <v>44357.7574884259</v>
      </c>
      <c r="B89" s="27" t="s">
        <v>888</v>
      </c>
      <c r="C89" s="27" t="s">
        <v>889</v>
      </c>
      <c r="D89" s="162" t="s">
        <v>890</v>
      </c>
      <c r="E89" s="162" t="s">
        <v>165</v>
      </c>
      <c r="F89" s="162" t="s">
        <v>891</v>
      </c>
      <c r="G89" s="27">
        <v>15270271332</v>
      </c>
      <c r="H89" s="162" t="s">
        <v>892</v>
      </c>
      <c r="I89" s="162" t="s">
        <v>278</v>
      </c>
      <c r="J89" s="162" t="s">
        <v>28</v>
      </c>
      <c r="K89" s="27">
        <v>202103001</v>
      </c>
      <c r="L89" s="162" t="s">
        <v>279</v>
      </c>
      <c r="M89" s="162" t="s">
        <v>765</v>
      </c>
      <c r="N89" s="162" t="s">
        <v>893</v>
      </c>
      <c r="O89" s="162" t="s">
        <v>170</v>
      </c>
      <c r="P89" s="162" t="s">
        <v>161</v>
      </c>
      <c r="Q89" s="162" t="s">
        <v>340</v>
      </c>
      <c r="R89" s="162" t="s">
        <v>894</v>
      </c>
      <c r="S89" s="118" t="str">
        <f>_xlfn.DISPIMG("ID_85B3DA5A290A4196889B653600FB42ED",1)</f>
        <v>=DISPIMG("ID_85B3DA5A290A4196889B653600FB42ED",1)</v>
      </c>
      <c r="T89" s="115" t="s">
        <v>895</v>
      </c>
      <c r="U89" s="27">
        <v>89</v>
      </c>
    </row>
    <row r="90" s="3" customFormat="1" customHeight="1" spans="1:21">
      <c r="A90" s="144">
        <v>44357.7690972222</v>
      </c>
      <c r="B90" s="27" t="s">
        <v>896</v>
      </c>
      <c r="C90" s="27" t="s">
        <v>897</v>
      </c>
      <c r="D90" s="162" t="s">
        <v>898</v>
      </c>
      <c r="E90" s="162" t="s">
        <v>165</v>
      </c>
      <c r="F90" s="162" t="s">
        <v>899</v>
      </c>
      <c r="G90" s="27">
        <v>18970287322</v>
      </c>
      <c r="H90" s="162" t="s">
        <v>900</v>
      </c>
      <c r="I90" s="162" t="s">
        <v>268</v>
      </c>
      <c r="J90" s="162" t="s">
        <v>26</v>
      </c>
      <c r="K90" s="27">
        <v>202101001</v>
      </c>
      <c r="L90" s="162" t="s">
        <v>157</v>
      </c>
      <c r="M90" s="162" t="s">
        <v>901</v>
      </c>
      <c r="N90" s="162" t="s">
        <v>454</v>
      </c>
      <c r="O90" s="162" t="s">
        <v>170</v>
      </c>
      <c r="P90" s="162" t="s">
        <v>235</v>
      </c>
      <c r="Q90" s="162" t="s">
        <v>26</v>
      </c>
      <c r="R90" s="162" t="s">
        <v>902</v>
      </c>
      <c r="S90" s="118" t="str">
        <f>_xlfn.DISPIMG("ID_1BFE84DC97BC469ABB3506659F95FD8E",1)</f>
        <v>=DISPIMG("ID_1BFE84DC97BC469ABB3506659F95FD8E",1)</v>
      </c>
      <c r="T90" s="115" t="s">
        <v>903</v>
      </c>
      <c r="U90" s="27">
        <v>90</v>
      </c>
    </row>
    <row r="91" s="3" customFormat="1" customHeight="1" spans="1:21">
      <c r="A91" s="144">
        <v>44357.7768865741</v>
      </c>
      <c r="B91" s="27" t="s">
        <v>904</v>
      </c>
      <c r="C91" s="27" t="s">
        <v>905</v>
      </c>
      <c r="D91" s="162" t="s">
        <v>906</v>
      </c>
      <c r="E91" s="162" t="s">
        <v>165</v>
      </c>
      <c r="F91" s="162" t="s">
        <v>907</v>
      </c>
      <c r="G91" s="27">
        <v>18872969481</v>
      </c>
      <c r="H91" s="162" t="s">
        <v>908</v>
      </c>
      <c r="I91" s="162" t="s">
        <v>156</v>
      </c>
      <c r="J91" s="162" t="s">
        <v>12</v>
      </c>
      <c r="K91" s="27">
        <v>202102010</v>
      </c>
      <c r="L91" s="162" t="s">
        <v>157</v>
      </c>
      <c r="M91" s="162" t="s">
        <v>909</v>
      </c>
      <c r="N91" s="162" t="s">
        <v>445</v>
      </c>
      <c r="O91" s="162" t="s">
        <v>170</v>
      </c>
      <c r="P91" s="162" t="s">
        <v>910</v>
      </c>
      <c r="Q91" s="162" t="s">
        <v>911</v>
      </c>
      <c r="R91" s="162" t="s">
        <v>912</v>
      </c>
      <c r="S91" s="118" t="str">
        <f>_xlfn.DISPIMG("ID_5478E78BEF25454AA0569457DA503AEE",1)</f>
        <v>=DISPIMG("ID_5478E78BEF25454AA0569457DA503AEE",1)</v>
      </c>
      <c r="T91" s="115" t="s">
        <v>913</v>
      </c>
      <c r="U91" s="27">
        <v>91</v>
      </c>
    </row>
    <row r="92" s="3" customFormat="1" customHeight="1" spans="1:21">
      <c r="A92" s="144">
        <v>44357.7771064815</v>
      </c>
      <c r="B92" s="27" t="s">
        <v>914</v>
      </c>
      <c r="C92" s="27" t="s">
        <v>915</v>
      </c>
      <c r="D92" s="162" t="s">
        <v>916</v>
      </c>
      <c r="E92" s="162" t="s">
        <v>165</v>
      </c>
      <c r="F92" s="162" t="s">
        <v>917</v>
      </c>
      <c r="G92" s="27">
        <v>15070951954</v>
      </c>
      <c r="H92" s="162" t="s">
        <v>918</v>
      </c>
      <c r="I92" s="162" t="s">
        <v>156</v>
      </c>
      <c r="J92" s="162" t="s">
        <v>14</v>
      </c>
      <c r="K92" s="27">
        <v>202102001</v>
      </c>
      <c r="L92" s="162" t="s">
        <v>157</v>
      </c>
      <c r="M92" s="162" t="s">
        <v>233</v>
      </c>
      <c r="N92" s="162" t="s">
        <v>454</v>
      </c>
      <c r="O92" s="162" t="s">
        <v>160</v>
      </c>
      <c r="P92" s="162" t="s">
        <v>919</v>
      </c>
      <c r="Q92" s="162" t="s">
        <v>14</v>
      </c>
      <c r="R92" s="162" t="s">
        <v>920</v>
      </c>
      <c r="S92" s="118" t="str">
        <f>_xlfn.DISPIMG("ID_ADE94A403A29454787C6186CC5AA20B8",1)</f>
        <v>=DISPIMG("ID_ADE94A403A29454787C6186CC5AA20B8",1)</v>
      </c>
      <c r="T92" s="115" t="s">
        <v>921</v>
      </c>
      <c r="U92" s="27">
        <v>92</v>
      </c>
    </row>
    <row r="93" s="3" customFormat="1" customHeight="1" spans="1:21">
      <c r="A93" s="144">
        <v>44357.7883564815</v>
      </c>
      <c r="B93" s="27" t="s">
        <v>922</v>
      </c>
      <c r="C93" s="27" t="s">
        <v>923</v>
      </c>
      <c r="D93" s="162" t="s">
        <v>924</v>
      </c>
      <c r="E93" s="162" t="s">
        <v>165</v>
      </c>
      <c r="F93" s="162" t="s">
        <v>925</v>
      </c>
      <c r="G93" s="27">
        <v>13979203425</v>
      </c>
      <c r="H93" s="162" t="s">
        <v>926</v>
      </c>
      <c r="I93" s="162" t="s">
        <v>278</v>
      </c>
      <c r="J93" s="162" t="s">
        <v>28</v>
      </c>
      <c r="K93" s="27">
        <v>202103001</v>
      </c>
      <c r="L93" s="162" t="s">
        <v>585</v>
      </c>
      <c r="M93" s="162" t="s">
        <v>927</v>
      </c>
      <c r="N93" s="162" t="s">
        <v>928</v>
      </c>
      <c r="O93" s="162" t="s">
        <v>170</v>
      </c>
      <c r="P93" s="162" t="s">
        <v>349</v>
      </c>
      <c r="Q93" s="162" t="s">
        <v>376</v>
      </c>
      <c r="R93" s="162" t="s">
        <v>929</v>
      </c>
      <c r="S93" s="118" t="str">
        <f>_xlfn.DISPIMG("ID_8862CF8F67E94F49BA25AF43C58A74CB",1)</f>
        <v>=DISPIMG("ID_8862CF8F67E94F49BA25AF43C58A74CB",1)</v>
      </c>
      <c r="T93" s="115" t="s">
        <v>930</v>
      </c>
      <c r="U93" s="27">
        <v>93</v>
      </c>
    </row>
    <row r="94" s="3" customFormat="1" customHeight="1" spans="1:21">
      <c r="A94" s="144">
        <v>44357.789224537</v>
      </c>
      <c r="B94" s="27" t="s">
        <v>931</v>
      </c>
      <c r="C94" s="27" t="s">
        <v>932</v>
      </c>
      <c r="D94" s="162" t="s">
        <v>932</v>
      </c>
      <c r="E94" s="162" t="s">
        <v>165</v>
      </c>
      <c r="F94" s="162" t="s">
        <v>933</v>
      </c>
      <c r="G94" s="27">
        <v>15373854743</v>
      </c>
      <c r="H94" s="162" t="s">
        <v>934</v>
      </c>
      <c r="I94" s="162" t="s">
        <v>268</v>
      </c>
      <c r="J94" s="162" t="s">
        <v>26</v>
      </c>
      <c r="K94" s="27">
        <v>202101001</v>
      </c>
      <c r="L94" s="162" t="s">
        <v>157</v>
      </c>
      <c r="M94" s="162" t="s">
        <v>935</v>
      </c>
      <c r="N94" s="162" t="s">
        <v>936</v>
      </c>
      <c r="O94" s="162" t="s">
        <v>170</v>
      </c>
      <c r="P94" s="162" t="s">
        <v>252</v>
      </c>
      <c r="Q94" s="162" t="s">
        <v>26</v>
      </c>
      <c r="R94" s="162" t="s">
        <v>937</v>
      </c>
      <c r="S94" s="118" t="str">
        <f>_xlfn.DISPIMG("ID_B0F72DE4E87649C28924E4AA265BAF06",1)</f>
        <v>=DISPIMG("ID_B0F72DE4E87649C28924E4AA265BAF06",1)</v>
      </c>
      <c r="T94" s="115" t="s">
        <v>938</v>
      </c>
      <c r="U94" s="27">
        <v>94</v>
      </c>
    </row>
    <row r="95" s="3" customFormat="1" customHeight="1" spans="1:21">
      <c r="A95" s="144">
        <v>44357.803275463</v>
      </c>
      <c r="B95" s="27" t="s">
        <v>939</v>
      </c>
      <c r="C95" s="27" t="s">
        <v>940</v>
      </c>
      <c r="D95" s="162" t="s">
        <v>941</v>
      </c>
      <c r="E95" s="162" t="s">
        <v>165</v>
      </c>
      <c r="F95" s="162" t="s">
        <v>942</v>
      </c>
      <c r="G95" s="27">
        <v>18379646602</v>
      </c>
      <c r="H95" s="162" t="s">
        <v>943</v>
      </c>
      <c r="I95" s="162" t="s">
        <v>156</v>
      </c>
      <c r="J95" s="162" t="s">
        <v>8</v>
      </c>
      <c r="K95" s="27">
        <v>202102002</v>
      </c>
      <c r="L95" s="162" t="s">
        <v>157</v>
      </c>
      <c r="M95" s="162" t="s">
        <v>269</v>
      </c>
      <c r="N95" s="162" t="s">
        <v>944</v>
      </c>
      <c r="O95" s="162" t="s">
        <v>170</v>
      </c>
      <c r="P95" s="162" t="s">
        <v>261</v>
      </c>
      <c r="Q95" s="162" t="s">
        <v>945</v>
      </c>
      <c r="R95" s="27">
        <v>0</v>
      </c>
      <c r="S95" s="118" t="str">
        <f>_xlfn.DISPIMG("ID_BCCBED5385A54C5D88278A56BF2ABF99",1)</f>
        <v>=DISPIMG("ID_BCCBED5385A54C5D88278A56BF2ABF99",1)</v>
      </c>
      <c r="T95" s="115" t="s">
        <v>946</v>
      </c>
      <c r="U95" s="27">
        <v>95</v>
      </c>
    </row>
    <row r="96" s="3" customFormat="1" customHeight="1" spans="1:21">
      <c r="A96" s="144">
        <v>44357.8059143519</v>
      </c>
      <c r="B96" s="27" t="s">
        <v>947</v>
      </c>
      <c r="C96" s="27" t="s">
        <v>948</v>
      </c>
      <c r="D96" s="162" t="s">
        <v>949</v>
      </c>
      <c r="E96" s="162" t="s">
        <v>165</v>
      </c>
      <c r="F96" s="162" t="s">
        <v>950</v>
      </c>
      <c r="G96" s="27">
        <v>15720934889</v>
      </c>
      <c r="H96" s="162" t="s">
        <v>951</v>
      </c>
      <c r="I96" s="162" t="s">
        <v>384</v>
      </c>
      <c r="J96" s="162" t="s">
        <v>25</v>
      </c>
      <c r="K96" s="27">
        <v>202101007</v>
      </c>
      <c r="L96" s="162" t="s">
        <v>157</v>
      </c>
      <c r="M96" s="162" t="s">
        <v>269</v>
      </c>
      <c r="N96" s="162" t="s">
        <v>179</v>
      </c>
      <c r="O96" s="162" t="s">
        <v>170</v>
      </c>
      <c r="P96" s="162" t="s">
        <v>171</v>
      </c>
      <c r="Q96" s="162" t="s">
        <v>952</v>
      </c>
      <c r="R96" s="162" t="s">
        <v>953</v>
      </c>
      <c r="S96" s="118" t="str">
        <f>_xlfn.DISPIMG("ID_7778BC47A591458DA9EA33FB1000B681",1)</f>
        <v>=DISPIMG("ID_7778BC47A591458DA9EA33FB1000B681",1)</v>
      </c>
      <c r="T96" s="115" t="s">
        <v>954</v>
      </c>
      <c r="U96" s="27">
        <v>96</v>
      </c>
    </row>
    <row r="97" s="3" customFormat="1" customHeight="1" spans="1:21">
      <c r="A97" s="144">
        <v>44357.8081944444</v>
      </c>
      <c r="B97" s="27" t="s">
        <v>955</v>
      </c>
      <c r="C97" s="27" t="s">
        <v>956</v>
      </c>
      <c r="D97" s="162" t="s">
        <v>957</v>
      </c>
      <c r="E97" s="162" t="s">
        <v>165</v>
      </c>
      <c r="F97" s="162" t="s">
        <v>958</v>
      </c>
      <c r="G97" s="27">
        <v>15579232085</v>
      </c>
      <c r="H97" s="162" t="s">
        <v>959</v>
      </c>
      <c r="I97" s="162" t="s">
        <v>278</v>
      </c>
      <c r="J97" s="162" t="s">
        <v>28</v>
      </c>
      <c r="K97" s="27">
        <v>202103001</v>
      </c>
      <c r="L97" s="162" t="s">
        <v>279</v>
      </c>
      <c r="M97" s="162" t="s">
        <v>367</v>
      </c>
      <c r="N97" s="162" t="s">
        <v>960</v>
      </c>
      <c r="O97" s="162" t="s">
        <v>160</v>
      </c>
      <c r="P97" s="162" t="s">
        <v>261</v>
      </c>
      <c r="Q97" s="162" t="s">
        <v>961</v>
      </c>
      <c r="R97" s="27">
        <v>0</v>
      </c>
      <c r="S97" s="118" t="str">
        <f>_xlfn.DISPIMG("ID_4CCFD0700027401988C293FD5FDA33FE",1)</f>
        <v>=DISPIMG("ID_4CCFD0700027401988C293FD5FDA33FE",1)</v>
      </c>
      <c r="T97" s="115" t="s">
        <v>962</v>
      </c>
      <c r="U97" s="27">
        <v>97</v>
      </c>
    </row>
    <row r="98" s="3" customFormat="1" customHeight="1" spans="1:21">
      <c r="A98" s="144">
        <v>44357.8116898148</v>
      </c>
      <c r="B98" s="27" t="s">
        <v>963</v>
      </c>
      <c r="C98" s="27" t="s">
        <v>964</v>
      </c>
      <c r="D98" s="162" t="s">
        <v>965</v>
      </c>
      <c r="E98" s="162" t="s">
        <v>165</v>
      </c>
      <c r="F98" s="162" t="s">
        <v>966</v>
      </c>
      <c r="G98" s="27">
        <v>18379223080</v>
      </c>
      <c r="H98" s="162" t="s">
        <v>967</v>
      </c>
      <c r="I98" s="162" t="s">
        <v>156</v>
      </c>
      <c r="J98" s="162" t="s">
        <v>3</v>
      </c>
      <c r="K98" s="27">
        <v>202102009</v>
      </c>
      <c r="L98" s="162" t="s">
        <v>157</v>
      </c>
      <c r="M98" s="162" t="s">
        <v>158</v>
      </c>
      <c r="N98" s="162" t="s">
        <v>968</v>
      </c>
      <c r="O98" s="162" t="s">
        <v>160</v>
      </c>
      <c r="P98" s="162" t="s">
        <v>368</v>
      </c>
      <c r="Q98" s="162" t="s">
        <v>969</v>
      </c>
      <c r="R98" s="162" t="s">
        <v>970</v>
      </c>
      <c r="S98" s="118" t="str">
        <f>_xlfn.DISPIMG("ID_25A1371DB5D24E7E87AED819AD313075",1)</f>
        <v>=DISPIMG("ID_25A1371DB5D24E7E87AED819AD313075",1)</v>
      </c>
      <c r="T98" s="115" t="s">
        <v>971</v>
      </c>
      <c r="U98" s="27">
        <v>98</v>
      </c>
    </row>
    <row r="99" s="3" customFormat="1" customHeight="1" spans="1:21">
      <c r="A99" s="144">
        <v>44357.8124305556</v>
      </c>
      <c r="B99" s="27" t="s">
        <v>972</v>
      </c>
      <c r="C99" s="27" t="s">
        <v>973</v>
      </c>
      <c r="D99" s="162" t="s">
        <v>974</v>
      </c>
      <c r="E99" s="162" t="s">
        <v>153</v>
      </c>
      <c r="F99" s="162" t="s">
        <v>975</v>
      </c>
      <c r="G99" s="27">
        <v>14796380079</v>
      </c>
      <c r="H99" s="162" t="s">
        <v>976</v>
      </c>
      <c r="I99" s="162" t="s">
        <v>268</v>
      </c>
      <c r="J99" s="162" t="s">
        <v>16</v>
      </c>
      <c r="K99" s="27">
        <v>202101011</v>
      </c>
      <c r="L99" s="162" t="s">
        <v>157</v>
      </c>
      <c r="M99" s="162" t="s">
        <v>233</v>
      </c>
      <c r="N99" s="162" t="s">
        <v>977</v>
      </c>
      <c r="O99" s="162" t="s">
        <v>170</v>
      </c>
      <c r="P99" s="162" t="s">
        <v>235</v>
      </c>
      <c r="Q99" s="162" t="s">
        <v>978</v>
      </c>
      <c r="R99" s="162" t="s">
        <v>979</v>
      </c>
      <c r="S99" s="118" t="str">
        <f>_xlfn.DISPIMG("ID_9AC6BD34E9E244F89B50B29F8EA156DD",1)</f>
        <v>=DISPIMG("ID_9AC6BD34E9E244F89B50B29F8EA156DD",1)</v>
      </c>
      <c r="T99" s="115" t="s">
        <v>980</v>
      </c>
      <c r="U99" s="27">
        <v>99</v>
      </c>
    </row>
    <row r="100" s="4" customFormat="1" customHeight="1" spans="1:21">
      <c r="A100" s="145">
        <v>44363.4416550926</v>
      </c>
      <c r="B100" s="22" t="s">
        <v>981</v>
      </c>
      <c r="C100" s="22" t="s">
        <v>982</v>
      </c>
      <c r="D100" s="164" t="s">
        <v>983</v>
      </c>
      <c r="E100" s="164" t="s">
        <v>165</v>
      </c>
      <c r="F100" s="164" t="s">
        <v>984</v>
      </c>
      <c r="G100" s="22">
        <v>18170988745</v>
      </c>
      <c r="H100" s="164" t="s">
        <v>985</v>
      </c>
      <c r="I100" s="164" t="s">
        <v>156</v>
      </c>
      <c r="J100" s="164" t="s">
        <v>8</v>
      </c>
      <c r="K100" s="22">
        <v>202102002</v>
      </c>
      <c r="L100" s="164" t="s">
        <v>157</v>
      </c>
      <c r="M100" s="164" t="s">
        <v>986</v>
      </c>
      <c r="N100" s="164" t="s">
        <v>987</v>
      </c>
      <c r="O100" s="164" t="s">
        <v>160</v>
      </c>
      <c r="P100" s="164" t="s">
        <v>988</v>
      </c>
      <c r="Q100" s="164" t="s">
        <v>989</v>
      </c>
      <c r="R100" s="164" t="s">
        <v>990</v>
      </c>
      <c r="S100" s="23" t="str">
        <f>_xlfn.DISPIMG("ID_21AE3772EA6B45FAA68CF356346534B7",1)</f>
        <v>=DISPIMG("ID_21AE3772EA6B45FAA68CF356346534B7",1)</v>
      </c>
      <c r="T100" s="103" t="s">
        <v>991</v>
      </c>
      <c r="U100" s="27">
        <v>100</v>
      </c>
    </row>
    <row r="101" s="3" customFormat="1" customHeight="1" spans="1:21">
      <c r="A101" s="144">
        <v>44357.825625</v>
      </c>
      <c r="B101" s="27" t="s">
        <v>992</v>
      </c>
      <c r="C101" s="27" t="s">
        <v>993</v>
      </c>
      <c r="D101" s="162" t="s">
        <v>994</v>
      </c>
      <c r="E101" s="162" t="s">
        <v>165</v>
      </c>
      <c r="F101" s="162" t="s">
        <v>995</v>
      </c>
      <c r="G101" s="27">
        <v>15079132554</v>
      </c>
      <c r="H101" s="162" t="s">
        <v>996</v>
      </c>
      <c r="I101" s="162" t="s">
        <v>156</v>
      </c>
      <c r="J101" s="162" t="s">
        <v>13</v>
      </c>
      <c r="K101" s="27">
        <v>202102003</v>
      </c>
      <c r="L101" s="162" t="s">
        <v>157</v>
      </c>
      <c r="M101" s="162" t="s">
        <v>197</v>
      </c>
      <c r="N101" s="162" t="s">
        <v>179</v>
      </c>
      <c r="O101" s="162" t="s">
        <v>160</v>
      </c>
      <c r="P101" s="162" t="s">
        <v>180</v>
      </c>
      <c r="Q101" s="162" t="s">
        <v>997</v>
      </c>
      <c r="R101" s="162" t="s">
        <v>998</v>
      </c>
      <c r="S101" s="118" t="str">
        <f>_xlfn.DISPIMG("ID_10318FA0EB2E4E7ABCD18627E825B2DF",1)</f>
        <v>=DISPIMG("ID_10318FA0EB2E4E7ABCD18627E825B2DF",1)</v>
      </c>
      <c r="T101" s="115" t="s">
        <v>999</v>
      </c>
      <c r="U101" s="27">
        <v>101</v>
      </c>
    </row>
    <row r="102" s="3" customFormat="1" customHeight="1" spans="1:21">
      <c r="A102" s="144">
        <v>44357.8256828704</v>
      </c>
      <c r="B102" s="27" t="s">
        <v>1000</v>
      </c>
      <c r="C102" s="27" t="s">
        <v>1001</v>
      </c>
      <c r="D102" s="162" t="s">
        <v>1002</v>
      </c>
      <c r="E102" s="162" t="s">
        <v>165</v>
      </c>
      <c r="F102" s="162" t="s">
        <v>1003</v>
      </c>
      <c r="G102" s="27">
        <v>16607008286</v>
      </c>
      <c r="H102" s="162" t="s">
        <v>1004</v>
      </c>
      <c r="I102" s="162" t="s">
        <v>156</v>
      </c>
      <c r="J102" s="162" t="s">
        <v>8</v>
      </c>
      <c r="K102" s="27">
        <v>202102002</v>
      </c>
      <c r="L102" s="162" t="s">
        <v>157</v>
      </c>
      <c r="M102" s="162" t="s">
        <v>233</v>
      </c>
      <c r="N102" s="162" t="s">
        <v>1005</v>
      </c>
      <c r="O102" s="162" t="s">
        <v>170</v>
      </c>
      <c r="P102" s="162" t="s">
        <v>180</v>
      </c>
      <c r="Q102" s="162" t="s">
        <v>8</v>
      </c>
      <c r="R102" s="162" t="s">
        <v>1006</v>
      </c>
      <c r="S102" s="118" t="str">
        <f>_xlfn.DISPIMG("ID_AB18BB501DAF4CA0AB480E453554BF60",1)</f>
        <v>=DISPIMG("ID_AB18BB501DAF4CA0AB480E453554BF60",1)</v>
      </c>
      <c r="T102" s="115" t="s">
        <v>1007</v>
      </c>
      <c r="U102" s="27">
        <v>102</v>
      </c>
    </row>
    <row r="103" s="3" customFormat="1" customHeight="1" spans="1:21">
      <c r="A103" s="144">
        <v>44357.8274074074</v>
      </c>
      <c r="B103" s="27" t="s">
        <v>1008</v>
      </c>
      <c r="C103" s="27" t="s">
        <v>1009</v>
      </c>
      <c r="D103" s="162" t="s">
        <v>1010</v>
      </c>
      <c r="E103" s="162" t="s">
        <v>165</v>
      </c>
      <c r="F103" s="162" t="s">
        <v>1011</v>
      </c>
      <c r="G103" s="27">
        <v>13065115241</v>
      </c>
      <c r="H103" s="162" t="s">
        <v>1012</v>
      </c>
      <c r="I103" s="162" t="s">
        <v>278</v>
      </c>
      <c r="J103" s="162" t="s">
        <v>28</v>
      </c>
      <c r="K103" s="27">
        <v>202103001</v>
      </c>
      <c r="L103" s="162" t="s">
        <v>279</v>
      </c>
      <c r="M103" s="162" t="s">
        <v>662</v>
      </c>
      <c r="N103" s="162" t="s">
        <v>280</v>
      </c>
      <c r="O103" s="162" t="s">
        <v>170</v>
      </c>
      <c r="P103" s="162" t="s">
        <v>161</v>
      </c>
      <c r="Q103" s="162" t="s">
        <v>1013</v>
      </c>
      <c r="R103" s="162" t="s">
        <v>1014</v>
      </c>
      <c r="S103" s="118" t="str">
        <f>_xlfn.DISPIMG("ID_723B44C496604BFA92AC4D10BD64E9FC",1)</f>
        <v>=DISPIMG("ID_723B44C496604BFA92AC4D10BD64E9FC",1)</v>
      </c>
      <c r="T103" s="115" t="s">
        <v>1015</v>
      </c>
      <c r="U103" s="27">
        <v>103</v>
      </c>
    </row>
    <row r="104" s="3" customFormat="1" customHeight="1" spans="1:21">
      <c r="A104" s="144">
        <v>44357.834537037</v>
      </c>
      <c r="B104" s="27" t="s">
        <v>1016</v>
      </c>
      <c r="C104" s="27" t="s">
        <v>1017</v>
      </c>
      <c r="D104" s="162" t="s">
        <v>1018</v>
      </c>
      <c r="E104" s="162" t="s">
        <v>165</v>
      </c>
      <c r="F104" s="162" t="s">
        <v>1019</v>
      </c>
      <c r="G104" s="27">
        <v>18270832760</v>
      </c>
      <c r="H104" s="162" t="s">
        <v>1020</v>
      </c>
      <c r="I104" s="162" t="s">
        <v>156</v>
      </c>
      <c r="J104" s="162" t="s">
        <v>13</v>
      </c>
      <c r="K104" s="27">
        <v>202102003</v>
      </c>
      <c r="L104" s="162" t="s">
        <v>157</v>
      </c>
      <c r="M104" s="162" t="s">
        <v>827</v>
      </c>
      <c r="N104" s="162" t="s">
        <v>1021</v>
      </c>
      <c r="O104" s="162" t="s">
        <v>160</v>
      </c>
      <c r="P104" s="162" t="s">
        <v>281</v>
      </c>
      <c r="Q104" s="162" t="s">
        <v>1022</v>
      </c>
      <c r="R104" s="162" t="s">
        <v>1023</v>
      </c>
      <c r="S104" s="118" t="str">
        <f>_xlfn.DISPIMG("ID_8ABFE7CB3D4544BB889DAF8FFFAF27BC",1)</f>
        <v>=DISPIMG("ID_8ABFE7CB3D4544BB889DAF8FFFAF27BC",1)</v>
      </c>
      <c r="T104" s="115" t="s">
        <v>1024</v>
      </c>
      <c r="U104" s="27">
        <v>104</v>
      </c>
    </row>
    <row r="105" s="3" customFormat="1" customHeight="1" spans="1:21">
      <c r="A105" s="144">
        <v>44357.8357175926</v>
      </c>
      <c r="B105" s="27" t="s">
        <v>1025</v>
      </c>
      <c r="C105" s="27" t="s">
        <v>1026</v>
      </c>
      <c r="D105" s="162" t="s">
        <v>1027</v>
      </c>
      <c r="E105" s="162" t="s">
        <v>165</v>
      </c>
      <c r="F105" s="162" t="s">
        <v>1028</v>
      </c>
      <c r="G105" s="27">
        <v>15579180298</v>
      </c>
      <c r="H105" s="162" t="s">
        <v>1029</v>
      </c>
      <c r="I105" s="162" t="s">
        <v>278</v>
      </c>
      <c r="J105" s="162" t="s">
        <v>28</v>
      </c>
      <c r="K105" s="27">
        <v>202103001</v>
      </c>
      <c r="L105" s="162" t="s">
        <v>279</v>
      </c>
      <c r="M105" s="162" t="s">
        <v>662</v>
      </c>
      <c r="N105" s="162" t="s">
        <v>280</v>
      </c>
      <c r="O105" s="162" t="s">
        <v>170</v>
      </c>
      <c r="P105" s="162" t="s">
        <v>161</v>
      </c>
      <c r="Q105" s="162" t="s">
        <v>376</v>
      </c>
      <c r="R105" s="162" t="s">
        <v>1030</v>
      </c>
      <c r="S105" s="118" t="str">
        <f>_xlfn.DISPIMG("ID_1619E0FF3AE04637958459633AD8C1B8",1)</f>
        <v>=DISPIMG("ID_1619E0FF3AE04637958459633AD8C1B8",1)</v>
      </c>
      <c r="T105" s="115" t="s">
        <v>1031</v>
      </c>
      <c r="U105" s="27">
        <v>105</v>
      </c>
    </row>
    <row r="106" s="3" customFormat="1" customHeight="1" spans="1:21">
      <c r="A106" s="144">
        <v>44357.8365740741</v>
      </c>
      <c r="B106" s="27" t="s">
        <v>1032</v>
      </c>
      <c r="C106" s="27" t="s">
        <v>1033</v>
      </c>
      <c r="D106" s="162" t="s">
        <v>1034</v>
      </c>
      <c r="E106" s="162" t="s">
        <v>165</v>
      </c>
      <c r="F106" s="162" t="s">
        <v>1035</v>
      </c>
      <c r="G106" s="27">
        <v>18270651805</v>
      </c>
      <c r="H106" s="162" t="s">
        <v>1036</v>
      </c>
      <c r="I106" s="162" t="s">
        <v>156</v>
      </c>
      <c r="J106" s="162" t="s">
        <v>12</v>
      </c>
      <c r="K106" s="27">
        <v>202102010</v>
      </c>
      <c r="L106" s="162" t="s">
        <v>157</v>
      </c>
      <c r="M106" s="162" t="s">
        <v>178</v>
      </c>
      <c r="N106" s="162" t="s">
        <v>1037</v>
      </c>
      <c r="O106" s="162" t="s">
        <v>170</v>
      </c>
      <c r="P106" s="162" t="s">
        <v>161</v>
      </c>
      <c r="Q106" s="162" t="s">
        <v>1038</v>
      </c>
      <c r="R106" s="162" t="s">
        <v>1039</v>
      </c>
      <c r="S106" s="118" t="str">
        <f>_xlfn.DISPIMG("ID_0FA5FFDB4D0442D5AB7C6CB6A0A51E2D",1)</f>
        <v>=DISPIMG("ID_0FA5FFDB4D0442D5AB7C6CB6A0A51E2D",1)</v>
      </c>
      <c r="T106" s="115" t="s">
        <v>1040</v>
      </c>
      <c r="U106" s="27">
        <v>106</v>
      </c>
    </row>
    <row r="107" s="3" customFormat="1" customHeight="1" spans="1:21">
      <c r="A107" s="144">
        <v>44357.8391782407</v>
      </c>
      <c r="B107" s="27" t="s">
        <v>1041</v>
      </c>
      <c r="C107" s="27" t="s">
        <v>1042</v>
      </c>
      <c r="D107" s="162" t="s">
        <v>1043</v>
      </c>
      <c r="E107" s="162" t="s">
        <v>165</v>
      </c>
      <c r="F107" s="162" t="s">
        <v>1044</v>
      </c>
      <c r="G107" s="27">
        <v>13257081497</v>
      </c>
      <c r="H107" s="162" t="s">
        <v>1045</v>
      </c>
      <c r="I107" s="162" t="s">
        <v>278</v>
      </c>
      <c r="J107" s="162" t="s">
        <v>28</v>
      </c>
      <c r="K107" s="27">
        <v>202103001</v>
      </c>
      <c r="L107" s="162" t="s">
        <v>279</v>
      </c>
      <c r="M107" s="162" t="s">
        <v>515</v>
      </c>
      <c r="N107" s="162" t="s">
        <v>280</v>
      </c>
      <c r="O107" s="162" t="s">
        <v>170</v>
      </c>
      <c r="P107" s="162" t="s">
        <v>216</v>
      </c>
      <c r="Q107" s="162" t="s">
        <v>28</v>
      </c>
      <c r="R107" s="162" t="s">
        <v>1046</v>
      </c>
      <c r="S107" s="118" t="str">
        <f>_xlfn.DISPIMG("ID_95C77A057E51453F847E60BE7A6D3C93",1)</f>
        <v>=DISPIMG("ID_95C77A057E51453F847E60BE7A6D3C93",1)</v>
      </c>
      <c r="T107" s="115" t="s">
        <v>1047</v>
      </c>
      <c r="U107" s="27">
        <v>107</v>
      </c>
    </row>
    <row r="108" s="3" customFormat="1" customHeight="1" spans="1:21">
      <c r="A108" s="144">
        <v>44357.842025463</v>
      </c>
      <c r="B108" s="27" t="s">
        <v>1048</v>
      </c>
      <c r="C108" s="27" t="s">
        <v>1049</v>
      </c>
      <c r="D108" s="162" t="s">
        <v>1050</v>
      </c>
      <c r="E108" s="162" t="s">
        <v>165</v>
      </c>
      <c r="F108" s="162" t="s">
        <v>1051</v>
      </c>
      <c r="G108" s="27">
        <v>15180471768</v>
      </c>
      <c r="H108" s="162" t="s">
        <v>812</v>
      </c>
      <c r="I108" s="162" t="s">
        <v>384</v>
      </c>
      <c r="J108" s="162" t="s">
        <v>20</v>
      </c>
      <c r="K108" s="27">
        <v>202101005</v>
      </c>
      <c r="L108" s="162" t="s">
        <v>157</v>
      </c>
      <c r="M108" s="162" t="s">
        <v>178</v>
      </c>
      <c r="N108" s="162" t="s">
        <v>270</v>
      </c>
      <c r="O108" s="162" t="s">
        <v>170</v>
      </c>
      <c r="P108" s="162" t="s">
        <v>261</v>
      </c>
      <c r="Q108" s="162" t="s">
        <v>20</v>
      </c>
      <c r="R108" s="27">
        <v>0</v>
      </c>
      <c r="S108" s="118" t="str">
        <f>_xlfn.DISPIMG("ID_296B75901486490E98D040532231AC8D",1)</f>
        <v>=DISPIMG("ID_296B75901486490E98D040532231AC8D",1)</v>
      </c>
      <c r="T108" s="115" t="s">
        <v>1052</v>
      </c>
      <c r="U108" s="27">
        <v>108</v>
      </c>
    </row>
    <row r="109" s="3" customFormat="1" customHeight="1" spans="1:21">
      <c r="A109" s="144">
        <v>44357.8531712963</v>
      </c>
      <c r="B109" s="27" t="s">
        <v>1053</v>
      </c>
      <c r="C109" s="27" t="s">
        <v>1054</v>
      </c>
      <c r="D109" s="162" t="s">
        <v>1055</v>
      </c>
      <c r="E109" s="162" t="s">
        <v>165</v>
      </c>
      <c r="F109" s="162" t="s">
        <v>1056</v>
      </c>
      <c r="G109" s="27">
        <v>15279286807</v>
      </c>
      <c r="H109" s="162" t="s">
        <v>1057</v>
      </c>
      <c r="I109" s="162" t="s">
        <v>384</v>
      </c>
      <c r="J109" s="162" t="s">
        <v>20</v>
      </c>
      <c r="K109" s="27">
        <v>202101005</v>
      </c>
      <c r="L109" s="162" t="s">
        <v>157</v>
      </c>
      <c r="M109" s="162" t="s">
        <v>178</v>
      </c>
      <c r="N109" s="162" t="s">
        <v>270</v>
      </c>
      <c r="O109" s="162" t="s">
        <v>170</v>
      </c>
      <c r="P109" s="162" t="s">
        <v>261</v>
      </c>
      <c r="Q109" s="162" t="s">
        <v>20</v>
      </c>
      <c r="R109" s="27">
        <v>0</v>
      </c>
      <c r="S109" s="118" t="str">
        <f>_xlfn.DISPIMG("ID_1261702926BF4B91B3BBC8CF57D7C930",1)</f>
        <v>=DISPIMG("ID_1261702926BF4B91B3BBC8CF57D7C930",1)</v>
      </c>
      <c r="T109" s="115" t="s">
        <v>1058</v>
      </c>
      <c r="U109" s="27">
        <v>109</v>
      </c>
    </row>
    <row r="110" s="3" customFormat="1" customHeight="1" spans="1:21">
      <c r="A110" s="144">
        <v>44357.8570138889</v>
      </c>
      <c r="B110" s="27" t="s">
        <v>1059</v>
      </c>
      <c r="C110" s="27" t="s">
        <v>1060</v>
      </c>
      <c r="D110" s="162" t="s">
        <v>1061</v>
      </c>
      <c r="E110" s="162" t="s">
        <v>165</v>
      </c>
      <c r="F110" s="162" t="s">
        <v>1062</v>
      </c>
      <c r="G110" s="27">
        <v>18370272213</v>
      </c>
      <c r="H110" s="162" t="s">
        <v>1063</v>
      </c>
      <c r="I110" s="162" t="s">
        <v>268</v>
      </c>
      <c r="J110" s="162" t="s">
        <v>17</v>
      </c>
      <c r="K110" s="27">
        <v>202101017</v>
      </c>
      <c r="L110" s="162" t="s">
        <v>157</v>
      </c>
      <c r="M110" s="162" t="s">
        <v>269</v>
      </c>
      <c r="N110" s="162" t="s">
        <v>290</v>
      </c>
      <c r="O110" s="162" t="s">
        <v>170</v>
      </c>
      <c r="P110" s="162" t="s">
        <v>261</v>
      </c>
      <c r="Q110" s="162" t="s">
        <v>1064</v>
      </c>
      <c r="R110" s="27">
        <v>0</v>
      </c>
      <c r="S110" s="118" t="str">
        <f>_xlfn.DISPIMG("ID_9916007E0F6C44BAA2C2DFDD815EDF7E",1)</f>
        <v>=DISPIMG("ID_9916007E0F6C44BAA2C2DFDD815EDF7E",1)</v>
      </c>
      <c r="T110" s="115" t="s">
        <v>1065</v>
      </c>
      <c r="U110" s="27">
        <v>110</v>
      </c>
    </row>
    <row r="111" s="3" customFormat="1" customHeight="1" spans="1:21">
      <c r="A111" s="144">
        <v>44357.8592013889</v>
      </c>
      <c r="B111" s="27" t="s">
        <v>1066</v>
      </c>
      <c r="C111" s="27" t="s">
        <v>1067</v>
      </c>
      <c r="D111" s="162" t="s">
        <v>1068</v>
      </c>
      <c r="E111" s="162" t="s">
        <v>165</v>
      </c>
      <c r="F111" s="162" t="s">
        <v>1069</v>
      </c>
      <c r="G111" s="27">
        <v>18279237136</v>
      </c>
      <c r="H111" s="162" t="s">
        <v>1070</v>
      </c>
      <c r="I111" s="162" t="s">
        <v>506</v>
      </c>
      <c r="J111" s="162" t="s">
        <v>6</v>
      </c>
      <c r="K111" s="27">
        <v>202102021</v>
      </c>
      <c r="L111" s="162" t="s">
        <v>157</v>
      </c>
      <c r="M111" s="162" t="s">
        <v>1071</v>
      </c>
      <c r="N111" s="162" t="s">
        <v>454</v>
      </c>
      <c r="O111" s="162" t="s">
        <v>160</v>
      </c>
      <c r="P111" s="162" t="s">
        <v>161</v>
      </c>
      <c r="Q111" s="162" t="s">
        <v>413</v>
      </c>
      <c r="R111" s="162" t="s">
        <v>1072</v>
      </c>
      <c r="S111" s="118" t="str">
        <f>_xlfn.DISPIMG("ID_4AD11122DC4C4D408EA29340CD6689FE",1)</f>
        <v>=DISPIMG("ID_4AD11122DC4C4D408EA29340CD6689FE",1)</v>
      </c>
      <c r="T111" s="115" t="s">
        <v>1073</v>
      </c>
      <c r="U111" s="27">
        <v>111</v>
      </c>
    </row>
    <row r="112" s="3" customFormat="1" customHeight="1" spans="1:21">
      <c r="A112" s="144">
        <v>44357.8629398148</v>
      </c>
      <c r="B112" s="27" t="s">
        <v>1074</v>
      </c>
      <c r="C112" s="27" t="s">
        <v>1075</v>
      </c>
      <c r="D112" s="162" t="s">
        <v>1076</v>
      </c>
      <c r="E112" s="162" t="s">
        <v>165</v>
      </c>
      <c r="F112" s="162" t="s">
        <v>1077</v>
      </c>
      <c r="G112" s="27">
        <v>18870203440</v>
      </c>
      <c r="H112" s="162" t="s">
        <v>1078</v>
      </c>
      <c r="I112" s="162" t="s">
        <v>156</v>
      </c>
      <c r="J112" s="162" t="s">
        <v>6</v>
      </c>
      <c r="K112" s="27">
        <v>202102012</v>
      </c>
      <c r="L112" s="162" t="s">
        <v>157</v>
      </c>
      <c r="M112" s="162" t="s">
        <v>1079</v>
      </c>
      <c r="N112" s="162" t="s">
        <v>1080</v>
      </c>
      <c r="O112" s="162" t="s">
        <v>160</v>
      </c>
      <c r="P112" s="162" t="s">
        <v>235</v>
      </c>
      <c r="Q112" s="162" t="s">
        <v>413</v>
      </c>
      <c r="R112" s="162" t="s">
        <v>1081</v>
      </c>
      <c r="S112" s="118" t="str">
        <f>_xlfn.DISPIMG("ID_78C412614C7B42A0AA2A4D942DD9F1A2",1)</f>
        <v>=DISPIMG("ID_78C412614C7B42A0AA2A4D942DD9F1A2",1)</v>
      </c>
      <c r="T112" s="115" t="s">
        <v>1082</v>
      </c>
      <c r="U112" s="27">
        <v>112</v>
      </c>
    </row>
    <row r="113" s="3" customFormat="1" customHeight="1" spans="1:21">
      <c r="A113" s="144">
        <v>44357.8675578704</v>
      </c>
      <c r="B113" s="27" t="s">
        <v>1083</v>
      </c>
      <c r="C113" s="27" t="s">
        <v>1084</v>
      </c>
      <c r="D113" s="162" t="s">
        <v>1085</v>
      </c>
      <c r="E113" s="162" t="s">
        <v>165</v>
      </c>
      <c r="F113" s="162" t="s">
        <v>1086</v>
      </c>
      <c r="G113" s="27">
        <v>15179282018</v>
      </c>
      <c r="H113" s="162" t="s">
        <v>1087</v>
      </c>
      <c r="I113" s="162" t="s">
        <v>156</v>
      </c>
      <c r="J113" s="162" t="s">
        <v>4</v>
      </c>
      <c r="K113" s="27">
        <v>202102005</v>
      </c>
      <c r="L113" s="162" t="s">
        <v>279</v>
      </c>
      <c r="M113" s="162" t="s">
        <v>158</v>
      </c>
      <c r="N113" s="162" t="s">
        <v>1088</v>
      </c>
      <c r="O113" s="162" t="s">
        <v>170</v>
      </c>
      <c r="P113" s="162" t="s">
        <v>1089</v>
      </c>
      <c r="Q113" s="162" t="s">
        <v>4</v>
      </c>
      <c r="R113" s="162" t="s">
        <v>1090</v>
      </c>
      <c r="S113" s="118" t="str">
        <f>_xlfn.DISPIMG("ID_2B72C85721DF4DA8A46A71B57C490F39",1)</f>
        <v>=DISPIMG("ID_2B72C85721DF4DA8A46A71B57C490F39",1)</v>
      </c>
      <c r="T113" s="115" t="s">
        <v>1091</v>
      </c>
      <c r="U113" s="27">
        <v>113</v>
      </c>
    </row>
    <row r="114" s="3" customFormat="1" customHeight="1" spans="1:21">
      <c r="A114" s="144">
        <v>44357.8773958333</v>
      </c>
      <c r="B114" s="27" t="s">
        <v>1092</v>
      </c>
      <c r="C114" s="27" t="s">
        <v>1093</v>
      </c>
      <c r="D114" s="162" t="s">
        <v>1094</v>
      </c>
      <c r="E114" s="162" t="s">
        <v>165</v>
      </c>
      <c r="F114" s="162" t="s">
        <v>1095</v>
      </c>
      <c r="G114" s="27">
        <v>18279284539</v>
      </c>
      <c r="H114" s="162" t="s">
        <v>1096</v>
      </c>
      <c r="I114" s="162" t="s">
        <v>278</v>
      </c>
      <c r="J114" s="162" t="s">
        <v>28</v>
      </c>
      <c r="K114" s="27">
        <v>202103001</v>
      </c>
      <c r="L114" s="162" t="s">
        <v>279</v>
      </c>
      <c r="M114" s="162" t="s">
        <v>1097</v>
      </c>
      <c r="N114" s="162" t="s">
        <v>280</v>
      </c>
      <c r="O114" s="162" t="s">
        <v>170</v>
      </c>
      <c r="P114" s="162" t="s">
        <v>455</v>
      </c>
      <c r="Q114" s="162" t="s">
        <v>1098</v>
      </c>
      <c r="R114" s="27">
        <v>0</v>
      </c>
      <c r="S114" s="118" t="str">
        <f>_xlfn.DISPIMG("ID_FAFFBB147A2A46E5B294F9119A127E5F",1)</f>
        <v>=DISPIMG("ID_FAFFBB147A2A46E5B294F9119A127E5F",1)</v>
      </c>
      <c r="T114" s="115" t="s">
        <v>1099</v>
      </c>
      <c r="U114" s="27">
        <v>114</v>
      </c>
    </row>
    <row r="115" s="3" customFormat="1" customHeight="1" spans="1:21">
      <c r="A115" s="144">
        <v>44357.8865740741</v>
      </c>
      <c r="B115" s="27" t="s">
        <v>1100</v>
      </c>
      <c r="C115" s="27" t="s">
        <v>1101</v>
      </c>
      <c r="D115" s="162" t="s">
        <v>1102</v>
      </c>
      <c r="E115" s="162" t="s">
        <v>165</v>
      </c>
      <c r="F115" s="162" t="s">
        <v>1103</v>
      </c>
      <c r="G115" s="27">
        <v>18890061239</v>
      </c>
      <c r="H115" s="162" t="s">
        <v>1104</v>
      </c>
      <c r="I115" s="162" t="s">
        <v>156</v>
      </c>
      <c r="J115" s="162" t="s">
        <v>14</v>
      </c>
      <c r="K115" s="27">
        <v>202102001</v>
      </c>
      <c r="L115" s="162" t="s">
        <v>157</v>
      </c>
      <c r="M115" s="162" t="s">
        <v>1105</v>
      </c>
      <c r="N115" s="162" t="s">
        <v>454</v>
      </c>
      <c r="O115" s="162" t="s">
        <v>160</v>
      </c>
      <c r="P115" s="162" t="s">
        <v>161</v>
      </c>
      <c r="Q115" s="162" t="s">
        <v>14</v>
      </c>
      <c r="R115" s="27">
        <v>0</v>
      </c>
      <c r="S115" s="118" t="str">
        <f>_xlfn.DISPIMG("ID_85B66E0F069149898E44BCE57E5EBF40",1)</f>
        <v>=DISPIMG("ID_85B66E0F069149898E44BCE57E5EBF40",1)</v>
      </c>
      <c r="T115" s="115" t="s">
        <v>1106</v>
      </c>
      <c r="U115" s="27">
        <v>115</v>
      </c>
    </row>
    <row r="116" s="3" customFormat="1" customHeight="1" spans="1:21">
      <c r="A116" s="144">
        <v>44357.8872916667</v>
      </c>
      <c r="B116" s="27" t="s">
        <v>1107</v>
      </c>
      <c r="C116" s="27" t="s">
        <v>1108</v>
      </c>
      <c r="D116" s="162" t="s">
        <v>1109</v>
      </c>
      <c r="E116" s="162" t="s">
        <v>165</v>
      </c>
      <c r="F116" s="162" t="s">
        <v>1110</v>
      </c>
      <c r="G116" s="27">
        <v>18770914049</v>
      </c>
      <c r="H116" s="162" t="s">
        <v>1111</v>
      </c>
      <c r="I116" s="162" t="s">
        <v>384</v>
      </c>
      <c r="J116" s="162" t="s">
        <v>13</v>
      </c>
      <c r="K116" s="27">
        <v>202102003</v>
      </c>
      <c r="L116" s="162" t="s">
        <v>157</v>
      </c>
      <c r="M116" s="162" t="s">
        <v>1112</v>
      </c>
      <c r="N116" s="162" t="s">
        <v>1113</v>
      </c>
      <c r="O116" s="162" t="s">
        <v>160</v>
      </c>
      <c r="P116" s="162" t="s">
        <v>368</v>
      </c>
      <c r="Q116" s="162" t="s">
        <v>13</v>
      </c>
      <c r="R116" s="162" t="s">
        <v>1114</v>
      </c>
      <c r="S116" s="118" t="str">
        <f>_xlfn.DISPIMG("ID_E90456CE8BF84902B589BDD1B517D38B",1)</f>
        <v>=DISPIMG("ID_E90456CE8BF84902B589BDD1B517D38B",1)</v>
      </c>
      <c r="T116" s="115" t="s">
        <v>1115</v>
      </c>
      <c r="U116" s="27">
        <v>116</v>
      </c>
    </row>
    <row r="117" s="3" customFormat="1" customHeight="1" spans="1:21">
      <c r="A117" s="144">
        <v>44357.9020138889</v>
      </c>
      <c r="B117" s="27" t="s">
        <v>1116</v>
      </c>
      <c r="C117" s="27" t="s">
        <v>1117</v>
      </c>
      <c r="D117" s="162" t="s">
        <v>1118</v>
      </c>
      <c r="E117" s="162" t="s">
        <v>165</v>
      </c>
      <c r="F117" s="162" t="s">
        <v>1119</v>
      </c>
      <c r="G117" s="27">
        <v>15170931048</v>
      </c>
      <c r="H117" s="162" t="s">
        <v>1120</v>
      </c>
      <c r="I117" s="162" t="s">
        <v>156</v>
      </c>
      <c r="J117" s="162" t="s">
        <v>13</v>
      </c>
      <c r="K117" s="27">
        <v>202102003</v>
      </c>
      <c r="L117" s="162" t="s">
        <v>157</v>
      </c>
      <c r="M117" s="162" t="s">
        <v>1121</v>
      </c>
      <c r="N117" s="162" t="s">
        <v>1122</v>
      </c>
      <c r="O117" s="162" t="s">
        <v>160</v>
      </c>
      <c r="P117" s="162" t="s">
        <v>577</v>
      </c>
      <c r="Q117" s="162" t="s">
        <v>13</v>
      </c>
      <c r="R117" s="162" t="s">
        <v>1123</v>
      </c>
      <c r="S117" s="118" t="str">
        <f>_xlfn.DISPIMG("ID_FE9003ADDBCE49A4979CC74582466077",1)</f>
        <v>=DISPIMG("ID_FE9003ADDBCE49A4979CC74582466077",1)</v>
      </c>
      <c r="T117" s="115" t="s">
        <v>1124</v>
      </c>
      <c r="U117" s="27">
        <v>117</v>
      </c>
    </row>
    <row r="118" s="5" customFormat="1" customHeight="1" spans="1:21">
      <c r="A118" s="146">
        <v>44362.8989583333</v>
      </c>
      <c r="B118" s="116" t="s">
        <v>1125</v>
      </c>
      <c r="C118" s="116" t="s">
        <v>1126</v>
      </c>
      <c r="D118" s="165" t="s">
        <v>1127</v>
      </c>
      <c r="E118" s="165" t="s">
        <v>153</v>
      </c>
      <c r="F118" s="165" t="s">
        <v>1128</v>
      </c>
      <c r="G118" s="116">
        <v>13698023687</v>
      </c>
      <c r="H118" s="165" t="s">
        <v>1129</v>
      </c>
      <c r="I118" s="165" t="s">
        <v>156</v>
      </c>
      <c r="J118" s="165" t="s">
        <v>8</v>
      </c>
      <c r="K118" s="116">
        <v>202102002</v>
      </c>
      <c r="L118" s="165" t="s">
        <v>157</v>
      </c>
      <c r="M118" s="165" t="s">
        <v>158</v>
      </c>
      <c r="N118" s="165" t="s">
        <v>270</v>
      </c>
      <c r="O118" s="165" t="s">
        <v>170</v>
      </c>
      <c r="P118" s="165" t="s">
        <v>548</v>
      </c>
      <c r="Q118" s="165" t="s">
        <v>1130</v>
      </c>
      <c r="R118" s="165" t="s">
        <v>1131</v>
      </c>
      <c r="S118" s="119" t="str">
        <f>_xlfn.DISPIMG("ID_2ABFF7AF1BF04D95953E32E5250DE953",1)</f>
        <v>=DISPIMG("ID_2ABFF7AF1BF04D95953E32E5250DE953",1)</v>
      </c>
      <c r="T118" s="120" t="s">
        <v>1132</v>
      </c>
      <c r="U118" s="27">
        <v>118</v>
      </c>
    </row>
    <row r="119" s="3" customFormat="1" customHeight="1" spans="1:21">
      <c r="A119" s="144">
        <v>44357.9164930556</v>
      </c>
      <c r="B119" s="27" t="s">
        <v>1133</v>
      </c>
      <c r="C119" s="27" t="s">
        <v>1134</v>
      </c>
      <c r="D119" s="162" t="s">
        <v>1135</v>
      </c>
      <c r="E119" s="162" t="s">
        <v>165</v>
      </c>
      <c r="F119" s="162" t="s">
        <v>1136</v>
      </c>
      <c r="G119" s="27">
        <v>13767277916</v>
      </c>
      <c r="H119" s="162" t="s">
        <v>1137</v>
      </c>
      <c r="I119" s="162" t="s">
        <v>506</v>
      </c>
      <c r="J119" s="162" t="s">
        <v>6</v>
      </c>
      <c r="K119" s="27">
        <v>202102021</v>
      </c>
      <c r="L119" s="162" t="s">
        <v>279</v>
      </c>
      <c r="M119" s="162" t="s">
        <v>158</v>
      </c>
      <c r="N119" s="162" t="s">
        <v>1138</v>
      </c>
      <c r="O119" s="162" t="s">
        <v>170</v>
      </c>
      <c r="P119" s="162" t="s">
        <v>673</v>
      </c>
      <c r="Q119" s="162" t="s">
        <v>6</v>
      </c>
      <c r="R119" s="162" t="s">
        <v>1139</v>
      </c>
      <c r="S119" s="118" t="str">
        <f>_xlfn.DISPIMG("ID_18B5B97762B948069F50AE4DD03BA465",1)</f>
        <v>=DISPIMG("ID_18B5B97762B948069F50AE4DD03BA465",1)</v>
      </c>
      <c r="T119" s="115" t="s">
        <v>1140</v>
      </c>
      <c r="U119" s="27">
        <v>119</v>
      </c>
    </row>
    <row r="120" s="3" customFormat="1" customHeight="1" spans="1:21">
      <c r="A120" s="144">
        <v>44357.9170601852</v>
      </c>
      <c r="B120" s="27" t="s">
        <v>1141</v>
      </c>
      <c r="C120" s="27" t="s">
        <v>1142</v>
      </c>
      <c r="D120" s="162" t="s">
        <v>1143</v>
      </c>
      <c r="E120" s="162" t="s">
        <v>165</v>
      </c>
      <c r="F120" s="162" t="s">
        <v>1144</v>
      </c>
      <c r="G120" s="27">
        <v>15777198130</v>
      </c>
      <c r="H120" s="162" t="s">
        <v>1145</v>
      </c>
      <c r="I120" s="162" t="s">
        <v>384</v>
      </c>
      <c r="J120" s="162" t="s">
        <v>23</v>
      </c>
      <c r="K120" s="27">
        <v>202101025</v>
      </c>
      <c r="L120" s="162" t="s">
        <v>157</v>
      </c>
      <c r="M120" s="162" t="s">
        <v>1146</v>
      </c>
      <c r="N120" s="162" t="s">
        <v>1147</v>
      </c>
      <c r="O120" s="162" t="s">
        <v>170</v>
      </c>
      <c r="P120" s="162" t="s">
        <v>455</v>
      </c>
      <c r="Q120" s="162" t="s">
        <v>1148</v>
      </c>
      <c r="R120" s="162" t="s">
        <v>1149</v>
      </c>
      <c r="S120" s="118" t="str">
        <f>_xlfn.DISPIMG("ID_0415E10C85C94C988A22FA5D4842DE09",1)</f>
        <v>=DISPIMG("ID_0415E10C85C94C988A22FA5D4842DE09",1)</v>
      </c>
      <c r="T120" s="115" t="s">
        <v>1150</v>
      </c>
      <c r="U120" s="27">
        <v>120</v>
      </c>
    </row>
    <row r="121" s="3" customFormat="1" customHeight="1" spans="1:21">
      <c r="A121" s="144">
        <v>44357.9171990741</v>
      </c>
      <c r="B121" s="27" t="s">
        <v>1151</v>
      </c>
      <c r="C121" s="27" t="s">
        <v>1152</v>
      </c>
      <c r="D121" s="162" t="s">
        <v>1153</v>
      </c>
      <c r="E121" s="162" t="s">
        <v>165</v>
      </c>
      <c r="F121" s="162" t="s">
        <v>1154</v>
      </c>
      <c r="G121" s="27">
        <v>13803552587</v>
      </c>
      <c r="H121" s="162" t="s">
        <v>1155</v>
      </c>
      <c r="I121" s="162" t="s">
        <v>156</v>
      </c>
      <c r="J121" s="162" t="s">
        <v>12</v>
      </c>
      <c r="K121" s="27">
        <v>202102010</v>
      </c>
      <c r="L121" s="162" t="s">
        <v>157</v>
      </c>
      <c r="M121" s="162" t="s">
        <v>385</v>
      </c>
      <c r="N121" s="162" t="s">
        <v>445</v>
      </c>
      <c r="O121" s="162" t="s">
        <v>160</v>
      </c>
      <c r="P121" s="162" t="s">
        <v>261</v>
      </c>
      <c r="Q121" s="162" t="s">
        <v>1156</v>
      </c>
      <c r="R121" s="162" t="s">
        <v>1157</v>
      </c>
      <c r="S121" s="118" t="str">
        <f>_xlfn.DISPIMG("ID_2A6402E44B2C4CB5B00B003CEEB85AA0",1)</f>
        <v>=DISPIMG("ID_2A6402E44B2C4CB5B00B003CEEB85AA0",1)</v>
      </c>
      <c r="T121" s="115" t="s">
        <v>1158</v>
      </c>
      <c r="U121" s="27">
        <v>121</v>
      </c>
    </row>
    <row r="122" s="3" customFormat="1" customHeight="1" spans="1:21">
      <c r="A122" s="144">
        <v>44357.9171990741</v>
      </c>
      <c r="B122" s="27" t="s">
        <v>1159</v>
      </c>
      <c r="C122" s="27" t="s">
        <v>1160</v>
      </c>
      <c r="D122" s="162" t="s">
        <v>1161</v>
      </c>
      <c r="E122" s="162" t="s">
        <v>165</v>
      </c>
      <c r="F122" s="162" t="s">
        <v>1162</v>
      </c>
      <c r="G122" s="27">
        <v>15879899835</v>
      </c>
      <c r="H122" s="162" t="s">
        <v>1163</v>
      </c>
      <c r="I122" s="162" t="s">
        <v>156</v>
      </c>
      <c r="J122" s="162" t="s">
        <v>3</v>
      </c>
      <c r="K122" s="27">
        <v>202102009</v>
      </c>
      <c r="L122" s="162" t="s">
        <v>157</v>
      </c>
      <c r="M122" s="162" t="s">
        <v>1146</v>
      </c>
      <c r="N122" s="162" t="s">
        <v>1164</v>
      </c>
      <c r="O122" s="162" t="s">
        <v>160</v>
      </c>
      <c r="P122" s="162" t="s">
        <v>252</v>
      </c>
      <c r="Q122" s="162" t="s">
        <v>3</v>
      </c>
      <c r="R122" s="27">
        <v>0</v>
      </c>
      <c r="S122" s="118" t="str">
        <f>_xlfn.DISPIMG("ID_AF5F9594083C4D63A9C12F6DBB9E6CAE",1)</f>
        <v>=DISPIMG("ID_AF5F9594083C4D63A9C12F6DBB9E6CAE",1)</v>
      </c>
      <c r="T122" s="115" t="s">
        <v>1165</v>
      </c>
      <c r="U122" s="27">
        <v>122</v>
      </c>
    </row>
    <row r="123" s="3" customFormat="1" customHeight="1" spans="1:21">
      <c r="A123" s="144">
        <v>44357.9183333333</v>
      </c>
      <c r="B123" s="27" t="s">
        <v>1166</v>
      </c>
      <c r="C123" s="27" t="s">
        <v>1167</v>
      </c>
      <c r="D123" s="162" t="s">
        <v>1167</v>
      </c>
      <c r="E123" s="162" t="s">
        <v>153</v>
      </c>
      <c r="F123" s="162" t="s">
        <v>1168</v>
      </c>
      <c r="G123" s="27">
        <v>18370130888</v>
      </c>
      <c r="H123" s="162" t="s">
        <v>1169</v>
      </c>
      <c r="I123" s="162" t="s">
        <v>156</v>
      </c>
      <c r="J123" s="162" t="s">
        <v>9</v>
      </c>
      <c r="K123" s="27">
        <v>202102011</v>
      </c>
      <c r="L123" s="162" t="s">
        <v>279</v>
      </c>
      <c r="M123" s="162" t="s">
        <v>158</v>
      </c>
      <c r="N123" s="162" t="s">
        <v>682</v>
      </c>
      <c r="O123" s="162" t="s">
        <v>170</v>
      </c>
      <c r="P123" s="162" t="s">
        <v>1170</v>
      </c>
      <c r="Q123" s="162" t="s">
        <v>1171</v>
      </c>
      <c r="R123" s="162" t="s">
        <v>1172</v>
      </c>
      <c r="S123" s="118" t="str">
        <f>_xlfn.DISPIMG("ID_A11E1242B6CE401EA988641535D09239",1)</f>
        <v>=DISPIMG("ID_A11E1242B6CE401EA988641535D09239",1)</v>
      </c>
      <c r="T123" s="115" t="s">
        <v>1173</v>
      </c>
      <c r="U123" s="27">
        <v>123</v>
      </c>
    </row>
    <row r="124" s="3" customFormat="1" customHeight="1" spans="1:21">
      <c r="A124" s="144">
        <v>44357.9284722222</v>
      </c>
      <c r="B124" s="27" t="s">
        <v>1174</v>
      </c>
      <c r="C124" s="27" t="s">
        <v>1175</v>
      </c>
      <c r="D124" s="162" t="s">
        <v>1176</v>
      </c>
      <c r="E124" s="162" t="s">
        <v>165</v>
      </c>
      <c r="F124" s="162" t="s">
        <v>1177</v>
      </c>
      <c r="G124" s="27">
        <v>13782906805</v>
      </c>
      <c r="H124" s="162" t="s">
        <v>1178</v>
      </c>
      <c r="I124" s="162" t="s">
        <v>156</v>
      </c>
      <c r="J124" s="162" t="s">
        <v>13</v>
      </c>
      <c r="K124" s="27">
        <v>202102003</v>
      </c>
      <c r="L124" s="162" t="s">
        <v>157</v>
      </c>
      <c r="M124" s="162" t="s">
        <v>1179</v>
      </c>
      <c r="N124" s="162" t="s">
        <v>298</v>
      </c>
      <c r="O124" s="162" t="s">
        <v>160</v>
      </c>
      <c r="P124" s="162" t="s">
        <v>171</v>
      </c>
      <c r="Q124" s="162" t="s">
        <v>13</v>
      </c>
      <c r="R124" s="162" t="s">
        <v>1180</v>
      </c>
      <c r="S124" s="118" t="str">
        <f>_xlfn.DISPIMG("ID_DB5AD54F043740C8B3AEB4879C927DCC",1)</f>
        <v>=DISPIMG("ID_DB5AD54F043740C8B3AEB4879C927DCC",1)</v>
      </c>
      <c r="T124" s="115" t="s">
        <v>1181</v>
      </c>
      <c r="U124" s="27">
        <v>124</v>
      </c>
    </row>
    <row r="125" s="3" customFormat="1" customHeight="1" spans="1:21">
      <c r="A125" s="144">
        <v>44357.9275231482</v>
      </c>
      <c r="B125" s="27" t="s">
        <v>1182</v>
      </c>
      <c r="C125" s="27" t="s">
        <v>1183</v>
      </c>
      <c r="D125" s="162" t="s">
        <v>1184</v>
      </c>
      <c r="E125" s="162" t="s">
        <v>165</v>
      </c>
      <c r="F125" s="162" t="s">
        <v>1185</v>
      </c>
      <c r="G125" s="27">
        <v>18379170197</v>
      </c>
      <c r="H125" s="162" t="s">
        <v>1186</v>
      </c>
      <c r="I125" s="162" t="s">
        <v>156</v>
      </c>
      <c r="J125" s="162" t="s">
        <v>13</v>
      </c>
      <c r="K125" s="27">
        <v>202102003</v>
      </c>
      <c r="L125" s="162" t="s">
        <v>157</v>
      </c>
      <c r="M125" s="162" t="s">
        <v>197</v>
      </c>
      <c r="N125" s="162" t="s">
        <v>179</v>
      </c>
      <c r="O125" s="162" t="s">
        <v>160</v>
      </c>
      <c r="P125" s="162" t="s">
        <v>577</v>
      </c>
      <c r="Q125" s="162" t="s">
        <v>1187</v>
      </c>
      <c r="R125" s="162" t="s">
        <v>1188</v>
      </c>
      <c r="S125" s="118" t="str">
        <f>_xlfn.DISPIMG("ID_CF1AB7C1F93745BDBA48E23E3B3C5BFF",1)</f>
        <v>=DISPIMG("ID_CF1AB7C1F93745BDBA48E23E3B3C5BFF",1)</v>
      </c>
      <c r="T125" s="115" t="s">
        <v>1189</v>
      </c>
      <c r="U125" s="27">
        <v>125</v>
      </c>
    </row>
    <row r="126" s="3" customFormat="1" customHeight="1" spans="1:21">
      <c r="A126" s="144">
        <v>44359.8777430556</v>
      </c>
      <c r="B126" s="27" t="s">
        <v>1190</v>
      </c>
      <c r="C126" s="27" t="s">
        <v>1191</v>
      </c>
      <c r="D126" s="162" t="s">
        <v>1192</v>
      </c>
      <c r="E126" s="162" t="s">
        <v>165</v>
      </c>
      <c r="F126" s="162" t="s">
        <v>1193</v>
      </c>
      <c r="G126" s="27">
        <v>18079223375</v>
      </c>
      <c r="H126" s="162" t="s">
        <v>1194</v>
      </c>
      <c r="I126" s="162" t="s">
        <v>156</v>
      </c>
      <c r="J126" s="162" t="s">
        <v>13</v>
      </c>
      <c r="K126" s="27">
        <v>202102003</v>
      </c>
      <c r="L126" s="162" t="s">
        <v>157</v>
      </c>
      <c r="M126" s="162" t="s">
        <v>233</v>
      </c>
      <c r="N126" s="162" t="s">
        <v>1195</v>
      </c>
      <c r="O126" s="162" t="s">
        <v>170</v>
      </c>
      <c r="P126" s="162" t="s">
        <v>587</v>
      </c>
      <c r="Q126" s="162" t="s">
        <v>13</v>
      </c>
      <c r="R126" s="162" t="s">
        <v>1196</v>
      </c>
      <c r="S126" s="118" t="str">
        <f>_xlfn.DISPIMG("ID_1776A5AD18184E18978F80ADFFF4A0AF",1)</f>
        <v>=DISPIMG("ID_1776A5AD18184E18978F80ADFFF4A0AF",1)</v>
      </c>
      <c r="T126" s="115" t="s">
        <v>1197</v>
      </c>
      <c r="U126" s="27">
        <v>126</v>
      </c>
    </row>
    <row r="127" s="3" customFormat="1" customHeight="1" spans="1:21">
      <c r="A127" s="144">
        <v>44363.9615509259</v>
      </c>
      <c r="B127" s="27" t="s">
        <v>1198</v>
      </c>
      <c r="C127" s="27" t="s">
        <v>1199</v>
      </c>
      <c r="D127" s="162" t="s">
        <v>1200</v>
      </c>
      <c r="E127" s="162" t="s">
        <v>165</v>
      </c>
      <c r="F127" s="162" t="s">
        <v>1201</v>
      </c>
      <c r="G127" s="27">
        <v>15270186776</v>
      </c>
      <c r="H127" s="162" t="s">
        <v>1202</v>
      </c>
      <c r="I127" s="162" t="s">
        <v>156</v>
      </c>
      <c r="J127" s="162" t="s">
        <v>8</v>
      </c>
      <c r="K127" s="27">
        <v>202102002</v>
      </c>
      <c r="L127" s="162" t="s">
        <v>157</v>
      </c>
      <c r="M127" s="162" t="s">
        <v>1203</v>
      </c>
      <c r="N127" s="162" t="s">
        <v>1204</v>
      </c>
      <c r="O127" s="162" t="s">
        <v>160</v>
      </c>
      <c r="P127" s="162" t="s">
        <v>1089</v>
      </c>
      <c r="Q127" s="162" t="s">
        <v>1205</v>
      </c>
      <c r="R127" s="162" t="s">
        <v>1206</v>
      </c>
      <c r="S127" s="118" t="str">
        <f>_xlfn.DISPIMG("ID_0C966700704E44E6A4C50F763206BC81",1)</f>
        <v>=DISPIMG("ID_0C966700704E44E6A4C50F763206BC81",1)</v>
      </c>
      <c r="T127" s="115" t="s">
        <v>1207</v>
      </c>
      <c r="U127" s="27">
        <v>127</v>
      </c>
    </row>
    <row r="128" s="3" customFormat="1" customHeight="1" spans="1:21">
      <c r="A128" s="144">
        <v>44357.9438425926</v>
      </c>
      <c r="B128" s="27" t="s">
        <v>1208</v>
      </c>
      <c r="C128" s="27" t="s">
        <v>1209</v>
      </c>
      <c r="D128" s="162" t="s">
        <v>1210</v>
      </c>
      <c r="E128" s="162" t="s">
        <v>165</v>
      </c>
      <c r="F128" s="162" t="s">
        <v>1211</v>
      </c>
      <c r="G128" s="27">
        <v>18279901604</v>
      </c>
      <c r="H128" s="162" t="s">
        <v>1212</v>
      </c>
      <c r="I128" s="162" t="s">
        <v>156</v>
      </c>
      <c r="J128" s="162" t="s">
        <v>13</v>
      </c>
      <c r="K128" s="27">
        <v>202102003</v>
      </c>
      <c r="L128" s="162" t="s">
        <v>157</v>
      </c>
      <c r="M128" s="162" t="s">
        <v>1213</v>
      </c>
      <c r="N128" s="162" t="s">
        <v>1214</v>
      </c>
      <c r="O128" s="162" t="s">
        <v>160</v>
      </c>
      <c r="P128" s="162" t="s">
        <v>252</v>
      </c>
      <c r="Q128" s="162" t="s">
        <v>13</v>
      </c>
      <c r="R128" s="27">
        <v>0</v>
      </c>
      <c r="S128" s="118" t="str">
        <f>_xlfn.DISPIMG("ID_FBB70D9010F74144B210C02BDB9CE6A1",1)</f>
        <v>=DISPIMG("ID_FBB70D9010F74144B210C02BDB9CE6A1",1)</v>
      </c>
      <c r="T128" s="115" t="s">
        <v>1215</v>
      </c>
      <c r="U128" s="27">
        <v>128</v>
      </c>
    </row>
    <row r="129" s="3" customFormat="1" customHeight="1" spans="1:21">
      <c r="A129" s="144">
        <v>44363.6368518519</v>
      </c>
      <c r="B129" s="27" t="s">
        <v>1216</v>
      </c>
      <c r="C129" s="27" t="s">
        <v>1217</v>
      </c>
      <c r="D129" s="162" t="s">
        <v>1218</v>
      </c>
      <c r="E129" s="162" t="s">
        <v>165</v>
      </c>
      <c r="F129" s="162" t="s">
        <v>1219</v>
      </c>
      <c r="G129" s="27">
        <v>17679241558</v>
      </c>
      <c r="H129" s="162" t="s">
        <v>1220</v>
      </c>
      <c r="I129" s="162" t="s">
        <v>278</v>
      </c>
      <c r="J129" s="162" t="s">
        <v>28</v>
      </c>
      <c r="K129" s="27">
        <v>202103001</v>
      </c>
      <c r="L129" s="162" t="s">
        <v>279</v>
      </c>
      <c r="M129" s="162" t="s">
        <v>1221</v>
      </c>
      <c r="N129" s="162" t="s">
        <v>280</v>
      </c>
      <c r="O129" s="162" t="s">
        <v>170</v>
      </c>
      <c r="P129" s="162" t="s">
        <v>161</v>
      </c>
      <c r="Q129" s="162" t="s">
        <v>1222</v>
      </c>
      <c r="R129" s="162" t="s">
        <v>1223</v>
      </c>
      <c r="S129" s="118" t="str">
        <f>_xlfn.DISPIMG("ID_9D5D5082709049DE9F85EE45C9D21765",1)</f>
        <v>=DISPIMG("ID_9D5D5082709049DE9F85EE45C9D21765",1)</v>
      </c>
      <c r="T129" s="115" t="s">
        <v>1224</v>
      </c>
      <c r="U129" s="27">
        <v>129</v>
      </c>
    </row>
    <row r="130" s="3" customFormat="1" customHeight="1" spans="1:21">
      <c r="A130" s="144">
        <v>44357.9649768519</v>
      </c>
      <c r="B130" s="27" t="s">
        <v>1225</v>
      </c>
      <c r="C130" s="27" t="s">
        <v>1226</v>
      </c>
      <c r="D130" s="162" t="s">
        <v>1227</v>
      </c>
      <c r="E130" s="162" t="s">
        <v>165</v>
      </c>
      <c r="F130" s="162" t="s">
        <v>1228</v>
      </c>
      <c r="G130" s="27">
        <v>18279868722</v>
      </c>
      <c r="H130" s="162" t="s">
        <v>1229</v>
      </c>
      <c r="I130" s="162" t="s">
        <v>156</v>
      </c>
      <c r="J130" s="162" t="s">
        <v>6</v>
      </c>
      <c r="K130" s="27">
        <v>202102012</v>
      </c>
      <c r="L130" s="162" t="s">
        <v>279</v>
      </c>
      <c r="M130" s="162" t="s">
        <v>168</v>
      </c>
      <c r="N130" s="162" t="s">
        <v>1138</v>
      </c>
      <c r="O130" s="162" t="s">
        <v>170</v>
      </c>
      <c r="P130" s="162" t="s">
        <v>368</v>
      </c>
      <c r="Q130" s="162" t="s">
        <v>498</v>
      </c>
      <c r="R130" s="162" t="s">
        <v>1230</v>
      </c>
      <c r="S130" s="118" t="str">
        <f>_xlfn.DISPIMG("ID_F7BC6213D6E44840BB6BEB26E73F83E9",1)</f>
        <v>=DISPIMG("ID_F7BC6213D6E44840BB6BEB26E73F83E9",1)</v>
      </c>
      <c r="T130" s="115" t="s">
        <v>1231</v>
      </c>
      <c r="U130" s="27">
        <v>130</v>
      </c>
    </row>
    <row r="131" s="3" customFormat="1" customHeight="1" spans="1:21">
      <c r="A131" s="144">
        <v>44358.3627662037</v>
      </c>
      <c r="B131" s="27" t="s">
        <v>1232</v>
      </c>
      <c r="C131" s="27" t="s">
        <v>1233</v>
      </c>
      <c r="D131" s="162" t="s">
        <v>1234</v>
      </c>
      <c r="E131" s="162" t="s">
        <v>165</v>
      </c>
      <c r="F131" s="162" t="s">
        <v>1235</v>
      </c>
      <c r="G131" s="27">
        <v>18870682713</v>
      </c>
      <c r="H131" s="162" t="s">
        <v>1236</v>
      </c>
      <c r="I131" s="162" t="s">
        <v>278</v>
      </c>
      <c r="J131" s="162" t="s">
        <v>28</v>
      </c>
      <c r="K131" s="27">
        <v>202103001</v>
      </c>
      <c r="L131" s="162" t="s">
        <v>279</v>
      </c>
      <c r="M131" s="162" t="s">
        <v>1237</v>
      </c>
      <c r="N131" s="162" t="s">
        <v>280</v>
      </c>
      <c r="O131" s="162" t="s">
        <v>170</v>
      </c>
      <c r="P131" s="162" t="s">
        <v>161</v>
      </c>
      <c r="Q131" s="162" t="s">
        <v>340</v>
      </c>
      <c r="R131" s="162" t="s">
        <v>1238</v>
      </c>
      <c r="S131" s="118" t="str">
        <f>_xlfn.DISPIMG("ID_BE82B2F060544F05BBDE4FAB7F0C0521",1)</f>
        <v>=DISPIMG("ID_BE82B2F060544F05BBDE4FAB7F0C0521",1)</v>
      </c>
      <c r="T131" s="115" t="s">
        <v>1239</v>
      </c>
      <c r="U131" s="27">
        <v>131</v>
      </c>
    </row>
    <row r="132" s="3" customFormat="1" customHeight="1" spans="1:21">
      <c r="A132" s="144">
        <v>44358.3719791667</v>
      </c>
      <c r="B132" s="27" t="s">
        <v>1240</v>
      </c>
      <c r="C132" s="27" t="s">
        <v>1241</v>
      </c>
      <c r="D132" s="162" t="s">
        <v>1242</v>
      </c>
      <c r="E132" s="162" t="s">
        <v>165</v>
      </c>
      <c r="F132" s="162" t="s">
        <v>1243</v>
      </c>
      <c r="G132" s="27">
        <v>18870899233</v>
      </c>
      <c r="H132" s="162" t="s">
        <v>1244</v>
      </c>
      <c r="I132" s="162" t="s">
        <v>278</v>
      </c>
      <c r="J132" s="162" t="s">
        <v>28</v>
      </c>
      <c r="K132" s="27">
        <v>202103001</v>
      </c>
      <c r="L132" s="162" t="s">
        <v>279</v>
      </c>
      <c r="M132" s="162" t="s">
        <v>1237</v>
      </c>
      <c r="N132" s="162" t="s">
        <v>280</v>
      </c>
      <c r="O132" s="162" t="s">
        <v>170</v>
      </c>
      <c r="P132" s="162" t="s">
        <v>161</v>
      </c>
      <c r="Q132" s="162" t="s">
        <v>340</v>
      </c>
      <c r="R132" s="162" t="s">
        <v>1245</v>
      </c>
      <c r="S132" s="118" t="str">
        <f>_xlfn.DISPIMG("ID_1047B30E34C949B594403C816BBC2C68",1)</f>
        <v>=DISPIMG("ID_1047B30E34C949B594403C816BBC2C68",1)</v>
      </c>
      <c r="T132" s="115" t="s">
        <v>1246</v>
      </c>
      <c r="U132" s="27">
        <v>132</v>
      </c>
    </row>
    <row r="133" s="3" customFormat="1" customHeight="1" spans="1:21">
      <c r="A133" s="144">
        <v>44358.3973842593</v>
      </c>
      <c r="B133" s="27" t="s">
        <v>1247</v>
      </c>
      <c r="C133" s="27" t="s">
        <v>1248</v>
      </c>
      <c r="D133" s="162" t="s">
        <v>1249</v>
      </c>
      <c r="E133" s="162" t="s">
        <v>153</v>
      </c>
      <c r="F133" s="162" t="s">
        <v>1250</v>
      </c>
      <c r="G133" s="27">
        <v>13687914090</v>
      </c>
      <c r="H133" s="162" t="s">
        <v>1251</v>
      </c>
      <c r="I133" s="162" t="s">
        <v>278</v>
      </c>
      <c r="J133" s="162" t="s">
        <v>28</v>
      </c>
      <c r="K133" s="27">
        <v>202103001</v>
      </c>
      <c r="L133" s="162" t="s">
        <v>279</v>
      </c>
      <c r="M133" s="162" t="s">
        <v>515</v>
      </c>
      <c r="N133" s="162" t="s">
        <v>280</v>
      </c>
      <c r="O133" s="162" t="s">
        <v>170</v>
      </c>
      <c r="P133" s="162" t="s">
        <v>541</v>
      </c>
      <c r="Q133" s="162" t="s">
        <v>376</v>
      </c>
      <c r="R133" s="27">
        <v>0</v>
      </c>
      <c r="S133" s="118" t="str">
        <f>_xlfn.DISPIMG("ID_42B7E9B54AA84CB08052198053CBAE81",1)</f>
        <v>=DISPIMG("ID_42B7E9B54AA84CB08052198053CBAE81",1)</v>
      </c>
      <c r="T133" s="115" t="s">
        <v>1252</v>
      </c>
      <c r="U133" s="27">
        <v>133</v>
      </c>
    </row>
    <row r="134" s="3" customFormat="1" customHeight="1" spans="1:21">
      <c r="A134" s="144">
        <v>44358.3814583333</v>
      </c>
      <c r="B134" s="27" t="s">
        <v>1253</v>
      </c>
      <c r="C134" s="27" t="s">
        <v>1254</v>
      </c>
      <c r="D134" s="162" t="s">
        <v>1255</v>
      </c>
      <c r="E134" s="162" t="s">
        <v>165</v>
      </c>
      <c r="F134" s="162" t="s">
        <v>1256</v>
      </c>
      <c r="G134" s="27">
        <v>18370224457</v>
      </c>
      <c r="H134" s="162" t="s">
        <v>1257</v>
      </c>
      <c r="I134" s="162" t="s">
        <v>506</v>
      </c>
      <c r="J134" s="162" t="s">
        <v>14</v>
      </c>
      <c r="K134" s="27">
        <v>202102014</v>
      </c>
      <c r="L134" s="162" t="s">
        <v>279</v>
      </c>
      <c r="M134" s="162" t="s">
        <v>1258</v>
      </c>
      <c r="N134" s="162" t="s">
        <v>348</v>
      </c>
      <c r="O134" s="162" t="s">
        <v>170</v>
      </c>
      <c r="P134" s="162" t="s">
        <v>161</v>
      </c>
      <c r="Q134" s="162" t="s">
        <v>121</v>
      </c>
      <c r="R134" s="162" t="s">
        <v>1259</v>
      </c>
      <c r="S134" s="118" t="str">
        <f>_xlfn.DISPIMG("ID_AF9D4A23BC36463DA48841C24B1BEB6F",1)</f>
        <v>=DISPIMG("ID_AF9D4A23BC36463DA48841C24B1BEB6F",1)</v>
      </c>
      <c r="T134" s="115" t="s">
        <v>1260</v>
      </c>
      <c r="U134" s="27">
        <v>134</v>
      </c>
    </row>
    <row r="135" s="3" customFormat="1" customHeight="1" spans="1:21">
      <c r="A135" s="144">
        <v>44358.3837962963</v>
      </c>
      <c r="B135" s="27" t="s">
        <v>1261</v>
      </c>
      <c r="C135" s="27" t="s">
        <v>1262</v>
      </c>
      <c r="D135" s="162" t="s">
        <v>1262</v>
      </c>
      <c r="E135" s="162" t="s">
        <v>165</v>
      </c>
      <c r="F135" s="162" t="s">
        <v>1263</v>
      </c>
      <c r="G135" s="27">
        <v>18897926715</v>
      </c>
      <c r="H135" s="162" t="s">
        <v>1264</v>
      </c>
      <c r="I135" s="162" t="s">
        <v>156</v>
      </c>
      <c r="J135" s="162" t="s">
        <v>8</v>
      </c>
      <c r="K135" s="27">
        <v>202102002</v>
      </c>
      <c r="L135" s="162" t="s">
        <v>157</v>
      </c>
      <c r="M135" s="162" t="s">
        <v>1265</v>
      </c>
      <c r="N135" s="162" t="s">
        <v>813</v>
      </c>
      <c r="O135" s="162" t="s">
        <v>160</v>
      </c>
      <c r="P135" s="162" t="s">
        <v>199</v>
      </c>
      <c r="Q135" s="162" t="s">
        <v>1266</v>
      </c>
      <c r="R135" s="27">
        <v>0</v>
      </c>
      <c r="S135" s="118" t="str">
        <f>_xlfn.DISPIMG("ID_5DC2209F39824089B70DAE46CB942DD1",1)</f>
        <v>=DISPIMG("ID_5DC2209F39824089B70DAE46CB942DD1",1)</v>
      </c>
      <c r="T135" s="115" t="s">
        <v>1267</v>
      </c>
      <c r="U135" s="27">
        <v>135</v>
      </c>
    </row>
    <row r="136" s="3" customFormat="1" customHeight="1" spans="1:21">
      <c r="A136" s="144">
        <v>44358.3886921296</v>
      </c>
      <c r="B136" s="27" t="s">
        <v>1268</v>
      </c>
      <c r="C136" s="27" t="s">
        <v>1269</v>
      </c>
      <c r="D136" s="162" t="s">
        <v>1270</v>
      </c>
      <c r="E136" s="162" t="s">
        <v>153</v>
      </c>
      <c r="F136" s="162" t="s">
        <v>1271</v>
      </c>
      <c r="G136" s="27">
        <v>18879347903</v>
      </c>
      <c r="H136" s="162" t="s">
        <v>1272</v>
      </c>
      <c r="I136" s="162" t="s">
        <v>156</v>
      </c>
      <c r="J136" s="162" t="s">
        <v>13</v>
      </c>
      <c r="K136" s="27">
        <v>202102003</v>
      </c>
      <c r="L136" s="162" t="s">
        <v>279</v>
      </c>
      <c r="M136" s="162" t="s">
        <v>1273</v>
      </c>
      <c r="N136" s="162" t="s">
        <v>223</v>
      </c>
      <c r="O136" s="162" t="s">
        <v>170</v>
      </c>
      <c r="P136" s="162" t="s">
        <v>548</v>
      </c>
      <c r="Q136" s="162" t="s">
        <v>13</v>
      </c>
      <c r="R136" s="162" t="s">
        <v>1274</v>
      </c>
      <c r="S136" s="118" t="str">
        <f>_xlfn.DISPIMG("ID_DF04DBFB481D40418B898CD7AB20784A",1)</f>
        <v>=DISPIMG("ID_DF04DBFB481D40418B898CD7AB20784A",1)</v>
      </c>
      <c r="T136" s="115" t="s">
        <v>1275</v>
      </c>
      <c r="U136" s="27">
        <v>136</v>
      </c>
    </row>
    <row r="137" s="3" customFormat="1" customHeight="1" spans="1:21">
      <c r="A137" s="144">
        <v>44358.3890972222</v>
      </c>
      <c r="B137" s="27" t="s">
        <v>1276</v>
      </c>
      <c r="C137" s="27" t="s">
        <v>1067</v>
      </c>
      <c r="D137" s="162" t="s">
        <v>1068</v>
      </c>
      <c r="E137" s="162" t="s">
        <v>165</v>
      </c>
      <c r="F137" s="162" t="s">
        <v>1069</v>
      </c>
      <c r="G137" s="27">
        <v>18279237136</v>
      </c>
      <c r="H137" s="162" t="s">
        <v>1277</v>
      </c>
      <c r="I137" s="162" t="s">
        <v>506</v>
      </c>
      <c r="J137" s="162" t="s">
        <v>6</v>
      </c>
      <c r="K137" s="27">
        <v>202102021</v>
      </c>
      <c r="L137" s="162" t="s">
        <v>157</v>
      </c>
      <c r="M137" s="162" t="s">
        <v>1071</v>
      </c>
      <c r="N137" s="162" t="s">
        <v>454</v>
      </c>
      <c r="O137" s="162" t="s">
        <v>160</v>
      </c>
      <c r="P137" s="162" t="s">
        <v>161</v>
      </c>
      <c r="Q137" s="162" t="s">
        <v>413</v>
      </c>
      <c r="R137" s="162" t="s">
        <v>1072</v>
      </c>
      <c r="S137" s="118" t="str">
        <f>_xlfn.DISPIMG("ID_4A5DEA3E498746E9A9AC483CF4ABDF91",1)</f>
        <v>=DISPIMG("ID_4A5DEA3E498746E9A9AC483CF4ABDF91",1)</v>
      </c>
      <c r="T137" s="115" t="s">
        <v>1073</v>
      </c>
      <c r="U137" s="27">
        <v>137</v>
      </c>
    </row>
    <row r="138" s="3" customFormat="1" customHeight="1" spans="1:21">
      <c r="A138" s="144">
        <v>44358.3930671296</v>
      </c>
      <c r="B138" s="27" t="s">
        <v>1278</v>
      </c>
      <c r="C138" s="27" t="s">
        <v>1279</v>
      </c>
      <c r="D138" s="162" t="s">
        <v>1280</v>
      </c>
      <c r="E138" s="162" t="s">
        <v>165</v>
      </c>
      <c r="F138" s="162" t="s">
        <v>1281</v>
      </c>
      <c r="G138" s="27">
        <v>15779415003</v>
      </c>
      <c r="H138" s="162" t="s">
        <v>1282</v>
      </c>
      <c r="I138" s="162" t="s">
        <v>278</v>
      </c>
      <c r="J138" s="162" t="s">
        <v>28</v>
      </c>
      <c r="K138" s="27">
        <v>202103001</v>
      </c>
      <c r="L138" s="162" t="s">
        <v>279</v>
      </c>
      <c r="M138" s="162" t="s">
        <v>367</v>
      </c>
      <c r="N138" s="162" t="s">
        <v>280</v>
      </c>
      <c r="O138" s="162" t="s">
        <v>170</v>
      </c>
      <c r="P138" s="162" t="s">
        <v>368</v>
      </c>
      <c r="Q138" s="162" t="s">
        <v>340</v>
      </c>
      <c r="R138" s="162" t="s">
        <v>1283</v>
      </c>
      <c r="S138" s="118" t="str">
        <f>_xlfn.DISPIMG("ID_7CFB1AF7BB454AE0866D54E1D87E03E1",1)</f>
        <v>=DISPIMG("ID_7CFB1AF7BB454AE0866D54E1D87E03E1",1)</v>
      </c>
      <c r="T138" s="115" t="s">
        <v>1284</v>
      </c>
      <c r="U138" s="27">
        <v>138</v>
      </c>
    </row>
    <row r="139" s="4" customFormat="1" customHeight="1" spans="1:21">
      <c r="A139" s="145">
        <v>44358.4026388889</v>
      </c>
      <c r="B139" s="22" t="s">
        <v>1285</v>
      </c>
      <c r="C139" s="22" t="s">
        <v>274</v>
      </c>
      <c r="D139" s="164" t="s">
        <v>1286</v>
      </c>
      <c r="E139" s="164" t="s">
        <v>165</v>
      </c>
      <c r="F139" s="164" t="s">
        <v>1287</v>
      </c>
      <c r="G139" s="22">
        <v>18296159811</v>
      </c>
      <c r="H139" s="164" t="s">
        <v>1288</v>
      </c>
      <c r="I139" s="164" t="s">
        <v>278</v>
      </c>
      <c r="J139" s="164" t="s">
        <v>28</v>
      </c>
      <c r="K139" s="22">
        <v>202103001</v>
      </c>
      <c r="L139" s="164" t="s">
        <v>279</v>
      </c>
      <c r="M139" s="164" t="s">
        <v>1289</v>
      </c>
      <c r="N139" s="164" t="s">
        <v>280</v>
      </c>
      <c r="O139" s="164" t="s">
        <v>170</v>
      </c>
      <c r="P139" s="164" t="s">
        <v>216</v>
      </c>
      <c r="Q139" s="164" t="s">
        <v>960</v>
      </c>
      <c r="R139" s="164" t="s">
        <v>1290</v>
      </c>
      <c r="S139" s="23" t="str">
        <f>_xlfn.DISPIMG("ID_FACC95E727304010BE372974F21E9256",1)</f>
        <v>=DISPIMG("ID_FACC95E727304010BE372974F21E9256",1)</v>
      </c>
      <c r="T139" s="103" t="s">
        <v>1291</v>
      </c>
      <c r="U139" s="27">
        <v>139</v>
      </c>
    </row>
    <row r="140" s="3" customFormat="1" customHeight="1" spans="1:21">
      <c r="A140" s="144">
        <v>44358.4050347222</v>
      </c>
      <c r="B140" s="27" t="s">
        <v>1292</v>
      </c>
      <c r="C140" s="27" t="s">
        <v>1293</v>
      </c>
      <c r="D140" s="162" t="s">
        <v>1294</v>
      </c>
      <c r="E140" s="162" t="s">
        <v>165</v>
      </c>
      <c r="F140" s="162" t="s">
        <v>1295</v>
      </c>
      <c r="G140" s="27">
        <v>16607139534</v>
      </c>
      <c r="H140" s="162" t="s">
        <v>1296</v>
      </c>
      <c r="I140" s="162" t="s">
        <v>384</v>
      </c>
      <c r="J140" s="162" t="s">
        <v>18</v>
      </c>
      <c r="K140" s="27">
        <v>202101024</v>
      </c>
      <c r="L140" s="162" t="s">
        <v>705</v>
      </c>
      <c r="M140" s="162" t="s">
        <v>1297</v>
      </c>
      <c r="N140" s="162" t="s">
        <v>323</v>
      </c>
      <c r="O140" s="162" t="s">
        <v>160</v>
      </c>
      <c r="P140" s="162" t="s">
        <v>455</v>
      </c>
      <c r="Q140" s="162" t="s">
        <v>18</v>
      </c>
      <c r="R140" s="162" t="s">
        <v>1298</v>
      </c>
      <c r="S140" s="118" t="str">
        <f>_xlfn.DISPIMG("ID_0467DD9C16B84F62946A6DA8763F5DB1",1)</f>
        <v>=DISPIMG("ID_0467DD9C16B84F62946A6DA8763F5DB1",1)</v>
      </c>
      <c r="T140" s="115" t="s">
        <v>1299</v>
      </c>
      <c r="U140" s="27">
        <v>140</v>
      </c>
    </row>
    <row r="141" s="3" customFormat="1" customHeight="1" spans="1:21">
      <c r="A141" s="144">
        <v>44358.4058796296</v>
      </c>
      <c r="B141" s="27" t="s">
        <v>1300</v>
      </c>
      <c r="C141" s="27" t="s">
        <v>1301</v>
      </c>
      <c r="D141" s="162" t="s">
        <v>833</v>
      </c>
      <c r="E141" s="162" t="s">
        <v>165</v>
      </c>
      <c r="F141" s="162" t="s">
        <v>1302</v>
      </c>
      <c r="G141" s="27">
        <v>15770803797</v>
      </c>
      <c r="H141" s="162" t="s">
        <v>1303</v>
      </c>
      <c r="I141" s="162" t="s">
        <v>384</v>
      </c>
      <c r="J141" s="162" t="s">
        <v>19</v>
      </c>
      <c r="K141" s="27">
        <v>202101014</v>
      </c>
      <c r="L141" s="162" t="s">
        <v>705</v>
      </c>
      <c r="M141" s="162" t="s">
        <v>1304</v>
      </c>
      <c r="N141" s="162" t="s">
        <v>1305</v>
      </c>
      <c r="O141" s="162" t="s">
        <v>160</v>
      </c>
      <c r="P141" s="162" t="s">
        <v>516</v>
      </c>
      <c r="Q141" s="162" t="s">
        <v>1306</v>
      </c>
      <c r="R141" s="162" t="s">
        <v>1307</v>
      </c>
      <c r="S141" s="118" t="str">
        <f>_xlfn.DISPIMG("ID_2E0E8C97ADBC44CDA9BEA81CC587B750",1)</f>
        <v>=DISPIMG("ID_2E0E8C97ADBC44CDA9BEA81CC587B750",1)</v>
      </c>
      <c r="T141" s="115" t="s">
        <v>1308</v>
      </c>
      <c r="U141" s="27">
        <v>141</v>
      </c>
    </row>
    <row r="142" s="3" customFormat="1" customHeight="1" spans="1:21">
      <c r="A142" s="144">
        <v>44358.415462963</v>
      </c>
      <c r="B142" s="27" t="s">
        <v>1309</v>
      </c>
      <c r="C142" s="27" t="s">
        <v>1310</v>
      </c>
      <c r="D142" s="162" t="s">
        <v>1311</v>
      </c>
      <c r="E142" s="162" t="s">
        <v>165</v>
      </c>
      <c r="F142" s="162" t="s">
        <v>1312</v>
      </c>
      <c r="G142" s="27">
        <v>13672224425</v>
      </c>
      <c r="H142" s="162" t="s">
        <v>1313</v>
      </c>
      <c r="I142" s="162" t="s">
        <v>156</v>
      </c>
      <c r="J142" s="162" t="s">
        <v>13</v>
      </c>
      <c r="K142" s="27">
        <v>202102003</v>
      </c>
      <c r="L142" s="162" t="s">
        <v>157</v>
      </c>
      <c r="M142" s="162" t="s">
        <v>697</v>
      </c>
      <c r="N142" s="162" t="s">
        <v>243</v>
      </c>
      <c r="O142" s="162" t="s">
        <v>160</v>
      </c>
      <c r="P142" s="162" t="s">
        <v>368</v>
      </c>
      <c r="Q142" s="162" t="s">
        <v>13</v>
      </c>
      <c r="R142" s="162" t="s">
        <v>1314</v>
      </c>
      <c r="S142" s="118" t="str">
        <f>_xlfn.DISPIMG("ID_7D2290FD7009470AB45B6E90DB94AE0B",1)</f>
        <v>=DISPIMG("ID_7D2290FD7009470AB45B6E90DB94AE0B",1)</v>
      </c>
      <c r="T142" s="115" t="s">
        <v>1315</v>
      </c>
      <c r="U142" s="27">
        <v>142</v>
      </c>
    </row>
    <row r="143" s="3" customFormat="1" customHeight="1" spans="1:21">
      <c r="A143" s="144">
        <v>44358.4267361111</v>
      </c>
      <c r="B143" s="27" t="s">
        <v>1316</v>
      </c>
      <c r="C143" s="27" t="s">
        <v>1317</v>
      </c>
      <c r="D143" s="162" t="s">
        <v>1318</v>
      </c>
      <c r="E143" s="162" t="s">
        <v>165</v>
      </c>
      <c r="F143" s="162" t="s">
        <v>1319</v>
      </c>
      <c r="G143" s="27">
        <v>18270633854</v>
      </c>
      <c r="H143" s="162" t="s">
        <v>1320</v>
      </c>
      <c r="I143" s="162" t="s">
        <v>156</v>
      </c>
      <c r="J143" s="162" t="s">
        <v>8</v>
      </c>
      <c r="K143" s="27">
        <v>202102002</v>
      </c>
      <c r="L143" s="162" t="s">
        <v>157</v>
      </c>
      <c r="M143" s="162" t="s">
        <v>1258</v>
      </c>
      <c r="N143" s="162" t="s">
        <v>1321</v>
      </c>
      <c r="O143" s="162" t="s">
        <v>160</v>
      </c>
      <c r="P143" s="162" t="s">
        <v>516</v>
      </c>
      <c r="Q143" s="162" t="s">
        <v>1322</v>
      </c>
      <c r="R143" s="162" t="s">
        <v>1323</v>
      </c>
      <c r="S143" s="118" t="str">
        <f>_xlfn.DISPIMG("ID_D86A3E1B243D4E47B731958FB3B82FC3",1)</f>
        <v>=DISPIMG("ID_D86A3E1B243D4E47B731958FB3B82FC3",1)</v>
      </c>
      <c r="T143" s="115" t="s">
        <v>1324</v>
      </c>
      <c r="U143" s="27">
        <v>143</v>
      </c>
    </row>
    <row r="144" s="98" customFormat="1" customHeight="1" spans="1:21">
      <c r="A144" s="148">
        <v>44358.4400810185</v>
      </c>
      <c r="B144" s="21" t="s">
        <v>1325</v>
      </c>
      <c r="C144" s="21" t="s">
        <v>1326</v>
      </c>
      <c r="D144" s="163" t="s">
        <v>1327</v>
      </c>
      <c r="E144" s="163" t="s">
        <v>165</v>
      </c>
      <c r="F144" s="163" t="s">
        <v>1328</v>
      </c>
      <c r="G144" s="21">
        <v>15870865214</v>
      </c>
      <c r="H144" s="163" t="s">
        <v>1329</v>
      </c>
      <c r="I144" s="163" t="s">
        <v>278</v>
      </c>
      <c r="J144" s="163" t="s">
        <v>28</v>
      </c>
      <c r="K144" s="21">
        <v>202103001</v>
      </c>
      <c r="L144" s="163" t="s">
        <v>157</v>
      </c>
      <c r="M144" s="163" t="s">
        <v>1330</v>
      </c>
      <c r="N144" s="163" t="s">
        <v>1331</v>
      </c>
      <c r="O144" s="163" t="s">
        <v>160</v>
      </c>
      <c r="P144" s="163" t="s">
        <v>368</v>
      </c>
      <c r="Q144" s="163" t="s">
        <v>1332</v>
      </c>
      <c r="R144" s="21">
        <v>0</v>
      </c>
      <c r="S144" s="100" t="str">
        <f>_xlfn.DISPIMG("ID_70D76866441740A9BF275A2167F7CB39",1)</f>
        <v>=DISPIMG("ID_70D76866441740A9BF275A2167F7CB39",1)</v>
      </c>
      <c r="T144" s="99" t="s">
        <v>1333</v>
      </c>
      <c r="U144" s="27">
        <v>144</v>
      </c>
    </row>
    <row r="145" s="3" customFormat="1" customHeight="1" spans="1:21">
      <c r="A145" s="144">
        <v>44358.4431828704</v>
      </c>
      <c r="B145" s="27" t="s">
        <v>1334</v>
      </c>
      <c r="C145" s="27" t="s">
        <v>1335</v>
      </c>
      <c r="D145" s="162" t="s">
        <v>1336</v>
      </c>
      <c r="E145" s="162" t="s">
        <v>165</v>
      </c>
      <c r="F145" s="162" t="s">
        <v>1337</v>
      </c>
      <c r="G145" s="27">
        <v>15827758062</v>
      </c>
      <c r="H145" s="162" t="s">
        <v>1338</v>
      </c>
      <c r="I145" s="162" t="s">
        <v>506</v>
      </c>
      <c r="J145" s="162" t="s">
        <v>6</v>
      </c>
      <c r="K145" s="27">
        <v>202102021</v>
      </c>
      <c r="L145" s="162" t="s">
        <v>157</v>
      </c>
      <c r="M145" s="162" t="s">
        <v>909</v>
      </c>
      <c r="N145" s="162" t="s">
        <v>323</v>
      </c>
      <c r="O145" s="162" t="s">
        <v>170</v>
      </c>
      <c r="P145" s="162" t="s">
        <v>235</v>
      </c>
      <c r="Q145" s="162" t="s">
        <v>1339</v>
      </c>
      <c r="R145" s="162" t="s">
        <v>1340</v>
      </c>
      <c r="S145" s="118" t="str">
        <f>_xlfn.DISPIMG("ID_59602C342648425A87CF8C12540A5579",1)</f>
        <v>=DISPIMG("ID_59602C342648425A87CF8C12540A5579",1)</v>
      </c>
      <c r="T145" s="115" t="s">
        <v>1341</v>
      </c>
      <c r="U145" s="27">
        <v>145</v>
      </c>
    </row>
    <row r="146" s="5" customFormat="1" customHeight="1" spans="1:21">
      <c r="A146" s="146">
        <v>44362.90625</v>
      </c>
      <c r="B146" s="116" t="s">
        <v>1342</v>
      </c>
      <c r="C146" s="116" t="s">
        <v>1343</v>
      </c>
      <c r="D146" s="165" t="s">
        <v>1344</v>
      </c>
      <c r="E146" s="165" t="s">
        <v>165</v>
      </c>
      <c r="F146" s="165" t="s">
        <v>1345</v>
      </c>
      <c r="G146" s="116">
        <v>15179298712</v>
      </c>
      <c r="H146" s="165" t="s">
        <v>177</v>
      </c>
      <c r="I146" s="165" t="s">
        <v>278</v>
      </c>
      <c r="J146" s="165" t="s">
        <v>28</v>
      </c>
      <c r="K146" s="116">
        <v>202103001</v>
      </c>
      <c r="L146" s="165" t="s">
        <v>279</v>
      </c>
      <c r="M146" s="165" t="s">
        <v>158</v>
      </c>
      <c r="N146" s="165" t="s">
        <v>179</v>
      </c>
      <c r="O146" s="165" t="s">
        <v>170</v>
      </c>
      <c r="P146" s="165" t="s">
        <v>1346</v>
      </c>
      <c r="Q146" s="165" t="s">
        <v>1013</v>
      </c>
      <c r="R146" s="116">
        <v>0</v>
      </c>
      <c r="S146" s="119" t="str">
        <f>_xlfn.DISPIMG("ID_249FF3C1A0EA4CE88757DD6F52651ECC",1)</f>
        <v>=DISPIMG("ID_249FF3C1A0EA4CE88757DD6F52651ECC",1)</v>
      </c>
      <c r="T146" s="120" t="s">
        <v>1347</v>
      </c>
      <c r="U146" s="27">
        <v>146</v>
      </c>
    </row>
    <row r="147" s="3" customFormat="1" customHeight="1" spans="1:21">
      <c r="A147" s="144">
        <v>44358.4567013889</v>
      </c>
      <c r="B147" s="27" t="s">
        <v>1348</v>
      </c>
      <c r="C147" s="27" t="s">
        <v>1349</v>
      </c>
      <c r="D147" s="162" t="s">
        <v>1350</v>
      </c>
      <c r="E147" s="162" t="s">
        <v>165</v>
      </c>
      <c r="F147" s="162" t="s">
        <v>1351</v>
      </c>
      <c r="G147" s="27">
        <v>13767415091</v>
      </c>
      <c r="H147" s="162" t="s">
        <v>1352</v>
      </c>
      <c r="I147" s="162" t="s">
        <v>156</v>
      </c>
      <c r="J147" s="162" t="s">
        <v>14</v>
      </c>
      <c r="K147" s="27">
        <v>202102001</v>
      </c>
      <c r="L147" s="162" t="s">
        <v>157</v>
      </c>
      <c r="M147" s="162" t="s">
        <v>827</v>
      </c>
      <c r="N147" s="162" t="s">
        <v>223</v>
      </c>
      <c r="O147" s="162" t="s">
        <v>170</v>
      </c>
      <c r="P147" s="162" t="s">
        <v>306</v>
      </c>
      <c r="Q147" s="162" t="s">
        <v>1353</v>
      </c>
      <c r="R147" s="27">
        <v>0</v>
      </c>
      <c r="S147" s="118" t="str">
        <f>_xlfn.DISPIMG("ID_7AB2E23FEFF940D9992E8955A95BEDD5",1)</f>
        <v>=DISPIMG("ID_7AB2E23FEFF940D9992E8955A95BEDD5",1)</v>
      </c>
      <c r="T147" s="115" t="s">
        <v>1354</v>
      </c>
      <c r="U147" s="27">
        <v>147</v>
      </c>
    </row>
    <row r="148" s="3" customFormat="1" customHeight="1" spans="1:21">
      <c r="A148" s="144">
        <v>44358.4587037037</v>
      </c>
      <c r="B148" s="27" t="s">
        <v>1355</v>
      </c>
      <c r="C148" s="27" t="s">
        <v>1356</v>
      </c>
      <c r="D148" s="162" t="s">
        <v>1357</v>
      </c>
      <c r="E148" s="162" t="s">
        <v>165</v>
      </c>
      <c r="F148" s="162" t="s">
        <v>1358</v>
      </c>
      <c r="G148" s="27">
        <v>19977181836</v>
      </c>
      <c r="H148" s="162" t="s">
        <v>1359</v>
      </c>
      <c r="I148" s="162" t="s">
        <v>156</v>
      </c>
      <c r="J148" s="162" t="s">
        <v>13</v>
      </c>
      <c r="K148" s="27">
        <v>202102003</v>
      </c>
      <c r="L148" s="162" t="s">
        <v>157</v>
      </c>
      <c r="M148" s="162" t="s">
        <v>1360</v>
      </c>
      <c r="N148" s="162" t="s">
        <v>223</v>
      </c>
      <c r="O148" s="162" t="s">
        <v>170</v>
      </c>
      <c r="P148" s="162" t="s">
        <v>587</v>
      </c>
      <c r="Q148" s="162" t="s">
        <v>1361</v>
      </c>
      <c r="R148" s="162" t="s">
        <v>1362</v>
      </c>
      <c r="S148" s="118" t="str">
        <f>_xlfn.DISPIMG("ID_F234455BC8F04A26B7C1140CBE7FB1F1",1)</f>
        <v>=DISPIMG("ID_F234455BC8F04A26B7C1140CBE7FB1F1",1)</v>
      </c>
      <c r="T148" s="115" t="s">
        <v>1363</v>
      </c>
      <c r="U148" s="27">
        <v>148</v>
      </c>
    </row>
    <row r="149" s="3" customFormat="1" customHeight="1" spans="1:21">
      <c r="A149" s="144">
        <v>44358.4746064815</v>
      </c>
      <c r="B149" s="27" t="s">
        <v>1364</v>
      </c>
      <c r="C149" s="27" t="s">
        <v>1365</v>
      </c>
      <c r="D149" s="162" t="s">
        <v>1365</v>
      </c>
      <c r="E149" s="162" t="s">
        <v>153</v>
      </c>
      <c r="F149" s="162" t="s">
        <v>1366</v>
      </c>
      <c r="G149" s="27">
        <v>15720964071</v>
      </c>
      <c r="H149" s="162" t="s">
        <v>1367</v>
      </c>
      <c r="I149" s="162" t="s">
        <v>268</v>
      </c>
      <c r="J149" s="162" t="s">
        <v>17</v>
      </c>
      <c r="K149" s="27">
        <v>202101017</v>
      </c>
      <c r="L149" s="162" t="s">
        <v>157</v>
      </c>
      <c r="M149" s="162" t="s">
        <v>1368</v>
      </c>
      <c r="N149" s="162" t="s">
        <v>290</v>
      </c>
      <c r="O149" s="162" t="s">
        <v>170</v>
      </c>
      <c r="P149" s="162" t="s">
        <v>455</v>
      </c>
      <c r="Q149" s="162" t="s">
        <v>1369</v>
      </c>
      <c r="R149" s="27">
        <v>0</v>
      </c>
      <c r="S149" s="118" t="str">
        <f>_xlfn.DISPIMG("ID_EB5AC667C054437CBFE2486B339F8A77",1)</f>
        <v>=DISPIMG("ID_EB5AC667C054437CBFE2486B339F8A77",1)</v>
      </c>
      <c r="T149" s="115" t="s">
        <v>1370</v>
      </c>
      <c r="U149" s="27">
        <v>149</v>
      </c>
    </row>
    <row r="150" s="3" customFormat="1" customHeight="1" spans="1:21">
      <c r="A150" s="144">
        <v>44358.5028240741</v>
      </c>
      <c r="B150" s="27" t="s">
        <v>1371</v>
      </c>
      <c r="C150" s="27" t="s">
        <v>1372</v>
      </c>
      <c r="D150" s="162" t="s">
        <v>1373</v>
      </c>
      <c r="E150" s="162" t="s">
        <v>165</v>
      </c>
      <c r="F150" s="162" t="s">
        <v>1374</v>
      </c>
      <c r="G150" s="27">
        <v>15070130599</v>
      </c>
      <c r="H150" s="162" t="s">
        <v>1375</v>
      </c>
      <c r="I150" s="162" t="s">
        <v>384</v>
      </c>
      <c r="J150" s="162" t="s">
        <v>25</v>
      </c>
      <c r="K150" s="27">
        <v>202101007</v>
      </c>
      <c r="L150" s="162" t="s">
        <v>705</v>
      </c>
      <c r="M150" s="162" t="s">
        <v>1376</v>
      </c>
      <c r="N150" s="162" t="s">
        <v>790</v>
      </c>
      <c r="O150" s="162" t="s">
        <v>160</v>
      </c>
      <c r="P150" s="162" t="s">
        <v>455</v>
      </c>
      <c r="Q150" s="162" t="s">
        <v>1156</v>
      </c>
      <c r="R150" s="27">
        <v>0</v>
      </c>
      <c r="S150" s="118" t="str">
        <f>_xlfn.DISPIMG("ID_ECF84772EBB248C2BC2BD56C2C168331",1)</f>
        <v>=DISPIMG("ID_ECF84772EBB248C2BC2BD56C2C168331",1)</v>
      </c>
      <c r="T150" s="115" t="s">
        <v>1377</v>
      </c>
      <c r="U150" s="27">
        <v>150</v>
      </c>
    </row>
    <row r="151" s="3" customFormat="1" customHeight="1" spans="1:21">
      <c r="A151" s="144">
        <v>44358.5073148148</v>
      </c>
      <c r="B151" s="27" t="s">
        <v>1378</v>
      </c>
      <c r="C151" s="27" t="s">
        <v>1379</v>
      </c>
      <c r="D151" s="162" t="s">
        <v>1380</v>
      </c>
      <c r="E151" s="162" t="s">
        <v>165</v>
      </c>
      <c r="F151" s="162" t="s">
        <v>1381</v>
      </c>
      <c r="G151" s="27">
        <v>15279288135</v>
      </c>
      <c r="H151" s="162" t="s">
        <v>1382</v>
      </c>
      <c r="I151" s="162" t="s">
        <v>156</v>
      </c>
      <c r="J151" s="162" t="s">
        <v>14</v>
      </c>
      <c r="K151" s="27">
        <v>202102001</v>
      </c>
      <c r="L151" s="162" t="s">
        <v>279</v>
      </c>
      <c r="M151" s="162" t="s">
        <v>339</v>
      </c>
      <c r="N151" s="162" t="s">
        <v>348</v>
      </c>
      <c r="O151" s="162" t="s">
        <v>170</v>
      </c>
      <c r="P151" s="162" t="s">
        <v>368</v>
      </c>
      <c r="Q151" s="162" t="s">
        <v>350</v>
      </c>
      <c r="R151" s="162" t="s">
        <v>1383</v>
      </c>
      <c r="S151" s="118" t="str">
        <f>_xlfn.DISPIMG("ID_05A4371881E64A5ABCF18AC5C0DCA23F",1)</f>
        <v>=DISPIMG("ID_05A4371881E64A5ABCF18AC5C0DCA23F",1)</v>
      </c>
      <c r="T151" s="115" t="s">
        <v>1384</v>
      </c>
      <c r="U151" s="27">
        <v>151</v>
      </c>
    </row>
    <row r="152" s="3" customFormat="1" customHeight="1" spans="1:21">
      <c r="A152" s="144">
        <v>44358.5278819444</v>
      </c>
      <c r="B152" s="27" t="s">
        <v>1385</v>
      </c>
      <c r="C152" s="27" t="s">
        <v>1386</v>
      </c>
      <c r="D152" s="162" t="s">
        <v>1387</v>
      </c>
      <c r="E152" s="162" t="s">
        <v>165</v>
      </c>
      <c r="F152" s="162" t="s">
        <v>1388</v>
      </c>
      <c r="G152" s="27">
        <v>15079175259</v>
      </c>
      <c r="H152" s="162" t="s">
        <v>1389</v>
      </c>
      <c r="I152" s="162" t="s">
        <v>156</v>
      </c>
      <c r="J152" s="162" t="s">
        <v>18</v>
      </c>
      <c r="K152" s="27">
        <v>202101012</v>
      </c>
      <c r="L152" s="162" t="s">
        <v>157</v>
      </c>
      <c r="M152" s="162" t="s">
        <v>827</v>
      </c>
      <c r="N152" s="162" t="s">
        <v>1390</v>
      </c>
      <c r="O152" s="162" t="s">
        <v>170</v>
      </c>
      <c r="P152" s="162" t="s">
        <v>261</v>
      </c>
      <c r="Q152" s="162" t="s">
        <v>18</v>
      </c>
      <c r="R152" s="27">
        <v>0</v>
      </c>
      <c r="S152" s="118" t="str">
        <f>_xlfn.DISPIMG("ID_22A5305EF7CD44458C8E85EF1B5003E3",1)</f>
        <v>=DISPIMG("ID_22A5305EF7CD44458C8E85EF1B5003E3",1)</v>
      </c>
      <c r="T152" s="115" t="s">
        <v>1391</v>
      </c>
      <c r="U152" s="27">
        <v>152</v>
      </c>
    </row>
    <row r="153" s="4" customFormat="1" customHeight="1" spans="1:21">
      <c r="A153" s="145">
        <v>44358.5727314815</v>
      </c>
      <c r="B153" s="22" t="s">
        <v>1392</v>
      </c>
      <c r="C153" s="22" t="s">
        <v>1393</v>
      </c>
      <c r="D153" s="164" t="s">
        <v>1393</v>
      </c>
      <c r="E153" s="164" t="s">
        <v>165</v>
      </c>
      <c r="F153" s="164" t="s">
        <v>1394</v>
      </c>
      <c r="G153" s="22">
        <v>18807004721</v>
      </c>
      <c r="H153" s="164" t="s">
        <v>1395</v>
      </c>
      <c r="I153" s="164" t="s">
        <v>156</v>
      </c>
      <c r="J153" s="164" t="s">
        <v>4</v>
      </c>
      <c r="K153" s="22">
        <v>202102005</v>
      </c>
      <c r="L153" s="164" t="s">
        <v>157</v>
      </c>
      <c r="M153" s="164" t="s">
        <v>1396</v>
      </c>
      <c r="N153" s="164" t="s">
        <v>1397</v>
      </c>
      <c r="O153" s="164" t="s">
        <v>160</v>
      </c>
      <c r="P153" s="164" t="s">
        <v>548</v>
      </c>
      <c r="Q153" s="164" t="s">
        <v>1398</v>
      </c>
      <c r="R153" s="164" t="s">
        <v>1399</v>
      </c>
      <c r="S153" s="23" t="str">
        <f>_xlfn.DISPIMG("ID_55E386EEE22A4F28AA3DFCB82607D0EC",1)</f>
        <v>=DISPIMG("ID_55E386EEE22A4F28AA3DFCB82607D0EC",1)</v>
      </c>
      <c r="T153" s="103" t="s">
        <v>1400</v>
      </c>
      <c r="U153" s="27">
        <v>153</v>
      </c>
    </row>
    <row r="154" s="3" customFormat="1" customHeight="1" spans="1:21">
      <c r="A154" s="144">
        <v>44358.5795833333</v>
      </c>
      <c r="B154" s="27" t="s">
        <v>1401</v>
      </c>
      <c r="C154" s="27" t="s">
        <v>1402</v>
      </c>
      <c r="D154" s="162" t="s">
        <v>1403</v>
      </c>
      <c r="E154" s="162" t="s">
        <v>153</v>
      </c>
      <c r="F154" s="162" t="s">
        <v>1404</v>
      </c>
      <c r="G154" s="27">
        <v>15779981835</v>
      </c>
      <c r="H154" s="162" t="s">
        <v>1405</v>
      </c>
      <c r="I154" s="162" t="s">
        <v>156</v>
      </c>
      <c r="J154" s="162" t="s">
        <v>9</v>
      </c>
      <c r="K154" s="27">
        <v>202102011</v>
      </c>
      <c r="L154" s="162" t="s">
        <v>157</v>
      </c>
      <c r="M154" s="162" t="s">
        <v>827</v>
      </c>
      <c r="N154" s="162" t="s">
        <v>682</v>
      </c>
      <c r="O154" s="162" t="s">
        <v>170</v>
      </c>
      <c r="P154" s="162" t="s">
        <v>261</v>
      </c>
      <c r="Q154" s="162" t="s">
        <v>1406</v>
      </c>
      <c r="R154" s="27">
        <v>0</v>
      </c>
      <c r="S154" s="118" t="str">
        <f>_xlfn.DISPIMG("ID_FA69E1E4EF8743A583B1A39075AAAF21",1)</f>
        <v>=DISPIMG("ID_FA69E1E4EF8743A583B1A39075AAAF21",1)</v>
      </c>
      <c r="T154" s="115" t="s">
        <v>1407</v>
      </c>
      <c r="U154" s="27">
        <v>154</v>
      </c>
    </row>
    <row r="155" s="3" customFormat="1" customHeight="1" spans="1:21">
      <c r="A155" s="144">
        <v>44358.5863194444</v>
      </c>
      <c r="B155" s="27" t="s">
        <v>1408</v>
      </c>
      <c r="C155" s="27" t="s">
        <v>1409</v>
      </c>
      <c r="D155" s="162" t="s">
        <v>1410</v>
      </c>
      <c r="E155" s="162" t="s">
        <v>165</v>
      </c>
      <c r="F155" s="162" t="s">
        <v>1411</v>
      </c>
      <c r="G155" s="27">
        <v>19979027323</v>
      </c>
      <c r="H155" s="162" t="s">
        <v>1412</v>
      </c>
      <c r="I155" s="162" t="s">
        <v>268</v>
      </c>
      <c r="J155" s="162" t="s">
        <v>22</v>
      </c>
      <c r="K155" s="27">
        <v>202101009</v>
      </c>
      <c r="L155" s="162" t="s">
        <v>157</v>
      </c>
      <c r="M155" s="162" t="s">
        <v>1413</v>
      </c>
      <c r="N155" s="162" t="s">
        <v>944</v>
      </c>
      <c r="O155" s="162" t="s">
        <v>170</v>
      </c>
      <c r="P155" s="162" t="s">
        <v>396</v>
      </c>
      <c r="Q155" s="162" t="s">
        <v>1414</v>
      </c>
      <c r="R155" s="162" t="s">
        <v>1415</v>
      </c>
      <c r="S155" s="118" t="str">
        <f>_xlfn.DISPIMG("ID_7AA3981AEA4B4044958F80E226B55196",1)</f>
        <v>=DISPIMG("ID_7AA3981AEA4B4044958F80E226B55196",1)</v>
      </c>
      <c r="T155" s="115" t="s">
        <v>1416</v>
      </c>
      <c r="U155" s="27">
        <v>155</v>
      </c>
    </row>
    <row r="156" s="3" customFormat="1" customHeight="1" spans="1:21">
      <c r="A156" s="144">
        <v>44358.5992708333</v>
      </c>
      <c r="B156" s="27" t="s">
        <v>1417</v>
      </c>
      <c r="C156" s="27" t="s">
        <v>1326</v>
      </c>
      <c r="D156" s="162" t="s">
        <v>1327</v>
      </c>
      <c r="E156" s="162" t="s">
        <v>165</v>
      </c>
      <c r="F156" s="162" t="s">
        <v>1328</v>
      </c>
      <c r="G156" s="27">
        <v>15870865214</v>
      </c>
      <c r="H156" s="162" t="s">
        <v>1329</v>
      </c>
      <c r="I156" s="162" t="s">
        <v>278</v>
      </c>
      <c r="J156" s="162" t="s">
        <v>28</v>
      </c>
      <c r="K156" s="27">
        <v>202103001</v>
      </c>
      <c r="L156" s="162" t="s">
        <v>279</v>
      </c>
      <c r="M156" s="162" t="s">
        <v>1330</v>
      </c>
      <c r="N156" s="162" t="s">
        <v>1331</v>
      </c>
      <c r="O156" s="162" t="s">
        <v>160</v>
      </c>
      <c r="P156" s="162" t="s">
        <v>368</v>
      </c>
      <c r="Q156" s="162" t="s">
        <v>1418</v>
      </c>
      <c r="R156" s="27">
        <v>0</v>
      </c>
      <c r="S156" s="118" t="str">
        <f>_xlfn.DISPIMG("ID_042121583D6C4BE29ACF5C4CE545F254",1)</f>
        <v>=DISPIMG("ID_042121583D6C4BE29ACF5C4CE545F254",1)</v>
      </c>
      <c r="T156" s="115" t="s">
        <v>1333</v>
      </c>
      <c r="U156" s="27">
        <v>156</v>
      </c>
    </row>
    <row r="157" s="3" customFormat="1" customHeight="1" spans="1:21">
      <c r="A157" s="144">
        <v>44358.6065625</v>
      </c>
      <c r="B157" s="27" t="s">
        <v>1419</v>
      </c>
      <c r="C157" s="27" t="s">
        <v>1420</v>
      </c>
      <c r="D157" s="162" t="s">
        <v>1421</v>
      </c>
      <c r="E157" s="162" t="s">
        <v>165</v>
      </c>
      <c r="F157" s="162" t="s">
        <v>1422</v>
      </c>
      <c r="G157" s="27">
        <v>15179266183</v>
      </c>
      <c r="H157" s="162" t="s">
        <v>1423</v>
      </c>
      <c r="I157" s="162" t="s">
        <v>156</v>
      </c>
      <c r="J157" s="162" t="s">
        <v>3</v>
      </c>
      <c r="K157" s="27">
        <v>202102009</v>
      </c>
      <c r="L157" s="162" t="s">
        <v>157</v>
      </c>
      <c r="M157" s="162" t="s">
        <v>1424</v>
      </c>
      <c r="N157" s="162" t="s">
        <v>298</v>
      </c>
      <c r="O157" s="162" t="s">
        <v>160</v>
      </c>
      <c r="P157" s="162" t="s">
        <v>252</v>
      </c>
      <c r="Q157" s="162" t="s">
        <v>1425</v>
      </c>
      <c r="R157" s="27">
        <v>0</v>
      </c>
      <c r="S157" s="118" t="str">
        <f>_xlfn.DISPIMG("ID_9A5193B60E294BCB8EBBC32356364290",1)</f>
        <v>=DISPIMG("ID_9A5193B60E294BCB8EBBC32356364290",1)</v>
      </c>
      <c r="T157" s="115" t="s">
        <v>1426</v>
      </c>
      <c r="U157" s="27">
        <v>157</v>
      </c>
    </row>
    <row r="158" s="98" customFormat="1" customHeight="1" spans="1:21">
      <c r="A158" s="148">
        <v>44358.9452546296</v>
      </c>
      <c r="B158" s="21" t="s">
        <v>1427</v>
      </c>
      <c r="C158" s="21" t="s">
        <v>1428</v>
      </c>
      <c r="D158" s="163" t="s">
        <v>1429</v>
      </c>
      <c r="E158" s="163" t="s">
        <v>165</v>
      </c>
      <c r="F158" s="163" t="s">
        <v>1430</v>
      </c>
      <c r="G158" s="21">
        <v>15779219115</v>
      </c>
      <c r="H158" s="163" t="s">
        <v>1431</v>
      </c>
      <c r="I158" s="163" t="s">
        <v>278</v>
      </c>
      <c r="J158" s="163" t="s">
        <v>28</v>
      </c>
      <c r="K158" s="21">
        <v>202103001</v>
      </c>
      <c r="L158" s="163" t="s">
        <v>279</v>
      </c>
      <c r="M158" s="163" t="s">
        <v>1432</v>
      </c>
      <c r="N158" s="163" t="s">
        <v>1433</v>
      </c>
      <c r="O158" s="163" t="s">
        <v>170</v>
      </c>
      <c r="P158" s="163" t="s">
        <v>455</v>
      </c>
      <c r="Q158" s="163" t="s">
        <v>1434</v>
      </c>
      <c r="R158" s="163" t="s">
        <v>1435</v>
      </c>
      <c r="S158" s="100" t="str">
        <f>_xlfn.DISPIMG("ID_7BA1776B86584064BEC915103F26098C",1)</f>
        <v>=DISPIMG("ID_7BA1776B86584064BEC915103F26098C",1)</v>
      </c>
      <c r="T158" s="99" t="s">
        <v>1436</v>
      </c>
      <c r="U158" s="27">
        <v>158</v>
      </c>
    </row>
    <row r="159" s="3" customFormat="1" customHeight="1" spans="1:21">
      <c r="A159" s="144">
        <v>44358.6350810185</v>
      </c>
      <c r="B159" s="27" t="s">
        <v>1437</v>
      </c>
      <c r="C159" s="27" t="s">
        <v>1438</v>
      </c>
      <c r="D159" s="162" t="s">
        <v>1439</v>
      </c>
      <c r="E159" s="162" t="s">
        <v>165</v>
      </c>
      <c r="F159" s="162" t="s">
        <v>1440</v>
      </c>
      <c r="G159" s="27">
        <v>13687083396</v>
      </c>
      <c r="H159" s="162" t="s">
        <v>1441</v>
      </c>
      <c r="I159" s="162" t="s">
        <v>156</v>
      </c>
      <c r="J159" s="162" t="s">
        <v>12</v>
      </c>
      <c r="K159" s="27">
        <v>202102010</v>
      </c>
      <c r="L159" s="162" t="s">
        <v>157</v>
      </c>
      <c r="M159" s="162" t="s">
        <v>444</v>
      </c>
      <c r="N159" s="162" t="s">
        <v>1442</v>
      </c>
      <c r="O159" s="162" t="s">
        <v>160</v>
      </c>
      <c r="P159" s="162" t="s">
        <v>396</v>
      </c>
      <c r="Q159" s="162" t="s">
        <v>24</v>
      </c>
      <c r="R159" s="27">
        <v>0</v>
      </c>
      <c r="S159" s="118" t="str">
        <f>_xlfn.DISPIMG("ID_4F7FAD79CF244D82AC4A116B39238E93",1)</f>
        <v>=DISPIMG("ID_4F7FAD79CF244D82AC4A116B39238E93",1)</v>
      </c>
      <c r="T159" s="115" t="s">
        <v>1443</v>
      </c>
      <c r="U159" s="27">
        <v>159</v>
      </c>
    </row>
    <row r="160" s="3" customFormat="1" customHeight="1" spans="1:21">
      <c r="A160" s="144">
        <v>44358.6770486111</v>
      </c>
      <c r="B160" s="27" t="s">
        <v>1444</v>
      </c>
      <c r="C160" s="27" t="s">
        <v>1445</v>
      </c>
      <c r="D160" s="162" t="s">
        <v>1446</v>
      </c>
      <c r="E160" s="162" t="s">
        <v>165</v>
      </c>
      <c r="F160" s="162" t="s">
        <v>1447</v>
      </c>
      <c r="G160" s="27">
        <v>13970292674</v>
      </c>
      <c r="H160" s="162" t="s">
        <v>1448</v>
      </c>
      <c r="I160" s="162" t="s">
        <v>278</v>
      </c>
      <c r="J160" s="162" t="s">
        <v>28</v>
      </c>
      <c r="K160" s="27">
        <v>202103001</v>
      </c>
      <c r="L160" s="162" t="s">
        <v>585</v>
      </c>
      <c r="M160" s="162" t="s">
        <v>367</v>
      </c>
      <c r="N160" s="162" t="s">
        <v>280</v>
      </c>
      <c r="O160" s="162" t="s">
        <v>170</v>
      </c>
      <c r="P160" s="162" t="s">
        <v>306</v>
      </c>
      <c r="Q160" s="162" t="s">
        <v>1449</v>
      </c>
      <c r="R160" s="162" t="s">
        <v>1450</v>
      </c>
      <c r="S160" s="118" t="str">
        <f>_xlfn.DISPIMG("ID_C58710654847468A83F51047999B3A07",1)</f>
        <v>=DISPIMG("ID_C58710654847468A83F51047999B3A07",1)</v>
      </c>
      <c r="T160" s="115" t="s">
        <v>1451</v>
      </c>
      <c r="U160" s="27">
        <v>160</v>
      </c>
    </row>
    <row r="161" s="3" customFormat="1" customHeight="1" spans="1:21">
      <c r="A161" s="144">
        <v>44358.6832407407</v>
      </c>
      <c r="B161" s="27" t="s">
        <v>1452</v>
      </c>
      <c r="C161" s="27" t="s">
        <v>1453</v>
      </c>
      <c r="D161" s="162" t="s">
        <v>1454</v>
      </c>
      <c r="E161" s="162" t="s">
        <v>165</v>
      </c>
      <c r="F161" s="162" t="s">
        <v>1455</v>
      </c>
      <c r="G161" s="27">
        <v>15679261175</v>
      </c>
      <c r="H161" s="162" t="s">
        <v>1456</v>
      </c>
      <c r="I161" s="162" t="s">
        <v>278</v>
      </c>
      <c r="J161" s="162" t="s">
        <v>28</v>
      </c>
      <c r="K161" s="27">
        <v>202103001</v>
      </c>
      <c r="L161" s="162" t="s">
        <v>157</v>
      </c>
      <c r="M161" s="162" t="s">
        <v>1457</v>
      </c>
      <c r="N161" s="162" t="s">
        <v>280</v>
      </c>
      <c r="O161" s="162" t="s">
        <v>160</v>
      </c>
      <c r="P161" s="162" t="s">
        <v>368</v>
      </c>
      <c r="Q161" s="162" t="s">
        <v>1458</v>
      </c>
      <c r="R161" s="162" t="s">
        <v>1459</v>
      </c>
      <c r="S161" s="118" t="str">
        <f>_xlfn.DISPIMG("ID_B3F35F8B340047F693855C9AE3461262",1)</f>
        <v>=DISPIMG("ID_B3F35F8B340047F693855C9AE3461262",1)</v>
      </c>
      <c r="T161" s="115" t="s">
        <v>1460</v>
      </c>
      <c r="U161" s="27">
        <v>161</v>
      </c>
    </row>
    <row r="162" s="3" customFormat="1" customHeight="1" spans="1:21">
      <c r="A162" s="144">
        <v>44358.6847106482</v>
      </c>
      <c r="B162" s="27" t="s">
        <v>1461</v>
      </c>
      <c r="C162" s="27" t="s">
        <v>1462</v>
      </c>
      <c r="D162" s="162" t="s">
        <v>1463</v>
      </c>
      <c r="E162" s="162" t="s">
        <v>165</v>
      </c>
      <c r="F162" s="162" t="s">
        <v>1464</v>
      </c>
      <c r="G162" s="27">
        <v>18279171935</v>
      </c>
      <c r="H162" s="162" t="s">
        <v>1465</v>
      </c>
      <c r="I162" s="162" t="s">
        <v>156</v>
      </c>
      <c r="J162" s="162" t="s">
        <v>13</v>
      </c>
      <c r="K162" s="27">
        <v>202102003</v>
      </c>
      <c r="L162" s="162" t="s">
        <v>157</v>
      </c>
      <c r="M162" s="162" t="s">
        <v>1466</v>
      </c>
      <c r="N162" s="162" t="s">
        <v>179</v>
      </c>
      <c r="O162" s="162" t="s">
        <v>160</v>
      </c>
      <c r="P162" s="162" t="s">
        <v>281</v>
      </c>
      <c r="Q162" s="162" t="s">
        <v>1467</v>
      </c>
      <c r="R162" s="162" t="s">
        <v>1468</v>
      </c>
      <c r="S162" s="118" t="str">
        <f>_xlfn.DISPIMG("ID_050656778A6D494197B2CC367B7C8BBA",1)</f>
        <v>=DISPIMG("ID_050656778A6D494197B2CC367B7C8BBA",1)</v>
      </c>
      <c r="T162" s="115" t="s">
        <v>1469</v>
      </c>
      <c r="U162" s="27">
        <v>162</v>
      </c>
    </row>
    <row r="163" s="3" customFormat="1" customHeight="1" spans="1:21">
      <c r="A163" s="144">
        <v>44358.6913310185</v>
      </c>
      <c r="B163" s="27" t="s">
        <v>1470</v>
      </c>
      <c r="C163" s="27" t="s">
        <v>1471</v>
      </c>
      <c r="D163" s="162" t="s">
        <v>1471</v>
      </c>
      <c r="E163" s="162" t="s">
        <v>165</v>
      </c>
      <c r="F163" s="162" t="s">
        <v>1472</v>
      </c>
      <c r="G163" s="27">
        <v>13687036753</v>
      </c>
      <c r="H163" s="162" t="s">
        <v>1473</v>
      </c>
      <c r="I163" s="162" t="s">
        <v>156</v>
      </c>
      <c r="J163" s="162" t="s">
        <v>8</v>
      </c>
      <c r="K163" s="27">
        <v>202102002</v>
      </c>
      <c r="L163" s="162" t="s">
        <v>157</v>
      </c>
      <c r="M163" s="162" t="s">
        <v>269</v>
      </c>
      <c r="N163" s="162" t="s">
        <v>1204</v>
      </c>
      <c r="O163" s="162" t="s">
        <v>160</v>
      </c>
      <c r="P163" s="162" t="s">
        <v>171</v>
      </c>
      <c r="Q163" s="162" t="s">
        <v>20</v>
      </c>
      <c r="R163" s="162" t="s">
        <v>1474</v>
      </c>
      <c r="S163" s="118" t="str">
        <f>_xlfn.DISPIMG("ID_282C99EDDFB743068B1F4514F99C7126",1)</f>
        <v>=DISPIMG("ID_282C99EDDFB743068B1F4514F99C7126",1)</v>
      </c>
      <c r="T163" s="115" t="s">
        <v>1475</v>
      </c>
      <c r="U163" s="27">
        <v>163</v>
      </c>
    </row>
    <row r="164" s="3" customFormat="1" customHeight="1" spans="1:21">
      <c r="A164" s="144">
        <v>44358.7023032407</v>
      </c>
      <c r="B164" s="27" t="s">
        <v>1476</v>
      </c>
      <c r="C164" s="27" t="s">
        <v>1477</v>
      </c>
      <c r="D164" s="162" t="s">
        <v>1477</v>
      </c>
      <c r="E164" s="162" t="s">
        <v>153</v>
      </c>
      <c r="F164" s="162" t="s">
        <v>1478</v>
      </c>
      <c r="G164" s="27">
        <v>15779705216</v>
      </c>
      <c r="H164" s="162" t="s">
        <v>1479</v>
      </c>
      <c r="I164" s="162" t="s">
        <v>156</v>
      </c>
      <c r="J164" s="162" t="s">
        <v>13</v>
      </c>
      <c r="K164" s="27">
        <v>202102003</v>
      </c>
      <c r="L164" s="162" t="s">
        <v>157</v>
      </c>
      <c r="M164" s="162" t="s">
        <v>1480</v>
      </c>
      <c r="N164" s="162" t="s">
        <v>1481</v>
      </c>
      <c r="O164" s="162" t="s">
        <v>160</v>
      </c>
      <c r="P164" s="162" t="s">
        <v>235</v>
      </c>
      <c r="Q164" s="162" t="s">
        <v>13</v>
      </c>
      <c r="R164" s="162" t="s">
        <v>1482</v>
      </c>
      <c r="S164" s="118" t="str">
        <f>_xlfn.DISPIMG("ID_7EA9DB823A764F28A536B4FEC9EB2A2B",1)</f>
        <v>=DISPIMG("ID_7EA9DB823A764F28A536B4FEC9EB2A2B",1)</v>
      </c>
      <c r="T164" s="115" t="s">
        <v>1483</v>
      </c>
      <c r="U164" s="27">
        <v>164</v>
      </c>
    </row>
    <row r="165" s="3" customFormat="1" customHeight="1" spans="1:21">
      <c r="A165" s="144">
        <v>44358.703599537</v>
      </c>
      <c r="B165" s="27" t="s">
        <v>1484</v>
      </c>
      <c r="C165" s="27" t="s">
        <v>1485</v>
      </c>
      <c r="D165" s="162" t="s">
        <v>1486</v>
      </c>
      <c r="E165" s="162" t="s">
        <v>165</v>
      </c>
      <c r="F165" s="162" t="s">
        <v>1487</v>
      </c>
      <c r="G165" s="27">
        <v>13979859802</v>
      </c>
      <c r="H165" s="162" t="s">
        <v>1488</v>
      </c>
      <c r="I165" s="162" t="s">
        <v>156</v>
      </c>
      <c r="J165" s="162" t="s">
        <v>13</v>
      </c>
      <c r="K165" s="27">
        <v>202102003</v>
      </c>
      <c r="L165" s="162" t="s">
        <v>157</v>
      </c>
      <c r="M165" s="162" t="s">
        <v>233</v>
      </c>
      <c r="N165" s="162" t="s">
        <v>1489</v>
      </c>
      <c r="O165" s="162" t="s">
        <v>170</v>
      </c>
      <c r="P165" s="162" t="s">
        <v>1490</v>
      </c>
      <c r="Q165" s="162" t="s">
        <v>1491</v>
      </c>
      <c r="R165" s="162" t="s">
        <v>1492</v>
      </c>
      <c r="S165" s="118" t="str">
        <f>_xlfn.DISPIMG("ID_8C3008D7D3C74B79A4E1698AF4E9725F",1)</f>
        <v>=DISPIMG("ID_8C3008D7D3C74B79A4E1698AF4E9725F",1)</v>
      </c>
      <c r="T165" s="115" t="s">
        <v>1493</v>
      </c>
      <c r="U165" s="27">
        <v>165</v>
      </c>
    </row>
    <row r="166" s="3" customFormat="1" customHeight="1" spans="1:21">
      <c r="A166" s="144">
        <v>44358.7113194444</v>
      </c>
      <c r="B166" s="27" t="s">
        <v>1494</v>
      </c>
      <c r="C166" s="27" t="s">
        <v>1495</v>
      </c>
      <c r="D166" s="162" t="s">
        <v>1496</v>
      </c>
      <c r="E166" s="162" t="s">
        <v>165</v>
      </c>
      <c r="F166" s="162" t="s">
        <v>1497</v>
      </c>
      <c r="G166" s="27">
        <v>18770916920</v>
      </c>
      <c r="H166" s="162" t="s">
        <v>1498</v>
      </c>
      <c r="I166" s="162" t="s">
        <v>156</v>
      </c>
      <c r="J166" s="162" t="s">
        <v>14</v>
      </c>
      <c r="K166" s="27">
        <v>202102001</v>
      </c>
      <c r="L166" s="162" t="s">
        <v>157</v>
      </c>
      <c r="M166" s="162" t="s">
        <v>876</v>
      </c>
      <c r="N166" s="162" t="s">
        <v>1499</v>
      </c>
      <c r="O166" s="162" t="s">
        <v>160</v>
      </c>
      <c r="P166" s="162" t="s">
        <v>396</v>
      </c>
      <c r="Q166" s="162" t="s">
        <v>14</v>
      </c>
      <c r="R166" s="27">
        <v>0</v>
      </c>
      <c r="S166" s="118" t="str">
        <f>_xlfn.DISPIMG("ID_F699C2D8D57643CC8A99CF3C2C6B152A",1)</f>
        <v>=DISPIMG("ID_F699C2D8D57643CC8A99CF3C2C6B152A",1)</v>
      </c>
      <c r="T166" s="115" t="s">
        <v>1500</v>
      </c>
      <c r="U166" s="27">
        <v>166</v>
      </c>
    </row>
    <row r="167" s="3" customFormat="1" customHeight="1" spans="1:21">
      <c r="A167" s="144">
        <v>44358.7133449074</v>
      </c>
      <c r="B167" s="27" t="s">
        <v>1501</v>
      </c>
      <c r="C167" s="27" t="s">
        <v>1502</v>
      </c>
      <c r="D167" s="162" t="s">
        <v>1503</v>
      </c>
      <c r="E167" s="162" t="s">
        <v>165</v>
      </c>
      <c r="F167" s="162" t="s">
        <v>1504</v>
      </c>
      <c r="G167" s="27">
        <v>15070911038</v>
      </c>
      <c r="H167" s="162" t="s">
        <v>1505</v>
      </c>
      <c r="I167" s="162" t="s">
        <v>156</v>
      </c>
      <c r="J167" s="162" t="s">
        <v>13</v>
      </c>
      <c r="K167" s="27">
        <v>202102003</v>
      </c>
      <c r="L167" s="162" t="s">
        <v>157</v>
      </c>
      <c r="M167" s="162" t="s">
        <v>827</v>
      </c>
      <c r="N167" s="162" t="s">
        <v>223</v>
      </c>
      <c r="O167" s="162" t="s">
        <v>170</v>
      </c>
      <c r="P167" s="162" t="s">
        <v>180</v>
      </c>
      <c r="Q167" s="162" t="s">
        <v>1506</v>
      </c>
      <c r="R167" s="162" t="s">
        <v>1507</v>
      </c>
      <c r="S167" s="118" t="str">
        <f>_xlfn.DISPIMG("ID_ADCECB4C3BFF4D9FA761F0B3617DDB20",1)</f>
        <v>=DISPIMG("ID_ADCECB4C3BFF4D9FA761F0B3617DDB20",1)</v>
      </c>
      <c r="T167" s="115" t="s">
        <v>1508</v>
      </c>
      <c r="U167" s="27">
        <v>167</v>
      </c>
    </row>
    <row r="168" s="3" customFormat="1" customHeight="1" spans="1:21">
      <c r="A168" s="144">
        <v>44358.7593402778</v>
      </c>
      <c r="B168" s="27" t="s">
        <v>1509</v>
      </c>
      <c r="C168" s="27" t="s">
        <v>1510</v>
      </c>
      <c r="D168" s="162" t="s">
        <v>1511</v>
      </c>
      <c r="E168" s="162" t="s">
        <v>165</v>
      </c>
      <c r="F168" s="162" t="s">
        <v>1512</v>
      </c>
      <c r="G168" s="27">
        <v>15179159428</v>
      </c>
      <c r="H168" s="162" t="s">
        <v>892</v>
      </c>
      <c r="I168" s="162" t="s">
        <v>156</v>
      </c>
      <c r="J168" s="162" t="s">
        <v>4</v>
      </c>
      <c r="K168" s="27">
        <v>202102005</v>
      </c>
      <c r="L168" s="162" t="s">
        <v>157</v>
      </c>
      <c r="M168" s="162" t="s">
        <v>1513</v>
      </c>
      <c r="N168" s="162" t="s">
        <v>1514</v>
      </c>
      <c r="O168" s="162" t="s">
        <v>160</v>
      </c>
      <c r="P168" s="162" t="s">
        <v>396</v>
      </c>
      <c r="Q168" s="162" t="s">
        <v>1515</v>
      </c>
      <c r="R168" s="162" t="s">
        <v>1516</v>
      </c>
      <c r="S168" s="118" t="str">
        <f>_xlfn.DISPIMG("ID_0409F7F95EEA403395B315D31E8491E7",1)</f>
        <v>=DISPIMG("ID_0409F7F95EEA403395B315D31E8491E7",1)</v>
      </c>
      <c r="T168" s="115" t="s">
        <v>1517</v>
      </c>
      <c r="U168" s="27">
        <v>168</v>
      </c>
    </row>
    <row r="169" s="3" customFormat="1" customHeight="1" spans="1:21">
      <c r="A169" s="144">
        <v>44358.7666666667</v>
      </c>
      <c r="B169" s="27" t="s">
        <v>1518</v>
      </c>
      <c r="C169" s="27" t="s">
        <v>1519</v>
      </c>
      <c r="D169" s="162" t="s">
        <v>1520</v>
      </c>
      <c r="E169" s="162" t="s">
        <v>165</v>
      </c>
      <c r="F169" s="162" t="s">
        <v>1521</v>
      </c>
      <c r="G169" s="27">
        <v>18370105501</v>
      </c>
      <c r="H169" s="162" t="s">
        <v>1522</v>
      </c>
      <c r="I169" s="162" t="s">
        <v>278</v>
      </c>
      <c r="J169" s="162" t="s">
        <v>28</v>
      </c>
      <c r="K169" s="27">
        <v>202103001</v>
      </c>
      <c r="L169" s="162" t="s">
        <v>279</v>
      </c>
      <c r="M169" s="162" t="s">
        <v>1523</v>
      </c>
      <c r="N169" s="162" t="s">
        <v>280</v>
      </c>
      <c r="O169" s="162" t="s">
        <v>170</v>
      </c>
      <c r="P169" s="162" t="s">
        <v>235</v>
      </c>
      <c r="Q169" s="162" t="s">
        <v>28</v>
      </c>
      <c r="R169" s="162" t="s">
        <v>1524</v>
      </c>
      <c r="S169" s="118" t="str">
        <f>_xlfn.DISPIMG("ID_289CC567200648A4AB5780D725CC9684",1)</f>
        <v>=DISPIMG("ID_289CC567200648A4AB5780D725CC9684",1)</v>
      </c>
      <c r="T169" s="115" t="s">
        <v>1525</v>
      </c>
      <c r="U169" s="27">
        <v>169</v>
      </c>
    </row>
    <row r="170" s="3" customFormat="1" customHeight="1" spans="1:21">
      <c r="A170" s="144">
        <v>44358.7853472222</v>
      </c>
      <c r="B170" s="27" t="s">
        <v>1526</v>
      </c>
      <c r="C170" s="27" t="s">
        <v>1527</v>
      </c>
      <c r="D170" s="162" t="s">
        <v>1528</v>
      </c>
      <c r="E170" s="162" t="s">
        <v>165</v>
      </c>
      <c r="F170" s="162" t="s">
        <v>1529</v>
      </c>
      <c r="G170" s="27">
        <v>13247705960</v>
      </c>
      <c r="H170" s="162" t="s">
        <v>1530</v>
      </c>
      <c r="I170" s="162" t="s">
        <v>156</v>
      </c>
      <c r="J170" s="162" t="s">
        <v>13</v>
      </c>
      <c r="K170" s="27">
        <v>202102003</v>
      </c>
      <c r="L170" s="162" t="s">
        <v>157</v>
      </c>
      <c r="M170" s="162" t="s">
        <v>385</v>
      </c>
      <c r="N170" s="162" t="s">
        <v>179</v>
      </c>
      <c r="O170" s="162" t="s">
        <v>160</v>
      </c>
      <c r="P170" s="162" t="s">
        <v>548</v>
      </c>
      <c r="Q170" s="162" t="s">
        <v>25</v>
      </c>
      <c r="R170" s="162" t="s">
        <v>1531</v>
      </c>
      <c r="S170" s="118" t="str">
        <f>_xlfn.DISPIMG("ID_8A933BECC5A94F3D8B394A9689736C52",1)</f>
        <v>=DISPIMG("ID_8A933BECC5A94F3D8B394A9689736C52",1)</v>
      </c>
      <c r="T170" s="115" t="s">
        <v>1532</v>
      </c>
      <c r="U170" s="27">
        <v>170</v>
      </c>
    </row>
    <row r="171" s="3" customFormat="1" customHeight="1" spans="1:21">
      <c r="A171" s="144">
        <v>44358.7877546296</v>
      </c>
      <c r="B171" s="27" t="s">
        <v>1533</v>
      </c>
      <c r="C171" s="27" t="s">
        <v>1534</v>
      </c>
      <c r="D171" s="162" t="s">
        <v>1535</v>
      </c>
      <c r="E171" s="162" t="s">
        <v>165</v>
      </c>
      <c r="F171" s="162" t="s">
        <v>1536</v>
      </c>
      <c r="G171" s="27">
        <v>17779207332</v>
      </c>
      <c r="H171" s="162" t="s">
        <v>1537</v>
      </c>
      <c r="I171" s="162" t="s">
        <v>278</v>
      </c>
      <c r="J171" s="162" t="s">
        <v>28</v>
      </c>
      <c r="K171" s="27">
        <v>202103001</v>
      </c>
      <c r="L171" s="162" t="s">
        <v>279</v>
      </c>
      <c r="M171" s="162" t="s">
        <v>765</v>
      </c>
      <c r="N171" s="162" t="s">
        <v>280</v>
      </c>
      <c r="O171" s="162" t="s">
        <v>170</v>
      </c>
      <c r="P171" s="162" t="s">
        <v>235</v>
      </c>
      <c r="Q171" s="162" t="s">
        <v>517</v>
      </c>
      <c r="R171" s="162" t="s">
        <v>1538</v>
      </c>
      <c r="S171" s="118" t="str">
        <f>_xlfn.DISPIMG("ID_E53DAA599F9A40239F1135427FCA9C4F",1)</f>
        <v>=DISPIMG("ID_E53DAA599F9A40239F1135427FCA9C4F",1)</v>
      </c>
      <c r="T171" s="115" t="s">
        <v>1539</v>
      </c>
      <c r="U171" s="27">
        <v>171</v>
      </c>
    </row>
    <row r="172" s="3" customFormat="1" customHeight="1" spans="1:21">
      <c r="A172" s="144">
        <v>44358.7881597222</v>
      </c>
      <c r="B172" s="27" t="s">
        <v>1540</v>
      </c>
      <c r="C172" s="27" t="s">
        <v>1541</v>
      </c>
      <c r="D172" s="162" t="s">
        <v>1542</v>
      </c>
      <c r="E172" s="162" t="s">
        <v>153</v>
      </c>
      <c r="F172" s="162" t="s">
        <v>1543</v>
      </c>
      <c r="G172" s="27">
        <v>15270866526</v>
      </c>
      <c r="H172" s="162" t="s">
        <v>1544</v>
      </c>
      <c r="I172" s="162" t="s">
        <v>156</v>
      </c>
      <c r="J172" s="162" t="s">
        <v>14</v>
      </c>
      <c r="K172" s="27">
        <v>202102001</v>
      </c>
      <c r="L172" s="162" t="s">
        <v>157</v>
      </c>
      <c r="M172" s="162" t="s">
        <v>1545</v>
      </c>
      <c r="N172" s="162" t="s">
        <v>1546</v>
      </c>
      <c r="O172" s="162" t="s">
        <v>170</v>
      </c>
      <c r="P172" s="162" t="s">
        <v>235</v>
      </c>
      <c r="Q172" s="162" t="s">
        <v>1547</v>
      </c>
      <c r="R172" s="162" t="s">
        <v>1548</v>
      </c>
      <c r="S172" s="118" t="str">
        <f>_xlfn.DISPIMG("ID_08EA3F14C88D463E8A5342E5A111BC99",1)</f>
        <v>=DISPIMG("ID_08EA3F14C88D463E8A5342E5A111BC99",1)</v>
      </c>
      <c r="T172" s="115" t="s">
        <v>1549</v>
      </c>
      <c r="U172" s="27">
        <v>172</v>
      </c>
    </row>
    <row r="173" s="3" customFormat="1" customHeight="1" spans="1:21">
      <c r="A173" s="144">
        <v>44358.794525463</v>
      </c>
      <c r="B173" s="27" t="s">
        <v>1550</v>
      </c>
      <c r="C173" s="27" t="s">
        <v>1551</v>
      </c>
      <c r="D173" s="162" t="s">
        <v>1552</v>
      </c>
      <c r="E173" s="162" t="s">
        <v>165</v>
      </c>
      <c r="F173" s="162" t="s">
        <v>1553</v>
      </c>
      <c r="G173" s="27">
        <v>18795899857</v>
      </c>
      <c r="H173" s="162" t="s">
        <v>1554</v>
      </c>
      <c r="I173" s="162" t="s">
        <v>384</v>
      </c>
      <c r="J173" s="162" t="s">
        <v>25</v>
      </c>
      <c r="K173" s="27">
        <v>202101007</v>
      </c>
      <c r="L173" s="162" t="s">
        <v>157</v>
      </c>
      <c r="M173" s="162" t="s">
        <v>385</v>
      </c>
      <c r="N173" s="162" t="s">
        <v>828</v>
      </c>
      <c r="O173" s="162" t="s">
        <v>170</v>
      </c>
      <c r="P173" s="162" t="s">
        <v>548</v>
      </c>
      <c r="Q173" s="162" t="s">
        <v>25</v>
      </c>
      <c r="R173" s="162" t="s">
        <v>1555</v>
      </c>
      <c r="S173" s="118" t="str">
        <f>_xlfn.DISPIMG("ID_3244697DE8F74EF1A671D4FB148CF806",1)</f>
        <v>=DISPIMG("ID_3244697DE8F74EF1A671D4FB148CF806",1)</v>
      </c>
      <c r="T173" s="115" t="s">
        <v>1556</v>
      </c>
      <c r="U173" s="27">
        <v>173</v>
      </c>
    </row>
    <row r="174" s="3" customFormat="1" customHeight="1" spans="1:21">
      <c r="A174" s="144">
        <v>44358.7973032407</v>
      </c>
      <c r="B174" s="27" t="s">
        <v>1557</v>
      </c>
      <c r="C174" s="27" t="s">
        <v>1558</v>
      </c>
      <c r="D174" s="162" t="s">
        <v>1559</v>
      </c>
      <c r="E174" s="162" t="s">
        <v>165</v>
      </c>
      <c r="F174" s="162" t="s">
        <v>1560</v>
      </c>
      <c r="G174" s="27">
        <v>18720242536</v>
      </c>
      <c r="H174" s="162" t="s">
        <v>1561</v>
      </c>
      <c r="I174" s="162" t="s">
        <v>278</v>
      </c>
      <c r="J174" s="162" t="s">
        <v>28</v>
      </c>
      <c r="K174" s="27">
        <v>202103001</v>
      </c>
      <c r="L174" s="162" t="s">
        <v>279</v>
      </c>
      <c r="M174" s="162" t="s">
        <v>876</v>
      </c>
      <c r="N174" s="162" t="s">
        <v>960</v>
      </c>
      <c r="O174" s="162" t="s">
        <v>170</v>
      </c>
      <c r="P174" s="162" t="s">
        <v>171</v>
      </c>
      <c r="Q174" s="162" t="s">
        <v>340</v>
      </c>
      <c r="R174" s="162" t="s">
        <v>1562</v>
      </c>
      <c r="S174" s="118" t="str">
        <f>_xlfn.DISPIMG("ID_9804FB5AA98E4D44BBA382539FDAF7F0",1)</f>
        <v>=DISPIMG("ID_9804FB5AA98E4D44BBA382539FDAF7F0",1)</v>
      </c>
      <c r="T174" s="115" t="s">
        <v>1563</v>
      </c>
      <c r="U174" s="27">
        <v>174</v>
      </c>
    </row>
    <row r="175" s="3" customFormat="1" customHeight="1" spans="1:21">
      <c r="A175" s="144">
        <v>44358.8148032407</v>
      </c>
      <c r="B175" s="27" t="s">
        <v>1564</v>
      </c>
      <c r="C175" s="27" t="s">
        <v>1565</v>
      </c>
      <c r="D175" s="162" t="s">
        <v>1566</v>
      </c>
      <c r="E175" s="162" t="s">
        <v>165</v>
      </c>
      <c r="F175" s="162" t="s">
        <v>1567</v>
      </c>
      <c r="G175" s="27">
        <v>13535561771</v>
      </c>
      <c r="H175" s="162" t="s">
        <v>1568</v>
      </c>
      <c r="I175" s="162" t="s">
        <v>268</v>
      </c>
      <c r="J175" s="162" t="s">
        <v>26</v>
      </c>
      <c r="K175" s="27">
        <v>202101001</v>
      </c>
      <c r="L175" s="162" t="s">
        <v>705</v>
      </c>
      <c r="M175" s="162" t="s">
        <v>1569</v>
      </c>
      <c r="N175" s="162" t="s">
        <v>1570</v>
      </c>
      <c r="O175" s="162" t="s">
        <v>160</v>
      </c>
      <c r="P175" s="162" t="s">
        <v>171</v>
      </c>
      <c r="Q175" s="162" t="s">
        <v>1571</v>
      </c>
      <c r="R175" s="27">
        <v>0</v>
      </c>
      <c r="S175" s="118" t="str">
        <f>_xlfn.DISPIMG("ID_F9DBEEB152DD4F6D9E9954F28F8B48D4",1)</f>
        <v>=DISPIMG("ID_F9DBEEB152DD4F6D9E9954F28F8B48D4",1)</v>
      </c>
      <c r="T175" s="115" t="s">
        <v>1572</v>
      </c>
      <c r="U175" s="27">
        <v>175</v>
      </c>
    </row>
    <row r="176" s="98" customFormat="1" customHeight="1" spans="1:21">
      <c r="A176" s="148">
        <v>44358.8286111111</v>
      </c>
      <c r="B176" s="21" t="s">
        <v>1573</v>
      </c>
      <c r="C176" s="21" t="s">
        <v>1574</v>
      </c>
      <c r="D176" s="163" t="s">
        <v>1575</v>
      </c>
      <c r="E176" s="163" t="s">
        <v>165</v>
      </c>
      <c r="F176" s="163" t="s">
        <v>1576</v>
      </c>
      <c r="G176" s="21">
        <v>18827979557</v>
      </c>
      <c r="H176" s="163" t="s">
        <v>1577</v>
      </c>
      <c r="I176" s="163" t="s">
        <v>156</v>
      </c>
      <c r="J176" s="163" t="s">
        <v>13</v>
      </c>
      <c r="K176" s="21">
        <v>202101003</v>
      </c>
      <c r="L176" s="163" t="s">
        <v>157</v>
      </c>
      <c r="M176" s="163" t="s">
        <v>1578</v>
      </c>
      <c r="N176" s="163" t="s">
        <v>179</v>
      </c>
      <c r="O176" s="163" t="s">
        <v>160</v>
      </c>
      <c r="P176" s="163" t="s">
        <v>396</v>
      </c>
      <c r="Q176" s="163" t="s">
        <v>1579</v>
      </c>
      <c r="R176" s="163" t="s">
        <v>1580</v>
      </c>
      <c r="S176" s="100" t="str">
        <f>_xlfn.DISPIMG("ID_51EAC44465BA4E14AF8916C1944F215A",1)</f>
        <v>=DISPIMG("ID_51EAC44465BA4E14AF8916C1944F215A",1)</v>
      </c>
      <c r="T176" s="99" t="s">
        <v>1581</v>
      </c>
      <c r="U176" s="27">
        <v>176</v>
      </c>
    </row>
    <row r="177" s="3" customFormat="1" customHeight="1" spans="1:21">
      <c r="A177" s="144">
        <v>44358.8381134259</v>
      </c>
      <c r="B177" s="27" t="s">
        <v>1582</v>
      </c>
      <c r="C177" s="27" t="s">
        <v>1583</v>
      </c>
      <c r="D177" s="162" t="s">
        <v>1584</v>
      </c>
      <c r="E177" s="162" t="s">
        <v>153</v>
      </c>
      <c r="F177" s="162" t="s">
        <v>1585</v>
      </c>
      <c r="G177" s="27">
        <v>18460003044</v>
      </c>
      <c r="H177" s="162" t="s">
        <v>1586</v>
      </c>
      <c r="I177" s="162" t="s">
        <v>268</v>
      </c>
      <c r="J177" s="162" t="s">
        <v>21</v>
      </c>
      <c r="K177" s="27">
        <v>202101022</v>
      </c>
      <c r="L177" s="162" t="s">
        <v>157</v>
      </c>
      <c r="M177" s="162" t="s">
        <v>827</v>
      </c>
      <c r="N177" s="162" t="s">
        <v>682</v>
      </c>
      <c r="O177" s="162" t="s">
        <v>170</v>
      </c>
      <c r="P177" s="162" t="s">
        <v>455</v>
      </c>
      <c r="Q177" s="162" t="s">
        <v>1587</v>
      </c>
      <c r="R177" s="27">
        <v>0</v>
      </c>
      <c r="S177" s="118" t="str">
        <f>_xlfn.DISPIMG("ID_E364C79C5CB74A97A356C87CFF697310",1)</f>
        <v>=DISPIMG("ID_E364C79C5CB74A97A356C87CFF697310",1)</v>
      </c>
      <c r="T177" s="115" t="s">
        <v>1588</v>
      </c>
      <c r="U177" s="27">
        <v>177</v>
      </c>
    </row>
    <row r="178" s="3" customFormat="1" customHeight="1" spans="1:21">
      <c r="A178" s="144">
        <v>44358.8437152778</v>
      </c>
      <c r="B178" s="27" t="s">
        <v>1589</v>
      </c>
      <c r="C178" s="27" t="s">
        <v>1583</v>
      </c>
      <c r="D178" s="162" t="s">
        <v>1590</v>
      </c>
      <c r="E178" s="162" t="s">
        <v>153</v>
      </c>
      <c r="F178" s="162" t="s">
        <v>1591</v>
      </c>
      <c r="G178" s="27">
        <v>19165078910</v>
      </c>
      <c r="H178" s="162" t="s">
        <v>1592</v>
      </c>
      <c r="I178" s="162" t="s">
        <v>268</v>
      </c>
      <c r="J178" s="162" t="s">
        <v>21</v>
      </c>
      <c r="K178" s="27">
        <v>202101022</v>
      </c>
      <c r="L178" s="162" t="s">
        <v>157</v>
      </c>
      <c r="M178" s="162" t="s">
        <v>827</v>
      </c>
      <c r="N178" s="162" t="s">
        <v>682</v>
      </c>
      <c r="O178" s="162" t="s">
        <v>170</v>
      </c>
      <c r="P178" s="162" t="s">
        <v>455</v>
      </c>
      <c r="Q178" s="162" t="s">
        <v>1593</v>
      </c>
      <c r="R178" s="27">
        <v>0</v>
      </c>
      <c r="S178" s="118" t="str">
        <f>_xlfn.DISPIMG("ID_A40AE5361B8D44C884FA7CDADC74343E",1)</f>
        <v>=DISPIMG("ID_A40AE5361B8D44C884FA7CDADC74343E",1)</v>
      </c>
      <c r="T178" s="115" t="s">
        <v>1594</v>
      </c>
      <c r="U178" s="27">
        <v>178</v>
      </c>
    </row>
    <row r="179" s="5" customFormat="1" customHeight="1" spans="1:21">
      <c r="A179" s="146">
        <v>44362.9679976852</v>
      </c>
      <c r="B179" s="116" t="s">
        <v>1595</v>
      </c>
      <c r="C179" s="116" t="s">
        <v>1596</v>
      </c>
      <c r="D179" s="165" t="s">
        <v>1597</v>
      </c>
      <c r="E179" s="165" t="s">
        <v>153</v>
      </c>
      <c r="F179" s="165" t="s">
        <v>1598</v>
      </c>
      <c r="G179" s="116">
        <v>13979287846</v>
      </c>
      <c r="H179" s="165" t="s">
        <v>1599</v>
      </c>
      <c r="I179" s="165" t="s">
        <v>384</v>
      </c>
      <c r="J179" s="165" t="s">
        <v>25</v>
      </c>
      <c r="K179" s="116">
        <v>202101007</v>
      </c>
      <c r="L179" s="165" t="s">
        <v>157</v>
      </c>
      <c r="M179" s="165" t="s">
        <v>1600</v>
      </c>
      <c r="N179" s="165" t="s">
        <v>1601</v>
      </c>
      <c r="O179" s="165" t="s">
        <v>170</v>
      </c>
      <c r="P179" s="165" t="s">
        <v>252</v>
      </c>
      <c r="Q179" s="165" t="s">
        <v>25</v>
      </c>
      <c r="R179" s="165" t="s">
        <v>1602</v>
      </c>
      <c r="S179" s="119" t="str">
        <f>_xlfn.DISPIMG("ID_E78F3BF41C5D43B8884910B23D8EE46A",1)</f>
        <v>=DISPIMG("ID_E78F3BF41C5D43B8884910B23D8EE46A",1)</v>
      </c>
      <c r="T179" s="120" t="s">
        <v>1603</v>
      </c>
      <c r="U179" s="27">
        <v>179</v>
      </c>
    </row>
    <row r="180" s="3" customFormat="1" customHeight="1" spans="1:21">
      <c r="A180" s="144">
        <v>44358.8719212963</v>
      </c>
      <c r="B180" s="27" t="s">
        <v>1604</v>
      </c>
      <c r="C180" s="27" t="s">
        <v>1605</v>
      </c>
      <c r="D180" s="162" t="s">
        <v>1606</v>
      </c>
      <c r="E180" s="162" t="s">
        <v>165</v>
      </c>
      <c r="F180" s="162" t="s">
        <v>1607</v>
      </c>
      <c r="G180" s="27">
        <v>15180623635</v>
      </c>
      <c r="H180" s="162" t="s">
        <v>1608</v>
      </c>
      <c r="I180" s="162" t="s">
        <v>384</v>
      </c>
      <c r="J180" s="162" t="s">
        <v>26</v>
      </c>
      <c r="K180" s="27">
        <v>202101002</v>
      </c>
      <c r="L180" s="162" t="s">
        <v>705</v>
      </c>
      <c r="M180" s="162" t="s">
        <v>1112</v>
      </c>
      <c r="N180" s="162" t="s">
        <v>1489</v>
      </c>
      <c r="O180" s="162" t="s">
        <v>170</v>
      </c>
      <c r="P180" s="162" t="s">
        <v>261</v>
      </c>
      <c r="Q180" s="162" t="s">
        <v>26</v>
      </c>
      <c r="R180" s="162" t="s">
        <v>1609</v>
      </c>
      <c r="S180" s="118" t="str">
        <f>_xlfn.DISPIMG("ID_D4D81D5180FB4698ABF9FADCA15E9025",1)</f>
        <v>=DISPIMG("ID_D4D81D5180FB4698ABF9FADCA15E9025",1)</v>
      </c>
      <c r="T180" s="115" t="s">
        <v>1610</v>
      </c>
      <c r="U180" s="27">
        <v>180</v>
      </c>
    </row>
    <row r="181" s="3" customFormat="1" customHeight="1" spans="1:21">
      <c r="A181" s="144">
        <v>44358.9036921296</v>
      </c>
      <c r="B181" s="27" t="s">
        <v>1611</v>
      </c>
      <c r="C181" s="27" t="s">
        <v>1612</v>
      </c>
      <c r="D181" s="162" t="s">
        <v>1613</v>
      </c>
      <c r="E181" s="162" t="s">
        <v>165</v>
      </c>
      <c r="F181" s="162" t="s">
        <v>1614</v>
      </c>
      <c r="G181" s="27">
        <v>18296280573</v>
      </c>
      <c r="H181" s="162" t="s">
        <v>1615</v>
      </c>
      <c r="I181" s="162" t="s">
        <v>156</v>
      </c>
      <c r="J181" s="162" t="s">
        <v>8</v>
      </c>
      <c r="K181" s="27">
        <v>202102002</v>
      </c>
      <c r="L181" s="162" t="s">
        <v>157</v>
      </c>
      <c r="M181" s="162" t="s">
        <v>233</v>
      </c>
      <c r="N181" s="162" t="s">
        <v>1616</v>
      </c>
      <c r="O181" s="162" t="s">
        <v>170</v>
      </c>
      <c r="P181" s="162" t="s">
        <v>235</v>
      </c>
      <c r="Q181" s="162" t="s">
        <v>1617</v>
      </c>
      <c r="R181" s="162" t="s">
        <v>1618</v>
      </c>
      <c r="S181" s="118" t="str">
        <f>_xlfn.DISPIMG("ID_2062AD8B56DF4C85BF68D2846493F2B2",1)</f>
        <v>=DISPIMG("ID_2062AD8B56DF4C85BF68D2846493F2B2",1)</v>
      </c>
      <c r="T181" s="115" t="s">
        <v>1619</v>
      </c>
      <c r="U181" s="27">
        <v>181</v>
      </c>
    </row>
    <row r="182" s="3" customFormat="1" customHeight="1" spans="1:21">
      <c r="A182" s="144">
        <v>44358.9332986111</v>
      </c>
      <c r="B182" s="27" t="s">
        <v>1620</v>
      </c>
      <c r="C182" s="27" t="s">
        <v>1621</v>
      </c>
      <c r="D182" s="162" t="s">
        <v>1622</v>
      </c>
      <c r="E182" s="162" t="s">
        <v>165</v>
      </c>
      <c r="F182" s="162" t="s">
        <v>1623</v>
      </c>
      <c r="G182" s="27">
        <v>15170969760</v>
      </c>
      <c r="H182" s="162" t="s">
        <v>1624</v>
      </c>
      <c r="I182" s="162" t="s">
        <v>506</v>
      </c>
      <c r="J182" s="162" t="s">
        <v>6</v>
      </c>
      <c r="K182" s="27">
        <v>202102021</v>
      </c>
      <c r="L182" s="162" t="s">
        <v>157</v>
      </c>
      <c r="M182" s="162" t="s">
        <v>1625</v>
      </c>
      <c r="N182" s="162" t="s">
        <v>750</v>
      </c>
      <c r="O182" s="162" t="s">
        <v>160</v>
      </c>
      <c r="P182" s="162" t="s">
        <v>1089</v>
      </c>
      <c r="Q182" s="162" t="s">
        <v>6</v>
      </c>
      <c r="R182" s="162" t="s">
        <v>1626</v>
      </c>
      <c r="S182" s="118" t="str">
        <f>_xlfn.DISPIMG("ID_F5B5B7553FD14A38A3CEAB4A3171FC0C",1)</f>
        <v>=DISPIMG("ID_F5B5B7553FD14A38A3CEAB4A3171FC0C",1)</v>
      </c>
      <c r="T182" s="115" t="s">
        <v>1627</v>
      </c>
      <c r="U182" s="27">
        <v>182</v>
      </c>
    </row>
    <row r="183" s="3" customFormat="1" customHeight="1" spans="1:21">
      <c r="A183" s="144">
        <v>44358.9351851852</v>
      </c>
      <c r="B183" s="27" t="s">
        <v>1628</v>
      </c>
      <c r="C183" s="27" t="s">
        <v>1629</v>
      </c>
      <c r="D183" s="162" t="s">
        <v>1630</v>
      </c>
      <c r="E183" s="162" t="s">
        <v>153</v>
      </c>
      <c r="F183" s="162" t="s">
        <v>1631</v>
      </c>
      <c r="G183" s="27">
        <v>18437922593</v>
      </c>
      <c r="H183" s="162" t="s">
        <v>1632</v>
      </c>
      <c r="I183" s="162" t="s">
        <v>156</v>
      </c>
      <c r="J183" s="162" t="s">
        <v>5</v>
      </c>
      <c r="K183" s="27">
        <v>202102008</v>
      </c>
      <c r="L183" s="162" t="s">
        <v>157</v>
      </c>
      <c r="M183" s="162" t="s">
        <v>1633</v>
      </c>
      <c r="N183" s="162" t="s">
        <v>280</v>
      </c>
      <c r="O183" s="162" t="s">
        <v>170</v>
      </c>
      <c r="P183" s="162" t="s">
        <v>199</v>
      </c>
      <c r="Q183" s="162" t="s">
        <v>5</v>
      </c>
      <c r="R183" s="27">
        <v>0</v>
      </c>
      <c r="S183" s="118" t="str">
        <f>_xlfn.DISPIMG("ID_30389EE5D2254B4693F3D201E2C25479",1)</f>
        <v>=DISPIMG("ID_30389EE5D2254B4693F3D201E2C25479",1)</v>
      </c>
      <c r="T183" s="115" t="s">
        <v>1634</v>
      </c>
      <c r="U183" s="27">
        <v>183</v>
      </c>
    </row>
    <row r="184" s="3" customFormat="1" customHeight="1" spans="1:21">
      <c r="A184" s="144">
        <v>44359.0139814815</v>
      </c>
      <c r="B184" s="27" t="s">
        <v>1635</v>
      </c>
      <c r="C184" s="27" t="s">
        <v>1636</v>
      </c>
      <c r="D184" s="162" t="s">
        <v>1637</v>
      </c>
      <c r="E184" s="162" t="s">
        <v>165</v>
      </c>
      <c r="F184" s="162" t="s">
        <v>1638</v>
      </c>
      <c r="G184" s="27">
        <v>18279206250</v>
      </c>
      <c r="H184" s="162" t="s">
        <v>1456</v>
      </c>
      <c r="I184" s="162" t="s">
        <v>384</v>
      </c>
      <c r="J184" s="162" t="s">
        <v>19</v>
      </c>
      <c r="K184" s="27">
        <v>202101014</v>
      </c>
      <c r="L184" s="162" t="s">
        <v>157</v>
      </c>
      <c r="M184" s="162" t="s">
        <v>178</v>
      </c>
      <c r="N184" s="162" t="s">
        <v>1639</v>
      </c>
      <c r="O184" s="162" t="s">
        <v>170</v>
      </c>
      <c r="P184" s="162" t="s">
        <v>455</v>
      </c>
      <c r="Q184" s="162" t="s">
        <v>19</v>
      </c>
      <c r="R184" s="27">
        <v>0</v>
      </c>
      <c r="S184" s="118" t="str">
        <f>_xlfn.DISPIMG("ID_74FDF0D5FA0548BCA212C8D2C43783F4",1)</f>
        <v>=DISPIMG("ID_74FDF0D5FA0548BCA212C8D2C43783F4",1)</v>
      </c>
      <c r="T184" s="115" t="s">
        <v>1640</v>
      </c>
      <c r="U184" s="27">
        <v>184</v>
      </c>
    </row>
    <row r="185" s="3" customFormat="1" customHeight="1" spans="1:21">
      <c r="A185" s="144">
        <v>44359.0241319444</v>
      </c>
      <c r="B185" s="27" t="s">
        <v>1641</v>
      </c>
      <c r="C185" s="27" t="s">
        <v>1642</v>
      </c>
      <c r="D185" s="162" t="s">
        <v>1643</v>
      </c>
      <c r="E185" s="162" t="s">
        <v>153</v>
      </c>
      <c r="F185" s="162" t="s">
        <v>1644</v>
      </c>
      <c r="G185" s="27">
        <v>18351336229</v>
      </c>
      <c r="H185" s="162" t="s">
        <v>1645</v>
      </c>
      <c r="I185" s="162" t="s">
        <v>156</v>
      </c>
      <c r="J185" s="162" t="s">
        <v>13</v>
      </c>
      <c r="K185" s="27">
        <v>202102003</v>
      </c>
      <c r="L185" s="162" t="s">
        <v>157</v>
      </c>
      <c r="M185" s="162" t="s">
        <v>1646</v>
      </c>
      <c r="N185" s="162" t="s">
        <v>1647</v>
      </c>
      <c r="O185" s="162" t="s">
        <v>160</v>
      </c>
      <c r="P185" s="162" t="s">
        <v>261</v>
      </c>
      <c r="Q185" s="162" t="s">
        <v>1506</v>
      </c>
      <c r="R185" s="27">
        <v>0</v>
      </c>
      <c r="S185" s="118" t="str">
        <f>_xlfn.DISPIMG("ID_B4AD11310DDA4138B05F8034BA3D88DD",1)</f>
        <v>=DISPIMG("ID_B4AD11310DDA4138B05F8034BA3D88DD",1)</v>
      </c>
      <c r="T185" s="115" t="s">
        <v>1648</v>
      </c>
      <c r="U185" s="27">
        <v>185</v>
      </c>
    </row>
    <row r="186" s="3" customFormat="1" customHeight="1" spans="1:21">
      <c r="A186" s="144">
        <v>44359.0410648148</v>
      </c>
      <c r="B186" s="27" t="s">
        <v>1649</v>
      </c>
      <c r="C186" s="27" t="s">
        <v>1650</v>
      </c>
      <c r="D186" s="162" t="s">
        <v>1651</v>
      </c>
      <c r="E186" s="162" t="s">
        <v>165</v>
      </c>
      <c r="F186" s="162" t="s">
        <v>1652</v>
      </c>
      <c r="G186" s="27">
        <v>15870862742</v>
      </c>
      <c r="H186" s="162" t="s">
        <v>1653</v>
      </c>
      <c r="I186" s="162" t="s">
        <v>156</v>
      </c>
      <c r="J186" s="162" t="s">
        <v>13</v>
      </c>
      <c r="K186" s="27">
        <v>202102003</v>
      </c>
      <c r="L186" s="162" t="s">
        <v>157</v>
      </c>
      <c r="M186" s="162" t="s">
        <v>1654</v>
      </c>
      <c r="N186" s="162" t="s">
        <v>179</v>
      </c>
      <c r="O186" s="162" t="s">
        <v>160</v>
      </c>
      <c r="P186" s="162" t="s">
        <v>235</v>
      </c>
      <c r="Q186" s="162" t="s">
        <v>13</v>
      </c>
      <c r="R186" s="27">
        <v>0</v>
      </c>
      <c r="S186" s="118" t="str">
        <f>_xlfn.DISPIMG("ID_3972EE6FED8B40BFAB5CECB7F30981FD",1)</f>
        <v>=DISPIMG("ID_3972EE6FED8B40BFAB5CECB7F30981FD",1)</v>
      </c>
      <c r="T186" s="115" t="s">
        <v>1655</v>
      </c>
      <c r="U186" s="27">
        <v>186</v>
      </c>
    </row>
    <row r="187" s="3" customFormat="1" customHeight="1" spans="1:21">
      <c r="A187" s="144">
        <v>44359.3455092593</v>
      </c>
      <c r="B187" s="27" t="s">
        <v>1656</v>
      </c>
      <c r="C187" s="27" t="s">
        <v>1657</v>
      </c>
      <c r="D187" s="162" t="s">
        <v>1658</v>
      </c>
      <c r="E187" s="162" t="s">
        <v>153</v>
      </c>
      <c r="F187" s="162" t="s">
        <v>1659</v>
      </c>
      <c r="G187" s="27">
        <v>15170625945</v>
      </c>
      <c r="H187" s="162" t="s">
        <v>1660</v>
      </c>
      <c r="I187" s="162" t="s">
        <v>506</v>
      </c>
      <c r="J187" s="162" t="s">
        <v>15</v>
      </c>
      <c r="K187" s="27">
        <v>202102019</v>
      </c>
      <c r="L187" s="162" t="s">
        <v>157</v>
      </c>
      <c r="M187" s="162" t="s">
        <v>611</v>
      </c>
      <c r="N187" s="162" t="s">
        <v>454</v>
      </c>
      <c r="O187" s="162" t="s">
        <v>160</v>
      </c>
      <c r="P187" s="162" t="s">
        <v>261</v>
      </c>
      <c r="Q187" s="162" t="s">
        <v>1661</v>
      </c>
      <c r="R187" s="27">
        <v>0</v>
      </c>
      <c r="S187" s="118" t="str">
        <f>_xlfn.DISPIMG("ID_40EE23CAD6BE466D8A6330DBB5734F8E",1)</f>
        <v>=DISPIMG("ID_40EE23CAD6BE466D8A6330DBB5734F8E",1)</v>
      </c>
      <c r="T187" s="115" t="s">
        <v>1662</v>
      </c>
      <c r="U187" s="27">
        <v>187</v>
      </c>
    </row>
    <row r="188" s="3" customFormat="1" customHeight="1" spans="1:21">
      <c r="A188" s="144">
        <v>44359.3685300926</v>
      </c>
      <c r="B188" s="27" t="s">
        <v>1663</v>
      </c>
      <c r="C188" s="27" t="s">
        <v>1664</v>
      </c>
      <c r="D188" s="162" t="s">
        <v>1665</v>
      </c>
      <c r="E188" s="162" t="s">
        <v>165</v>
      </c>
      <c r="F188" s="162" t="s">
        <v>1666</v>
      </c>
      <c r="G188" s="27">
        <v>19126781619</v>
      </c>
      <c r="H188" s="162" t="s">
        <v>1667</v>
      </c>
      <c r="I188" s="162" t="s">
        <v>278</v>
      </c>
      <c r="J188" s="162" t="s">
        <v>28</v>
      </c>
      <c r="K188" s="27">
        <v>202103001</v>
      </c>
      <c r="L188" s="162" t="s">
        <v>585</v>
      </c>
      <c r="M188" s="162" t="s">
        <v>168</v>
      </c>
      <c r="N188" s="162" t="s">
        <v>280</v>
      </c>
      <c r="O188" s="162" t="s">
        <v>170</v>
      </c>
      <c r="P188" s="162" t="s">
        <v>548</v>
      </c>
      <c r="Q188" s="162" t="s">
        <v>376</v>
      </c>
      <c r="R188" s="162" t="s">
        <v>1668</v>
      </c>
      <c r="S188" s="118" t="str">
        <f>_xlfn.DISPIMG("ID_B5AB63FC8A81490B8ED2FED7AE302A44",1)</f>
        <v>=DISPIMG("ID_B5AB63FC8A81490B8ED2FED7AE302A44",1)</v>
      </c>
      <c r="T188" s="115" t="s">
        <v>1669</v>
      </c>
      <c r="U188" s="27">
        <v>188</v>
      </c>
    </row>
    <row r="189" s="3" customFormat="1" customHeight="1" spans="1:21">
      <c r="A189" s="144">
        <v>44359.3743865741</v>
      </c>
      <c r="B189" s="27" t="s">
        <v>1670</v>
      </c>
      <c r="C189" s="27" t="s">
        <v>1671</v>
      </c>
      <c r="D189" s="162" t="s">
        <v>1671</v>
      </c>
      <c r="E189" s="162" t="s">
        <v>153</v>
      </c>
      <c r="F189" s="162" t="s">
        <v>1672</v>
      </c>
      <c r="G189" s="27">
        <v>13576944053</v>
      </c>
      <c r="H189" s="162" t="s">
        <v>1673</v>
      </c>
      <c r="I189" s="162" t="s">
        <v>156</v>
      </c>
      <c r="J189" s="162" t="s">
        <v>7</v>
      </c>
      <c r="K189" s="27">
        <v>202102006</v>
      </c>
      <c r="L189" s="162" t="s">
        <v>157</v>
      </c>
      <c r="M189" s="162" t="s">
        <v>1674</v>
      </c>
      <c r="N189" s="162" t="s">
        <v>1675</v>
      </c>
      <c r="O189" s="162" t="s">
        <v>170</v>
      </c>
      <c r="P189" s="162" t="s">
        <v>1676</v>
      </c>
      <c r="Q189" s="162" t="s">
        <v>7</v>
      </c>
      <c r="R189" s="162" t="s">
        <v>1677</v>
      </c>
      <c r="S189" s="118" t="str">
        <f>_xlfn.DISPIMG("ID_834E256FE11F482DB22CD6E09A0E87FD",1)</f>
        <v>=DISPIMG("ID_834E256FE11F482DB22CD6E09A0E87FD",1)</v>
      </c>
      <c r="T189" s="115" t="s">
        <v>1678</v>
      </c>
      <c r="U189" s="27">
        <v>189</v>
      </c>
    </row>
    <row r="190" s="3" customFormat="1" customHeight="1" spans="1:21">
      <c r="A190" s="144">
        <v>44359.3764930556</v>
      </c>
      <c r="B190" s="27" t="s">
        <v>1679</v>
      </c>
      <c r="C190" s="27" t="s">
        <v>1680</v>
      </c>
      <c r="D190" s="162" t="s">
        <v>1681</v>
      </c>
      <c r="E190" s="162" t="s">
        <v>165</v>
      </c>
      <c r="F190" s="162" t="s">
        <v>1682</v>
      </c>
      <c r="G190" s="27">
        <v>15707021172</v>
      </c>
      <c r="H190" s="162" t="s">
        <v>1683</v>
      </c>
      <c r="I190" s="162" t="s">
        <v>278</v>
      </c>
      <c r="J190" s="162" t="s">
        <v>28</v>
      </c>
      <c r="K190" s="27">
        <v>202103001</v>
      </c>
      <c r="L190" s="162" t="s">
        <v>279</v>
      </c>
      <c r="M190" s="162" t="s">
        <v>367</v>
      </c>
      <c r="N190" s="162" t="s">
        <v>1684</v>
      </c>
      <c r="O190" s="162" t="s">
        <v>170</v>
      </c>
      <c r="P190" s="162" t="s">
        <v>368</v>
      </c>
      <c r="Q190" s="162" t="s">
        <v>376</v>
      </c>
      <c r="R190" s="162" t="s">
        <v>1685</v>
      </c>
      <c r="S190" s="118" t="str">
        <f>_xlfn.DISPIMG("ID_F515C4DE5D464F10B51159D5558C7D1A",1)</f>
        <v>=DISPIMG("ID_F515C4DE5D464F10B51159D5558C7D1A",1)</v>
      </c>
      <c r="T190" s="115" t="s">
        <v>1686</v>
      </c>
      <c r="U190" s="27">
        <v>190</v>
      </c>
    </row>
    <row r="191" s="3" customFormat="1" customHeight="1" spans="1:21">
      <c r="A191" s="144">
        <v>44359.3765856481</v>
      </c>
      <c r="B191" s="27" t="s">
        <v>1687</v>
      </c>
      <c r="C191" s="27" t="s">
        <v>1688</v>
      </c>
      <c r="D191" s="162" t="s">
        <v>1689</v>
      </c>
      <c r="E191" s="162" t="s">
        <v>165</v>
      </c>
      <c r="F191" s="162" t="s">
        <v>1690</v>
      </c>
      <c r="G191" s="27">
        <v>13677055035</v>
      </c>
      <c r="H191" s="162" t="s">
        <v>1691</v>
      </c>
      <c r="I191" s="162" t="s">
        <v>384</v>
      </c>
      <c r="J191" s="162" t="s">
        <v>25</v>
      </c>
      <c r="K191" s="27">
        <v>202101007</v>
      </c>
      <c r="L191" s="162" t="s">
        <v>157</v>
      </c>
      <c r="M191" s="162" t="s">
        <v>1258</v>
      </c>
      <c r="N191" s="162" t="s">
        <v>179</v>
      </c>
      <c r="O191" s="162" t="s">
        <v>170</v>
      </c>
      <c r="P191" s="162" t="s">
        <v>180</v>
      </c>
      <c r="Q191" s="162" t="s">
        <v>1692</v>
      </c>
      <c r="R191" s="162" t="s">
        <v>1693</v>
      </c>
      <c r="S191" s="118" t="str">
        <f>_xlfn.DISPIMG("ID_43885BD9A06C404291EA89276C573B8A",1)</f>
        <v>=DISPIMG("ID_43885BD9A06C404291EA89276C573B8A",1)</v>
      </c>
      <c r="T191" s="115" t="s">
        <v>1694</v>
      </c>
      <c r="U191" s="27">
        <v>191</v>
      </c>
    </row>
    <row r="192" s="3" customFormat="1" customHeight="1" spans="1:21">
      <c r="A192" s="144">
        <v>44359.3907638889</v>
      </c>
      <c r="B192" s="27" t="s">
        <v>1695</v>
      </c>
      <c r="C192" s="27" t="s">
        <v>1696</v>
      </c>
      <c r="D192" s="162" t="s">
        <v>1697</v>
      </c>
      <c r="E192" s="162" t="s">
        <v>165</v>
      </c>
      <c r="F192" s="162" t="s">
        <v>1698</v>
      </c>
      <c r="G192" s="27">
        <v>13732925421</v>
      </c>
      <c r="H192" s="162" t="s">
        <v>1699</v>
      </c>
      <c r="I192" s="162" t="s">
        <v>156</v>
      </c>
      <c r="J192" s="162" t="s">
        <v>14</v>
      </c>
      <c r="K192" s="27">
        <v>202102001</v>
      </c>
      <c r="L192" s="162" t="s">
        <v>157</v>
      </c>
      <c r="M192" s="162" t="s">
        <v>1654</v>
      </c>
      <c r="N192" s="162" t="s">
        <v>1700</v>
      </c>
      <c r="O192" s="162" t="s">
        <v>160</v>
      </c>
      <c r="P192" s="162" t="s">
        <v>235</v>
      </c>
      <c r="Q192" s="162" t="s">
        <v>1701</v>
      </c>
      <c r="R192" s="162" t="s">
        <v>1702</v>
      </c>
      <c r="S192" s="118" t="str">
        <f>_xlfn.DISPIMG("ID_9C3AAF7BA09C4626832FC4C49E6F802D",1)</f>
        <v>=DISPIMG("ID_9C3AAF7BA09C4626832FC4C49E6F802D",1)</v>
      </c>
      <c r="T192" s="115" t="s">
        <v>1703</v>
      </c>
      <c r="U192" s="27">
        <v>192</v>
      </c>
    </row>
    <row r="193" s="3" customFormat="1" customHeight="1" spans="1:21">
      <c r="A193" s="144">
        <v>44365.4251736111</v>
      </c>
      <c r="B193" s="27" t="s">
        <v>1704</v>
      </c>
      <c r="C193" s="27" t="s">
        <v>1705</v>
      </c>
      <c r="D193" s="162" t="s">
        <v>1706</v>
      </c>
      <c r="E193" s="162" t="s">
        <v>153</v>
      </c>
      <c r="F193" s="162" t="s">
        <v>1707</v>
      </c>
      <c r="G193" s="27">
        <v>15070040825</v>
      </c>
      <c r="H193" s="162" t="s">
        <v>1708</v>
      </c>
      <c r="I193" s="162" t="s">
        <v>506</v>
      </c>
      <c r="J193" s="162" t="s">
        <v>5</v>
      </c>
      <c r="K193" s="27">
        <v>202102020</v>
      </c>
      <c r="L193" s="162" t="s">
        <v>157</v>
      </c>
      <c r="M193" s="162" t="s">
        <v>789</v>
      </c>
      <c r="N193" s="162" t="s">
        <v>1709</v>
      </c>
      <c r="O193" s="162" t="s">
        <v>160</v>
      </c>
      <c r="P193" s="162" t="s">
        <v>1346</v>
      </c>
      <c r="Q193" s="162" t="s">
        <v>1710</v>
      </c>
      <c r="R193" s="162" t="s">
        <v>1711</v>
      </c>
      <c r="S193" s="118" t="str">
        <f>_xlfn.DISPIMG("ID_B3E8781AF7454377842FD7EC53A6E781",1)</f>
        <v>=DISPIMG("ID_B3E8781AF7454377842FD7EC53A6E781",1)</v>
      </c>
      <c r="T193" s="115" t="s">
        <v>1712</v>
      </c>
      <c r="U193" s="27">
        <v>193</v>
      </c>
    </row>
    <row r="194" s="3" customFormat="1" customHeight="1" spans="1:21">
      <c r="A194" s="144">
        <v>44359.395625</v>
      </c>
      <c r="B194" s="27" t="s">
        <v>1713</v>
      </c>
      <c r="C194" s="27" t="s">
        <v>1714</v>
      </c>
      <c r="D194" s="162" t="s">
        <v>1715</v>
      </c>
      <c r="E194" s="162" t="s">
        <v>165</v>
      </c>
      <c r="F194" s="162" t="s">
        <v>1716</v>
      </c>
      <c r="G194" s="27">
        <v>15070075457</v>
      </c>
      <c r="H194" s="162" t="s">
        <v>1717</v>
      </c>
      <c r="I194" s="162" t="s">
        <v>156</v>
      </c>
      <c r="J194" s="162" t="s">
        <v>13</v>
      </c>
      <c r="K194" s="27">
        <v>202102003</v>
      </c>
      <c r="L194" s="162" t="s">
        <v>157</v>
      </c>
      <c r="M194" s="162" t="s">
        <v>1718</v>
      </c>
      <c r="N194" s="162" t="s">
        <v>1195</v>
      </c>
      <c r="O194" s="162" t="s">
        <v>170</v>
      </c>
      <c r="P194" s="162" t="s">
        <v>281</v>
      </c>
      <c r="Q194" s="162" t="s">
        <v>13</v>
      </c>
      <c r="R194" s="162" t="s">
        <v>1719</v>
      </c>
      <c r="S194" s="118" t="str">
        <f>_xlfn.DISPIMG("ID_33BA8978EFEE4AA59909527B43B2E1C1",1)</f>
        <v>=DISPIMG("ID_33BA8978EFEE4AA59909527B43B2E1C1",1)</v>
      </c>
      <c r="T194" s="115" t="s">
        <v>1720</v>
      </c>
      <c r="U194" s="27">
        <v>194</v>
      </c>
    </row>
    <row r="195" s="3" customFormat="1" customHeight="1" spans="1:21">
      <c r="A195" s="144">
        <v>44359.3962731482</v>
      </c>
      <c r="B195" s="27" t="s">
        <v>1721</v>
      </c>
      <c r="C195" s="27" t="s">
        <v>1722</v>
      </c>
      <c r="D195" s="162" t="s">
        <v>1723</v>
      </c>
      <c r="E195" s="162" t="s">
        <v>165</v>
      </c>
      <c r="F195" s="162" t="s">
        <v>1724</v>
      </c>
      <c r="G195" s="27">
        <v>13697028942</v>
      </c>
      <c r="H195" s="162" t="s">
        <v>1725</v>
      </c>
      <c r="I195" s="162" t="s">
        <v>156</v>
      </c>
      <c r="J195" s="162" t="s">
        <v>14</v>
      </c>
      <c r="K195" s="27">
        <v>202102001</v>
      </c>
      <c r="L195" s="162" t="s">
        <v>157</v>
      </c>
      <c r="M195" s="162" t="s">
        <v>827</v>
      </c>
      <c r="N195" s="162" t="s">
        <v>454</v>
      </c>
      <c r="O195" s="162" t="s">
        <v>170</v>
      </c>
      <c r="P195" s="162" t="s">
        <v>261</v>
      </c>
      <c r="Q195" s="162" t="s">
        <v>26</v>
      </c>
      <c r="R195" s="27">
        <v>0</v>
      </c>
      <c r="S195" s="118" t="str">
        <f>_xlfn.DISPIMG("ID_9F3C5B09040D438283C530134A5BD84D",1)</f>
        <v>=DISPIMG("ID_9F3C5B09040D438283C530134A5BD84D",1)</v>
      </c>
      <c r="T195" s="115" t="s">
        <v>1726</v>
      </c>
      <c r="U195" s="27">
        <v>195</v>
      </c>
    </row>
    <row r="196" s="3" customFormat="1" customHeight="1" spans="1:21">
      <c r="A196" s="144">
        <v>44359.4008449074</v>
      </c>
      <c r="B196" s="27" t="s">
        <v>1727</v>
      </c>
      <c r="C196" s="27" t="s">
        <v>1728</v>
      </c>
      <c r="D196" s="162" t="s">
        <v>1729</v>
      </c>
      <c r="E196" s="162" t="s">
        <v>153</v>
      </c>
      <c r="F196" s="162" t="s">
        <v>1730</v>
      </c>
      <c r="G196" s="27">
        <v>18720253839</v>
      </c>
      <c r="H196" s="162" t="s">
        <v>1731</v>
      </c>
      <c r="I196" s="162" t="s">
        <v>384</v>
      </c>
      <c r="J196" s="162" t="s">
        <v>20</v>
      </c>
      <c r="K196" s="27">
        <v>202101005</v>
      </c>
      <c r="L196" s="162" t="s">
        <v>157</v>
      </c>
      <c r="M196" s="162" t="s">
        <v>1258</v>
      </c>
      <c r="N196" s="162" t="s">
        <v>270</v>
      </c>
      <c r="O196" s="162" t="s">
        <v>170</v>
      </c>
      <c r="P196" s="162" t="s">
        <v>349</v>
      </c>
      <c r="Q196" s="162" t="s">
        <v>1732</v>
      </c>
      <c r="R196" s="162" t="s">
        <v>1733</v>
      </c>
      <c r="S196" s="118" t="str">
        <f>_xlfn.DISPIMG("ID_677AC12F255C494892F34EE0AF9DED02",1)</f>
        <v>=DISPIMG("ID_677AC12F255C494892F34EE0AF9DED02",1)</v>
      </c>
      <c r="T196" s="115" t="s">
        <v>1734</v>
      </c>
      <c r="U196" s="27">
        <v>196</v>
      </c>
    </row>
    <row r="197" s="3" customFormat="1" customHeight="1" spans="1:21">
      <c r="A197" s="144">
        <v>44359.4028472222</v>
      </c>
      <c r="B197" s="27" t="s">
        <v>1735</v>
      </c>
      <c r="C197" s="27" t="s">
        <v>1736</v>
      </c>
      <c r="D197" s="162" t="s">
        <v>1737</v>
      </c>
      <c r="E197" s="162" t="s">
        <v>153</v>
      </c>
      <c r="F197" s="162" t="s">
        <v>1738</v>
      </c>
      <c r="G197" s="27">
        <v>19815092923</v>
      </c>
      <c r="H197" s="162" t="s">
        <v>1739</v>
      </c>
      <c r="I197" s="162" t="s">
        <v>384</v>
      </c>
      <c r="J197" s="162" t="s">
        <v>21</v>
      </c>
      <c r="K197" s="27">
        <v>202101023</v>
      </c>
      <c r="L197" s="162" t="s">
        <v>157</v>
      </c>
      <c r="M197" s="162" t="s">
        <v>1740</v>
      </c>
      <c r="N197" s="162" t="s">
        <v>682</v>
      </c>
      <c r="O197" s="162" t="s">
        <v>170</v>
      </c>
      <c r="P197" s="162" t="s">
        <v>281</v>
      </c>
      <c r="Q197" s="162" t="s">
        <v>21</v>
      </c>
      <c r="R197" s="27">
        <v>0</v>
      </c>
      <c r="S197" s="118" t="str">
        <f>_xlfn.DISPIMG("ID_5626D0773278487D84DF299D01619D61",1)</f>
        <v>=DISPIMG("ID_5626D0773278487D84DF299D01619D61",1)</v>
      </c>
      <c r="T197" s="115" t="s">
        <v>1741</v>
      </c>
      <c r="U197" s="27">
        <v>197</v>
      </c>
    </row>
    <row r="198" s="3" customFormat="1" customHeight="1" spans="1:21">
      <c r="A198" s="144">
        <v>44359.4099305556</v>
      </c>
      <c r="B198" s="27" t="s">
        <v>1742</v>
      </c>
      <c r="C198" s="27" t="s">
        <v>1743</v>
      </c>
      <c r="D198" s="162" t="s">
        <v>1744</v>
      </c>
      <c r="E198" s="162" t="s">
        <v>153</v>
      </c>
      <c r="F198" s="162" t="s">
        <v>1745</v>
      </c>
      <c r="G198" s="27">
        <v>18162289485</v>
      </c>
      <c r="H198" s="162" t="s">
        <v>1746</v>
      </c>
      <c r="I198" s="162" t="s">
        <v>384</v>
      </c>
      <c r="J198" s="162" t="s">
        <v>13</v>
      </c>
      <c r="K198" s="27">
        <v>202102003</v>
      </c>
      <c r="L198" s="162" t="s">
        <v>279</v>
      </c>
      <c r="M198" s="162" t="s">
        <v>158</v>
      </c>
      <c r="N198" s="162" t="s">
        <v>223</v>
      </c>
      <c r="O198" s="162" t="s">
        <v>170</v>
      </c>
      <c r="P198" s="162" t="s">
        <v>281</v>
      </c>
      <c r="Q198" s="162" t="s">
        <v>225</v>
      </c>
      <c r="R198" s="162" t="s">
        <v>1747</v>
      </c>
      <c r="S198" s="118" t="str">
        <f>_xlfn.DISPIMG("ID_5044DE99F5764C15B715286BE7DA4EE0",1)</f>
        <v>=DISPIMG("ID_5044DE99F5764C15B715286BE7DA4EE0",1)</v>
      </c>
      <c r="T198" s="115" t="s">
        <v>1748</v>
      </c>
      <c r="U198" s="27">
        <v>198</v>
      </c>
    </row>
    <row r="199" s="3" customFormat="1" customHeight="1" spans="1:21">
      <c r="A199" s="144">
        <v>44359.419849537</v>
      </c>
      <c r="B199" s="27" t="s">
        <v>1749</v>
      </c>
      <c r="C199" s="27" t="s">
        <v>1750</v>
      </c>
      <c r="D199" s="162" t="s">
        <v>1751</v>
      </c>
      <c r="E199" s="162" t="s">
        <v>165</v>
      </c>
      <c r="F199" s="162" t="s">
        <v>1752</v>
      </c>
      <c r="G199" s="27">
        <v>18770825920</v>
      </c>
      <c r="H199" s="162" t="s">
        <v>1753</v>
      </c>
      <c r="I199" s="162" t="s">
        <v>278</v>
      </c>
      <c r="J199" s="162" t="s">
        <v>28</v>
      </c>
      <c r="K199" s="27">
        <v>202103001</v>
      </c>
      <c r="L199" s="162" t="s">
        <v>585</v>
      </c>
      <c r="M199" s="162" t="s">
        <v>367</v>
      </c>
      <c r="N199" s="162" t="s">
        <v>280</v>
      </c>
      <c r="O199" s="162" t="s">
        <v>160</v>
      </c>
      <c r="P199" s="162" t="s">
        <v>396</v>
      </c>
      <c r="Q199" s="162" t="s">
        <v>1754</v>
      </c>
      <c r="R199" s="162" t="s">
        <v>1755</v>
      </c>
      <c r="S199" s="118" t="str">
        <f>_xlfn.DISPIMG("ID_11BD6E6070704D3C9E8B19CABEC53565",1)</f>
        <v>=DISPIMG("ID_11BD6E6070704D3C9E8B19CABEC53565",1)</v>
      </c>
      <c r="T199" s="115" t="s">
        <v>1756</v>
      </c>
      <c r="U199" s="27">
        <v>199</v>
      </c>
    </row>
    <row r="200" s="3" customFormat="1" customHeight="1" spans="1:21">
      <c r="A200" s="144">
        <v>44359.4393402778</v>
      </c>
      <c r="B200" s="27" t="s">
        <v>1757</v>
      </c>
      <c r="C200" s="27" t="s">
        <v>1758</v>
      </c>
      <c r="D200" s="162" t="s">
        <v>1759</v>
      </c>
      <c r="E200" s="162" t="s">
        <v>165</v>
      </c>
      <c r="F200" s="162" t="s">
        <v>1760</v>
      </c>
      <c r="G200" s="27">
        <v>13450834436</v>
      </c>
      <c r="H200" s="162" t="s">
        <v>1761</v>
      </c>
      <c r="I200" s="162" t="s">
        <v>156</v>
      </c>
      <c r="J200" s="162" t="s">
        <v>13</v>
      </c>
      <c r="K200" s="27">
        <v>202102003</v>
      </c>
      <c r="L200" s="162" t="s">
        <v>279</v>
      </c>
      <c r="M200" s="162" t="s">
        <v>158</v>
      </c>
      <c r="N200" s="162" t="s">
        <v>298</v>
      </c>
      <c r="O200" s="162" t="s">
        <v>160</v>
      </c>
      <c r="P200" s="162" t="s">
        <v>910</v>
      </c>
      <c r="Q200" s="162" t="s">
        <v>13</v>
      </c>
      <c r="R200" s="162" t="s">
        <v>1762</v>
      </c>
      <c r="S200" s="118" t="str">
        <f>_xlfn.DISPIMG("ID_6061453C50E94D60AD50D7D119779DE5",1)</f>
        <v>=DISPIMG("ID_6061453C50E94D60AD50D7D119779DE5",1)</v>
      </c>
      <c r="T200" s="115" t="s">
        <v>1763</v>
      </c>
      <c r="U200" s="27">
        <v>200</v>
      </c>
    </row>
    <row r="201" s="3" customFormat="1" customHeight="1" spans="1:21">
      <c r="A201" s="144">
        <v>44359.4521643519</v>
      </c>
      <c r="B201" s="27" t="s">
        <v>1764</v>
      </c>
      <c r="C201" s="27" t="s">
        <v>1765</v>
      </c>
      <c r="D201" s="162" t="s">
        <v>1766</v>
      </c>
      <c r="E201" s="162" t="s">
        <v>165</v>
      </c>
      <c r="F201" s="162" t="s">
        <v>1767</v>
      </c>
      <c r="G201" s="27">
        <v>18370038373</v>
      </c>
      <c r="H201" s="162" t="s">
        <v>1768</v>
      </c>
      <c r="I201" s="162" t="s">
        <v>156</v>
      </c>
      <c r="J201" s="162" t="s">
        <v>8</v>
      </c>
      <c r="K201" s="27">
        <v>202102002</v>
      </c>
      <c r="L201" s="162" t="s">
        <v>157</v>
      </c>
      <c r="M201" s="162" t="s">
        <v>269</v>
      </c>
      <c r="N201" s="162" t="s">
        <v>813</v>
      </c>
      <c r="O201" s="162" t="s">
        <v>160</v>
      </c>
      <c r="P201" s="162" t="s">
        <v>180</v>
      </c>
      <c r="Q201" s="162" t="s">
        <v>8</v>
      </c>
      <c r="R201" s="162" t="s">
        <v>1769</v>
      </c>
      <c r="S201" s="118" t="str">
        <f>_xlfn.DISPIMG("ID_DCEB7245249347F4A2C197E5AB7C6C11",1)</f>
        <v>=DISPIMG("ID_DCEB7245249347F4A2C197E5AB7C6C11",1)</v>
      </c>
      <c r="T201" s="115" t="s">
        <v>1770</v>
      </c>
      <c r="U201" s="27">
        <v>201</v>
      </c>
    </row>
    <row r="202" s="3" customFormat="1" customHeight="1" spans="1:21">
      <c r="A202" s="144">
        <v>44359.4538773148</v>
      </c>
      <c r="B202" s="27" t="s">
        <v>1771</v>
      </c>
      <c r="C202" s="27" t="s">
        <v>1772</v>
      </c>
      <c r="D202" s="162" t="s">
        <v>1773</v>
      </c>
      <c r="E202" s="162" t="s">
        <v>165</v>
      </c>
      <c r="F202" s="162" t="s">
        <v>1774</v>
      </c>
      <c r="G202" s="27">
        <v>15070865413</v>
      </c>
      <c r="H202" s="162" t="s">
        <v>1775</v>
      </c>
      <c r="I202" s="162" t="s">
        <v>278</v>
      </c>
      <c r="J202" s="162" t="s">
        <v>28</v>
      </c>
      <c r="K202" s="27">
        <v>202103001</v>
      </c>
      <c r="L202" s="162" t="s">
        <v>279</v>
      </c>
      <c r="M202" s="162" t="s">
        <v>662</v>
      </c>
      <c r="N202" s="162" t="s">
        <v>280</v>
      </c>
      <c r="O202" s="162" t="s">
        <v>170</v>
      </c>
      <c r="P202" s="162" t="s">
        <v>161</v>
      </c>
      <c r="Q202" s="162" t="s">
        <v>1776</v>
      </c>
      <c r="R202" s="162" t="s">
        <v>1777</v>
      </c>
      <c r="S202" s="118" t="str">
        <f>_xlfn.DISPIMG("ID_870E78DB9450493E87561F4FC105D429",1)</f>
        <v>=DISPIMG("ID_870E78DB9450493E87561F4FC105D429",1)</v>
      </c>
      <c r="T202" s="115" t="s">
        <v>1778</v>
      </c>
      <c r="U202" s="27">
        <v>202</v>
      </c>
    </row>
    <row r="203" s="3" customFormat="1" customHeight="1" spans="1:21">
      <c r="A203" s="144">
        <v>44359.4548842593</v>
      </c>
      <c r="B203" s="27" t="s">
        <v>1779</v>
      </c>
      <c r="C203" s="27" t="s">
        <v>1780</v>
      </c>
      <c r="D203" s="162" t="s">
        <v>1781</v>
      </c>
      <c r="E203" s="162" t="s">
        <v>165</v>
      </c>
      <c r="F203" s="162" t="s">
        <v>1782</v>
      </c>
      <c r="G203" s="27">
        <v>18379139309</v>
      </c>
      <c r="H203" s="162" t="s">
        <v>1783</v>
      </c>
      <c r="I203" s="162" t="s">
        <v>156</v>
      </c>
      <c r="J203" s="162" t="s">
        <v>13</v>
      </c>
      <c r="K203" s="27">
        <v>202102003</v>
      </c>
      <c r="L203" s="162" t="s">
        <v>157</v>
      </c>
      <c r="M203" s="162" t="s">
        <v>1784</v>
      </c>
      <c r="N203" s="162" t="s">
        <v>243</v>
      </c>
      <c r="O203" s="162" t="s">
        <v>160</v>
      </c>
      <c r="P203" s="162" t="s">
        <v>516</v>
      </c>
      <c r="Q203" s="162" t="s">
        <v>25</v>
      </c>
      <c r="R203" s="162" t="s">
        <v>1785</v>
      </c>
      <c r="S203" s="118" t="str">
        <f>_xlfn.DISPIMG("ID_FAA9DF7D97144F66A8EC0127C6ABD49F",1)</f>
        <v>=DISPIMG("ID_FAA9DF7D97144F66A8EC0127C6ABD49F",1)</v>
      </c>
      <c r="T203" s="115" t="s">
        <v>1786</v>
      </c>
      <c r="U203" s="27">
        <v>203</v>
      </c>
    </row>
    <row r="204" s="3" customFormat="1" customHeight="1" spans="1:21">
      <c r="A204" s="144">
        <v>44359.4733217593</v>
      </c>
      <c r="B204" s="27" t="s">
        <v>1787</v>
      </c>
      <c r="C204" s="27" t="s">
        <v>1788</v>
      </c>
      <c r="D204" s="162" t="s">
        <v>1789</v>
      </c>
      <c r="E204" s="162" t="s">
        <v>165</v>
      </c>
      <c r="F204" s="162" t="s">
        <v>1790</v>
      </c>
      <c r="G204" s="27">
        <v>15350130023</v>
      </c>
      <c r="H204" s="162" t="s">
        <v>1791</v>
      </c>
      <c r="I204" s="162" t="s">
        <v>384</v>
      </c>
      <c r="J204" s="162" t="s">
        <v>18</v>
      </c>
      <c r="K204" s="27">
        <v>202101023</v>
      </c>
      <c r="L204" s="162" t="s">
        <v>157</v>
      </c>
      <c r="M204" s="162" t="s">
        <v>1792</v>
      </c>
      <c r="N204" s="162" t="s">
        <v>1793</v>
      </c>
      <c r="O204" s="162" t="s">
        <v>160</v>
      </c>
      <c r="P204" s="162" t="s">
        <v>455</v>
      </c>
      <c r="Q204" s="162" t="s">
        <v>1794</v>
      </c>
      <c r="R204" s="27">
        <v>0</v>
      </c>
      <c r="S204" s="118" t="str">
        <f>_xlfn.DISPIMG("ID_F2D31DD52A09466996724F8ACF5386A0",1)</f>
        <v>=DISPIMG("ID_F2D31DD52A09466996724F8ACF5386A0",1)</v>
      </c>
      <c r="T204" s="115" t="s">
        <v>1795</v>
      </c>
      <c r="U204" s="27">
        <v>204</v>
      </c>
    </row>
    <row r="205" s="3" customFormat="1" customHeight="1" spans="1:21">
      <c r="A205" s="144">
        <v>44359.5018518519</v>
      </c>
      <c r="B205" s="27" t="s">
        <v>1796</v>
      </c>
      <c r="C205" s="27" t="s">
        <v>1797</v>
      </c>
      <c r="D205" s="162" t="s">
        <v>1798</v>
      </c>
      <c r="E205" s="162" t="s">
        <v>165</v>
      </c>
      <c r="F205" s="162" t="s">
        <v>1799</v>
      </c>
      <c r="G205" s="27">
        <v>18070223507</v>
      </c>
      <c r="H205" s="162" t="s">
        <v>1800</v>
      </c>
      <c r="I205" s="162" t="s">
        <v>506</v>
      </c>
      <c r="J205" s="162" t="s">
        <v>6</v>
      </c>
      <c r="K205" s="27">
        <v>202102021</v>
      </c>
      <c r="L205" s="162" t="s">
        <v>157</v>
      </c>
      <c r="M205" s="162" t="s">
        <v>1801</v>
      </c>
      <c r="N205" s="162" t="s">
        <v>1802</v>
      </c>
      <c r="O205" s="162" t="s">
        <v>160</v>
      </c>
      <c r="P205" s="162" t="s">
        <v>161</v>
      </c>
      <c r="Q205" s="162" t="s">
        <v>6</v>
      </c>
      <c r="R205" s="162" t="s">
        <v>1803</v>
      </c>
      <c r="S205" s="118" t="str">
        <f>_xlfn.DISPIMG("ID_054E9F37DEBB4C16973D352603A54499",1)</f>
        <v>=DISPIMG("ID_054E9F37DEBB4C16973D352603A54499",1)</v>
      </c>
      <c r="T205" s="115" t="s">
        <v>1804</v>
      </c>
      <c r="U205" s="27">
        <v>205</v>
      </c>
    </row>
    <row r="206" s="3" customFormat="1" customHeight="1" spans="1:21">
      <c r="A206" s="144">
        <v>44359.5396990741</v>
      </c>
      <c r="B206" s="27" t="s">
        <v>1805</v>
      </c>
      <c r="C206" s="27" t="s">
        <v>1806</v>
      </c>
      <c r="D206" s="162" t="s">
        <v>1807</v>
      </c>
      <c r="E206" s="162" t="s">
        <v>165</v>
      </c>
      <c r="F206" s="162" t="s">
        <v>1808</v>
      </c>
      <c r="G206" s="27">
        <v>18279208598</v>
      </c>
      <c r="H206" s="162" t="s">
        <v>1809</v>
      </c>
      <c r="I206" s="162" t="s">
        <v>384</v>
      </c>
      <c r="J206" s="162" t="s">
        <v>25</v>
      </c>
      <c r="K206" s="27">
        <v>202101007</v>
      </c>
      <c r="L206" s="162" t="s">
        <v>157</v>
      </c>
      <c r="M206" s="162" t="s">
        <v>1413</v>
      </c>
      <c r="N206" s="162" t="s">
        <v>179</v>
      </c>
      <c r="O206" s="162" t="s">
        <v>170</v>
      </c>
      <c r="P206" s="162" t="s">
        <v>235</v>
      </c>
      <c r="Q206" s="162" t="s">
        <v>1692</v>
      </c>
      <c r="R206" s="162" t="s">
        <v>1810</v>
      </c>
      <c r="S206" s="118" t="str">
        <f>_xlfn.DISPIMG("ID_CF289AF208E247F38051A435A278D00A",1)</f>
        <v>=DISPIMG("ID_CF289AF208E247F38051A435A278D00A",1)</v>
      </c>
      <c r="T206" s="115" t="s">
        <v>1811</v>
      </c>
      <c r="U206" s="27">
        <v>206</v>
      </c>
    </row>
    <row r="207" s="3" customFormat="1" customHeight="1" spans="1:21">
      <c r="A207" s="144">
        <v>44359.5558217593</v>
      </c>
      <c r="B207" s="27" t="s">
        <v>1812</v>
      </c>
      <c r="C207" s="27" t="s">
        <v>1813</v>
      </c>
      <c r="D207" s="162" t="s">
        <v>1814</v>
      </c>
      <c r="E207" s="162" t="s">
        <v>165</v>
      </c>
      <c r="F207" s="162" t="s">
        <v>1815</v>
      </c>
      <c r="G207" s="27">
        <v>15879170317</v>
      </c>
      <c r="H207" s="162" t="s">
        <v>1816</v>
      </c>
      <c r="I207" s="162" t="s">
        <v>278</v>
      </c>
      <c r="J207" s="162" t="s">
        <v>28</v>
      </c>
      <c r="K207" s="27">
        <v>202103001</v>
      </c>
      <c r="L207" s="162" t="s">
        <v>279</v>
      </c>
      <c r="M207" s="162" t="s">
        <v>732</v>
      </c>
      <c r="N207" s="162" t="s">
        <v>280</v>
      </c>
      <c r="O207" s="162" t="s">
        <v>170</v>
      </c>
      <c r="P207" s="162" t="s">
        <v>306</v>
      </c>
      <c r="Q207" s="162" t="s">
        <v>1013</v>
      </c>
      <c r="R207" s="162" t="s">
        <v>1817</v>
      </c>
      <c r="S207" s="118" t="str">
        <f>_xlfn.DISPIMG("ID_6DE4E02A017F4BA2AD59ACE3034B4E4E",1)</f>
        <v>=DISPIMG("ID_6DE4E02A017F4BA2AD59ACE3034B4E4E",1)</v>
      </c>
      <c r="T207" s="115" t="s">
        <v>1818</v>
      </c>
      <c r="U207" s="27">
        <v>207</v>
      </c>
    </row>
    <row r="208" s="3" customFormat="1" customHeight="1" spans="1:21">
      <c r="A208" s="144">
        <v>44359.5627314815</v>
      </c>
      <c r="B208" s="27" t="s">
        <v>1819</v>
      </c>
      <c r="C208" s="27" t="s">
        <v>1820</v>
      </c>
      <c r="D208" s="162" t="s">
        <v>1821</v>
      </c>
      <c r="E208" s="162" t="s">
        <v>153</v>
      </c>
      <c r="F208" s="162" t="s">
        <v>1822</v>
      </c>
      <c r="G208" s="27">
        <v>15083520312</v>
      </c>
      <c r="H208" s="162" t="s">
        <v>1823</v>
      </c>
      <c r="I208" s="162" t="s">
        <v>156</v>
      </c>
      <c r="J208" s="162" t="s">
        <v>9</v>
      </c>
      <c r="K208" s="27">
        <v>202102011</v>
      </c>
      <c r="L208" s="162" t="s">
        <v>157</v>
      </c>
      <c r="M208" s="162" t="s">
        <v>437</v>
      </c>
      <c r="N208" s="162" t="s">
        <v>682</v>
      </c>
      <c r="O208" s="162" t="s">
        <v>170</v>
      </c>
      <c r="P208" s="162" t="s">
        <v>455</v>
      </c>
      <c r="Q208" s="162" t="s">
        <v>1824</v>
      </c>
      <c r="R208" s="27">
        <v>0</v>
      </c>
      <c r="S208" s="118" t="str">
        <f>_xlfn.DISPIMG("ID_DDBA99C80B934FEAA0E6DE75BE0B792D",1)</f>
        <v>=DISPIMG("ID_DDBA99C80B934FEAA0E6DE75BE0B792D",1)</v>
      </c>
      <c r="T208" s="115" t="s">
        <v>1825</v>
      </c>
      <c r="U208" s="27">
        <v>208</v>
      </c>
    </row>
    <row r="209" s="3" customFormat="1" customHeight="1" spans="1:21">
      <c r="A209" s="144">
        <v>44359.5703587963</v>
      </c>
      <c r="B209" s="27" t="s">
        <v>1826</v>
      </c>
      <c r="C209" s="27" t="s">
        <v>1827</v>
      </c>
      <c r="D209" s="162" t="s">
        <v>1828</v>
      </c>
      <c r="E209" s="162" t="s">
        <v>165</v>
      </c>
      <c r="F209" s="162" t="s">
        <v>1829</v>
      </c>
      <c r="G209" s="27">
        <v>18797851564</v>
      </c>
      <c r="H209" s="162" t="s">
        <v>1830</v>
      </c>
      <c r="I209" s="162" t="s">
        <v>156</v>
      </c>
      <c r="J209" s="162" t="s">
        <v>14</v>
      </c>
      <c r="K209" s="27">
        <v>202102001</v>
      </c>
      <c r="L209" s="162" t="s">
        <v>157</v>
      </c>
      <c r="M209" s="162" t="s">
        <v>1831</v>
      </c>
      <c r="N209" s="162" t="s">
        <v>1832</v>
      </c>
      <c r="O209" s="162" t="s">
        <v>160</v>
      </c>
      <c r="P209" s="162" t="s">
        <v>171</v>
      </c>
      <c r="Q209" s="162" t="s">
        <v>14</v>
      </c>
      <c r="R209" s="162" t="s">
        <v>1833</v>
      </c>
      <c r="S209" s="118" t="str">
        <f>_xlfn.DISPIMG("ID_9C01FBB9DB4A4DB19EA599EA9C699E26",1)</f>
        <v>=DISPIMG("ID_9C01FBB9DB4A4DB19EA599EA9C699E26",1)</v>
      </c>
      <c r="T209" s="115" t="s">
        <v>1834</v>
      </c>
      <c r="U209" s="27">
        <v>209</v>
      </c>
    </row>
    <row r="210" s="3" customFormat="1" customHeight="1" spans="1:21">
      <c r="A210" s="144">
        <v>44359.6369907407</v>
      </c>
      <c r="B210" s="27" t="s">
        <v>1835</v>
      </c>
      <c r="C210" s="27" t="s">
        <v>1836</v>
      </c>
      <c r="D210" s="162" t="s">
        <v>1837</v>
      </c>
      <c r="E210" s="162" t="s">
        <v>165</v>
      </c>
      <c r="F210" s="162" t="s">
        <v>1838</v>
      </c>
      <c r="G210" s="27">
        <v>13480509971</v>
      </c>
      <c r="H210" s="162" t="s">
        <v>1839</v>
      </c>
      <c r="I210" s="162" t="s">
        <v>156</v>
      </c>
      <c r="J210" s="162" t="s">
        <v>8</v>
      </c>
      <c r="K210" s="27">
        <v>202102002</v>
      </c>
      <c r="L210" s="162" t="s">
        <v>157</v>
      </c>
      <c r="M210" s="162" t="s">
        <v>540</v>
      </c>
      <c r="N210" s="162" t="s">
        <v>1840</v>
      </c>
      <c r="O210" s="162" t="s">
        <v>160</v>
      </c>
      <c r="P210" s="162" t="s">
        <v>587</v>
      </c>
      <c r="Q210" s="162" t="s">
        <v>1841</v>
      </c>
      <c r="R210" s="162" t="s">
        <v>1842</v>
      </c>
      <c r="S210" s="118" t="str">
        <f>_xlfn.DISPIMG("ID_0F8BA8686B8D4F92BF1EF6F4CB55E695",1)</f>
        <v>=DISPIMG("ID_0F8BA8686B8D4F92BF1EF6F4CB55E695",1)</v>
      </c>
      <c r="T210" s="115" t="s">
        <v>1843</v>
      </c>
      <c r="U210" s="27">
        <v>210</v>
      </c>
    </row>
    <row r="211" s="3" customFormat="1" customHeight="1" spans="1:21">
      <c r="A211" s="144">
        <v>44359.6407523148</v>
      </c>
      <c r="B211" s="27" t="s">
        <v>1844</v>
      </c>
      <c r="C211" s="27" t="s">
        <v>1845</v>
      </c>
      <c r="D211" s="162" t="s">
        <v>1846</v>
      </c>
      <c r="E211" s="162" t="s">
        <v>165</v>
      </c>
      <c r="F211" s="162" t="s">
        <v>1847</v>
      </c>
      <c r="G211" s="27">
        <v>18879254089</v>
      </c>
      <c r="H211" s="162" t="s">
        <v>1848</v>
      </c>
      <c r="I211" s="162" t="s">
        <v>156</v>
      </c>
      <c r="J211" s="162" t="s">
        <v>5</v>
      </c>
      <c r="K211" s="27">
        <v>202102008</v>
      </c>
      <c r="L211" s="162" t="s">
        <v>279</v>
      </c>
      <c r="M211" s="162" t="s">
        <v>158</v>
      </c>
      <c r="N211" s="162" t="s">
        <v>1849</v>
      </c>
      <c r="O211" s="162" t="s">
        <v>170</v>
      </c>
      <c r="P211" s="162" t="s">
        <v>396</v>
      </c>
      <c r="Q211" s="162" t="s">
        <v>1850</v>
      </c>
      <c r="R211" s="162" t="s">
        <v>1851</v>
      </c>
      <c r="S211" s="118" t="str">
        <f>_xlfn.DISPIMG("ID_19DBAF911A5F41D795A3B7585DA543D3",1)</f>
        <v>=DISPIMG("ID_19DBAF911A5F41D795A3B7585DA543D3",1)</v>
      </c>
      <c r="T211" s="115" t="s">
        <v>1852</v>
      </c>
      <c r="U211" s="27">
        <v>211</v>
      </c>
    </row>
    <row r="212" s="5" customFormat="1" customHeight="1" spans="1:21">
      <c r="A212" s="146">
        <v>44362.8955439815</v>
      </c>
      <c r="B212" s="116" t="s">
        <v>1853</v>
      </c>
      <c r="C212" s="116" t="s">
        <v>1854</v>
      </c>
      <c r="D212" s="165" t="s">
        <v>1855</v>
      </c>
      <c r="E212" s="165" t="s">
        <v>165</v>
      </c>
      <c r="F212" s="165" t="s">
        <v>1856</v>
      </c>
      <c r="G212" s="116">
        <v>18070128291</v>
      </c>
      <c r="H212" s="165" t="s">
        <v>1857</v>
      </c>
      <c r="I212" s="165" t="s">
        <v>278</v>
      </c>
      <c r="J212" s="165" t="s">
        <v>28</v>
      </c>
      <c r="K212" s="116">
        <v>202103001</v>
      </c>
      <c r="L212" s="165" t="s">
        <v>279</v>
      </c>
      <c r="M212" s="165" t="s">
        <v>732</v>
      </c>
      <c r="N212" s="165" t="s">
        <v>1489</v>
      </c>
      <c r="O212" s="165" t="s">
        <v>170</v>
      </c>
      <c r="P212" s="165" t="s">
        <v>733</v>
      </c>
      <c r="Q212" s="165" t="s">
        <v>517</v>
      </c>
      <c r="R212" s="165" t="s">
        <v>1858</v>
      </c>
      <c r="S212" s="119" t="str">
        <f>_xlfn.DISPIMG("ID_2E8A5FF2C7EA4CF3BCF137C2FDB07272",1)</f>
        <v>=DISPIMG("ID_2E8A5FF2C7EA4CF3BCF137C2FDB07272",1)</v>
      </c>
      <c r="T212" s="120" t="s">
        <v>1859</v>
      </c>
      <c r="U212" s="27">
        <v>212</v>
      </c>
    </row>
    <row r="213" s="4" customFormat="1" customHeight="1" spans="1:21">
      <c r="A213" s="145">
        <v>44362.8981365741</v>
      </c>
      <c r="B213" s="22" t="s">
        <v>1860</v>
      </c>
      <c r="C213" s="22" t="s">
        <v>1861</v>
      </c>
      <c r="D213" s="164" t="s">
        <v>1862</v>
      </c>
      <c r="E213" s="164" t="s">
        <v>165</v>
      </c>
      <c r="F213" s="164" t="s">
        <v>1863</v>
      </c>
      <c r="G213" s="22">
        <v>18279208748</v>
      </c>
      <c r="H213" s="164" t="s">
        <v>1864</v>
      </c>
      <c r="I213" s="164" t="s">
        <v>278</v>
      </c>
      <c r="J213" s="164" t="s">
        <v>28</v>
      </c>
      <c r="K213" s="22">
        <v>202102022</v>
      </c>
      <c r="L213" s="164" t="s">
        <v>279</v>
      </c>
      <c r="M213" s="164" t="s">
        <v>1258</v>
      </c>
      <c r="N213" s="164" t="s">
        <v>280</v>
      </c>
      <c r="O213" s="164" t="s">
        <v>170</v>
      </c>
      <c r="P213" s="164" t="s">
        <v>199</v>
      </c>
      <c r="Q213" s="164" t="s">
        <v>376</v>
      </c>
      <c r="R213" s="22">
        <v>0</v>
      </c>
      <c r="S213" s="23" t="str">
        <f>_xlfn.DISPIMG("ID_017E111E073649D082B1F8432485C7B9",1)</f>
        <v>=DISPIMG("ID_017E111E073649D082B1F8432485C7B9",1)</v>
      </c>
      <c r="T213" s="103" t="s">
        <v>1865</v>
      </c>
      <c r="U213" s="27">
        <v>213</v>
      </c>
    </row>
    <row r="214" s="3" customFormat="1" customHeight="1" spans="1:21">
      <c r="A214" s="144">
        <v>44359.6661805556</v>
      </c>
      <c r="B214" s="27" t="s">
        <v>1866</v>
      </c>
      <c r="C214" s="27" t="s">
        <v>1867</v>
      </c>
      <c r="D214" s="162" t="s">
        <v>1868</v>
      </c>
      <c r="E214" s="162" t="s">
        <v>165</v>
      </c>
      <c r="F214" s="162" t="s">
        <v>1869</v>
      </c>
      <c r="G214" s="27">
        <v>18270285866</v>
      </c>
      <c r="H214" s="162" t="s">
        <v>1870</v>
      </c>
      <c r="I214" s="162" t="s">
        <v>156</v>
      </c>
      <c r="J214" s="162" t="s">
        <v>13</v>
      </c>
      <c r="K214" s="27">
        <v>202102003</v>
      </c>
      <c r="L214" s="162" t="s">
        <v>157</v>
      </c>
      <c r="M214" s="162" t="s">
        <v>697</v>
      </c>
      <c r="N214" s="162" t="s">
        <v>179</v>
      </c>
      <c r="O214" s="162" t="s">
        <v>160</v>
      </c>
      <c r="P214" s="162" t="s">
        <v>161</v>
      </c>
      <c r="Q214" s="162" t="s">
        <v>13</v>
      </c>
      <c r="R214" s="162" t="s">
        <v>1871</v>
      </c>
      <c r="S214" s="118" t="str">
        <f>_xlfn.DISPIMG("ID_8FA08A92AF314DECB56C8C1E101E9B2E",1)</f>
        <v>=DISPIMG("ID_8FA08A92AF314DECB56C8C1E101E9B2E",1)</v>
      </c>
      <c r="T214" s="115" t="s">
        <v>1872</v>
      </c>
      <c r="U214" s="27">
        <v>214</v>
      </c>
    </row>
    <row r="215" s="98" customFormat="1" customHeight="1" spans="1:21">
      <c r="A215" s="148">
        <v>44361.9299189815</v>
      </c>
      <c r="B215" s="21" t="s">
        <v>1873</v>
      </c>
      <c r="C215" s="21" t="s">
        <v>1874</v>
      </c>
      <c r="D215" s="163" t="s">
        <v>1875</v>
      </c>
      <c r="E215" s="163" t="s">
        <v>165</v>
      </c>
      <c r="F215" s="163" t="s">
        <v>1876</v>
      </c>
      <c r="G215" s="21">
        <v>13200000000</v>
      </c>
      <c r="H215" s="163" t="s">
        <v>1877</v>
      </c>
      <c r="I215" s="163" t="s">
        <v>156</v>
      </c>
      <c r="J215" s="163" t="s">
        <v>14</v>
      </c>
      <c r="K215" s="21">
        <v>202102001</v>
      </c>
      <c r="L215" s="163" t="s">
        <v>279</v>
      </c>
      <c r="M215" s="163" t="s">
        <v>1293</v>
      </c>
      <c r="N215" s="163" t="s">
        <v>1878</v>
      </c>
      <c r="O215" s="163" t="s">
        <v>170</v>
      </c>
      <c r="P215" s="163" t="s">
        <v>455</v>
      </c>
      <c r="Q215" s="163" t="s">
        <v>638</v>
      </c>
      <c r="R215" s="21">
        <v>0</v>
      </c>
      <c r="S215" s="100" t="str">
        <f>_xlfn.DISPIMG("ID_A9F2D09EBA944BE781283812DE974E78",1)</f>
        <v>=DISPIMG("ID_A9F2D09EBA944BE781283812DE974E78",1)</v>
      </c>
      <c r="T215" s="99" t="s">
        <v>1879</v>
      </c>
      <c r="U215" s="21">
        <v>215</v>
      </c>
    </row>
    <row r="216" s="3" customFormat="1" customHeight="1" spans="1:21">
      <c r="A216" s="144">
        <v>44359.6759722222</v>
      </c>
      <c r="B216" s="27" t="s">
        <v>1880</v>
      </c>
      <c r="C216" s="27" t="s">
        <v>1881</v>
      </c>
      <c r="D216" s="162" t="s">
        <v>1882</v>
      </c>
      <c r="E216" s="162" t="s">
        <v>165</v>
      </c>
      <c r="F216" s="162" t="s">
        <v>1883</v>
      </c>
      <c r="G216" s="27">
        <v>19807985498</v>
      </c>
      <c r="H216" s="162" t="s">
        <v>1884</v>
      </c>
      <c r="I216" s="162" t="s">
        <v>156</v>
      </c>
      <c r="J216" s="162" t="s">
        <v>4</v>
      </c>
      <c r="K216" s="27">
        <v>202102005</v>
      </c>
      <c r="L216" s="162" t="s">
        <v>279</v>
      </c>
      <c r="M216" s="162" t="s">
        <v>269</v>
      </c>
      <c r="N216" s="162" t="s">
        <v>1088</v>
      </c>
      <c r="O216" s="162" t="s">
        <v>170</v>
      </c>
      <c r="P216" s="162" t="s">
        <v>171</v>
      </c>
      <c r="Q216" s="162" t="s">
        <v>1885</v>
      </c>
      <c r="R216" s="162" t="s">
        <v>1886</v>
      </c>
      <c r="S216" s="118" t="str">
        <f>_xlfn.DISPIMG("ID_D29EC84107E94871B7B70E677BC40AB8",1)</f>
        <v>=DISPIMG("ID_D29EC84107E94871B7B70E677BC40AB8",1)</v>
      </c>
      <c r="T216" s="115" t="s">
        <v>1887</v>
      </c>
      <c r="U216" s="27">
        <v>216</v>
      </c>
    </row>
    <row r="217" s="3" customFormat="1" customHeight="1" spans="1:21">
      <c r="A217" s="144">
        <v>44359.685625</v>
      </c>
      <c r="B217" s="27" t="s">
        <v>1888</v>
      </c>
      <c r="C217" s="27" t="s">
        <v>1889</v>
      </c>
      <c r="D217" s="162" t="s">
        <v>1890</v>
      </c>
      <c r="E217" s="162" t="s">
        <v>165</v>
      </c>
      <c r="F217" s="162" t="s">
        <v>1891</v>
      </c>
      <c r="G217" s="27">
        <v>18770267494</v>
      </c>
      <c r="H217" s="162" t="s">
        <v>1892</v>
      </c>
      <c r="I217" s="162" t="s">
        <v>156</v>
      </c>
      <c r="J217" s="162" t="s">
        <v>13</v>
      </c>
      <c r="K217" s="27">
        <v>202102003</v>
      </c>
      <c r="L217" s="162" t="s">
        <v>157</v>
      </c>
      <c r="M217" s="162" t="s">
        <v>646</v>
      </c>
      <c r="N217" s="162" t="s">
        <v>179</v>
      </c>
      <c r="O217" s="162" t="s">
        <v>160</v>
      </c>
      <c r="P217" s="162" t="s">
        <v>161</v>
      </c>
      <c r="Q217" s="162" t="s">
        <v>25</v>
      </c>
      <c r="R217" s="162" t="s">
        <v>1893</v>
      </c>
      <c r="S217" s="118" t="str">
        <f>_xlfn.DISPIMG("ID_E3FEEF4304AD40319195B6CB72FAB7DA",1)</f>
        <v>=DISPIMG("ID_E3FEEF4304AD40319195B6CB72FAB7DA",1)</v>
      </c>
      <c r="T217" s="115" t="s">
        <v>1894</v>
      </c>
      <c r="U217" s="27">
        <v>217</v>
      </c>
    </row>
    <row r="218" s="4" customFormat="1" customHeight="1" spans="1:21">
      <c r="A218" s="145">
        <v>44362.9111342593</v>
      </c>
      <c r="B218" s="22" t="s">
        <v>1895</v>
      </c>
      <c r="C218" s="22" t="s">
        <v>1896</v>
      </c>
      <c r="D218" s="164" t="s">
        <v>1897</v>
      </c>
      <c r="E218" s="164" t="s">
        <v>165</v>
      </c>
      <c r="F218" s="164" t="s">
        <v>1898</v>
      </c>
      <c r="G218" s="22">
        <v>13588255405</v>
      </c>
      <c r="H218" s="164" t="s">
        <v>1899</v>
      </c>
      <c r="I218" s="164" t="s">
        <v>156</v>
      </c>
      <c r="J218" s="164" t="s">
        <v>15</v>
      </c>
      <c r="K218" s="22">
        <v>202102007</v>
      </c>
      <c r="L218" s="164" t="s">
        <v>157</v>
      </c>
      <c r="M218" s="164" t="s">
        <v>1900</v>
      </c>
      <c r="N218" s="164" t="s">
        <v>179</v>
      </c>
      <c r="O218" s="164" t="s">
        <v>160</v>
      </c>
      <c r="P218" s="164" t="s">
        <v>235</v>
      </c>
      <c r="Q218" s="164" t="s">
        <v>15</v>
      </c>
      <c r="R218" s="22">
        <v>0</v>
      </c>
      <c r="S218" s="23" t="str">
        <f>_xlfn.DISPIMG("ID_427E6301FF984C74BA8E87820A04494C",1)</f>
        <v>=DISPIMG("ID_427E6301FF984C74BA8E87820A04494C",1)</v>
      </c>
      <c r="T218" s="103" t="s">
        <v>1901</v>
      </c>
      <c r="U218" s="27">
        <v>218</v>
      </c>
    </row>
    <row r="219" s="3" customFormat="1" customHeight="1" spans="1:21">
      <c r="A219" s="144">
        <v>44359.7069328704</v>
      </c>
      <c r="B219" s="27" t="s">
        <v>1902</v>
      </c>
      <c r="C219" s="27" t="s">
        <v>1903</v>
      </c>
      <c r="D219" s="162" t="s">
        <v>1904</v>
      </c>
      <c r="E219" s="162" t="s">
        <v>165</v>
      </c>
      <c r="F219" s="162" t="s">
        <v>1905</v>
      </c>
      <c r="G219" s="27">
        <v>15070412978</v>
      </c>
      <c r="H219" s="162" t="s">
        <v>1906</v>
      </c>
      <c r="I219" s="162" t="s">
        <v>156</v>
      </c>
      <c r="J219" s="162" t="s">
        <v>8</v>
      </c>
      <c r="K219" s="27">
        <v>202102002</v>
      </c>
      <c r="L219" s="162" t="s">
        <v>157</v>
      </c>
      <c r="M219" s="162" t="s">
        <v>233</v>
      </c>
      <c r="N219" s="162" t="s">
        <v>454</v>
      </c>
      <c r="O219" s="162" t="s">
        <v>170</v>
      </c>
      <c r="P219" s="162" t="s">
        <v>1907</v>
      </c>
      <c r="Q219" s="162" t="s">
        <v>8</v>
      </c>
      <c r="R219" s="162" t="s">
        <v>1908</v>
      </c>
      <c r="S219" s="118" t="str">
        <f>_xlfn.DISPIMG("ID_02D14B5C83BE4DBBBCAAA0B55D7FE392",1)</f>
        <v>=DISPIMG("ID_02D14B5C83BE4DBBBCAAA0B55D7FE392",1)</v>
      </c>
      <c r="T219" s="115" t="s">
        <v>1909</v>
      </c>
      <c r="U219" s="27">
        <v>219</v>
      </c>
    </row>
    <row r="220" s="3" customFormat="1" customHeight="1" spans="1:21">
      <c r="A220" s="144">
        <v>44359.7107986111</v>
      </c>
      <c r="B220" s="27" t="s">
        <v>1910</v>
      </c>
      <c r="C220" s="27" t="s">
        <v>1911</v>
      </c>
      <c r="D220" s="162" t="s">
        <v>1912</v>
      </c>
      <c r="E220" s="162" t="s">
        <v>165</v>
      </c>
      <c r="F220" s="162" t="s">
        <v>1913</v>
      </c>
      <c r="G220" s="27">
        <v>15079288765</v>
      </c>
      <c r="H220" s="162" t="s">
        <v>1914</v>
      </c>
      <c r="I220" s="162" t="s">
        <v>297</v>
      </c>
      <c r="J220" s="162" t="s">
        <v>25</v>
      </c>
      <c r="K220" s="27">
        <v>202101008</v>
      </c>
      <c r="L220" s="162" t="s">
        <v>157</v>
      </c>
      <c r="M220" s="162" t="s">
        <v>233</v>
      </c>
      <c r="N220" s="162" t="s">
        <v>298</v>
      </c>
      <c r="O220" s="162" t="s">
        <v>160</v>
      </c>
      <c r="P220" s="162" t="s">
        <v>587</v>
      </c>
      <c r="Q220" s="162" t="s">
        <v>25</v>
      </c>
      <c r="R220" s="162" t="s">
        <v>1915</v>
      </c>
      <c r="S220" s="118" t="str">
        <f>_xlfn.DISPIMG("ID_845D85CFFC3A4B2FB996A756749DD1B9",1)</f>
        <v>=DISPIMG("ID_845D85CFFC3A4B2FB996A756749DD1B9",1)</v>
      </c>
      <c r="T220" s="115" t="s">
        <v>1916</v>
      </c>
      <c r="U220" s="27">
        <v>220</v>
      </c>
    </row>
    <row r="221" s="3" customFormat="1" customHeight="1" spans="1:21">
      <c r="A221" s="144">
        <v>44359.7581365741</v>
      </c>
      <c r="B221" s="27" t="s">
        <v>1917</v>
      </c>
      <c r="C221" s="27" t="s">
        <v>1918</v>
      </c>
      <c r="D221" s="162" t="s">
        <v>1919</v>
      </c>
      <c r="E221" s="162" t="s">
        <v>153</v>
      </c>
      <c r="F221" s="162" t="s">
        <v>1920</v>
      </c>
      <c r="G221" s="27">
        <v>18046826639</v>
      </c>
      <c r="H221" s="162" t="s">
        <v>1921</v>
      </c>
      <c r="I221" s="162" t="s">
        <v>278</v>
      </c>
      <c r="J221" s="162" t="s">
        <v>28</v>
      </c>
      <c r="K221" s="27">
        <v>202103001</v>
      </c>
      <c r="L221" s="162" t="s">
        <v>279</v>
      </c>
      <c r="M221" s="162" t="s">
        <v>765</v>
      </c>
      <c r="N221" s="162" t="s">
        <v>280</v>
      </c>
      <c r="O221" s="162" t="s">
        <v>170</v>
      </c>
      <c r="P221" s="162" t="s">
        <v>455</v>
      </c>
      <c r="Q221" s="162" t="s">
        <v>376</v>
      </c>
      <c r="R221" s="27">
        <v>0</v>
      </c>
      <c r="S221" s="118" t="str">
        <f>_xlfn.DISPIMG("ID_A79FF9B64919489DB578A9ECC96B1C96",1)</f>
        <v>=DISPIMG("ID_A79FF9B64919489DB578A9ECC96B1C96",1)</v>
      </c>
      <c r="T221" s="115" t="s">
        <v>1922</v>
      </c>
      <c r="U221" s="27">
        <v>221</v>
      </c>
    </row>
    <row r="222" s="3" customFormat="1" customHeight="1" spans="1:21">
      <c r="A222" s="144">
        <v>44359.7646527778</v>
      </c>
      <c r="B222" s="27" t="s">
        <v>1923</v>
      </c>
      <c r="C222" s="27" t="s">
        <v>1924</v>
      </c>
      <c r="D222" s="162" t="s">
        <v>1925</v>
      </c>
      <c r="E222" s="162" t="s">
        <v>165</v>
      </c>
      <c r="F222" s="162" t="s">
        <v>1926</v>
      </c>
      <c r="G222" s="27">
        <v>18000203663</v>
      </c>
      <c r="H222" s="162" t="s">
        <v>1927</v>
      </c>
      <c r="I222" s="162" t="s">
        <v>156</v>
      </c>
      <c r="J222" s="162" t="s">
        <v>13</v>
      </c>
      <c r="K222" s="27">
        <v>202102003</v>
      </c>
      <c r="L222" s="162" t="s">
        <v>157</v>
      </c>
      <c r="M222" s="162" t="s">
        <v>611</v>
      </c>
      <c r="N222" s="162" t="s">
        <v>179</v>
      </c>
      <c r="O222" s="162" t="s">
        <v>160</v>
      </c>
      <c r="P222" s="162" t="s">
        <v>281</v>
      </c>
      <c r="Q222" s="162" t="s">
        <v>13</v>
      </c>
      <c r="R222" s="162" t="s">
        <v>1928</v>
      </c>
      <c r="S222" s="118" t="str">
        <f>_xlfn.DISPIMG("ID_F763BF131F364181A17D865B8B797D97",1)</f>
        <v>=DISPIMG("ID_F763BF131F364181A17D865B8B797D97",1)</v>
      </c>
      <c r="T222" s="115" t="s">
        <v>1929</v>
      </c>
      <c r="U222" s="27">
        <v>222</v>
      </c>
    </row>
    <row r="223" s="3" customFormat="1" customHeight="1" spans="1:21">
      <c r="A223" s="144">
        <v>44359.8156481481</v>
      </c>
      <c r="B223" s="27" t="s">
        <v>1930</v>
      </c>
      <c r="C223" s="27" t="s">
        <v>1931</v>
      </c>
      <c r="D223" s="162" t="s">
        <v>1932</v>
      </c>
      <c r="E223" s="162" t="s">
        <v>165</v>
      </c>
      <c r="F223" s="162" t="s">
        <v>1933</v>
      </c>
      <c r="G223" s="27">
        <v>13507099496</v>
      </c>
      <c r="H223" s="162" t="s">
        <v>1934</v>
      </c>
      <c r="I223" s="162" t="s">
        <v>384</v>
      </c>
      <c r="J223" s="162" t="s">
        <v>26</v>
      </c>
      <c r="K223" s="27">
        <v>202101002</v>
      </c>
      <c r="L223" s="162" t="s">
        <v>157</v>
      </c>
      <c r="M223" s="162" t="s">
        <v>827</v>
      </c>
      <c r="N223" s="162" t="s">
        <v>454</v>
      </c>
      <c r="O223" s="162" t="s">
        <v>170</v>
      </c>
      <c r="P223" s="162" t="s">
        <v>199</v>
      </c>
      <c r="Q223" s="162" t="s">
        <v>324</v>
      </c>
      <c r="R223" s="162" t="s">
        <v>1935</v>
      </c>
      <c r="S223" s="118" t="str">
        <f>_xlfn.DISPIMG("ID_4ED50304A31443EC8E946100C168F137",1)</f>
        <v>=DISPIMG("ID_4ED50304A31443EC8E946100C168F137",1)</v>
      </c>
      <c r="T223" s="115" t="s">
        <v>1936</v>
      </c>
      <c r="U223" s="27">
        <v>223</v>
      </c>
    </row>
    <row r="224" s="3" customFormat="1" customHeight="1" spans="1:21">
      <c r="A224" s="144">
        <v>44359.8528703704</v>
      </c>
      <c r="B224" s="27" t="s">
        <v>1937</v>
      </c>
      <c r="C224" s="27" t="s">
        <v>1938</v>
      </c>
      <c r="D224" s="162" t="s">
        <v>1939</v>
      </c>
      <c r="E224" s="162" t="s">
        <v>165</v>
      </c>
      <c r="F224" s="162" t="s">
        <v>1940</v>
      </c>
      <c r="G224" s="27">
        <v>15727538228</v>
      </c>
      <c r="H224" s="162" t="s">
        <v>1941</v>
      </c>
      <c r="I224" s="162" t="s">
        <v>156</v>
      </c>
      <c r="J224" s="162" t="s">
        <v>14</v>
      </c>
      <c r="K224" s="27">
        <v>202102001</v>
      </c>
      <c r="L224" s="162" t="s">
        <v>157</v>
      </c>
      <c r="M224" s="162" t="s">
        <v>233</v>
      </c>
      <c r="N224" s="162" t="s">
        <v>454</v>
      </c>
      <c r="O224" s="162" t="s">
        <v>170</v>
      </c>
      <c r="P224" s="162" t="s">
        <v>1942</v>
      </c>
      <c r="Q224" s="162" t="s">
        <v>498</v>
      </c>
      <c r="R224" s="162" t="s">
        <v>1943</v>
      </c>
      <c r="S224" s="118" t="str">
        <f>_xlfn.DISPIMG("ID_1C58977D34D3459483FD1AF3B2109430",1)</f>
        <v>=DISPIMG("ID_1C58977D34D3459483FD1AF3B2109430",1)</v>
      </c>
      <c r="T224" s="115" t="s">
        <v>1944</v>
      </c>
      <c r="U224" s="27">
        <v>224</v>
      </c>
    </row>
    <row r="225" s="3" customFormat="1" customHeight="1" spans="1:21">
      <c r="A225" s="144">
        <v>44359.8528819444</v>
      </c>
      <c r="B225" s="27" t="s">
        <v>1945</v>
      </c>
      <c r="C225" s="27" t="s">
        <v>1946</v>
      </c>
      <c r="D225" s="162" t="s">
        <v>1947</v>
      </c>
      <c r="E225" s="162" t="s">
        <v>165</v>
      </c>
      <c r="F225" s="162" t="s">
        <v>1948</v>
      </c>
      <c r="G225" s="27">
        <v>15070578947</v>
      </c>
      <c r="H225" s="162" t="s">
        <v>1949</v>
      </c>
      <c r="I225" s="162" t="s">
        <v>156</v>
      </c>
      <c r="J225" s="162" t="s">
        <v>14</v>
      </c>
      <c r="K225" s="27">
        <v>202102001</v>
      </c>
      <c r="L225" s="162" t="s">
        <v>279</v>
      </c>
      <c r="M225" s="162" t="s">
        <v>1523</v>
      </c>
      <c r="N225" s="162" t="s">
        <v>1950</v>
      </c>
      <c r="O225" s="162" t="s">
        <v>170</v>
      </c>
      <c r="P225" s="162" t="s">
        <v>396</v>
      </c>
      <c r="Q225" s="162" t="s">
        <v>14</v>
      </c>
      <c r="R225" s="162" t="s">
        <v>1951</v>
      </c>
      <c r="S225" s="118" t="str">
        <f>_xlfn.DISPIMG("ID_86A99051306F46439DFFA2E8604105B2",1)</f>
        <v>=DISPIMG("ID_86A99051306F46439DFFA2E8604105B2",1)</v>
      </c>
      <c r="T225" s="115" t="s">
        <v>1952</v>
      </c>
      <c r="U225" s="27">
        <v>225</v>
      </c>
    </row>
    <row r="226" s="3" customFormat="1" customHeight="1" spans="1:21">
      <c r="A226" s="144">
        <v>44359.8888194444</v>
      </c>
      <c r="B226" s="27" t="s">
        <v>1953</v>
      </c>
      <c r="C226" s="27" t="s">
        <v>1954</v>
      </c>
      <c r="D226" s="162" t="s">
        <v>1955</v>
      </c>
      <c r="E226" s="162" t="s">
        <v>165</v>
      </c>
      <c r="F226" s="162" t="s">
        <v>1956</v>
      </c>
      <c r="G226" s="27">
        <v>13687028289</v>
      </c>
      <c r="H226" s="162" t="s">
        <v>1957</v>
      </c>
      <c r="I226" s="162" t="s">
        <v>156</v>
      </c>
      <c r="J226" s="162" t="s">
        <v>14</v>
      </c>
      <c r="K226" s="27">
        <v>202102001</v>
      </c>
      <c r="L226" s="162" t="s">
        <v>279</v>
      </c>
      <c r="M226" s="162" t="s">
        <v>339</v>
      </c>
      <c r="N226" s="162" t="s">
        <v>348</v>
      </c>
      <c r="O226" s="162" t="s">
        <v>170</v>
      </c>
      <c r="P226" s="162" t="s">
        <v>180</v>
      </c>
      <c r="Q226" s="162" t="s">
        <v>638</v>
      </c>
      <c r="R226" s="162" t="s">
        <v>1958</v>
      </c>
      <c r="S226" s="118" t="str">
        <f>_xlfn.DISPIMG("ID_2D011236909B4AB48CEACAF4EB3A9013",1)</f>
        <v>=DISPIMG("ID_2D011236909B4AB48CEACAF4EB3A9013",1)</v>
      </c>
      <c r="T226" s="115" t="s">
        <v>1959</v>
      </c>
      <c r="U226" s="27">
        <v>226</v>
      </c>
    </row>
    <row r="227" s="3" customFormat="1" customHeight="1" spans="1:21">
      <c r="A227" s="144">
        <v>44359.8929398148</v>
      </c>
      <c r="B227" s="27" t="s">
        <v>1960</v>
      </c>
      <c r="C227" s="27" t="s">
        <v>1961</v>
      </c>
      <c r="D227" s="162" t="s">
        <v>1962</v>
      </c>
      <c r="E227" s="162" t="s">
        <v>165</v>
      </c>
      <c r="F227" s="162" t="s">
        <v>1963</v>
      </c>
      <c r="G227" s="27">
        <v>18279199773</v>
      </c>
      <c r="H227" s="162" t="s">
        <v>1964</v>
      </c>
      <c r="I227" s="162" t="s">
        <v>156</v>
      </c>
      <c r="J227" s="162" t="s">
        <v>14</v>
      </c>
      <c r="K227" s="27">
        <v>202102001</v>
      </c>
      <c r="L227" s="162" t="s">
        <v>157</v>
      </c>
      <c r="M227" s="162" t="s">
        <v>1121</v>
      </c>
      <c r="N227" s="162" t="s">
        <v>813</v>
      </c>
      <c r="O227" s="162" t="s">
        <v>160</v>
      </c>
      <c r="P227" s="162" t="s">
        <v>199</v>
      </c>
      <c r="Q227" s="162" t="s">
        <v>14</v>
      </c>
      <c r="R227" s="162" t="s">
        <v>1965</v>
      </c>
      <c r="S227" s="118" t="str">
        <f>_xlfn.DISPIMG("ID_978F05F9424741AE81F8E8335A7E991E",1)</f>
        <v>=DISPIMG("ID_978F05F9424741AE81F8E8335A7E991E",1)</v>
      </c>
      <c r="T227" s="115" t="s">
        <v>1966</v>
      </c>
      <c r="U227" s="27">
        <v>227</v>
      </c>
    </row>
    <row r="228" s="3" customFormat="1" customHeight="1" spans="1:21">
      <c r="A228" s="144">
        <v>44359.9081481481</v>
      </c>
      <c r="B228" s="27" t="s">
        <v>1967</v>
      </c>
      <c r="C228" s="27" t="s">
        <v>1968</v>
      </c>
      <c r="D228" s="162" t="s">
        <v>1969</v>
      </c>
      <c r="E228" s="162" t="s">
        <v>165</v>
      </c>
      <c r="F228" s="162" t="s">
        <v>1970</v>
      </c>
      <c r="G228" s="27">
        <v>13767214799</v>
      </c>
      <c r="H228" s="162" t="s">
        <v>1971</v>
      </c>
      <c r="I228" s="162" t="s">
        <v>278</v>
      </c>
      <c r="J228" s="162" t="s">
        <v>28</v>
      </c>
      <c r="K228" s="27">
        <v>202103001</v>
      </c>
      <c r="L228" s="162" t="s">
        <v>279</v>
      </c>
      <c r="M228" s="162" t="s">
        <v>1972</v>
      </c>
      <c r="N228" s="162" t="s">
        <v>280</v>
      </c>
      <c r="O228" s="162" t="s">
        <v>170</v>
      </c>
      <c r="P228" s="162" t="s">
        <v>368</v>
      </c>
      <c r="Q228" s="162" t="s">
        <v>121</v>
      </c>
      <c r="R228" s="162" t="s">
        <v>1973</v>
      </c>
      <c r="S228" s="118" t="str">
        <f>_xlfn.DISPIMG("ID_AAF95BF9A1304A0693E0346D90E4CF2C",1)</f>
        <v>=DISPIMG("ID_AAF95BF9A1304A0693E0346D90E4CF2C",1)</v>
      </c>
      <c r="T228" s="115" t="s">
        <v>1974</v>
      </c>
      <c r="U228" s="27">
        <v>228</v>
      </c>
    </row>
    <row r="229" s="3" customFormat="1" customHeight="1" spans="1:21">
      <c r="A229" s="144">
        <v>44359.9377314815</v>
      </c>
      <c r="B229" s="27" t="s">
        <v>1975</v>
      </c>
      <c r="C229" s="27" t="s">
        <v>1976</v>
      </c>
      <c r="D229" s="162" t="s">
        <v>1977</v>
      </c>
      <c r="E229" s="162" t="s">
        <v>165</v>
      </c>
      <c r="F229" s="162" t="s">
        <v>1978</v>
      </c>
      <c r="G229" s="27">
        <v>15070907830</v>
      </c>
      <c r="H229" s="162" t="s">
        <v>926</v>
      </c>
      <c r="I229" s="162" t="s">
        <v>156</v>
      </c>
      <c r="J229" s="162" t="s">
        <v>8</v>
      </c>
      <c r="K229" s="27">
        <v>202102002</v>
      </c>
      <c r="L229" s="162" t="s">
        <v>157</v>
      </c>
      <c r="M229" s="162" t="s">
        <v>827</v>
      </c>
      <c r="N229" s="162" t="s">
        <v>243</v>
      </c>
      <c r="O229" s="162" t="s">
        <v>160</v>
      </c>
      <c r="P229" s="162" t="s">
        <v>161</v>
      </c>
      <c r="Q229" s="162" t="s">
        <v>8</v>
      </c>
      <c r="R229" s="162" t="s">
        <v>1979</v>
      </c>
      <c r="S229" s="118" t="str">
        <f>_xlfn.DISPIMG("ID_4F2775F35FF241D1A9320534AD0F9FD6",1)</f>
        <v>=DISPIMG("ID_4F2775F35FF241D1A9320534AD0F9FD6",1)</v>
      </c>
      <c r="T229" s="115" t="s">
        <v>1980</v>
      </c>
      <c r="U229" s="27">
        <v>229</v>
      </c>
    </row>
    <row r="230" s="3" customFormat="1" customHeight="1" spans="1:21">
      <c r="A230" s="144">
        <v>44360.3646759259</v>
      </c>
      <c r="B230" s="27" t="s">
        <v>1981</v>
      </c>
      <c r="C230" s="27" t="s">
        <v>1982</v>
      </c>
      <c r="D230" s="162" t="s">
        <v>1983</v>
      </c>
      <c r="E230" s="162" t="s">
        <v>165</v>
      </c>
      <c r="F230" s="162" t="s">
        <v>1984</v>
      </c>
      <c r="G230" s="27">
        <v>15070924105</v>
      </c>
      <c r="H230" s="162" t="s">
        <v>1985</v>
      </c>
      <c r="I230" s="162" t="s">
        <v>156</v>
      </c>
      <c r="J230" s="162" t="s">
        <v>14</v>
      </c>
      <c r="K230" s="27">
        <v>202102001</v>
      </c>
      <c r="L230" s="162" t="s">
        <v>279</v>
      </c>
      <c r="M230" s="162" t="s">
        <v>515</v>
      </c>
      <c r="N230" s="162" t="s">
        <v>223</v>
      </c>
      <c r="O230" s="162" t="s">
        <v>170</v>
      </c>
      <c r="P230" s="162" t="s">
        <v>224</v>
      </c>
      <c r="Q230" s="162" t="s">
        <v>14</v>
      </c>
      <c r="R230" s="27">
        <v>0</v>
      </c>
      <c r="S230" s="118" t="str">
        <f>_xlfn.DISPIMG("ID_88D6D1C166864D0C988B38CB94A18A2D",1)</f>
        <v>=DISPIMG("ID_88D6D1C166864D0C988B38CB94A18A2D",1)</v>
      </c>
      <c r="T230" s="115" t="s">
        <v>1986</v>
      </c>
      <c r="U230" s="27">
        <v>230</v>
      </c>
    </row>
    <row r="231" s="3" customFormat="1" customHeight="1" spans="1:21">
      <c r="A231" s="144">
        <v>44360.3692824074</v>
      </c>
      <c r="B231" s="27" t="s">
        <v>1987</v>
      </c>
      <c r="C231" s="27" t="s">
        <v>1988</v>
      </c>
      <c r="D231" s="162" t="s">
        <v>1989</v>
      </c>
      <c r="E231" s="162" t="s">
        <v>165</v>
      </c>
      <c r="F231" s="162" t="s">
        <v>1990</v>
      </c>
      <c r="G231" s="27">
        <v>18720291086</v>
      </c>
      <c r="H231" s="162" t="s">
        <v>1991</v>
      </c>
      <c r="I231" s="162" t="s">
        <v>156</v>
      </c>
      <c r="J231" s="162" t="s">
        <v>14</v>
      </c>
      <c r="K231" s="27">
        <v>202102001</v>
      </c>
      <c r="L231" s="162" t="s">
        <v>279</v>
      </c>
      <c r="M231" s="162" t="s">
        <v>367</v>
      </c>
      <c r="N231" s="162" t="s">
        <v>348</v>
      </c>
      <c r="O231" s="162" t="s">
        <v>170</v>
      </c>
      <c r="P231" s="162" t="s">
        <v>180</v>
      </c>
      <c r="Q231" s="162" t="s">
        <v>1992</v>
      </c>
      <c r="R231" s="162" t="s">
        <v>1993</v>
      </c>
      <c r="S231" s="118" t="str">
        <f>_xlfn.DISPIMG("ID_08685AD380B84575A97C010891A129EA",1)</f>
        <v>=DISPIMG("ID_08685AD380B84575A97C010891A129EA",1)</v>
      </c>
      <c r="T231" s="115" t="s">
        <v>1994</v>
      </c>
      <c r="U231" s="27">
        <v>231</v>
      </c>
    </row>
    <row r="232" s="3" customFormat="1" customHeight="1" spans="1:21">
      <c r="A232" s="144">
        <v>44360.4092476852</v>
      </c>
      <c r="B232" s="27" t="s">
        <v>1995</v>
      </c>
      <c r="C232" s="27" t="s">
        <v>1996</v>
      </c>
      <c r="D232" s="162" t="s">
        <v>1997</v>
      </c>
      <c r="E232" s="162" t="s">
        <v>165</v>
      </c>
      <c r="F232" s="162" t="s">
        <v>1998</v>
      </c>
      <c r="G232" s="27">
        <v>15270177023</v>
      </c>
      <c r="H232" s="162" t="s">
        <v>1999</v>
      </c>
      <c r="I232" s="162" t="s">
        <v>156</v>
      </c>
      <c r="J232" s="162" t="s">
        <v>13</v>
      </c>
      <c r="K232" s="27">
        <v>202102003</v>
      </c>
      <c r="L232" s="162" t="s">
        <v>157</v>
      </c>
      <c r="M232" s="162" t="s">
        <v>158</v>
      </c>
      <c r="N232" s="162" t="s">
        <v>2000</v>
      </c>
      <c r="O232" s="162" t="s">
        <v>160</v>
      </c>
      <c r="P232" s="162" t="s">
        <v>161</v>
      </c>
      <c r="Q232" s="162" t="s">
        <v>13</v>
      </c>
      <c r="R232" s="27">
        <v>0</v>
      </c>
      <c r="S232" s="118" t="str">
        <f>_xlfn.DISPIMG("ID_08A4D05852A0412E805E12227EDF1C33",1)</f>
        <v>=DISPIMG("ID_08A4D05852A0412E805E12227EDF1C33",1)</v>
      </c>
      <c r="T232" s="115" t="s">
        <v>2001</v>
      </c>
      <c r="U232" s="27">
        <v>232</v>
      </c>
    </row>
    <row r="233" s="3" customFormat="1" customHeight="1" spans="1:21">
      <c r="A233" s="144">
        <v>44360.424224537</v>
      </c>
      <c r="B233" s="27" t="s">
        <v>2002</v>
      </c>
      <c r="C233" s="27" t="s">
        <v>2003</v>
      </c>
      <c r="D233" s="162" t="s">
        <v>2004</v>
      </c>
      <c r="E233" s="162" t="s">
        <v>153</v>
      </c>
      <c r="F233" s="162" t="s">
        <v>2005</v>
      </c>
      <c r="G233" s="27">
        <v>18296155146</v>
      </c>
      <c r="H233" s="162" t="s">
        <v>2006</v>
      </c>
      <c r="I233" s="162" t="s">
        <v>156</v>
      </c>
      <c r="J233" s="162" t="s">
        <v>7</v>
      </c>
      <c r="K233" s="27">
        <v>202102006</v>
      </c>
      <c r="L233" s="162" t="s">
        <v>157</v>
      </c>
      <c r="M233" s="162" t="s">
        <v>1112</v>
      </c>
      <c r="N233" s="162" t="s">
        <v>159</v>
      </c>
      <c r="O233" s="162" t="s">
        <v>160</v>
      </c>
      <c r="P233" s="162" t="s">
        <v>368</v>
      </c>
      <c r="Q233" s="162" t="s">
        <v>2007</v>
      </c>
      <c r="R233" s="162" t="s">
        <v>2008</v>
      </c>
      <c r="S233" s="118" t="str">
        <f>_xlfn.DISPIMG("ID_56BCD58120C9403E8AA33B4C6EF6927A",1)</f>
        <v>=DISPIMG("ID_56BCD58120C9403E8AA33B4C6EF6927A",1)</v>
      </c>
      <c r="T233" s="115" t="s">
        <v>2009</v>
      </c>
      <c r="U233" s="27">
        <v>233</v>
      </c>
    </row>
    <row r="234" s="3" customFormat="1" customHeight="1" spans="1:21">
      <c r="A234" s="144">
        <v>44360.474837963</v>
      </c>
      <c r="B234" s="27" t="s">
        <v>2010</v>
      </c>
      <c r="C234" s="27" t="s">
        <v>2011</v>
      </c>
      <c r="D234" s="162" t="s">
        <v>2012</v>
      </c>
      <c r="E234" s="162" t="s">
        <v>165</v>
      </c>
      <c r="F234" s="162" t="s">
        <v>2013</v>
      </c>
      <c r="G234" s="27">
        <v>18970612776</v>
      </c>
      <c r="H234" s="162" t="s">
        <v>2014</v>
      </c>
      <c r="I234" s="162" t="s">
        <v>156</v>
      </c>
      <c r="J234" s="162" t="s">
        <v>13</v>
      </c>
      <c r="K234" s="27">
        <v>202102003</v>
      </c>
      <c r="L234" s="162" t="s">
        <v>279</v>
      </c>
      <c r="M234" s="162" t="s">
        <v>2015</v>
      </c>
      <c r="N234" s="162" t="s">
        <v>223</v>
      </c>
      <c r="O234" s="162" t="s">
        <v>170</v>
      </c>
      <c r="P234" s="162" t="s">
        <v>216</v>
      </c>
      <c r="Q234" s="162" t="s">
        <v>2016</v>
      </c>
      <c r="R234" s="162" t="s">
        <v>2017</v>
      </c>
      <c r="S234" s="118" t="str">
        <f>_xlfn.DISPIMG("ID_DBB8A81F2D854EDC847C805211582887",1)</f>
        <v>=DISPIMG("ID_DBB8A81F2D854EDC847C805211582887",1)</v>
      </c>
      <c r="T234" s="115" t="s">
        <v>2018</v>
      </c>
      <c r="U234" s="27">
        <v>234</v>
      </c>
    </row>
    <row r="235" s="3" customFormat="1" customHeight="1" spans="1:21">
      <c r="A235" s="144">
        <v>44360.5964930556</v>
      </c>
      <c r="B235" s="27" t="s">
        <v>2019</v>
      </c>
      <c r="C235" s="27" t="s">
        <v>2020</v>
      </c>
      <c r="D235" s="162" t="s">
        <v>2020</v>
      </c>
      <c r="E235" s="162" t="s">
        <v>165</v>
      </c>
      <c r="F235" s="162" t="s">
        <v>2021</v>
      </c>
      <c r="G235" s="27">
        <v>13607094902</v>
      </c>
      <c r="H235" s="162" t="s">
        <v>2022</v>
      </c>
      <c r="I235" s="162" t="s">
        <v>506</v>
      </c>
      <c r="J235" s="162" t="s">
        <v>13</v>
      </c>
      <c r="K235" s="27">
        <v>202102016</v>
      </c>
      <c r="L235" s="162" t="s">
        <v>157</v>
      </c>
      <c r="M235" s="162" t="s">
        <v>2015</v>
      </c>
      <c r="N235" s="162" t="s">
        <v>179</v>
      </c>
      <c r="O235" s="162" t="s">
        <v>170</v>
      </c>
      <c r="P235" s="162" t="s">
        <v>2023</v>
      </c>
      <c r="Q235" s="162" t="s">
        <v>13</v>
      </c>
      <c r="R235" s="162" t="s">
        <v>2024</v>
      </c>
      <c r="S235" s="118" t="str">
        <f>_xlfn.DISPIMG("ID_391065F92F2843D5ABEC64E49971BF9B",1)</f>
        <v>=DISPIMG("ID_391065F92F2843D5ABEC64E49971BF9B",1)</v>
      </c>
      <c r="T235" s="115" t="s">
        <v>2025</v>
      </c>
      <c r="U235" s="27">
        <v>235</v>
      </c>
    </row>
    <row r="236" s="3" customFormat="1" customHeight="1" spans="1:21">
      <c r="A236" s="144">
        <v>44360.61875</v>
      </c>
      <c r="B236" s="27" t="s">
        <v>2026</v>
      </c>
      <c r="C236" s="27" t="s">
        <v>2027</v>
      </c>
      <c r="D236" s="162" t="s">
        <v>2028</v>
      </c>
      <c r="E236" s="162" t="s">
        <v>165</v>
      </c>
      <c r="F236" s="162" t="s">
        <v>2029</v>
      </c>
      <c r="G236" s="27">
        <v>18379220348</v>
      </c>
      <c r="H236" s="162" t="s">
        <v>2030</v>
      </c>
      <c r="I236" s="162" t="s">
        <v>156</v>
      </c>
      <c r="J236" s="162" t="s">
        <v>14</v>
      </c>
      <c r="K236" s="27">
        <v>202102001</v>
      </c>
      <c r="L236" s="162" t="s">
        <v>157</v>
      </c>
      <c r="M236" s="162" t="s">
        <v>158</v>
      </c>
      <c r="N236" s="162" t="s">
        <v>1546</v>
      </c>
      <c r="O236" s="162" t="s">
        <v>170</v>
      </c>
      <c r="P236" s="162" t="s">
        <v>161</v>
      </c>
      <c r="Q236" s="162" t="s">
        <v>2031</v>
      </c>
      <c r="R236" s="162" t="s">
        <v>2032</v>
      </c>
      <c r="S236" s="118" t="str">
        <f>_xlfn.DISPIMG("ID_23D2336FF3CB4EA6B1558E965302CC98",1)</f>
        <v>=DISPIMG("ID_23D2336FF3CB4EA6B1558E965302CC98",1)</v>
      </c>
      <c r="T236" s="115" t="s">
        <v>2033</v>
      </c>
      <c r="U236" s="27">
        <v>236</v>
      </c>
    </row>
    <row r="237" s="3" customFormat="1" customHeight="1" spans="1:21">
      <c r="A237" s="144">
        <v>44360.6921296296</v>
      </c>
      <c r="B237" s="27" t="s">
        <v>2034</v>
      </c>
      <c r="C237" s="27" t="s">
        <v>2035</v>
      </c>
      <c r="D237" s="162" t="s">
        <v>2036</v>
      </c>
      <c r="E237" s="162" t="s">
        <v>165</v>
      </c>
      <c r="F237" s="162" t="s">
        <v>2037</v>
      </c>
      <c r="G237" s="27">
        <v>17770040821</v>
      </c>
      <c r="H237" s="162" t="s">
        <v>2038</v>
      </c>
      <c r="I237" s="162" t="s">
        <v>297</v>
      </c>
      <c r="J237" s="162" t="s">
        <v>23</v>
      </c>
      <c r="K237" s="27">
        <v>202101031</v>
      </c>
      <c r="L237" s="162" t="s">
        <v>157</v>
      </c>
      <c r="M237" s="162" t="s">
        <v>2039</v>
      </c>
      <c r="N237" s="162" t="s">
        <v>1147</v>
      </c>
      <c r="O237" s="162" t="s">
        <v>170</v>
      </c>
      <c r="P237" s="162" t="s">
        <v>368</v>
      </c>
      <c r="Q237" s="162" t="s">
        <v>23</v>
      </c>
      <c r="R237" s="162" t="s">
        <v>2040</v>
      </c>
      <c r="S237" s="118" t="str">
        <f>_xlfn.DISPIMG("ID_99E16B0934D843998C9152B322CD2339",1)</f>
        <v>=DISPIMG("ID_99E16B0934D843998C9152B322CD2339",1)</v>
      </c>
      <c r="T237" s="115" t="s">
        <v>2041</v>
      </c>
      <c r="U237" s="27">
        <v>237</v>
      </c>
    </row>
    <row r="238" s="3" customFormat="1" customHeight="1" spans="1:21">
      <c r="A238" s="144">
        <v>44360.6914930556</v>
      </c>
      <c r="B238" s="27" t="s">
        <v>2042</v>
      </c>
      <c r="C238" s="27" t="s">
        <v>2043</v>
      </c>
      <c r="D238" s="162" t="s">
        <v>2044</v>
      </c>
      <c r="E238" s="162" t="s">
        <v>153</v>
      </c>
      <c r="F238" s="162" t="s">
        <v>2045</v>
      </c>
      <c r="G238" s="27">
        <v>15949584388</v>
      </c>
      <c r="H238" s="162" t="s">
        <v>2046</v>
      </c>
      <c r="I238" s="162" t="s">
        <v>384</v>
      </c>
      <c r="J238" s="162" t="s">
        <v>20</v>
      </c>
      <c r="K238" s="27">
        <v>202101005</v>
      </c>
      <c r="L238" s="162" t="s">
        <v>157</v>
      </c>
      <c r="M238" s="162" t="s">
        <v>158</v>
      </c>
      <c r="N238" s="162" t="s">
        <v>270</v>
      </c>
      <c r="O238" s="162" t="s">
        <v>170</v>
      </c>
      <c r="P238" s="162" t="s">
        <v>2047</v>
      </c>
      <c r="Q238" s="162" t="s">
        <v>2048</v>
      </c>
      <c r="R238" s="162" t="s">
        <v>2049</v>
      </c>
      <c r="S238" s="118" t="str">
        <f>_xlfn.DISPIMG("ID_AA05B8B9BBB64A2C8B2DEFAC2B7912C3",1)</f>
        <v>=DISPIMG("ID_AA05B8B9BBB64A2C8B2DEFAC2B7912C3",1)</v>
      </c>
      <c r="T238" s="115" t="s">
        <v>2050</v>
      </c>
      <c r="U238" s="27">
        <v>238</v>
      </c>
    </row>
    <row r="239" s="3" customFormat="1" customHeight="1" spans="1:21">
      <c r="A239" s="144">
        <v>44360.6952430556</v>
      </c>
      <c r="B239" s="27" t="s">
        <v>2051</v>
      </c>
      <c r="C239" s="27" t="s">
        <v>2052</v>
      </c>
      <c r="D239" s="162" t="s">
        <v>2053</v>
      </c>
      <c r="E239" s="162" t="s">
        <v>165</v>
      </c>
      <c r="F239" s="162" t="s">
        <v>2054</v>
      </c>
      <c r="G239" s="27">
        <v>15079910015</v>
      </c>
      <c r="H239" s="162" t="s">
        <v>2055</v>
      </c>
      <c r="I239" s="162" t="s">
        <v>156</v>
      </c>
      <c r="J239" s="162" t="s">
        <v>14</v>
      </c>
      <c r="K239" s="27">
        <v>202102001</v>
      </c>
      <c r="L239" s="162" t="s">
        <v>279</v>
      </c>
      <c r="M239" s="162" t="s">
        <v>1424</v>
      </c>
      <c r="N239" s="162" t="s">
        <v>348</v>
      </c>
      <c r="O239" s="162" t="s">
        <v>170</v>
      </c>
      <c r="P239" s="162" t="s">
        <v>199</v>
      </c>
      <c r="Q239" s="162" t="s">
        <v>14</v>
      </c>
      <c r="R239" s="162" t="s">
        <v>2056</v>
      </c>
      <c r="S239" s="118" t="str">
        <f>_xlfn.DISPIMG("ID_4A26FAD7BD014883BE19E7EBABEADF70",1)</f>
        <v>=DISPIMG("ID_4A26FAD7BD014883BE19E7EBABEADF70",1)</v>
      </c>
      <c r="T239" s="115" t="s">
        <v>2057</v>
      </c>
      <c r="U239" s="27">
        <v>239</v>
      </c>
    </row>
    <row r="240" s="3" customFormat="1" customHeight="1" spans="1:21">
      <c r="A240" s="144">
        <v>44360.7139930556</v>
      </c>
      <c r="B240" s="27" t="s">
        <v>2058</v>
      </c>
      <c r="C240" s="27" t="s">
        <v>2059</v>
      </c>
      <c r="D240" s="162" t="s">
        <v>2060</v>
      </c>
      <c r="E240" s="162" t="s">
        <v>165</v>
      </c>
      <c r="F240" s="162" t="s">
        <v>2061</v>
      </c>
      <c r="G240" s="27">
        <v>15112002923</v>
      </c>
      <c r="H240" s="162" t="s">
        <v>2062</v>
      </c>
      <c r="I240" s="162" t="s">
        <v>278</v>
      </c>
      <c r="J240" s="162" t="s">
        <v>28</v>
      </c>
      <c r="K240" s="27">
        <v>202103001</v>
      </c>
      <c r="L240" s="162" t="s">
        <v>157</v>
      </c>
      <c r="M240" s="162" t="s">
        <v>2063</v>
      </c>
      <c r="N240" s="162" t="s">
        <v>280</v>
      </c>
      <c r="O240" s="162" t="s">
        <v>170</v>
      </c>
      <c r="P240" s="162" t="s">
        <v>2064</v>
      </c>
      <c r="Q240" s="162" t="s">
        <v>517</v>
      </c>
      <c r="R240" s="162" t="s">
        <v>2065</v>
      </c>
      <c r="S240" s="118" t="str">
        <f>_xlfn.DISPIMG("ID_BF9AE392AFDD4458A2909A9A2C941241",1)</f>
        <v>=DISPIMG("ID_BF9AE392AFDD4458A2909A9A2C941241",1)</v>
      </c>
      <c r="T240" s="115" t="s">
        <v>2066</v>
      </c>
      <c r="U240" s="27">
        <v>240</v>
      </c>
    </row>
    <row r="241" s="4" customFormat="1" customHeight="1" spans="1:21">
      <c r="A241" s="145">
        <v>44364.8658217593</v>
      </c>
      <c r="B241" s="22" t="s">
        <v>2067</v>
      </c>
      <c r="C241" s="22" t="s">
        <v>2068</v>
      </c>
      <c r="D241" s="164" t="s">
        <v>2069</v>
      </c>
      <c r="E241" s="164" t="s">
        <v>165</v>
      </c>
      <c r="F241" s="164" t="s">
        <v>2070</v>
      </c>
      <c r="G241" s="22">
        <v>18970492528</v>
      </c>
      <c r="H241" s="164" t="s">
        <v>2071</v>
      </c>
      <c r="I241" s="164" t="s">
        <v>384</v>
      </c>
      <c r="J241" s="164" t="s">
        <v>25</v>
      </c>
      <c r="K241" s="22">
        <v>202101007</v>
      </c>
      <c r="L241" s="164" t="s">
        <v>157</v>
      </c>
      <c r="M241" s="164" t="s">
        <v>233</v>
      </c>
      <c r="N241" s="164" t="s">
        <v>179</v>
      </c>
      <c r="O241" s="164" t="s">
        <v>170</v>
      </c>
      <c r="P241" s="164" t="s">
        <v>1346</v>
      </c>
      <c r="Q241" s="164" t="s">
        <v>25</v>
      </c>
      <c r="R241" s="164" t="s">
        <v>2072</v>
      </c>
      <c r="S241" s="23" t="str">
        <f>_xlfn.DISPIMG("ID_AE7BFEF114344F24954EA3AA4FC71BD8",1)</f>
        <v>=DISPIMG("ID_AE7BFEF114344F24954EA3AA4FC71BD8",1)</v>
      </c>
      <c r="T241" s="103" t="s">
        <v>2073</v>
      </c>
      <c r="U241" s="27">
        <v>241</v>
      </c>
    </row>
    <row r="242" s="3" customFormat="1" customHeight="1" spans="1:21">
      <c r="A242" s="144">
        <v>44360.7156018519</v>
      </c>
      <c r="B242" s="27" t="s">
        <v>2074</v>
      </c>
      <c r="C242" s="27" t="s">
        <v>2075</v>
      </c>
      <c r="D242" s="162" t="s">
        <v>2076</v>
      </c>
      <c r="E242" s="162" t="s">
        <v>153</v>
      </c>
      <c r="F242" s="162" t="s">
        <v>2077</v>
      </c>
      <c r="G242" s="27">
        <v>19951510515</v>
      </c>
      <c r="H242" s="162" t="s">
        <v>2078</v>
      </c>
      <c r="I242" s="162" t="s">
        <v>156</v>
      </c>
      <c r="J242" s="162" t="s">
        <v>8</v>
      </c>
      <c r="K242" s="27">
        <v>202102002</v>
      </c>
      <c r="L242" s="162" t="s">
        <v>279</v>
      </c>
      <c r="M242" s="162" t="s">
        <v>507</v>
      </c>
      <c r="N242" s="162" t="s">
        <v>497</v>
      </c>
      <c r="O242" s="162" t="s">
        <v>170</v>
      </c>
      <c r="P242" s="162" t="s">
        <v>224</v>
      </c>
      <c r="Q242" s="162" t="s">
        <v>989</v>
      </c>
      <c r="R242" s="162" t="s">
        <v>2079</v>
      </c>
      <c r="S242" s="118" t="str">
        <f>_xlfn.DISPIMG("ID_55D50712BDA742E9BE089E9AEF5CFD56",1)</f>
        <v>=DISPIMG("ID_55D50712BDA742E9BE089E9AEF5CFD56",1)</v>
      </c>
      <c r="T242" s="115" t="s">
        <v>2080</v>
      </c>
      <c r="U242" s="27">
        <v>242</v>
      </c>
    </row>
    <row r="243" s="3" customFormat="1" customHeight="1" spans="1:21">
      <c r="A243" s="144">
        <v>44360.7685532407</v>
      </c>
      <c r="B243" s="27" t="s">
        <v>2081</v>
      </c>
      <c r="C243" s="27" t="s">
        <v>2082</v>
      </c>
      <c r="D243" s="162" t="s">
        <v>2083</v>
      </c>
      <c r="E243" s="162" t="s">
        <v>165</v>
      </c>
      <c r="F243" s="162" t="s">
        <v>2084</v>
      </c>
      <c r="G243" s="27">
        <v>18816407325</v>
      </c>
      <c r="H243" s="162" t="s">
        <v>2085</v>
      </c>
      <c r="I243" s="162" t="s">
        <v>278</v>
      </c>
      <c r="J243" s="162" t="s">
        <v>28</v>
      </c>
      <c r="K243" s="27">
        <v>202103001</v>
      </c>
      <c r="L243" s="162" t="s">
        <v>157</v>
      </c>
      <c r="M243" s="162" t="s">
        <v>1258</v>
      </c>
      <c r="N243" s="162" t="s">
        <v>280</v>
      </c>
      <c r="O243" s="162" t="s">
        <v>170</v>
      </c>
      <c r="P243" s="162" t="s">
        <v>180</v>
      </c>
      <c r="Q243" s="162" t="s">
        <v>340</v>
      </c>
      <c r="R243" s="162" t="s">
        <v>2086</v>
      </c>
      <c r="S243" s="118" t="str">
        <f>_xlfn.DISPIMG("ID_B2FD46FB94FD4BE298F143BADCF00B8C",1)</f>
        <v>=DISPIMG("ID_B2FD46FB94FD4BE298F143BADCF00B8C",1)</v>
      </c>
      <c r="T243" s="115" t="s">
        <v>2087</v>
      </c>
      <c r="U243" s="27">
        <v>243</v>
      </c>
    </row>
    <row r="244" s="3" customFormat="1" customHeight="1" spans="1:21">
      <c r="A244" s="144">
        <v>44360.7983912037</v>
      </c>
      <c r="B244" s="27" t="s">
        <v>2088</v>
      </c>
      <c r="C244" s="27" t="s">
        <v>2089</v>
      </c>
      <c r="D244" s="162" t="s">
        <v>2090</v>
      </c>
      <c r="E244" s="162" t="s">
        <v>153</v>
      </c>
      <c r="F244" s="162" t="s">
        <v>2091</v>
      </c>
      <c r="G244" s="27">
        <v>18079635877</v>
      </c>
      <c r="H244" s="162" t="s">
        <v>2092</v>
      </c>
      <c r="I244" s="162" t="s">
        <v>156</v>
      </c>
      <c r="J244" s="162" t="s">
        <v>13</v>
      </c>
      <c r="K244" s="27">
        <v>202102003</v>
      </c>
      <c r="L244" s="162" t="s">
        <v>157</v>
      </c>
      <c r="M244" s="162" t="s">
        <v>507</v>
      </c>
      <c r="N244" s="162" t="s">
        <v>2093</v>
      </c>
      <c r="O244" s="162" t="s">
        <v>160</v>
      </c>
      <c r="P244" s="162" t="s">
        <v>281</v>
      </c>
      <c r="Q244" s="162" t="s">
        <v>25</v>
      </c>
      <c r="R244" s="162" t="s">
        <v>2094</v>
      </c>
      <c r="S244" s="118" t="str">
        <f>_xlfn.DISPIMG("ID_C4F6E9DAFE344DCCAABCAAE0A2F04564",1)</f>
        <v>=DISPIMG("ID_C4F6E9DAFE344DCCAABCAAE0A2F04564",1)</v>
      </c>
      <c r="T244" s="115" t="s">
        <v>2095</v>
      </c>
      <c r="U244" s="27">
        <v>244</v>
      </c>
    </row>
    <row r="245" s="3" customFormat="1" customHeight="1" spans="1:21">
      <c r="A245" s="144">
        <v>44360.8154398148</v>
      </c>
      <c r="B245" s="27" t="s">
        <v>2096</v>
      </c>
      <c r="C245" s="27" t="s">
        <v>2097</v>
      </c>
      <c r="D245" s="162" t="s">
        <v>2098</v>
      </c>
      <c r="E245" s="162" t="s">
        <v>165</v>
      </c>
      <c r="F245" s="162" t="s">
        <v>2099</v>
      </c>
      <c r="G245" s="27">
        <v>18070222825</v>
      </c>
      <c r="H245" s="162" t="s">
        <v>2100</v>
      </c>
      <c r="I245" s="162" t="s">
        <v>278</v>
      </c>
      <c r="J245" s="162" t="s">
        <v>28</v>
      </c>
      <c r="K245" s="27">
        <v>202103001</v>
      </c>
      <c r="L245" s="162" t="s">
        <v>279</v>
      </c>
      <c r="M245" s="162" t="s">
        <v>732</v>
      </c>
      <c r="N245" s="162" t="s">
        <v>169</v>
      </c>
      <c r="O245" s="162" t="s">
        <v>170</v>
      </c>
      <c r="P245" s="162" t="s">
        <v>733</v>
      </c>
      <c r="Q245" s="162" t="s">
        <v>517</v>
      </c>
      <c r="R245" s="162" t="s">
        <v>2101</v>
      </c>
      <c r="S245" s="118" t="str">
        <f>_xlfn.DISPIMG("ID_005BE0017F024C98A2D8AF15B9E0DE6A",1)</f>
        <v>=DISPIMG("ID_005BE0017F024C98A2D8AF15B9E0DE6A",1)</v>
      </c>
      <c r="T245" s="115" t="s">
        <v>2102</v>
      </c>
      <c r="U245" s="27">
        <v>245</v>
      </c>
    </row>
    <row r="246" s="3" customFormat="1" customHeight="1" spans="1:21">
      <c r="A246" s="144">
        <v>44360.819212963</v>
      </c>
      <c r="B246" s="27" t="s">
        <v>2103</v>
      </c>
      <c r="C246" s="27" t="s">
        <v>2104</v>
      </c>
      <c r="D246" s="162" t="s">
        <v>2104</v>
      </c>
      <c r="E246" s="162" t="s">
        <v>165</v>
      </c>
      <c r="F246" s="162" t="s">
        <v>2105</v>
      </c>
      <c r="G246" s="27">
        <v>13817884693</v>
      </c>
      <c r="H246" s="162" t="s">
        <v>2106</v>
      </c>
      <c r="I246" s="162" t="s">
        <v>384</v>
      </c>
      <c r="J246" s="162" t="s">
        <v>19</v>
      </c>
      <c r="K246" s="27">
        <v>202101014</v>
      </c>
      <c r="L246" s="162" t="s">
        <v>705</v>
      </c>
      <c r="M246" s="162" t="s">
        <v>2063</v>
      </c>
      <c r="N246" s="162" t="s">
        <v>2107</v>
      </c>
      <c r="O246" s="162" t="s">
        <v>160</v>
      </c>
      <c r="P246" s="162" t="s">
        <v>396</v>
      </c>
      <c r="Q246" s="162" t="s">
        <v>2108</v>
      </c>
      <c r="R246" s="162" t="s">
        <v>2109</v>
      </c>
      <c r="S246" s="118" t="str">
        <f>_xlfn.DISPIMG("ID_21FE4349EE994987AC614A279458E356",1)</f>
        <v>=DISPIMG("ID_21FE4349EE994987AC614A279458E356",1)</v>
      </c>
      <c r="T246" s="115" t="s">
        <v>2110</v>
      </c>
      <c r="U246" s="27">
        <v>246</v>
      </c>
    </row>
    <row r="247" s="3" customFormat="1" customHeight="1" spans="1:21">
      <c r="A247" s="144">
        <v>44360.8262037037</v>
      </c>
      <c r="B247" s="27" t="s">
        <v>2111</v>
      </c>
      <c r="C247" s="27" t="s">
        <v>2112</v>
      </c>
      <c r="D247" s="162" t="s">
        <v>2113</v>
      </c>
      <c r="E247" s="162" t="s">
        <v>165</v>
      </c>
      <c r="F247" s="162" t="s">
        <v>2114</v>
      </c>
      <c r="G247" s="27">
        <v>18779262393</v>
      </c>
      <c r="H247" s="162" t="s">
        <v>2115</v>
      </c>
      <c r="I247" s="162" t="s">
        <v>156</v>
      </c>
      <c r="J247" s="162" t="s">
        <v>13</v>
      </c>
      <c r="K247" s="27">
        <v>202102003</v>
      </c>
      <c r="L247" s="162" t="s">
        <v>157</v>
      </c>
      <c r="M247" s="162" t="s">
        <v>168</v>
      </c>
      <c r="N247" s="162" t="s">
        <v>179</v>
      </c>
      <c r="O247" s="162" t="s">
        <v>170</v>
      </c>
      <c r="P247" s="162" t="s">
        <v>261</v>
      </c>
      <c r="Q247" s="162" t="s">
        <v>13</v>
      </c>
      <c r="R247" s="162" t="s">
        <v>2116</v>
      </c>
      <c r="S247" s="118" t="str">
        <f>_xlfn.DISPIMG("ID_FD96452CC72B491AA69A0DC966FE8814",1)</f>
        <v>=DISPIMG("ID_FD96452CC72B491AA69A0DC966FE8814",1)</v>
      </c>
      <c r="T247" s="115" t="s">
        <v>2117</v>
      </c>
      <c r="U247" s="27">
        <v>247</v>
      </c>
    </row>
    <row r="248" s="3" customFormat="1" customHeight="1" spans="1:21">
      <c r="A248" s="144">
        <v>44360.8300694444</v>
      </c>
      <c r="B248" s="27" t="s">
        <v>2118</v>
      </c>
      <c r="C248" s="27" t="s">
        <v>2119</v>
      </c>
      <c r="D248" s="162" t="s">
        <v>2120</v>
      </c>
      <c r="E248" s="162" t="s">
        <v>165</v>
      </c>
      <c r="F248" s="162" t="s">
        <v>2121</v>
      </c>
      <c r="G248" s="27">
        <v>15070693643</v>
      </c>
      <c r="H248" s="162" t="s">
        <v>2122</v>
      </c>
      <c r="I248" s="162" t="s">
        <v>156</v>
      </c>
      <c r="J248" s="162" t="s">
        <v>13</v>
      </c>
      <c r="K248" s="27">
        <v>202102003</v>
      </c>
      <c r="L248" s="162" t="s">
        <v>157</v>
      </c>
      <c r="M248" s="162" t="s">
        <v>197</v>
      </c>
      <c r="N248" s="162" t="s">
        <v>179</v>
      </c>
      <c r="O248" s="162" t="s">
        <v>160</v>
      </c>
      <c r="P248" s="162" t="s">
        <v>455</v>
      </c>
      <c r="Q248" s="162" t="s">
        <v>225</v>
      </c>
      <c r="R248" s="27">
        <v>0</v>
      </c>
      <c r="S248" s="118" t="str">
        <f>_xlfn.DISPIMG("ID_BB45129897024B4183D09C0AA547B197",1)</f>
        <v>=DISPIMG("ID_BB45129897024B4183D09C0AA547B197",1)</v>
      </c>
      <c r="T248" s="115" t="s">
        <v>2123</v>
      </c>
      <c r="U248" s="27">
        <v>248</v>
      </c>
    </row>
    <row r="249" s="3" customFormat="1" customHeight="1" spans="1:21">
      <c r="A249" s="144">
        <v>44360.8673842593</v>
      </c>
      <c r="B249" s="27" t="s">
        <v>2124</v>
      </c>
      <c r="C249" s="27" t="s">
        <v>2125</v>
      </c>
      <c r="D249" s="162" t="s">
        <v>2126</v>
      </c>
      <c r="E249" s="162" t="s">
        <v>165</v>
      </c>
      <c r="F249" s="162" t="s">
        <v>2127</v>
      </c>
      <c r="G249" s="27">
        <v>18370269701</v>
      </c>
      <c r="H249" s="162" t="s">
        <v>2128</v>
      </c>
      <c r="I249" s="162" t="s">
        <v>156</v>
      </c>
      <c r="J249" s="162" t="s">
        <v>8</v>
      </c>
      <c r="K249" s="27">
        <v>202102002</v>
      </c>
      <c r="L249" s="162" t="s">
        <v>157</v>
      </c>
      <c r="M249" s="162" t="s">
        <v>789</v>
      </c>
      <c r="N249" s="162" t="s">
        <v>2129</v>
      </c>
      <c r="O249" s="162" t="s">
        <v>160</v>
      </c>
      <c r="P249" s="162" t="s">
        <v>252</v>
      </c>
      <c r="Q249" s="162" t="s">
        <v>20</v>
      </c>
      <c r="R249" s="27">
        <v>0</v>
      </c>
      <c r="S249" s="118" t="str">
        <f>_xlfn.DISPIMG("ID_03579C230E4B4D1F94606FFA97C412A2",1)</f>
        <v>=DISPIMG("ID_03579C230E4B4D1F94606FFA97C412A2",1)</v>
      </c>
      <c r="T249" s="115" t="s">
        <v>2130</v>
      </c>
      <c r="U249" s="27">
        <v>249</v>
      </c>
    </row>
    <row r="250" s="3" customFormat="1" customHeight="1" spans="1:21">
      <c r="A250" s="144">
        <v>44360.8717824074</v>
      </c>
      <c r="B250" s="27" t="s">
        <v>2131</v>
      </c>
      <c r="C250" s="27" t="s">
        <v>2132</v>
      </c>
      <c r="D250" s="162" t="s">
        <v>2133</v>
      </c>
      <c r="E250" s="162" t="s">
        <v>165</v>
      </c>
      <c r="F250" s="162" t="s">
        <v>2134</v>
      </c>
      <c r="G250" s="27">
        <v>15079264291</v>
      </c>
      <c r="H250" s="162" t="s">
        <v>2135</v>
      </c>
      <c r="I250" s="162" t="s">
        <v>156</v>
      </c>
      <c r="J250" s="162" t="s">
        <v>8</v>
      </c>
      <c r="K250" s="27">
        <v>202102002</v>
      </c>
      <c r="L250" s="162" t="s">
        <v>157</v>
      </c>
      <c r="M250" s="162" t="s">
        <v>876</v>
      </c>
      <c r="N250" s="162" t="s">
        <v>270</v>
      </c>
      <c r="O250" s="162" t="s">
        <v>170</v>
      </c>
      <c r="P250" s="162" t="s">
        <v>455</v>
      </c>
      <c r="Q250" s="162" t="s">
        <v>20</v>
      </c>
      <c r="R250" s="162" t="s">
        <v>2136</v>
      </c>
      <c r="S250" s="118" t="str">
        <f>_xlfn.DISPIMG("ID_96FF4E1240E04D98ACBC33F8D3EE9C8F",1)</f>
        <v>=DISPIMG("ID_96FF4E1240E04D98ACBC33F8D3EE9C8F",1)</v>
      </c>
      <c r="T250" s="115" t="s">
        <v>2137</v>
      </c>
      <c r="U250" s="27">
        <v>250</v>
      </c>
    </row>
    <row r="251" s="3" customFormat="1" customHeight="1" spans="1:21">
      <c r="A251" s="144">
        <v>44360.8925</v>
      </c>
      <c r="B251" s="27" t="s">
        <v>2138</v>
      </c>
      <c r="C251" s="27" t="s">
        <v>2139</v>
      </c>
      <c r="D251" s="162" t="s">
        <v>2140</v>
      </c>
      <c r="E251" s="162" t="s">
        <v>165</v>
      </c>
      <c r="F251" s="162" t="s">
        <v>2141</v>
      </c>
      <c r="G251" s="27">
        <v>13576909746</v>
      </c>
      <c r="H251" s="162" t="s">
        <v>2142</v>
      </c>
      <c r="I251" s="162" t="s">
        <v>156</v>
      </c>
      <c r="J251" s="162" t="s">
        <v>13</v>
      </c>
      <c r="K251" s="27">
        <v>202102003</v>
      </c>
      <c r="L251" s="162" t="s">
        <v>157</v>
      </c>
      <c r="M251" s="162" t="s">
        <v>540</v>
      </c>
      <c r="N251" s="162" t="s">
        <v>298</v>
      </c>
      <c r="O251" s="162" t="s">
        <v>160</v>
      </c>
      <c r="P251" s="162" t="s">
        <v>180</v>
      </c>
      <c r="Q251" s="162" t="s">
        <v>13</v>
      </c>
      <c r="R251" s="162" t="s">
        <v>2143</v>
      </c>
      <c r="S251" s="118" t="str">
        <f>_xlfn.DISPIMG("ID_5B22FFE3C77C4E8C9BD243D72EC649E2",1)</f>
        <v>=DISPIMG("ID_5B22FFE3C77C4E8C9BD243D72EC649E2",1)</v>
      </c>
      <c r="T251" s="115" t="s">
        <v>2144</v>
      </c>
      <c r="U251" s="27">
        <v>251</v>
      </c>
    </row>
    <row r="252" s="3" customFormat="1" customHeight="1" spans="1:21">
      <c r="A252" s="144">
        <v>44360.9134953704</v>
      </c>
      <c r="B252" s="27" t="s">
        <v>2145</v>
      </c>
      <c r="C252" s="27" t="s">
        <v>2146</v>
      </c>
      <c r="D252" s="162" t="s">
        <v>2147</v>
      </c>
      <c r="E252" s="162" t="s">
        <v>165</v>
      </c>
      <c r="F252" s="162" t="s">
        <v>2148</v>
      </c>
      <c r="G252" s="27">
        <v>18870849075</v>
      </c>
      <c r="H252" s="162" t="s">
        <v>2149</v>
      </c>
      <c r="I252" s="162" t="s">
        <v>156</v>
      </c>
      <c r="J252" s="162" t="s">
        <v>13</v>
      </c>
      <c r="K252" s="27">
        <v>202102003</v>
      </c>
      <c r="L252" s="162" t="s">
        <v>157</v>
      </c>
      <c r="M252" s="162" t="s">
        <v>2150</v>
      </c>
      <c r="N252" s="162" t="s">
        <v>1832</v>
      </c>
      <c r="O252" s="162" t="s">
        <v>160</v>
      </c>
      <c r="P252" s="162" t="s">
        <v>2151</v>
      </c>
      <c r="Q252" s="162" t="s">
        <v>13</v>
      </c>
      <c r="R252" s="162" t="s">
        <v>2152</v>
      </c>
      <c r="S252" s="118" t="str">
        <f>_xlfn.DISPIMG("ID_AE861B6E26D2460C9E654A52BE43B6F4",1)</f>
        <v>=DISPIMG("ID_AE861B6E26D2460C9E654A52BE43B6F4",1)</v>
      </c>
      <c r="T252" s="115" t="s">
        <v>2153</v>
      </c>
      <c r="U252" s="27">
        <v>252</v>
      </c>
    </row>
    <row r="253" s="3" customFormat="1" customHeight="1" spans="1:21">
      <c r="A253" s="144">
        <v>44360.9891435185</v>
      </c>
      <c r="B253" s="27" t="s">
        <v>2154</v>
      </c>
      <c r="C253" s="27" t="s">
        <v>2155</v>
      </c>
      <c r="D253" s="162" t="s">
        <v>2156</v>
      </c>
      <c r="E253" s="162" t="s">
        <v>165</v>
      </c>
      <c r="F253" s="162" t="s">
        <v>2157</v>
      </c>
      <c r="G253" s="27">
        <v>17707083376</v>
      </c>
      <c r="H253" s="162" t="s">
        <v>2158</v>
      </c>
      <c r="I253" s="162" t="s">
        <v>156</v>
      </c>
      <c r="J253" s="162" t="s">
        <v>13</v>
      </c>
      <c r="K253" s="27">
        <v>202102003</v>
      </c>
      <c r="L253" s="162" t="s">
        <v>157</v>
      </c>
      <c r="M253" s="162" t="s">
        <v>2159</v>
      </c>
      <c r="N253" s="162" t="s">
        <v>179</v>
      </c>
      <c r="O253" s="162" t="s">
        <v>170</v>
      </c>
      <c r="P253" s="162" t="s">
        <v>2160</v>
      </c>
      <c r="Q253" s="162" t="s">
        <v>13</v>
      </c>
      <c r="R253" s="162" t="s">
        <v>2161</v>
      </c>
      <c r="S253" s="118" t="str">
        <f>_xlfn.DISPIMG("ID_40A8AEA41DF44D5AB3229E18DF729A74",1)</f>
        <v>=DISPIMG("ID_40A8AEA41DF44D5AB3229E18DF729A74",1)</v>
      </c>
      <c r="T253" s="115" t="s">
        <v>2162</v>
      </c>
      <c r="U253" s="27">
        <v>253</v>
      </c>
    </row>
    <row r="254" s="3" customFormat="1" customHeight="1" spans="1:21">
      <c r="A254" s="144">
        <v>44361.0510185185</v>
      </c>
      <c r="B254" s="27" t="s">
        <v>2163</v>
      </c>
      <c r="C254" s="27" t="s">
        <v>2164</v>
      </c>
      <c r="D254" s="162" t="s">
        <v>2165</v>
      </c>
      <c r="E254" s="162" t="s">
        <v>165</v>
      </c>
      <c r="F254" s="162" t="s">
        <v>2166</v>
      </c>
      <c r="G254" s="27">
        <v>15270256109</v>
      </c>
      <c r="H254" s="162" t="s">
        <v>2167</v>
      </c>
      <c r="I254" s="162" t="s">
        <v>156</v>
      </c>
      <c r="J254" s="162" t="s">
        <v>14</v>
      </c>
      <c r="K254" s="27">
        <v>202102001</v>
      </c>
      <c r="L254" s="162" t="s">
        <v>279</v>
      </c>
      <c r="M254" s="162" t="s">
        <v>158</v>
      </c>
      <c r="N254" s="162" t="s">
        <v>348</v>
      </c>
      <c r="O254" s="162" t="s">
        <v>170</v>
      </c>
      <c r="P254" s="162" t="s">
        <v>306</v>
      </c>
      <c r="Q254" s="162" t="s">
        <v>638</v>
      </c>
      <c r="R254" s="162" t="s">
        <v>2168</v>
      </c>
      <c r="S254" s="118" t="str">
        <f>_xlfn.DISPIMG("ID_3CABC7DA53ED4401B09BC2C27086B239",1)</f>
        <v>=DISPIMG("ID_3CABC7DA53ED4401B09BC2C27086B239",1)</v>
      </c>
      <c r="T254" s="115" t="s">
        <v>2169</v>
      </c>
      <c r="U254" s="27">
        <v>254</v>
      </c>
    </row>
    <row r="255" s="3" customFormat="1" customHeight="1" spans="1:21">
      <c r="A255" s="144">
        <v>44361.3315393518</v>
      </c>
      <c r="B255" s="27" t="s">
        <v>2170</v>
      </c>
      <c r="C255" s="27" t="s">
        <v>2171</v>
      </c>
      <c r="D255" s="162" t="s">
        <v>2172</v>
      </c>
      <c r="E255" s="162" t="s">
        <v>153</v>
      </c>
      <c r="F255" s="162" t="s">
        <v>2173</v>
      </c>
      <c r="G255" s="27">
        <v>18370791182</v>
      </c>
      <c r="H255" s="162" t="s">
        <v>2174</v>
      </c>
      <c r="I255" s="162" t="s">
        <v>297</v>
      </c>
      <c r="J255" s="162" t="s">
        <v>20</v>
      </c>
      <c r="K255" s="27">
        <v>202101006</v>
      </c>
      <c r="L255" s="162" t="s">
        <v>157</v>
      </c>
      <c r="M255" s="162" t="s">
        <v>1413</v>
      </c>
      <c r="N255" s="162" t="s">
        <v>243</v>
      </c>
      <c r="O255" s="162" t="s">
        <v>160</v>
      </c>
      <c r="P255" s="162" t="s">
        <v>199</v>
      </c>
      <c r="Q255" s="162" t="s">
        <v>2175</v>
      </c>
      <c r="R255" s="162" t="s">
        <v>2176</v>
      </c>
      <c r="S255" s="118" t="str">
        <f>_xlfn.DISPIMG("ID_164BFB36FB944A6B8D1C179D10EFE455",1)</f>
        <v>=DISPIMG("ID_164BFB36FB944A6B8D1C179D10EFE455",1)</v>
      </c>
      <c r="T255" s="115" t="s">
        <v>2177</v>
      </c>
      <c r="U255" s="27">
        <v>255</v>
      </c>
    </row>
    <row r="256" s="98" customFormat="1" customHeight="1" spans="1:21">
      <c r="A256" s="148">
        <v>44361.3584722222</v>
      </c>
      <c r="B256" s="21" t="s">
        <v>2178</v>
      </c>
      <c r="C256" s="21" t="s">
        <v>2179</v>
      </c>
      <c r="D256" s="163" t="s">
        <v>2180</v>
      </c>
      <c r="E256" s="163" t="s">
        <v>153</v>
      </c>
      <c r="F256" s="163" t="s">
        <v>2181</v>
      </c>
      <c r="G256" s="21">
        <v>18779219080</v>
      </c>
      <c r="H256" s="163" t="s">
        <v>2182</v>
      </c>
      <c r="I256" s="163" t="s">
        <v>506</v>
      </c>
      <c r="J256" s="163" t="s">
        <v>8</v>
      </c>
      <c r="K256" s="21">
        <v>202102015</v>
      </c>
      <c r="L256" s="163" t="s">
        <v>279</v>
      </c>
      <c r="M256" s="163" t="s">
        <v>158</v>
      </c>
      <c r="N256" s="163" t="s">
        <v>497</v>
      </c>
      <c r="O256" s="163" t="s">
        <v>170</v>
      </c>
      <c r="P256" s="163" t="s">
        <v>919</v>
      </c>
      <c r="Q256" s="163" t="s">
        <v>2183</v>
      </c>
      <c r="R256" s="163" t="s">
        <v>2184</v>
      </c>
      <c r="S256" s="100" t="str">
        <f>_xlfn.DISPIMG("ID_BBA3CECAB16B45C9B1C4CAAD3056F6EF",1)</f>
        <v>=DISPIMG("ID_BBA3CECAB16B45C9B1C4CAAD3056F6EF",1)</v>
      </c>
      <c r="T256" s="99" t="s">
        <v>2185</v>
      </c>
      <c r="U256" s="27">
        <v>256</v>
      </c>
    </row>
    <row r="257" s="3" customFormat="1" customHeight="1" spans="1:21">
      <c r="A257" s="144">
        <v>44361.3682291667</v>
      </c>
      <c r="B257" s="27" t="s">
        <v>2186</v>
      </c>
      <c r="C257" s="27" t="s">
        <v>2187</v>
      </c>
      <c r="D257" s="162" t="s">
        <v>2188</v>
      </c>
      <c r="E257" s="162" t="s">
        <v>165</v>
      </c>
      <c r="F257" s="162" t="s">
        <v>2189</v>
      </c>
      <c r="G257" s="27">
        <v>15297925516</v>
      </c>
      <c r="H257" s="162" t="s">
        <v>2190</v>
      </c>
      <c r="I257" s="162" t="s">
        <v>156</v>
      </c>
      <c r="J257" s="162" t="s">
        <v>13</v>
      </c>
      <c r="K257" s="27">
        <v>202102003</v>
      </c>
      <c r="L257" s="162" t="s">
        <v>157</v>
      </c>
      <c r="M257" s="162" t="s">
        <v>178</v>
      </c>
      <c r="N257" s="162" t="s">
        <v>179</v>
      </c>
      <c r="O257" s="162" t="s">
        <v>170</v>
      </c>
      <c r="P257" s="162" t="s">
        <v>161</v>
      </c>
      <c r="Q257" s="162" t="s">
        <v>25</v>
      </c>
      <c r="R257" s="27">
        <v>0</v>
      </c>
      <c r="S257" s="118" t="str">
        <f>_xlfn.DISPIMG("ID_D5F43AB9EBAD44A4B07E87AF936A6299",1)</f>
        <v>=DISPIMG("ID_D5F43AB9EBAD44A4B07E87AF936A6299",1)</v>
      </c>
      <c r="T257" s="115" t="s">
        <v>2191</v>
      </c>
      <c r="U257" s="27">
        <v>257</v>
      </c>
    </row>
    <row r="258" s="3" customFormat="1" customHeight="1" spans="1:21">
      <c r="A258" s="144">
        <v>44361.4079398148</v>
      </c>
      <c r="B258" s="27" t="s">
        <v>2192</v>
      </c>
      <c r="C258" s="27" t="s">
        <v>2193</v>
      </c>
      <c r="D258" s="162" t="s">
        <v>2194</v>
      </c>
      <c r="E258" s="162" t="s">
        <v>165</v>
      </c>
      <c r="F258" s="162" t="s">
        <v>2195</v>
      </c>
      <c r="G258" s="27">
        <v>13617094078</v>
      </c>
      <c r="H258" s="162" t="s">
        <v>2196</v>
      </c>
      <c r="I258" s="162" t="s">
        <v>156</v>
      </c>
      <c r="J258" s="162" t="s">
        <v>8</v>
      </c>
      <c r="K258" s="27">
        <v>202102002</v>
      </c>
      <c r="L258" s="162" t="s">
        <v>157</v>
      </c>
      <c r="M258" s="162" t="s">
        <v>2197</v>
      </c>
      <c r="N258" s="162" t="s">
        <v>2198</v>
      </c>
      <c r="O258" s="162" t="s">
        <v>160</v>
      </c>
      <c r="P258" s="162" t="s">
        <v>281</v>
      </c>
      <c r="Q258" s="162" t="s">
        <v>8</v>
      </c>
      <c r="R258" s="162" t="s">
        <v>2199</v>
      </c>
      <c r="S258" s="118" t="str">
        <f>_xlfn.DISPIMG("ID_C169A98BEF614A41ADF43CA619535221",1)</f>
        <v>=DISPIMG("ID_C169A98BEF614A41ADF43CA619535221",1)</v>
      </c>
      <c r="T258" s="115" t="s">
        <v>2200</v>
      </c>
      <c r="U258" s="27">
        <v>258</v>
      </c>
    </row>
    <row r="259" s="3" customFormat="1" customHeight="1" spans="1:21">
      <c r="A259" s="144">
        <v>44361.4151736111</v>
      </c>
      <c r="B259" s="27" t="s">
        <v>2201</v>
      </c>
      <c r="C259" s="27" t="s">
        <v>2202</v>
      </c>
      <c r="D259" s="162" t="s">
        <v>2203</v>
      </c>
      <c r="E259" s="162" t="s">
        <v>165</v>
      </c>
      <c r="F259" s="162" t="s">
        <v>2204</v>
      </c>
      <c r="G259" s="27">
        <v>18702523558</v>
      </c>
      <c r="H259" s="162" t="s">
        <v>2205</v>
      </c>
      <c r="I259" s="162" t="s">
        <v>156</v>
      </c>
      <c r="J259" s="162" t="s">
        <v>13</v>
      </c>
      <c r="K259" s="27">
        <v>202102003</v>
      </c>
      <c r="L259" s="162" t="s">
        <v>157</v>
      </c>
      <c r="M259" s="162" t="s">
        <v>646</v>
      </c>
      <c r="N259" s="162" t="s">
        <v>179</v>
      </c>
      <c r="O259" s="162" t="s">
        <v>170</v>
      </c>
      <c r="P259" s="162" t="s">
        <v>368</v>
      </c>
      <c r="Q259" s="162" t="s">
        <v>25</v>
      </c>
      <c r="R259" s="162" t="s">
        <v>2206</v>
      </c>
      <c r="S259" s="118" t="str">
        <f>_xlfn.DISPIMG("ID_06812EDB7CE84D14BCAEC56B86A3FB64",1)</f>
        <v>=DISPIMG("ID_06812EDB7CE84D14BCAEC56B86A3FB64",1)</v>
      </c>
      <c r="T259" s="115" t="s">
        <v>2207</v>
      </c>
      <c r="U259" s="27">
        <v>259</v>
      </c>
    </row>
    <row r="260" s="3" customFormat="1" customHeight="1" spans="1:21">
      <c r="A260" s="144">
        <v>44361.4182523148</v>
      </c>
      <c r="B260" s="27" t="s">
        <v>2208</v>
      </c>
      <c r="C260" s="27" t="s">
        <v>2209</v>
      </c>
      <c r="D260" s="162" t="s">
        <v>2210</v>
      </c>
      <c r="E260" s="162" t="s">
        <v>165</v>
      </c>
      <c r="F260" s="162" t="s">
        <v>2211</v>
      </c>
      <c r="G260" s="27">
        <v>15770710161</v>
      </c>
      <c r="H260" s="162" t="s">
        <v>2212</v>
      </c>
      <c r="I260" s="162" t="s">
        <v>384</v>
      </c>
      <c r="J260" s="162" t="s">
        <v>27</v>
      </c>
      <c r="K260" s="27">
        <v>202101016</v>
      </c>
      <c r="L260" s="162" t="s">
        <v>157</v>
      </c>
      <c r="M260" s="162" t="s">
        <v>1413</v>
      </c>
      <c r="N260" s="162" t="s">
        <v>215</v>
      </c>
      <c r="O260" s="162" t="s">
        <v>170</v>
      </c>
      <c r="P260" s="162" t="s">
        <v>171</v>
      </c>
      <c r="Q260" s="162" t="s">
        <v>2213</v>
      </c>
      <c r="R260" s="162" t="s">
        <v>2214</v>
      </c>
      <c r="S260" s="118" t="str">
        <f>_xlfn.DISPIMG("ID_0AC7D7DC948D4142BC7E39C07F0EB7F8",1)</f>
        <v>=DISPIMG("ID_0AC7D7DC948D4142BC7E39C07F0EB7F8",1)</v>
      </c>
      <c r="T260" s="115" t="s">
        <v>2215</v>
      </c>
      <c r="U260" s="27">
        <v>260</v>
      </c>
    </row>
    <row r="261" s="3" customFormat="1" customHeight="1" spans="1:21">
      <c r="A261" s="144">
        <v>44361.4494907407</v>
      </c>
      <c r="B261" s="27" t="s">
        <v>2216</v>
      </c>
      <c r="C261" s="27" t="s">
        <v>2217</v>
      </c>
      <c r="D261" s="162" t="s">
        <v>2218</v>
      </c>
      <c r="E261" s="162" t="s">
        <v>165</v>
      </c>
      <c r="F261" s="162" t="s">
        <v>2219</v>
      </c>
      <c r="G261" s="27">
        <v>15179156312</v>
      </c>
      <c r="H261" s="162" t="s">
        <v>2220</v>
      </c>
      <c r="I261" s="162" t="s">
        <v>156</v>
      </c>
      <c r="J261" s="162" t="s">
        <v>14</v>
      </c>
      <c r="K261" s="27">
        <v>202102001</v>
      </c>
      <c r="L261" s="162" t="s">
        <v>157</v>
      </c>
      <c r="M261" s="162" t="s">
        <v>233</v>
      </c>
      <c r="N261" s="162" t="s">
        <v>1195</v>
      </c>
      <c r="O261" s="162" t="s">
        <v>160</v>
      </c>
      <c r="P261" s="162" t="s">
        <v>2221</v>
      </c>
      <c r="Q261" s="162" t="s">
        <v>638</v>
      </c>
      <c r="R261" s="162" t="s">
        <v>2222</v>
      </c>
      <c r="S261" s="118" t="str">
        <f>_xlfn.DISPIMG("ID_D4DBACC4389B49D6B9C508C515595D5D",1)</f>
        <v>=DISPIMG("ID_D4DBACC4389B49D6B9C508C515595D5D",1)</v>
      </c>
      <c r="T261" s="115" t="s">
        <v>2223</v>
      </c>
      <c r="U261" s="27">
        <v>261</v>
      </c>
    </row>
    <row r="262" s="3" customFormat="1" customHeight="1" spans="1:21">
      <c r="A262" s="144">
        <v>44361.5275694444</v>
      </c>
      <c r="B262" s="27" t="s">
        <v>2224</v>
      </c>
      <c r="C262" s="27" t="s">
        <v>2225</v>
      </c>
      <c r="D262" s="162" t="s">
        <v>2226</v>
      </c>
      <c r="E262" s="162" t="s">
        <v>165</v>
      </c>
      <c r="F262" s="162" t="s">
        <v>2227</v>
      </c>
      <c r="G262" s="27">
        <v>15720952167</v>
      </c>
      <c r="H262" s="162" t="s">
        <v>2228</v>
      </c>
      <c r="I262" s="162" t="s">
        <v>278</v>
      </c>
      <c r="J262" s="162" t="s">
        <v>28</v>
      </c>
      <c r="K262" s="27">
        <v>202103001</v>
      </c>
      <c r="L262" s="162" t="s">
        <v>279</v>
      </c>
      <c r="M262" s="162" t="s">
        <v>2229</v>
      </c>
      <c r="N262" s="162" t="s">
        <v>280</v>
      </c>
      <c r="O262" s="162" t="s">
        <v>170</v>
      </c>
      <c r="P262" s="162" t="s">
        <v>161</v>
      </c>
      <c r="Q262" s="162" t="s">
        <v>517</v>
      </c>
      <c r="R262" s="27">
        <v>0</v>
      </c>
      <c r="S262" s="118" t="str">
        <f>_xlfn.DISPIMG("ID_D66F2E0905214E97988618639B1556CA",1)</f>
        <v>=DISPIMG("ID_D66F2E0905214E97988618639B1556CA",1)</v>
      </c>
      <c r="T262" s="115" t="s">
        <v>2230</v>
      </c>
      <c r="U262" s="27">
        <v>262</v>
      </c>
    </row>
    <row r="263" s="3" customFormat="1" customHeight="1" spans="1:21">
      <c r="A263" s="144">
        <v>44361.5292592593</v>
      </c>
      <c r="B263" s="27" t="s">
        <v>2231</v>
      </c>
      <c r="C263" s="27" t="s">
        <v>2232</v>
      </c>
      <c r="D263" s="162" t="s">
        <v>2233</v>
      </c>
      <c r="E263" s="162" t="s">
        <v>165</v>
      </c>
      <c r="F263" s="162" t="s">
        <v>2234</v>
      </c>
      <c r="G263" s="27">
        <v>18279238026</v>
      </c>
      <c r="H263" s="162" t="s">
        <v>2235</v>
      </c>
      <c r="I263" s="162" t="s">
        <v>156</v>
      </c>
      <c r="J263" s="162" t="s">
        <v>6</v>
      </c>
      <c r="K263" s="27">
        <v>202102012</v>
      </c>
      <c r="L263" s="162" t="s">
        <v>157</v>
      </c>
      <c r="M263" s="162" t="s">
        <v>2236</v>
      </c>
      <c r="N263" s="162" t="s">
        <v>188</v>
      </c>
      <c r="O263" s="162" t="s">
        <v>160</v>
      </c>
      <c r="P263" s="162" t="s">
        <v>516</v>
      </c>
      <c r="Q263" s="162" t="s">
        <v>18</v>
      </c>
      <c r="R263" s="27">
        <v>0</v>
      </c>
      <c r="S263" s="118" t="str">
        <f>_xlfn.DISPIMG("ID_B83409D3E833484EAA2409A5675BAA5D",1)</f>
        <v>=DISPIMG("ID_B83409D3E833484EAA2409A5675BAA5D",1)</v>
      </c>
      <c r="T263" s="115" t="s">
        <v>2237</v>
      </c>
      <c r="U263" s="27">
        <v>263</v>
      </c>
    </row>
    <row r="264" s="3" customFormat="1" customHeight="1" spans="1:21">
      <c r="A264" s="144">
        <v>44361.5301736111</v>
      </c>
      <c r="B264" s="27" t="s">
        <v>2238</v>
      </c>
      <c r="C264" s="27" t="s">
        <v>2239</v>
      </c>
      <c r="D264" s="162" t="s">
        <v>2240</v>
      </c>
      <c r="E264" s="162" t="s">
        <v>153</v>
      </c>
      <c r="F264" s="162" t="s">
        <v>2241</v>
      </c>
      <c r="G264" s="27">
        <v>18079253586</v>
      </c>
      <c r="H264" s="162" t="s">
        <v>2242</v>
      </c>
      <c r="I264" s="162" t="s">
        <v>156</v>
      </c>
      <c r="J264" s="162" t="s">
        <v>12</v>
      </c>
      <c r="K264" s="27">
        <v>202102010</v>
      </c>
      <c r="L264" s="162" t="s">
        <v>157</v>
      </c>
      <c r="M264" s="162" t="s">
        <v>2243</v>
      </c>
      <c r="N264" s="162" t="s">
        <v>445</v>
      </c>
      <c r="O264" s="162" t="s">
        <v>160</v>
      </c>
      <c r="P264" s="162" t="s">
        <v>368</v>
      </c>
      <c r="Q264" s="162" t="s">
        <v>2244</v>
      </c>
      <c r="R264" s="162" t="s">
        <v>2245</v>
      </c>
      <c r="S264" s="118" t="str">
        <f>_xlfn.DISPIMG("ID_36DB22886E2542F0B08D8BC7EEC58760",1)</f>
        <v>=DISPIMG("ID_36DB22886E2542F0B08D8BC7EEC58760",1)</v>
      </c>
      <c r="T264" s="115" t="s">
        <v>2246</v>
      </c>
      <c r="U264" s="27">
        <v>264</v>
      </c>
    </row>
    <row r="265" s="3" customFormat="1" customHeight="1" spans="1:21">
      <c r="A265" s="144">
        <v>44361.5721990741</v>
      </c>
      <c r="B265" s="27" t="s">
        <v>2247</v>
      </c>
      <c r="C265" s="27" t="s">
        <v>2248</v>
      </c>
      <c r="D265" s="162" t="s">
        <v>2249</v>
      </c>
      <c r="E265" s="162" t="s">
        <v>165</v>
      </c>
      <c r="F265" s="162" t="s">
        <v>2250</v>
      </c>
      <c r="G265" s="27">
        <v>15270289287</v>
      </c>
      <c r="H265" s="162" t="s">
        <v>2251</v>
      </c>
      <c r="I265" s="162" t="s">
        <v>278</v>
      </c>
      <c r="J265" s="162" t="s">
        <v>28</v>
      </c>
      <c r="K265" s="27">
        <v>202103001</v>
      </c>
      <c r="L265" s="162" t="s">
        <v>279</v>
      </c>
      <c r="M265" s="162" t="s">
        <v>1258</v>
      </c>
      <c r="N265" s="162" t="s">
        <v>280</v>
      </c>
      <c r="O265" s="162" t="s">
        <v>170</v>
      </c>
      <c r="P265" s="162" t="s">
        <v>180</v>
      </c>
      <c r="Q265" s="162" t="s">
        <v>340</v>
      </c>
      <c r="R265" s="162" t="s">
        <v>2252</v>
      </c>
      <c r="S265" s="118" t="str">
        <f>_xlfn.DISPIMG("ID_7985CE250554486189D8524B45608623",1)</f>
        <v>=DISPIMG("ID_7985CE250554486189D8524B45608623",1)</v>
      </c>
      <c r="T265" s="115" t="s">
        <v>2253</v>
      </c>
      <c r="U265" s="27">
        <v>265</v>
      </c>
    </row>
    <row r="266" s="3" customFormat="1" customHeight="1" spans="1:21">
      <c r="A266" s="144">
        <v>44361.5746875</v>
      </c>
      <c r="B266" s="27" t="s">
        <v>2254</v>
      </c>
      <c r="C266" s="27" t="s">
        <v>2255</v>
      </c>
      <c r="D266" s="162" t="s">
        <v>2256</v>
      </c>
      <c r="E266" s="162" t="s">
        <v>165</v>
      </c>
      <c r="F266" s="162" t="s">
        <v>2257</v>
      </c>
      <c r="G266" s="27">
        <v>18379620695</v>
      </c>
      <c r="H266" s="162" t="s">
        <v>2258</v>
      </c>
      <c r="I266" s="162" t="s">
        <v>156</v>
      </c>
      <c r="J266" s="162" t="s">
        <v>13</v>
      </c>
      <c r="K266" s="27">
        <v>202102003</v>
      </c>
      <c r="L266" s="162" t="s">
        <v>157</v>
      </c>
      <c r="M266" s="162" t="s">
        <v>2259</v>
      </c>
      <c r="N266" s="162" t="s">
        <v>2260</v>
      </c>
      <c r="O266" s="162" t="s">
        <v>170</v>
      </c>
      <c r="P266" s="162" t="s">
        <v>252</v>
      </c>
      <c r="Q266" s="162" t="s">
        <v>13</v>
      </c>
      <c r="R266" s="162" t="s">
        <v>2261</v>
      </c>
      <c r="S266" s="118" t="str">
        <f>_xlfn.DISPIMG("ID_796E86B7DB7B4E23A74B2B041E7E25B9",1)</f>
        <v>=DISPIMG("ID_796E86B7DB7B4E23A74B2B041E7E25B9",1)</v>
      </c>
      <c r="T266" s="115" t="s">
        <v>2262</v>
      </c>
      <c r="U266" s="27">
        <v>266</v>
      </c>
    </row>
    <row r="267" s="3" customFormat="1" customHeight="1" spans="1:21">
      <c r="A267" s="144">
        <v>44365.5747916667</v>
      </c>
      <c r="B267" s="27" t="s">
        <v>2263</v>
      </c>
      <c r="C267" s="27" t="s">
        <v>1293</v>
      </c>
      <c r="D267" s="162" t="s">
        <v>2264</v>
      </c>
      <c r="E267" s="162" t="s">
        <v>153</v>
      </c>
      <c r="F267" s="162" t="s">
        <v>2265</v>
      </c>
      <c r="G267" s="27">
        <v>13755257750</v>
      </c>
      <c r="H267" s="162" t="s">
        <v>2266</v>
      </c>
      <c r="I267" s="162" t="s">
        <v>506</v>
      </c>
      <c r="J267" s="162" t="s">
        <v>6</v>
      </c>
      <c r="K267" s="27">
        <v>202102021</v>
      </c>
      <c r="L267" s="162" t="s">
        <v>157</v>
      </c>
      <c r="M267" s="162" t="s">
        <v>2267</v>
      </c>
      <c r="N267" s="162" t="s">
        <v>2268</v>
      </c>
      <c r="O267" s="162" t="s">
        <v>160</v>
      </c>
      <c r="P267" s="162" t="s">
        <v>161</v>
      </c>
      <c r="Q267" s="162" t="s">
        <v>2269</v>
      </c>
      <c r="R267" s="27">
        <v>0</v>
      </c>
      <c r="S267" s="118" t="str">
        <f>_xlfn.DISPIMG("ID_73D56986F7DE44CDB5B00B7AF01CF017",1)</f>
        <v>=DISPIMG("ID_73D56986F7DE44CDB5B00B7AF01CF017",1)</v>
      </c>
      <c r="T267" s="115" t="s">
        <v>2270</v>
      </c>
      <c r="U267" s="27">
        <v>267</v>
      </c>
    </row>
    <row r="268" s="3" customFormat="1" customHeight="1" spans="1:21">
      <c r="A268" s="144">
        <v>44361.6143171296</v>
      </c>
      <c r="B268" s="27" t="s">
        <v>2271</v>
      </c>
      <c r="C268" s="27" t="s">
        <v>2272</v>
      </c>
      <c r="D268" s="162" t="s">
        <v>2273</v>
      </c>
      <c r="E268" s="162" t="s">
        <v>165</v>
      </c>
      <c r="F268" s="162" t="s">
        <v>2274</v>
      </c>
      <c r="G268" s="27">
        <v>18897920642</v>
      </c>
      <c r="H268" s="162" t="s">
        <v>2275</v>
      </c>
      <c r="I268" s="162" t="s">
        <v>278</v>
      </c>
      <c r="J268" s="162" t="s">
        <v>28</v>
      </c>
      <c r="K268" s="27">
        <v>202103001</v>
      </c>
      <c r="L268" s="162" t="s">
        <v>279</v>
      </c>
      <c r="M268" s="162" t="s">
        <v>367</v>
      </c>
      <c r="N268" s="162" t="s">
        <v>960</v>
      </c>
      <c r="O268" s="162" t="s">
        <v>170</v>
      </c>
      <c r="P268" s="162" t="s">
        <v>171</v>
      </c>
      <c r="Q268" s="162" t="s">
        <v>340</v>
      </c>
      <c r="R268" s="162" t="s">
        <v>2276</v>
      </c>
      <c r="S268" s="118" t="str">
        <f>_xlfn.DISPIMG("ID_61B07218C9EC426CBE977F3567B765DD",1)</f>
        <v>=DISPIMG("ID_61B07218C9EC426CBE977F3567B765DD",1)</v>
      </c>
      <c r="T268" s="115" t="s">
        <v>2277</v>
      </c>
      <c r="U268" s="27">
        <v>268</v>
      </c>
    </row>
    <row r="269" s="3" customFormat="1" customHeight="1" spans="1:21">
      <c r="A269" s="144">
        <v>44361.6264236111</v>
      </c>
      <c r="B269" s="27" t="s">
        <v>2278</v>
      </c>
      <c r="C269" s="27" t="s">
        <v>2279</v>
      </c>
      <c r="D269" s="162" t="s">
        <v>2280</v>
      </c>
      <c r="E269" s="162" t="s">
        <v>153</v>
      </c>
      <c r="F269" s="162" t="s">
        <v>2281</v>
      </c>
      <c r="G269" s="27">
        <v>18679290186</v>
      </c>
      <c r="H269" s="162" t="s">
        <v>2282</v>
      </c>
      <c r="I269" s="162" t="s">
        <v>156</v>
      </c>
      <c r="J269" s="162" t="s">
        <v>13</v>
      </c>
      <c r="K269" s="27">
        <v>202102003</v>
      </c>
      <c r="L269" s="162" t="s">
        <v>279</v>
      </c>
      <c r="M269" s="162" t="s">
        <v>233</v>
      </c>
      <c r="N269" s="162" t="s">
        <v>223</v>
      </c>
      <c r="O269" s="162" t="s">
        <v>170</v>
      </c>
      <c r="P269" s="162" t="s">
        <v>2283</v>
      </c>
      <c r="Q269" s="162" t="s">
        <v>2284</v>
      </c>
      <c r="R269" s="162" t="s">
        <v>2285</v>
      </c>
      <c r="S269" s="118" t="str">
        <f>_xlfn.DISPIMG("ID_89FA20207CD0456DA5278484203F3141",1)</f>
        <v>=DISPIMG("ID_89FA20207CD0456DA5278484203F3141",1)</v>
      </c>
      <c r="T269" s="115" t="s">
        <v>2286</v>
      </c>
      <c r="U269" s="27">
        <v>269</v>
      </c>
    </row>
    <row r="270" s="3" customFormat="1" customHeight="1" spans="1:21">
      <c r="A270" s="144">
        <v>44361.6534143519</v>
      </c>
      <c r="B270" s="27" t="s">
        <v>2287</v>
      </c>
      <c r="C270" s="27" t="s">
        <v>2288</v>
      </c>
      <c r="D270" s="162" t="s">
        <v>2289</v>
      </c>
      <c r="E270" s="162" t="s">
        <v>165</v>
      </c>
      <c r="F270" s="162" t="s">
        <v>2290</v>
      </c>
      <c r="G270" s="27">
        <v>18170815855</v>
      </c>
      <c r="H270" s="162" t="s">
        <v>1087</v>
      </c>
      <c r="I270" s="162" t="s">
        <v>156</v>
      </c>
      <c r="J270" s="162" t="s">
        <v>13</v>
      </c>
      <c r="K270" s="27">
        <v>202102003</v>
      </c>
      <c r="L270" s="162" t="s">
        <v>157</v>
      </c>
      <c r="M270" s="162" t="s">
        <v>158</v>
      </c>
      <c r="N270" s="162" t="s">
        <v>223</v>
      </c>
      <c r="O270" s="162" t="s">
        <v>170</v>
      </c>
      <c r="P270" s="162" t="s">
        <v>349</v>
      </c>
      <c r="Q270" s="162" t="s">
        <v>1692</v>
      </c>
      <c r="R270" s="162" t="s">
        <v>2290</v>
      </c>
      <c r="S270" s="118" t="str">
        <f>_xlfn.DISPIMG("ID_BC3CD3F4A07B4F5DB131E901992815BA",1)</f>
        <v>=DISPIMG("ID_BC3CD3F4A07B4F5DB131E901992815BA",1)</v>
      </c>
      <c r="T270" s="115" t="s">
        <v>2291</v>
      </c>
      <c r="U270" s="27">
        <v>270</v>
      </c>
    </row>
    <row r="271" s="3" customFormat="1" customHeight="1" spans="1:21">
      <c r="A271" s="144">
        <v>44361.6766203704</v>
      </c>
      <c r="B271" s="27" t="s">
        <v>2292</v>
      </c>
      <c r="C271" s="27" t="s">
        <v>2293</v>
      </c>
      <c r="D271" s="162" t="s">
        <v>2294</v>
      </c>
      <c r="E271" s="162" t="s">
        <v>153</v>
      </c>
      <c r="F271" s="162" t="s">
        <v>2295</v>
      </c>
      <c r="G271" s="27">
        <v>18179457855</v>
      </c>
      <c r="H271" s="162" t="s">
        <v>2296</v>
      </c>
      <c r="I271" s="162" t="s">
        <v>156</v>
      </c>
      <c r="J271" s="162" t="s">
        <v>5</v>
      </c>
      <c r="K271" s="27">
        <v>202102008</v>
      </c>
      <c r="L271" s="162" t="s">
        <v>157</v>
      </c>
      <c r="M271" s="162" t="s">
        <v>1654</v>
      </c>
      <c r="N271" s="162" t="s">
        <v>2297</v>
      </c>
      <c r="O271" s="162" t="s">
        <v>160</v>
      </c>
      <c r="P271" s="162" t="s">
        <v>2298</v>
      </c>
      <c r="Q271" s="162" t="s">
        <v>2299</v>
      </c>
      <c r="R271" s="27">
        <v>0</v>
      </c>
      <c r="S271" s="118" t="str">
        <f>_xlfn.DISPIMG("ID_2348B3C3CCB6443B92AD1A08F0A487FA",1)</f>
        <v>=DISPIMG("ID_2348B3C3CCB6443B92AD1A08F0A487FA",1)</v>
      </c>
      <c r="T271" s="115" t="s">
        <v>2300</v>
      </c>
      <c r="U271" s="27">
        <v>271</v>
      </c>
    </row>
    <row r="272" s="3" customFormat="1" customHeight="1" spans="1:21">
      <c r="A272" s="144">
        <v>44361.6766666667</v>
      </c>
      <c r="B272" s="27" t="s">
        <v>2301</v>
      </c>
      <c r="C272" s="27" t="s">
        <v>2302</v>
      </c>
      <c r="D272" s="162" t="s">
        <v>2303</v>
      </c>
      <c r="E272" s="162" t="s">
        <v>165</v>
      </c>
      <c r="F272" s="162" t="s">
        <v>2304</v>
      </c>
      <c r="G272" s="27">
        <v>18397921329</v>
      </c>
      <c r="H272" s="162" t="s">
        <v>2305</v>
      </c>
      <c r="I272" s="162" t="s">
        <v>156</v>
      </c>
      <c r="J272" s="162" t="s">
        <v>13</v>
      </c>
      <c r="K272" s="27">
        <v>202102003</v>
      </c>
      <c r="L272" s="162" t="s">
        <v>157</v>
      </c>
      <c r="M272" s="162" t="s">
        <v>233</v>
      </c>
      <c r="N272" s="162" t="s">
        <v>1832</v>
      </c>
      <c r="O272" s="162" t="s">
        <v>160</v>
      </c>
      <c r="P272" s="162" t="s">
        <v>161</v>
      </c>
      <c r="Q272" s="162" t="s">
        <v>2284</v>
      </c>
      <c r="R272" s="27">
        <v>0</v>
      </c>
      <c r="S272" s="118" t="str">
        <f>_xlfn.DISPIMG("ID_D3E1E42587914F6EA2229B8441CD1EF2",1)</f>
        <v>=DISPIMG("ID_D3E1E42587914F6EA2229B8441CD1EF2",1)</v>
      </c>
      <c r="T272" s="115" t="s">
        <v>2306</v>
      </c>
      <c r="U272" s="27">
        <v>272</v>
      </c>
    </row>
    <row r="273" s="3" customFormat="1" customHeight="1" spans="1:21">
      <c r="A273" s="144">
        <v>44361.6902430556</v>
      </c>
      <c r="B273" s="27" t="s">
        <v>2307</v>
      </c>
      <c r="C273" s="27" t="s">
        <v>2308</v>
      </c>
      <c r="D273" s="162" t="s">
        <v>2309</v>
      </c>
      <c r="E273" s="162" t="s">
        <v>165</v>
      </c>
      <c r="F273" s="162" t="s">
        <v>2310</v>
      </c>
      <c r="G273" s="27">
        <v>15279968703</v>
      </c>
      <c r="H273" s="162" t="s">
        <v>2311</v>
      </c>
      <c r="I273" s="162" t="s">
        <v>156</v>
      </c>
      <c r="J273" s="162" t="s">
        <v>8</v>
      </c>
      <c r="K273" s="27">
        <v>202102002</v>
      </c>
      <c r="L273" s="162" t="s">
        <v>279</v>
      </c>
      <c r="M273" s="162" t="s">
        <v>1424</v>
      </c>
      <c r="N273" s="162" t="s">
        <v>497</v>
      </c>
      <c r="O273" s="162" t="s">
        <v>170</v>
      </c>
      <c r="P273" s="162" t="s">
        <v>180</v>
      </c>
      <c r="Q273" s="162" t="s">
        <v>8</v>
      </c>
      <c r="R273" s="162" t="s">
        <v>2312</v>
      </c>
      <c r="S273" s="118" t="str">
        <f>_xlfn.DISPIMG("ID_987FF0FA37F44BD9A4B0BCCB3CF13E1D",1)</f>
        <v>=DISPIMG("ID_987FF0FA37F44BD9A4B0BCCB3CF13E1D",1)</v>
      </c>
      <c r="T273" s="115" t="s">
        <v>2313</v>
      </c>
      <c r="U273" s="27">
        <v>273</v>
      </c>
    </row>
    <row r="274" s="3" customFormat="1" customHeight="1" spans="1:21">
      <c r="A274" s="144">
        <v>44361.7094560185</v>
      </c>
      <c r="B274" s="27" t="s">
        <v>2314</v>
      </c>
      <c r="C274" s="27" t="s">
        <v>2315</v>
      </c>
      <c r="D274" s="162" t="s">
        <v>2316</v>
      </c>
      <c r="E274" s="162" t="s">
        <v>165</v>
      </c>
      <c r="F274" s="162" t="s">
        <v>2317</v>
      </c>
      <c r="G274" s="27">
        <v>18790256284</v>
      </c>
      <c r="H274" s="162" t="s">
        <v>2318</v>
      </c>
      <c r="I274" s="162" t="s">
        <v>156</v>
      </c>
      <c r="J274" s="162" t="s">
        <v>6</v>
      </c>
      <c r="K274" s="27">
        <v>202102012</v>
      </c>
      <c r="L274" s="162" t="s">
        <v>157</v>
      </c>
      <c r="M274" s="162" t="s">
        <v>403</v>
      </c>
      <c r="N274" s="162" t="s">
        <v>207</v>
      </c>
      <c r="O274" s="162" t="s">
        <v>160</v>
      </c>
      <c r="P274" s="162" t="s">
        <v>161</v>
      </c>
      <c r="Q274" s="162" t="s">
        <v>1156</v>
      </c>
      <c r="R274" s="162" t="s">
        <v>2319</v>
      </c>
      <c r="S274" s="118" t="str">
        <f>_xlfn.DISPIMG("ID_CE4D4038789D4DF1AB53AB5B07B379E6",1)</f>
        <v>=DISPIMG("ID_CE4D4038789D4DF1AB53AB5B07B379E6",1)</v>
      </c>
      <c r="T274" s="115" t="s">
        <v>2320</v>
      </c>
      <c r="U274" s="27">
        <v>274</v>
      </c>
    </row>
    <row r="275" s="3" customFormat="1" customHeight="1" spans="1:21">
      <c r="A275" s="144">
        <v>44361.7103009259</v>
      </c>
      <c r="B275" s="27" t="s">
        <v>2321</v>
      </c>
      <c r="C275" s="27" t="s">
        <v>2322</v>
      </c>
      <c r="D275" s="162" t="s">
        <v>2323</v>
      </c>
      <c r="E275" s="162" t="s">
        <v>165</v>
      </c>
      <c r="F275" s="162" t="s">
        <v>2324</v>
      </c>
      <c r="G275" s="27">
        <v>15979178539</v>
      </c>
      <c r="H275" s="162" t="s">
        <v>2325</v>
      </c>
      <c r="I275" s="162" t="s">
        <v>278</v>
      </c>
      <c r="J275" s="162" t="s">
        <v>28</v>
      </c>
      <c r="K275" s="27">
        <v>202103001</v>
      </c>
      <c r="L275" s="162" t="s">
        <v>157</v>
      </c>
      <c r="M275" s="162" t="s">
        <v>1071</v>
      </c>
      <c r="N275" s="162" t="s">
        <v>2326</v>
      </c>
      <c r="O275" s="162" t="s">
        <v>160</v>
      </c>
      <c r="P275" s="162" t="s">
        <v>1942</v>
      </c>
      <c r="Q275" s="162" t="s">
        <v>340</v>
      </c>
      <c r="R275" s="162" t="s">
        <v>2327</v>
      </c>
      <c r="S275" s="118" t="str">
        <f>_xlfn.DISPIMG("ID_A33976891DCF46C9B1DFAD5ADCC8729D",1)</f>
        <v>=DISPIMG("ID_A33976891DCF46C9B1DFAD5ADCC8729D",1)</v>
      </c>
      <c r="T275" s="115" t="s">
        <v>2328</v>
      </c>
      <c r="U275" s="27">
        <v>275</v>
      </c>
    </row>
    <row r="276" s="3" customFormat="1" customHeight="1" spans="1:21">
      <c r="A276" s="144">
        <v>44361.7954398148</v>
      </c>
      <c r="B276" s="27" t="s">
        <v>2329</v>
      </c>
      <c r="C276" s="27" t="s">
        <v>2330</v>
      </c>
      <c r="D276" s="162" t="s">
        <v>2330</v>
      </c>
      <c r="E276" s="162" t="s">
        <v>165</v>
      </c>
      <c r="F276" s="162" t="s">
        <v>2331</v>
      </c>
      <c r="G276" s="27">
        <v>13627002257</v>
      </c>
      <c r="H276" s="162" t="s">
        <v>2332</v>
      </c>
      <c r="I276" s="162" t="s">
        <v>156</v>
      </c>
      <c r="J276" s="162" t="s">
        <v>9</v>
      </c>
      <c r="K276" s="27">
        <v>202102011</v>
      </c>
      <c r="L276" s="162" t="s">
        <v>157</v>
      </c>
      <c r="M276" s="162" t="s">
        <v>233</v>
      </c>
      <c r="N276" s="162" t="s">
        <v>2333</v>
      </c>
      <c r="O276" s="162" t="s">
        <v>160</v>
      </c>
      <c r="P276" s="162" t="s">
        <v>455</v>
      </c>
      <c r="Q276" s="162" t="s">
        <v>9</v>
      </c>
      <c r="R276" s="27">
        <v>0</v>
      </c>
      <c r="S276" s="118" t="str">
        <f>_xlfn.DISPIMG("ID_1491B19669C14541B371C6C8BBB97425",1)</f>
        <v>=DISPIMG("ID_1491B19669C14541B371C6C8BBB97425",1)</v>
      </c>
      <c r="T276" s="115" t="s">
        <v>2334</v>
      </c>
      <c r="U276" s="27">
        <v>276</v>
      </c>
    </row>
    <row r="277" s="3" customFormat="1" customHeight="1" spans="1:21">
      <c r="A277" s="144">
        <v>44361.7991319444</v>
      </c>
      <c r="B277" s="27" t="s">
        <v>2335</v>
      </c>
      <c r="C277" s="27" t="s">
        <v>2336</v>
      </c>
      <c r="D277" s="162" t="s">
        <v>2337</v>
      </c>
      <c r="E277" s="162" t="s">
        <v>165</v>
      </c>
      <c r="F277" s="162" t="s">
        <v>2338</v>
      </c>
      <c r="G277" s="27">
        <v>15779252368</v>
      </c>
      <c r="H277" s="162" t="s">
        <v>2339</v>
      </c>
      <c r="I277" s="162" t="s">
        <v>156</v>
      </c>
      <c r="J277" s="162" t="s">
        <v>8</v>
      </c>
      <c r="K277" s="27">
        <v>202102002</v>
      </c>
      <c r="L277" s="162" t="s">
        <v>157</v>
      </c>
      <c r="M277" s="162" t="s">
        <v>2340</v>
      </c>
      <c r="N277" s="162" t="s">
        <v>270</v>
      </c>
      <c r="O277" s="162" t="s">
        <v>170</v>
      </c>
      <c r="P277" s="162" t="s">
        <v>548</v>
      </c>
      <c r="Q277" s="162" t="s">
        <v>1322</v>
      </c>
      <c r="R277" s="162" t="s">
        <v>2341</v>
      </c>
      <c r="S277" s="118" t="str">
        <f>_xlfn.DISPIMG("ID_590DFB2A64AB463E915AA57C80368398",1)</f>
        <v>=DISPIMG("ID_590DFB2A64AB463E915AA57C80368398",1)</v>
      </c>
      <c r="T277" s="115" t="s">
        <v>2342</v>
      </c>
      <c r="U277" s="27">
        <v>277</v>
      </c>
    </row>
    <row r="278" s="3" customFormat="1" customHeight="1" spans="1:21">
      <c r="A278" s="144">
        <v>44361.8193634259</v>
      </c>
      <c r="B278" s="27" t="s">
        <v>2343</v>
      </c>
      <c r="C278" s="27" t="s">
        <v>2344</v>
      </c>
      <c r="D278" s="162" t="s">
        <v>2345</v>
      </c>
      <c r="E278" s="162" t="s">
        <v>153</v>
      </c>
      <c r="F278" s="162" t="s">
        <v>2346</v>
      </c>
      <c r="G278" s="27">
        <v>15267177470</v>
      </c>
      <c r="H278" s="162" t="s">
        <v>2347</v>
      </c>
      <c r="I278" s="162" t="s">
        <v>156</v>
      </c>
      <c r="J278" s="162" t="s">
        <v>8</v>
      </c>
      <c r="K278" s="27">
        <v>202102002</v>
      </c>
      <c r="L278" s="162" t="s">
        <v>279</v>
      </c>
      <c r="M278" s="162" t="s">
        <v>2348</v>
      </c>
      <c r="N278" s="162" t="s">
        <v>1950</v>
      </c>
      <c r="O278" s="162" t="s">
        <v>170</v>
      </c>
      <c r="P278" s="162" t="s">
        <v>2047</v>
      </c>
      <c r="Q278" s="162" t="s">
        <v>2349</v>
      </c>
      <c r="R278" s="162" t="s">
        <v>2350</v>
      </c>
      <c r="S278" s="118" t="str">
        <f>_xlfn.DISPIMG("ID_5E2BE4A32E0C443299D86A217DB8E55F",1)</f>
        <v>=DISPIMG("ID_5E2BE4A32E0C443299D86A217DB8E55F",1)</v>
      </c>
      <c r="T278" s="115" t="s">
        <v>2351</v>
      </c>
      <c r="U278" s="27">
        <v>278</v>
      </c>
    </row>
    <row r="279" s="3" customFormat="1" customHeight="1" spans="1:21">
      <c r="A279" s="144">
        <v>44361.8211805556</v>
      </c>
      <c r="B279" s="27" t="s">
        <v>2352</v>
      </c>
      <c r="C279" s="27" t="s">
        <v>2353</v>
      </c>
      <c r="D279" s="162" t="s">
        <v>2354</v>
      </c>
      <c r="E279" s="162" t="s">
        <v>165</v>
      </c>
      <c r="F279" s="162" t="s">
        <v>2355</v>
      </c>
      <c r="G279" s="27">
        <v>18870202615</v>
      </c>
      <c r="H279" s="162" t="s">
        <v>2356</v>
      </c>
      <c r="I279" s="162" t="s">
        <v>278</v>
      </c>
      <c r="J279" s="162" t="s">
        <v>28</v>
      </c>
      <c r="K279" s="27">
        <v>202103001</v>
      </c>
      <c r="L279" s="162" t="s">
        <v>279</v>
      </c>
      <c r="M279" s="162" t="s">
        <v>765</v>
      </c>
      <c r="N279" s="162" t="s">
        <v>280</v>
      </c>
      <c r="O279" s="162" t="s">
        <v>170</v>
      </c>
      <c r="P279" s="162" t="s">
        <v>252</v>
      </c>
      <c r="Q279" s="162" t="s">
        <v>340</v>
      </c>
      <c r="R279" s="162" t="s">
        <v>2357</v>
      </c>
      <c r="S279" s="118" t="str">
        <f>_xlfn.DISPIMG("ID_1E1BF7CF64ED4C9392E00D748E2CFF78",1)</f>
        <v>=DISPIMG("ID_1E1BF7CF64ED4C9392E00D748E2CFF78",1)</v>
      </c>
      <c r="T279" s="115" t="s">
        <v>2358</v>
      </c>
      <c r="U279" s="27">
        <v>279</v>
      </c>
    </row>
    <row r="280" s="4" customFormat="1" customHeight="1" spans="1:21">
      <c r="A280" s="145">
        <v>44364.9365393519</v>
      </c>
      <c r="B280" s="22" t="s">
        <v>2359</v>
      </c>
      <c r="C280" s="22" t="s">
        <v>2360</v>
      </c>
      <c r="D280" s="164" t="s">
        <v>2360</v>
      </c>
      <c r="E280" s="164" t="s">
        <v>165</v>
      </c>
      <c r="F280" s="164" t="s">
        <v>2361</v>
      </c>
      <c r="G280" s="22">
        <v>18070140896</v>
      </c>
      <c r="H280" s="164" t="s">
        <v>2362</v>
      </c>
      <c r="I280" s="164" t="s">
        <v>384</v>
      </c>
      <c r="J280" s="164" t="s">
        <v>25</v>
      </c>
      <c r="K280" s="22">
        <v>202101007</v>
      </c>
      <c r="L280" s="164" t="s">
        <v>157</v>
      </c>
      <c r="M280" s="164" t="s">
        <v>2363</v>
      </c>
      <c r="N280" s="164" t="s">
        <v>179</v>
      </c>
      <c r="O280" s="164" t="s">
        <v>170</v>
      </c>
      <c r="P280" s="164" t="s">
        <v>577</v>
      </c>
      <c r="Q280" s="164" t="s">
        <v>25</v>
      </c>
      <c r="R280" s="164" t="s">
        <v>2364</v>
      </c>
      <c r="S280" s="23" t="str">
        <f>_xlfn.DISPIMG("ID_9FF2F7CED6DC40CB89E306847985BA44",1)</f>
        <v>=DISPIMG("ID_9FF2F7CED6DC40CB89E306847985BA44",1)</v>
      </c>
      <c r="T280" s="103" t="s">
        <v>2365</v>
      </c>
      <c r="U280" s="27">
        <v>280</v>
      </c>
    </row>
    <row r="281" s="3" customFormat="1" customHeight="1" spans="1:21">
      <c r="A281" s="144">
        <v>44361.8932291667</v>
      </c>
      <c r="B281" s="27" t="s">
        <v>2366</v>
      </c>
      <c r="C281" s="27" t="s">
        <v>2367</v>
      </c>
      <c r="D281" s="162" t="s">
        <v>2368</v>
      </c>
      <c r="E281" s="162" t="s">
        <v>165</v>
      </c>
      <c r="F281" s="162" t="s">
        <v>2369</v>
      </c>
      <c r="G281" s="27">
        <v>13870275403</v>
      </c>
      <c r="H281" s="162" t="s">
        <v>2370</v>
      </c>
      <c r="I281" s="162" t="s">
        <v>278</v>
      </c>
      <c r="J281" s="162" t="s">
        <v>28</v>
      </c>
      <c r="K281" s="27">
        <v>202103001</v>
      </c>
      <c r="L281" s="162" t="s">
        <v>279</v>
      </c>
      <c r="M281" s="162" t="s">
        <v>367</v>
      </c>
      <c r="N281" s="162" t="s">
        <v>960</v>
      </c>
      <c r="O281" s="162" t="s">
        <v>170</v>
      </c>
      <c r="P281" s="162" t="s">
        <v>161</v>
      </c>
      <c r="Q281" s="162" t="s">
        <v>2371</v>
      </c>
      <c r="R281" s="162" t="s">
        <v>2372</v>
      </c>
      <c r="S281" s="118" t="str">
        <f>_xlfn.DISPIMG("ID_8367FF7FCE354E85A6B58C07A55F59C4",1)</f>
        <v>=DISPIMG("ID_8367FF7FCE354E85A6B58C07A55F59C4",1)</v>
      </c>
      <c r="T281" s="115" t="s">
        <v>2373</v>
      </c>
      <c r="U281" s="27">
        <v>281</v>
      </c>
    </row>
    <row r="282" s="3" customFormat="1" customHeight="1" spans="1:21">
      <c r="A282" s="144">
        <v>44361.8947337963</v>
      </c>
      <c r="B282" s="27" t="s">
        <v>2374</v>
      </c>
      <c r="C282" s="162" t="s">
        <v>2375</v>
      </c>
      <c r="D282" s="162" t="s">
        <v>2376</v>
      </c>
      <c r="E282" s="162" t="s">
        <v>165</v>
      </c>
      <c r="F282" s="162" t="s">
        <v>2377</v>
      </c>
      <c r="G282" s="27">
        <v>15779112128</v>
      </c>
      <c r="H282" s="162" t="s">
        <v>2378</v>
      </c>
      <c r="I282" s="162" t="s">
        <v>156</v>
      </c>
      <c r="J282" s="162" t="s">
        <v>8</v>
      </c>
      <c r="K282" s="27">
        <v>202102002</v>
      </c>
      <c r="L282" s="162" t="s">
        <v>157</v>
      </c>
      <c r="M282" s="162" t="s">
        <v>603</v>
      </c>
      <c r="N282" s="162" t="s">
        <v>2379</v>
      </c>
      <c r="O282" s="162" t="s">
        <v>160</v>
      </c>
      <c r="P282" s="162" t="s">
        <v>180</v>
      </c>
      <c r="Q282" s="162" t="s">
        <v>8</v>
      </c>
      <c r="R282" s="162" t="s">
        <v>2380</v>
      </c>
      <c r="S282" s="118" t="str">
        <f>_xlfn.DISPIMG("ID_9499CE74334F4664AC42AD98401CDCF8",1)</f>
        <v>=DISPIMG("ID_9499CE74334F4664AC42AD98401CDCF8",1)</v>
      </c>
      <c r="T282" s="115" t="s">
        <v>2381</v>
      </c>
      <c r="U282" s="27">
        <v>282</v>
      </c>
    </row>
    <row r="283" s="3" customFormat="1" customHeight="1" spans="1:21">
      <c r="A283" s="144">
        <v>44361.8992824074</v>
      </c>
      <c r="B283" s="27" t="s">
        <v>2382</v>
      </c>
      <c r="C283" s="27" t="s">
        <v>2383</v>
      </c>
      <c r="D283" s="162" t="s">
        <v>2384</v>
      </c>
      <c r="E283" s="162" t="s">
        <v>165</v>
      </c>
      <c r="F283" s="162" t="s">
        <v>2385</v>
      </c>
      <c r="G283" s="27">
        <v>18779249182</v>
      </c>
      <c r="H283" s="162" t="s">
        <v>2386</v>
      </c>
      <c r="I283" s="162" t="s">
        <v>278</v>
      </c>
      <c r="J283" s="162" t="s">
        <v>28</v>
      </c>
      <c r="K283" s="27">
        <v>202103001</v>
      </c>
      <c r="L283" s="162" t="s">
        <v>279</v>
      </c>
      <c r="M283" s="162" t="s">
        <v>178</v>
      </c>
      <c r="N283" s="162" t="s">
        <v>280</v>
      </c>
      <c r="O283" s="162" t="s">
        <v>170</v>
      </c>
      <c r="P283" s="162" t="s">
        <v>548</v>
      </c>
      <c r="Q283" s="162" t="s">
        <v>517</v>
      </c>
      <c r="R283" s="162" t="s">
        <v>2387</v>
      </c>
      <c r="S283" s="118" t="str">
        <f>_xlfn.DISPIMG("ID_8CF817D3A8834773857DA1D47188BF1C",1)</f>
        <v>=DISPIMG("ID_8CF817D3A8834773857DA1D47188BF1C",1)</v>
      </c>
      <c r="T283" s="115" t="s">
        <v>2388</v>
      </c>
      <c r="U283" s="27">
        <v>283</v>
      </c>
    </row>
    <row r="284" s="3" customFormat="1" customHeight="1" spans="1:21">
      <c r="A284" s="144">
        <v>44361.8997569444</v>
      </c>
      <c r="B284" s="27" t="s">
        <v>2389</v>
      </c>
      <c r="C284" s="27" t="s">
        <v>2390</v>
      </c>
      <c r="D284" s="162" t="s">
        <v>2391</v>
      </c>
      <c r="E284" s="162" t="s">
        <v>165</v>
      </c>
      <c r="F284" s="162" t="s">
        <v>2392</v>
      </c>
      <c r="G284" s="27">
        <v>18779160835</v>
      </c>
      <c r="H284" s="162" t="s">
        <v>2393</v>
      </c>
      <c r="I284" s="162" t="s">
        <v>156</v>
      </c>
      <c r="J284" s="162" t="s">
        <v>8</v>
      </c>
      <c r="K284" s="27">
        <v>202102002</v>
      </c>
      <c r="L284" s="162" t="s">
        <v>157</v>
      </c>
      <c r="M284" s="162" t="s">
        <v>385</v>
      </c>
      <c r="N284" s="162" t="s">
        <v>2394</v>
      </c>
      <c r="O284" s="162" t="s">
        <v>160</v>
      </c>
      <c r="P284" s="162" t="s">
        <v>306</v>
      </c>
      <c r="Q284" s="162" t="s">
        <v>2395</v>
      </c>
      <c r="R284" s="162" t="s">
        <v>2396</v>
      </c>
      <c r="S284" s="118" t="str">
        <f>_xlfn.DISPIMG("ID_E59FBD148CC0458789196A3F7371E3AC",1)</f>
        <v>=DISPIMG("ID_E59FBD148CC0458789196A3F7371E3AC",1)</v>
      </c>
      <c r="T284" s="115" t="s">
        <v>2397</v>
      </c>
      <c r="U284" s="27">
        <v>284</v>
      </c>
    </row>
    <row r="285" s="3" customFormat="1" customHeight="1" spans="1:21">
      <c r="A285" s="144">
        <v>44361.9296412037</v>
      </c>
      <c r="B285" s="27" t="s">
        <v>2398</v>
      </c>
      <c r="C285" s="27" t="s">
        <v>2399</v>
      </c>
      <c r="D285" s="162" t="s">
        <v>2400</v>
      </c>
      <c r="E285" s="162" t="s">
        <v>165</v>
      </c>
      <c r="F285" s="162" t="s">
        <v>2401</v>
      </c>
      <c r="G285" s="27">
        <v>18879267195</v>
      </c>
      <c r="H285" s="162" t="s">
        <v>2402</v>
      </c>
      <c r="I285" s="162" t="s">
        <v>156</v>
      </c>
      <c r="J285" s="162" t="s">
        <v>14</v>
      </c>
      <c r="K285" s="27">
        <v>202102001</v>
      </c>
      <c r="L285" s="162" t="s">
        <v>279</v>
      </c>
      <c r="M285" s="162" t="s">
        <v>339</v>
      </c>
      <c r="N285" s="162" t="s">
        <v>348</v>
      </c>
      <c r="O285" s="162" t="s">
        <v>170</v>
      </c>
      <c r="P285" s="162" t="s">
        <v>180</v>
      </c>
      <c r="Q285" s="162" t="s">
        <v>14</v>
      </c>
      <c r="R285" s="162" t="s">
        <v>2403</v>
      </c>
      <c r="S285" s="118" t="str">
        <f>_xlfn.DISPIMG("ID_FE029F69B78E439BA992D666A5ADF87E",1)</f>
        <v>=DISPIMG("ID_FE029F69B78E439BA992D666A5ADF87E",1)</v>
      </c>
      <c r="T285" s="115" t="s">
        <v>2404</v>
      </c>
      <c r="U285" s="27">
        <v>285</v>
      </c>
    </row>
    <row r="286" s="3" customFormat="1" customHeight="1" spans="1:21">
      <c r="A286" s="144">
        <v>44361.9309837963</v>
      </c>
      <c r="B286" s="27" t="s">
        <v>2405</v>
      </c>
      <c r="C286" s="27" t="s">
        <v>2406</v>
      </c>
      <c r="D286" s="162" t="s">
        <v>2407</v>
      </c>
      <c r="E286" s="162" t="s">
        <v>165</v>
      </c>
      <c r="F286" s="162" t="s">
        <v>2408</v>
      </c>
      <c r="G286" s="27">
        <v>15070401093</v>
      </c>
      <c r="H286" s="162" t="s">
        <v>2409</v>
      </c>
      <c r="I286" s="162" t="s">
        <v>156</v>
      </c>
      <c r="J286" s="162" t="s">
        <v>15</v>
      </c>
      <c r="K286" s="27">
        <v>202102007</v>
      </c>
      <c r="L286" s="162" t="s">
        <v>157</v>
      </c>
      <c r="M286" s="162" t="s">
        <v>827</v>
      </c>
      <c r="N286" s="162" t="s">
        <v>2394</v>
      </c>
      <c r="O286" s="162" t="s">
        <v>160</v>
      </c>
      <c r="P286" s="162" t="s">
        <v>171</v>
      </c>
      <c r="Q286" s="162" t="s">
        <v>2410</v>
      </c>
      <c r="R286" s="162" t="s">
        <v>2411</v>
      </c>
      <c r="S286" s="118" t="str">
        <f>_xlfn.DISPIMG("ID_AC752CE0DFA24D83A60721AFA892E1C6",1)</f>
        <v>=DISPIMG("ID_AC752CE0DFA24D83A60721AFA892E1C6",1)</v>
      </c>
      <c r="T286" s="115" t="s">
        <v>2412</v>
      </c>
      <c r="U286" s="27">
        <v>286</v>
      </c>
    </row>
    <row r="287" s="3" customFormat="1" customHeight="1" spans="1:21">
      <c r="A287" s="144">
        <v>44361.9555324074</v>
      </c>
      <c r="B287" s="27" t="s">
        <v>2413</v>
      </c>
      <c r="C287" s="27" t="s">
        <v>2414</v>
      </c>
      <c r="D287" s="162" t="s">
        <v>2415</v>
      </c>
      <c r="E287" s="162" t="s">
        <v>165</v>
      </c>
      <c r="F287" s="162" t="s">
        <v>2416</v>
      </c>
      <c r="G287" s="27">
        <v>18179591146</v>
      </c>
      <c r="H287" s="162" t="s">
        <v>2417</v>
      </c>
      <c r="I287" s="162" t="s">
        <v>384</v>
      </c>
      <c r="J287" s="162" t="s">
        <v>25</v>
      </c>
      <c r="K287" s="27">
        <v>202101007</v>
      </c>
      <c r="L287" s="162" t="s">
        <v>157</v>
      </c>
      <c r="M287" s="162" t="s">
        <v>1258</v>
      </c>
      <c r="N287" s="162" t="s">
        <v>828</v>
      </c>
      <c r="O287" s="162" t="s">
        <v>170</v>
      </c>
      <c r="P287" s="162" t="s">
        <v>171</v>
      </c>
      <c r="Q287" s="162" t="s">
        <v>25</v>
      </c>
      <c r="R287" s="162" t="s">
        <v>2418</v>
      </c>
      <c r="S287" s="118" t="str">
        <f>_xlfn.DISPIMG("ID_CD5C977DBB8D404E885C56F791C17D27",1)</f>
        <v>=DISPIMG("ID_CD5C977DBB8D404E885C56F791C17D27",1)</v>
      </c>
      <c r="T287" s="115" t="s">
        <v>2419</v>
      </c>
      <c r="U287" s="27">
        <v>287</v>
      </c>
    </row>
    <row r="288" s="3" customFormat="1" customHeight="1" spans="1:21">
      <c r="A288" s="144">
        <v>44362.3301736111</v>
      </c>
      <c r="B288" s="27" t="s">
        <v>2420</v>
      </c>
      <c r="C288" s="27" t="s">
        <v>2421</v>
      </c>
      <c r="D288" s="162" t="s">
        <v>2422</v>
      </c>
      <c r="E288" s="162" t="s">
        <v>165</v>
      </c>
      <c r="F288" s="162" t="s">
        <v>2423</v>
      </c>
      <c r="G288" s="27">
        <v>18720291058</v>
      </c>
      <c r="H288" s="162" t="s">
        <v>2424</v>
      </c>
      <c r="I288" s="162" t="s">
        <v>156</v>
      </c>
      <c r="J288" s="162" t="s">
        <v>13</v>
      </c>
      <c r="K288" s="27">
        <v>202102003</v>
      </c>
      <c r="L288" s="162" t="s">
        <v>157</v>
      </c>
      <c r="M288" s="162" t="s">
        <v>2425</v>
      </c>
      <c r="N288" s="162" t="s">
        <v>395</v>
      </c>
      <c r="O288" s="162" t="s">
        <v>160</v>
      </c>
      <c r="P288" s="162" t="s">
        <v>577</v>
      </c>
      <c r="Q288" s="162" t="s">
        <v>324</v>
      </c>
      <c r="R288" s="162" t="s">
        <v>2426</v>
      </c>
      <c r="S288" s="118" t="str">
        <f>_xlfn.DISPIMG("ID_93FC4398D0D24B119D9D1B8E0038C2BD",1)</f>
        <v>=DISPIMG("ID_93FC4398D0D24B119D9D1B8E0038C2BD",1)</v>
      </c>
      <c r="T288" s="115" t="s">
        <v>2427</v>
      </c>
      <c r="U288" s="27">
        <v>288</v>
      </c>
    </row>
    <row r="289" s="3" customFormat="1" customHeight="1" spans="1:21">
      <c r="A289" s="144">
        <v>44362.3620138889</v>
      </c>
      <c r="B289" s="27" t="s">
        <v>2428</v>
      </c>
      <c r="C289" s="27" t="s">
        <v>2429</v>
      </c>
      <c r="D289" s="162" t="s">
        <v>2430</v>
      </c>
      <c r="E289" s="162" t="s">
        <v>165</v>
      </c>
      <c r="F289" s="162" t="s">
        <v>2431</v>
      </c>
      <c r="G289" s="27">
        <v>18379086106</v>
      </c>
      <c r="H289" s="162" t="s">
        <v>2432</v>
      </c>
      <c r="I289" s="162" t="s">
        <v>156</v>
      </c>
      <c r="J289" s="162" t="s">
        <v>14</v>
      </c>
      <c r="K289" s="27">
        <v>202102001</v>
      </c>
      <c r="L289" s="162" t="s">
        <v>279</v>
      </c>
      <c r="M289" s="162" t="s">
        <v>178</v>
      </c>
      <c r="N289" s="162" t="s">
        <v>348</v>
      </c>
      <c r="O289" s="162" t="s">
        <v>170</v>
      </c>
      <c r="P289" s="162" t="s">
        <v>396</v>
      </c>
      <c r="Q289" s="162" t="s">
        <v>14</v>
      </c>
      <c r="R289" s="162" t="s">
        <v>2433</v>
      </c>
      <c r="S289" s="118" t="str">
        <f>_xlfn.DISPIMG("ID_490114996A5646149508AE2796C7FCA8",1)</f>
        <v>=DISPIMG("ID_490114996A5646149508AE2796C7FCA8",1)</v>
      </c>
      <c r="T289" s="115" t="s">
        <v>2434</v>
      </c>
      <c r="U289" s="27">
        <v>289</v>
      </c>
    </row>
    <row r="290" s="3" customFormat="1" customHeight="1" spans="1:21">
      <c r="A290" s="144">
        <v>44362.3812615741</v>
      </c>
      <c r="B290" s="27" t="s">
        <v>2435</v>
      </c>
      <c r="C290" s="27" t="s">
        <v>2436</v>
      </c>
      <c r="D290" s="162" t="s">
        <v>2437</v>
      </c>
      <c r="E290" s="162" t="s">
        <v>165</v>
      </c>
      <c r="F290" s="162" t="s">
        <v>2438</v>
      </c>
      <c r="G290" s="27">
        <v>13657919316</v>
      </c>
      <c r="H290" s="162" t="s">
        <v>2439</v>
      </c>
      <c r="I290" s="162" t="s">
        <v>156</v>
      </c>
      <c r="J290" s="162" t="s">
        <v>8</v>
      </c>
      <c r="K290" s="27">
        <v>202102002</v>
      </c>
      <c r="L290" s="162" t="s">
        <v>705</v>
      </c>
      <c r="M290" s="162" t="s">
        <v>2440</v>
      </c>
      <c r="N290" s="162" t="s">
        <v>2441</v>
      </c>
      <c r="O290" s="162" t="s">
        <v>160</v>
      </c>
      <c r="P290" s="162" t="s">
        <v>189</v>
      </c>
      <c r="Q290" s="162" t="s">
        <v>8</v>
      </c>
      <c r="R290" s="27">
        <v>0</v>
      </c>
      <c r="S290" s="118" t="str">
        <f>_xlfn.DISPIMG("ID_840140DEA4BE4280A385428CC67C44E3",1)</f>
        <v>=DISPIMG("ID_840140DEA4BE4280A385428CC67C44E3",1)</v>
      </c>
      <c r="T290" s="115" t="s">
        <v>2442</v>
      </c>
      <c r="U290" s="27">
        <v>290</v>
      </c>
    </row>
    <row r="291" s="3" customFormat="1" customHeight="1" spans="1:21">
      <c r="A291" s="144">
        <v>44362.3827893519</v>
      </c>
      <c r="B291" s="27" t="s">
        <v>2443</v>
      </c>
      <c r="C291" s="27" t="s">
        <v>2444</v>
      </c>
      <c r="D291" s="162" t="s">
        <v>2445</v>
      </c>
      <c r="E291" s="162" t="s">
        <v>165</v>
      </c>
      <c r="F291" s="162" t="s">
        <v>2446</v>
      </c>
      <c r="G291" s="27">
        <v>15270593089</v>
      </c>
      <c r="H291" s="162" t="s">
        <v>2447</v>
      </c>
      <c r="I291" s="162" t="s">
        <v>278</v>
      </c>
      <c r="J291" s="162" t="s">
        <v>28</v>
      </c>
      <c r="K291" s="27">
        <v>202103001</v>
      </c>
      <c r="L291" s="162" t="s">
        <v>279</v>
      </c>
      <c r="M291" s="162" t="s">
        <v>367</v>
      </c>
      <c r="N291" s="162" t="s">
        <v>280</v>
      </c>
      <c r="O291" s="162" t="s">
        <v>170</v>
      </c>
      <c r="P291" s="162" t="s">
        <v>161</v>
      </c>
      <c r="Q291" s="162" t="s">
        <v>517</v>
      </c>
      <c r="R291" s="162" t="s">
        <v>2448</v>
      </c>
      <c r="S291" s="118" t="str">
        <f>_xlfn.DISPIMG("ID_5A60F5CEF6FD4D2AB2A12133308D2C7D",1)</f>
        <v>=DISPIMG("ID_5A60F5CEF6FD4D2AB2A12133308D2C7D",1)</v>
      </c>
      <c r="T291" s="115" t="s">
        <v>2449</v>
      </c>
      <c r="U291" s="27">
        <v>291</v>
      </c>
    </row>
    <row r="292" s="3" customFormat="1" customHeight="1" spans="1:21">
      <c r="A292" s="144">
        <v>44362.383900463</v>
      </c>
      <c r="B292" s="27" t="s">
        <v>2450</v>
      </c>
      <c r="C292" s="27" t="s">
        <v>2451</v>
      </c>
      <c r="D292" s="162" t="s">
        <v>2452</v>
      </c>
      <c r="E292" s="162" t="s">
        <v>165</v>
      </c>
      <c r="F292" s="162" t="s">
        <v>2453</v>
      </c>
      <c r="G292" s="27">
        <v>18720955003</v>
      </c>
      <c r="H292" s="162" t="s">
        <v>2454</v>
      </c>
      <c r="I292" s="162" t="s">
        <v>156</v>
      </c>
      <c r="J292" s="162" t="s">
        <v>14</v>
      </c>
      <c r="K292" s="27">
        <v>202102001</v>
      </c>
      <c r="L292" s="162" t="s">
        <v>157</v>
      </c>
      <c r="M292" s="162" t="s">
        <v>197</v>
      </c>
      <c r="N292" s="162" t="s">
        <v>454</v>
      </c>
      <c r="O292" s="162" t="s">
        <v>160</v>
      </c>
      <c r="P292" s="162" t="s">
        <v>216</v>
      </c>
      <c r="Q292" s="162" t="s">
        <v>14</v>
      </c>
      <c r="R292" s="162" t="s">
        <v>2455</v>
      </c>
      <c r="S292" s="118" t="str">
        <f>_xlfn.DISPIMG("ID_FC7219DD86F84BE1856628C95CBE9A35",1)</f>
        <v>=DISPIMG("ID_FC7219DD86F84BE1856628C95CBE9A35",1)</v>
      </c>
      <c r="T292" s="115" t="s">
        <v>2456</v>
      </c>
      <c r="U292" s="27">
        <v>292</v>
      </c>
    </row>
    <row r="293" s="3" customFormat="1" customHeight="1" spans="1:21">
      <c r="A293" s="144">
        <v>44362.3914236111</v>
      </c>
      <c r="B293" s="27" t="s">
        <v>2457</v>
      </c>
      <c r="C293" s="27" t="s">
        <v>2458</v>
      </c>
      <c r="D293" s="162" t="s">
        <v>2459</v>
      </c>
      <c r="E293" s="162" t="s">
        <v>165</v>
      </c>
      <c r="F293" s="162" t="s">
        <v>2460</v>
      </c>
      <c r="G293" s="27">
        <v>18702519372</v>
      </c>
      <c r="H293" s="162" t="s">
        <v>2461</v>
      </c>
      <c r="I293" s="162" t="s">
        <v>156</v>
      </c>
      <c r="J293" s="162" t="s">
        <v>5</v>
      </c>
      <c r="K293" s="27">
        <v>202102008</v>
      </c>
      <c r="L293" s="162" t="s">
        <v>279</v>
      </c>
      <c r="M293" s="162" t="s">
        <v>662</v>
      </c>
      <c r="N293" s="162" t="s">
        <v>348</v>
      </c>
      <c r="O293" s="162" t="s">
        <v>170</v>
      </c>
      <c r="P293" s="162" t="s">
        <v>199</v>
      </c>
      <c r="Q293" s="162" t="s">
        <v>2462</v>
      </c>
      <c r="R293" s="27">
        <v>0</v>
      </c>
      <c r="S293" s="118" t="str">
        <f>_xlfn.DISPIMG("ID_C162899F9DDD4F8CA771F69FFB2795AD",1)</f>
        <v>=DISPIMG("ID_C162899F9DDD4F8CA771F69FFB2795AD",1)</v>
      </c>
      <c r="T293" s="115" t="s">
        <v>2463</v>
      </c>
      <c r="U293" s="27">
        <v>293</v>
      </c>
    </row>
    <row r="294" s="3" customFormat="1" customHeight="1" spans="1:21">
      <c r="A294" s="144">
        <v>44362.3951967593</v>
      </c>
      <c r="B294" s="27" t="s">
        <v>2464</v>
      </c>
      <c r="C294" s="27" t="s">
        <v>2465</v>
      </c>
      <c r="D294" s="162" t="s">
        <v>2466</v>
      </c>
      <c r="E294" s="162" t="s">
        <v>165</v>
      </c>
      <c r="F294" s="162" t="s">
        <v>2467</v>
      </c>
      <c r="G294" s="27">
        <v>18296295635</v>
      </c>
      <c r="H294" s="162" t="s">
        <v>2468</v>
      </c>
      <c r="I294" s="162" t="s">
        <v>156</v>
      </c>
      <c r="J294" s="162" t="s">
        <v>14</v>
      </c>
      <c r="K294" s="27">
        <v>202102001</v>
      </c>
      <c r="L294" s="162" t="s">
        <v>279</v>
      </c>
      <c r="M294" s="162" t="s">
        <v>233</v>
      </c>
      <c r="N294" s="162" t="s">
        <v>348</v>
      </c>
      <c r="O294" s="162" t="s">
        <v>170</v>
      </c>
      <c r="P294" s="162" t="s">
        <v>368</v>
      </c>
      <c r="Q294" s="162" t="s">
        <v>14</v>
      </c>
      <c r="R294" s="162" t="s">
        <v>2469</v>
      </c>
      <c r="S294" s="118" t="str">
        <f>_xlfn.DISPIMG("ID_F16EE101B40044CF89D1DFEEC618BA53",1)</f>
        <v>=DISPIMG("ID_F16EE101B40044CF89D1DFEEC618BA53",1)</v>
      </c>
      <c r="T294" s="115" t="s">
        <v>2470</v>
      </c>
      <c r="U294" s="27">
        <v>294</v>
      </c>
    </row>
    <row r="295" s="3" customFormat="1" customHeight="1" spans="1:21">
      <c r="A295" s="144">
        <v>44362.4010648148</v>
      </c>
      <c r="B295" s="27" t="s">
        <v>2471</v>
      </c>
      <c r="C295" s="27" t="s">
        <v>2472</v>
      </c>
      <c r="D295" s="162" t="s">
        <v>2473</v>
      </c>
      <c r="E295" s="162" t="s">
        <v>153</v>
      </c>
      <c r="F295" s="162" t="s">
        <v>2474</v>
      </c>
      <c r="G295" s="27">
        <v>18079290506</v>
      </c>
      <c r="H295" s="162" t="s">
        <v>2475</v>
      </c>
      <c r="I295" s="162" t="s">
        <v>156</v>
      </c>
      <c r="J295" s="162" t="s">
        <v>8</v>
      </c>
      <c r="K295" s="27">
        <v>202102002</v>
      </c>
      <c r="L295" s="162" t="s">
        <v>157</v>
      </c>
      <c r="M295" s="162" t="s">
        <v>935</v>
      </c>
      <c r="N295" s="162" t="s">
        <v>270</v>
      </c>
      <c r="O295" s="162" t="s">
        <v>170</v>
      </c>
      <c r="P295" s="162" t="s">
        <v>281</v>
      </c>
      <c r="Q295" s="162" t="s">
        <v>1322</v>
      </c>
      <c r="R295" s="162" t="s">
        <v>2476</v>
      </c>
      <c r="S295" s="118" t="str">
        <f>_xlfn.DISPIMG("ID_DDCFE953EBFD4779B7FAA3122A1B85C5",1)</f>
        <v>=DISPIMG("ID_DDCFE953EBFD4779B7FAA3122A1B85C5",1)</v>
      </c>
      <c r="T295" s="115" t="s">
        <v>2477</v>
      </c>
      <c r="U295" s="27">
        <v>295</v>
      </c>
    </row>
    <row r="296" s="3" customFormat="1" customHeight="1" spans="1:21">
      <c r="A296" s="144">
        <v>44362.4171875</v>
      </c>
      <c r="B296" s="27" t="s">
        <v>2478</v>
      </c>
      <c r="C296" s="27" t="s">
        <v>2479</v>
      </c>
      <c r="D296" s="162" t="s">
        <v>2480</v>
      </c>
      <c r="E296" s="162" t="s">
        <v>165</v>
      </c>
      <c r="F296" s="162" t="s">
        <v>2481</v>
      </c>
      <c r="G296" s="27">
        <v>15179240952</v>
      </c>
      <c r="H296" s="162" t="s">
        <v>2482</v>
      </c>
      <c r="I296" s="162" t="s">
        <v>156</v>
      </c>
      <c r="J296" s="162" t="s">
        <v>8</v>
      </c>
      <c r="K296" s="27">
        <v>202102002</v>
      </c>
      <c r="L296" s="162" t="s">
        <v>157</v>
      </c>
      <c r="M296" s="162" t="s">
        <v>2483</v>
      </c>
      <c r="N296" s="162" t="s">
        <v>2379</v>
      </c>
      <c r="O296" s="162" t="s">
        <v>160</v>
      </c>
      <c r="P296" s="162" t="s">
        <v>199</v>
      </c>
      <c r="Q296" s="162" t="s">
        <v>8</v>
      </c>
      <c r="R296" s="162" t="s">
        <v>2484</v>
      </c>
      <c r="S296" s="118" t="str">
        <f>_xlfn.DISPIMG("ID_6EB4CC10A54B4F2AAD1518F1F500F570",1)</f>
        <v>=DISPIMG("ID_6EB4CC10A54B4F2AAD1518F1F500F570",1)</v>
      </c>
      <c r="T296" s="115" t="s">
        <v>2485</v>
      </c>
      <c r="U296" s="27">
        <v>296</v>
      </c>
    </row>
    <row r="297" s="3" customFormat="1" customHeight="1" spans="1:21">
      <c r="A297" s="144">
        <v>44362.4195601852</v>
      </c>
      <c r="B297" s="27" t="s">
        <v>2486</v>
      </c>
      <c r="C297" s="27" t="s">
        <v>2202</v>
      </c>
      <c r="D297" s="162" t="s">
        <v>2487</v>
      </c>
      <c r="E297" s="162" t="s">
        <v>165</v>
      </c>
      <c r="F297" s="162" t="s">
        <v>2488</v>
      </c>
      <c r="G297" s="27">
        <v>18979216011</v>
      </c>
      <c r="H297" s="162" t="s">
        <v>2489</v>
      </c>
      <c r="I297" s="162" t="s">
        <v>278</v>
      </c>
      <c r="J297" s="162" t="s">
        <v>28</v>
      </c>
      <c r="K297" s="27">
        <v>202103001</v>
      </c>
      <c r="L297" s="162" t="s">
        <v>157</v>
      </c>
      <c r="M297" s="162" t="s">
        <v>178</v>
      </c>
      <c r="N297" s="162" t="s">
        <v>280</v>
      </c>
      <c r="O297" s="162" t="s">
        <v>170</v>
      </c>
      <c r="P297" s="162" t="s">
        <v>2490</v>
      </c>
      <c r="Q297" s="162" t="s">
        <v>28</v>
      </c>
      <c r="R297" s="162" t="s">
        <v>2491</v>
      </c>
      <c r="S297" s="118" t="str">
        <f>_xlfn.DISPIMG("ID_53B9839AEAC4407495ABBD356F420DDD",1)</f>
        <v>=DISPIMG("ID_53B9839AEAC4407495ABBD356F420DDD",1)</v>
      </c>
      <c r="T297" s="115" t="s">
        <v>2492</v>
      </c>
      <c r="U297" s="27">
        <v>297</v>
      </c>
    </row>
    <row r="298" s="3" customFormat="1" customHeight="1" spans="1:21">
      <c r="A298" s="144">
        <v>44362.4364351852</v>
      </c>
      <c r="B298" s="27" t="s">
        <v>2493</v>
      </c>
      <c r="C298" s="27" t="s">
        <v>2494</v>
      </c>
      <c r="D298" s="162" t="s">
        <v>2495</v>
      </c>
      <c r="E298" s="162" t="s">
        <v>165</v>
      </c>
      <c r="F298" s="162" t="s">
        <v>2496</v>
      </c>
      <c r="G298" s="27">
        <v>15170284980</v>
      </c>
      <c r="H298" s="162" t="s">
        <v>2497</v>
      </c>
      <c r="I298" s="162" t="s">
        <v>384</v>
      </c>
      <c r="J298" s="162" t="s">
        <v>25</v>
      </c>
      <c r="K298" s="27">
        <v>202101007</v>
      </c>
      <c r="L298" s="162" t="s">
        <v>157</v>
      </c>
      <c r="M298" s="162" t="s">
        <v>662</v>
      </c>
      <c r="N298" s="162" t="s">
        <v>179</v>
      </c>
      <c r="O298" s="162" t="s">
        <v>170</v>
      </c>
      <c r="P298" s="162" t="s">
        <v>261</v>
      </c>
      <c r="Q298" s="162" t="s">
        <v>25</v>
      </c>
      <c r="R298" s="27">
        <v>0</v>
      </c>
      <c r="S298" s="118" t="str">
        <f>_xlfn.DISPIMG("ID_9517FA682BDD4A72AC67B046C0A956F9",1)</f>
        <v>=DISPIMG("ID_9517FA682BDD4A72AC67B046C0A956F9",1)</v>
      </c>
      <c r="T298" s="115" t="s">
        <v>2498</v>
      </c>
      <c r="U298" s="27">
        <v>298</v>
      </c>
    </row>
    <row r="299" s="3" customFormat="1" customHeight="1" spans="1:21">
      <c r="A299" s="144">
        <v>44362.4383796296</v>
      </c>
      <c r="B299" s="27" t="s">
        <v>2499</v>
      </c>
      <c r="C299" s="27" t="s">
        <v>2500</v>
      </c>
      <c r="D299" s="162" t="s">
        <v>2501</v>
      </c>
      <c r="E299" s="162" t="s">
        <v>165</v>
      </c>
      <c r="F299" s="162" t="s">
        <v>2502</v>
      </c>
      <c r="G299" s="27">
        <v>18779413916</v>
      </c>
      <c r="H299" s="162" t="s">
        <v>2503</v>
      </c>
      <c r="I299" s="162" t="s">
        <v>278</v>
      </c>
      <c r="J299" s="162" t="s">
        <v>28</v>
      </c>
      <c r="K299" s="27">
        <v>202103001</v>
      </c>
      <c r="L299" s="162" t="s">
        <v>279</v>
      </c>
      <c r="M299" s="162" t="s">
        <v>876</v>
      </c>
      <c r="N299" s="162" t="s">
        <v>1684</v>
      </c>
      <c r="O299" s="162" t="s">
        <v>170</v>
      </c>
      <c r="P299" s="162" t="s">
        <v>171</v>
      </c>
      <c r="Q299" s="162" t="s">
        <v>2504</v>
      </c>
      <c r="R299" s="162" t="s">
        <v>2505</v>
      </c>
      <c r="S299" s="118" t="str">
        <f>_xlfn.DISPIMG("ID_515277FD8D2D40318D429A7BA8ADC69C",1)</f>
        <v>=DISPIMG("ID_515277FD8D2D40318D429A7BA8ADC69C",1)</v>
      </c>
      <c r="T299" s="115" t="s">
        <v>2506</v>
      </c>
      <c r="U299" s="27">
        <v>299</v>
      </c>
    </row>
    <row r="300" s="3" customFormat="1" customHeight="1" spans="1:21">
      <c r="A300" s="144">
        <v>44362.4416898148</v>
      </c>
      <c r="B300" s="27" t="s">
        <v>2507</v>
      </c>
      <c r="C300" s="27" t="s">
        <v>2508</v>
      </c>
      <c r="D300" s="162" t="s">
        <v>2509</v>
      </c>
      <c r="E300" s="162" t="s">
        <v>165</v>
      </c>
      <c r="F300" s="162" t="s">
        <v>2510</v>
      </c>
      <c r="G300" s="27">
        <v>15170261589</v>
      </c>
      <c r="H300" s="162" t="s">
        <v>2511</v>
      </c>
      <c r="I300" s="162" t="s">
        <v>278</v>
      </c>
      <c r="J300" s="162" t="s">
        <v>28</v>
      </c>
      <c r="K300" s="27">
        <v>202103001</v>
      </c>
      <c r="L300" s="162" t="s">
        <v>279</v>
      </c>
      <c r="M300" s="162" t="s">
        <v>168</v>
      </c>
      <c r="N300" s="162" t="s">
        <v>280</v>
      </c>
      <c r="O300" s="162" t="s">
        <v>170</v>
      </c>
      <c r="P300" s="162" t="s">
        <v>171</v>
      </c>
      <c r="Q300" s="162" t="s">
        <v>28</v>
      </c>
      <c r="R300" s="162" t="s">
        <v>2512</v>
      </c>
      <c r="S300" s="118" t="str">
        <f>_xlfn.DISPIMG("ID_7074182E322C4D868E189D169988DEEF",1)</f>
        <v>=DISPIMG("ID_7074182E322C4D868E189D169988DEEF",1)</v>
      </c>
      <c r="T300" s="115" t="s">
        <v>2513</v>
      </c>
      <c r="U300" s="27">
        <v>300</v>
      </c>
    </row>
    <row r="301" s="3" customFormat="1" customHeight="1" spans="1:21">
      <c r="A301" s="144">
        <v>44362.4446412037</v>
      </c>
      <c r="B301" s="27" t="s">
        <v>2514</v>
      </c>
      <c r="C301" s="27" t="s">
        <v>2515</v>
      </c>
      <c r="D301" s="162" t="s">
        <v>2516</v>
      </c>
      <c r="E301" s="162" t="s">
        <v>165</v>
      </c>
      <c r="F301" s="162" t="s">
        <v>2517</v>
      </c>
      <c r="G301" s="27">
        <v>13065113806</v>
      </c>
      <c r="H301" s="162" t="s">
        <v>2518</v>
      </c>
      <c r="I301" s="162" t="s">
        <v>506</v>
      </c>
      <c r="J301" s="162" t="s">
        <v>10</v>
      </c>
      <c r="K301" s="27">
        <v>202101017</v>
      </c>
      <c r="L301" s="162" t="s">
        <v>157</v>
      </c>
      <c r="M301" s="162" t="s">
        <v>876</v>
      </c>
      <c r="N301" s="162" t="s">
        <v>2519</v>
      </c>
      <c r="O301" s="162" t="s">
        <v>160</v>
      </c>
      <c r="P301" s="162" t="s">
        <v>180</v>
      </c>
      <c r="Q301" s="162" t="s">
        <v>10</v>
      </c>
      <c r="R301" s="162" t="s">
        <v>2520</v>
      </c>
      <c r="S301" s="118" t="str">
        <f>_xlfn.DISPIMG("ID_216E9082A77B4B129BF3CB2A7364D002",1)</f>
        <v>=DISPIMG("ID_216E9082A77B4B129BF3CB2A7364D002",1)</v>
      </c>
      <c r="T301" s="115" t="s">
        <v>2521</v>
      </c>
      <c r="U301" s="27">
        <v>301</v>
      </c>
    </row>
    <row r="302" s="3" customFormat="1" customHeight="1" spans="1:21">
      <c r="A302" s="144">
        <v>44362.4454050926</v>
      </c>
      <c r="B302" s="27" t="s">
        <v>2522</v>
      </c>
      <c r="C302" s="27" t="s">
        <v>2523</v>
      </c>
      <c r="D302" s="162" t="s">
        <v>2524</v>
      </c>
      <c r="E302" s="162" t="s">
        <v>153</v>
      </c>
      <c r="F302" s="162" t="s">
        <v>2525</v>
      </c>
      <c r="G302" s="27">
        <v>13133668154</v>
      </c>
      <c r="H302" s="162" t="s">
        <v>2526</v>
      </c>
      <c r="I302" s="162" t="s">
        <v>268</v>
      </c>
      <c r="J302" s="162" t="s">
        <v>21</v>
      </c>
      <c r="K302" s="27">
        <v>202101022</v>
      </c>
      <c r="L302" s="162" t="s">
        <v>157</v>
      </c>
      <c r="M302" s="162" t="s">
        <v>876</v>
      </c>
      <c r="N302" s="162" t="s">
        <v>682</v>
      </c>
      <c r="O302" s="162" t="s">
        <v>170</v>
      </c>
      <c r="P302" s="162" t="s">
        <v>180</v>
      </c>
      <c r="Q302" s="162" t="s">
        <v>2527</v>
      </c>
      <c r="R302" s="162" t="s">
        <v>2528</v>
      </c>
      <c r="S302" s="118" t="str">
        <f>_xlfn.DISPIMG("ID_C8BB1148198145FCA2837FAC9D925FDE",1)</f>
        <v>=DISPIMG("ID_C8BB1148198145FCA2837FAC9D925FDE",1)</v>
      </c>
      <c r="T302" s="115" t="s">
        <v>2529</v>
      </c>
      <c r="U302" s="27">
        <v>302</v>
      </c>
    </row>
    <row r="303" s="3" customFormat="1" customHeight="1" spans="1:21">
      <c r="A303" s="144">
        <v>44362.4467361111</v>
      </c>
      <c r="B303" s="27" t="s">
        <v>2530</v>
      </c>
      <c r="C303" s="27" t="s">
        <v>2531</v>
      </c>
      <c r="D303" s="162" t="s">
        <v>2532</v>
      </c>
      <c r="E303" s="162" t="s">
        <v>165</v>
      </c>
      <c r="F303" s="162" t="s">
        <v>2533</v>
      </c>
      <c r="G303" s="27">
        <v>13687926524</v>
      </c>
      <c r="H303" s="162" t="s">
        <v>2534</v>
      </c>
      <c r="I303" s="162" t="s">
        <v>156</v>
      </c>
      <c r="J303" s="162" t="s">
        <v>13</v>
      </c>
      <c r="K303" s="27">
        <v>202102003</v>
      </c>
      <c r="L303" s="162" t="s">
        <v>157</v>
      </c>
      <c r="M303" s="162" t="s">
        <v>2535</v>
      </c>
      <c r="N303" s="162" t="s">
        <v>179</v>
      </c>
      <c r="O303" s="162" t="s">
        <v>160</v>
      </c>
      <c r="P303" s="162" t="s">
        <v>161</v>
      </c>
      <c r="Q303" s="162" t="s">
        <v>13</v>
      </c>
      <c r="R303" s="27">
        <v>0</v>
      </c>
      <c r="S303" s="118" t="str">
        <f>_xlfn.DISPIMG("ID_B2A378810E7443059EBD825CE991BFE9",1)</f>
        <v>=DISPIMG("ID_B2A378810E7443059EBD825CE991BFE9",1)</v>
      </c>
      <c r="T303" s="115" t="s">
        <v>2536</v>
      </c>
      <c r="U303" s="27">
        <v>303</v>
      </c>
    </row>
    <row r="304" s="3" customFormat="1" customHeight="1" spans="1:21">
      <c r="A304" s="144">
        <v>44362.459525463</v>
      </c>
      <c r="B304" s="27" t="s">
        <v>2537</v>
      </c>
      <c r="C304" s="27" t="s">
        <v>2538</v>
      </c>
      <c r="D304" s="162" t="s">
        <v>2539</v>
      </c>
      <c r="E304" s="162" t="s">
        <v>153</v>
      </c>
      <c r="F304" s="162" t="s">
        <v>2540</v>
      </c>
      <c r="G304" s="27">
        <v>18507928899</v>
      </c>
      <c r="H304" s="162" t="s">
        <v>2541</v>
      </c>
      <c r="I304" s="162" t="s">
        <v>384</v>
      </c>
      <c r="J304" s="162" t="s">
        <v>21</v>
      </c>
      <c r="K304" s="27">
        <v>202101023</v>
      </c>
      <c r="L304" s="162" t="s">
        <v>157</v>
      </c>
      <c r="M304" s="162" t="s">
        <v>876</v>
      </c>
      <c r="N304" s="162" t="s">
        <v>682</v>
      </c>
      <c r="O304" s="162" t="s">
        <v>170</v>
      </c>
      <c r="P304" s="162" t="s">
        <v>180</v>
      </c>
      <c r="Q304" s="162" t="s">
        <v>2542</v>
      </c>
      <c r="R304" s="162" t="s">
        <v>2543</v>
      </c>
      <c r="S304" s="118" t="str">
        <f>_xlfn.DISPIMG("ID_718ACAD550894B0696EED0DE65C7554F",1)</f>
        <v>=DISPIMG("ID_718ACAD550894B0696EED0DE65C7554F",1)</v>
      </c>
      <c r="T304" s="115" t="s">
        <v>2544</v>
      </c>
      <c r="U304" s="27">
        <v>304</v>
      </c>
    </row>
    <row r="305" s="3" customFormat="1" customHeight="1" spans="1:21">
      <c r="A305" s="144">
        <v>44362.4604398148</v>
      </c>
      <c r="B305" s="27" t="s">
        <v>2545</v>
      </c>
      <c r="C305" s="27" t="s">
        <v>2546</v>
      </c>
      <c r="D305" s="162" t="s">
        <v>2547</v>
      </c>
      <c r="E305" s="162" t="s">
        <v>165</v>
      </c>
      <c r="F305" s="162" t="s">
        <v>2548</v>
      </c>
      <c r="G305" s="27">
        <v>18779213164</v>
      </c>
      <c r="H305" s="162" t="s">
        <v>2549</v>
      </c>
      <c r="I305" s="162" t="s">
        <v>156</v>
      </c>
      <c r="J305" s="162" t="s">
        <v>13</v>
      </c>
      <c r="K305" s="27">
        <v>202102003</v>
      </c>
      <c r="L305" s="162" t="s">
        <v>157</v>
      </c>
      <c r="M305" s="162" t="s">
        <v>158</v>
      </c>
      <c r="N305" s="162" t="s">
        <v>179</v>
      </c>
      <c r="O305" s="162" t="s">
        <v>170</v>
      </c>
      <c r="P305" s="162" t="s">
        <v>2550</v>
      </c>
      <c r="Q305" s="162" t="s">
        <v>2551</v>
      </c>
      <c r="R305" s="162" t="s">
        <v>2552</v>
      </c>
      <c r="S305" s="118" t="str">
        <f>_xlfn.DISPIMG("ID_4531DA1F574D4F7CA2AF28BAD514AF1A",1)</f>
        <v>=DISPIMG("ID_4531DA1F574D4F7CA2AF28BAD514AF1A",1)</v>
      </c>
      <c r="T305" s="115" t="s">
        <v>2553</v>
      </c>
      <c r="U305" s="27">
        <v>305</v>
      </c>
    </row>
    <row r="306" s="3" customFormat="1" customHeight="1" spans="1:21">
      <c r="A306" s="144">
        <v>44362.4754513889</v>
      </c>
      <c r="B306" s="27" t="s">
        <v>2554</v>
      </c>
      <c r="C306" s="27" t="s">
        <v>2555</v>
      </c>
      <c r="D306" s="162" t="s">
        <v>2556</v>
      </c>
      <c r="E306" s="162" t="s">
        <v>165</v>
      </c>
      <c r="F306" s="162" t="s">
        <v>2557</v>
      </c>
      <c r="G306" s="27">
        <v>15770775780</v>
      </c>
      <c r="H306" s="162" t="s">
        <v>2558</v>
      </c>
      <c r="I306" s="162" t="s">
        <v>156</v>
      </c>
      <c r="J306" s="162" t="s">
        <v>8</v>
      </c>
      <c r="K306" s="27">
        <v>202102002</v>
      </c>
      <c r="L306" s="162" t="s">
        <v>157</v>
      </c>
      <c r="M306" s="162" t="s">
        <v>1413</v>
      </c>
      <c r="N306" s="162" t="s">
        <v>169</v>
      </c>
      <c r="O306" s="162" t="s">
        <v>170</v>
      </c>
      <c r="P306" s="162" t="s">
        <v>235</v>
      </c>
      <c r="Q306" s="162" t="s">
        <v>8</v>
      </c>
      <c r="R306" s="27">
        <v>0</v>
      </c>
      <c r="S306" s="118" t="str">
        <f>_xlfn.DISPIMG("ID_BF27FE8641A74810A1152D199B9359D9",1)</f>
        <v>=DISPIMG("ID_BF27FE8641A74810A1152D199B9359D9",1)</v>
      </c>
      <c r="T306" s="115" t="s">
        <v>2559</v>
      </c>
      <c r="U306" s="27">
        <v>306</v>
      </c>
    </row>
    <row r="307" s="3" customFormat="1" customHeight="1" spans="1:21">
      <c r="A307" s="144">
        <v>44362.4847453704</v>
      </c>
      <c r="B307" s="27" t="s">
        <v>2560</v>
      </c>
      <c r="C307" s="27" t="s">
        <v>2561</v>
      </c>
      <c r="D307" s="162" t="s">
        <v>2562</v>
      </c>
      <c r="E307" s="162" t="s">
        <v>165</v>
      </c>
      <c r="F307" s="162" t="s">
        <v>2563</v>
      </c>
      <c r="G307" s="27">
        <v>18279531380</v>
      </c>
      <c r="H307" s="162" t="s">
        <v>2564</v>
      </c>
      <c r="I307" s="162" t="s">
        <v>156</v>
      </c>
      <c r="J307" s="162" t="s">
        <v>14</v>
      </c>
      <c r="K307" s="27">
        <v>202102001</v>
      </c>
      <c r="L307" s="162" t="s">
        <v>705</v>
      </c>
      <c r="M307" s="162" t="s">
        <v>2565</v>
      </c>
      <c r="N307" s="162" t="s">
        <v>790</v>
      </c>
      <c r="O307" s="162" t="s">
        <v>160</v>
      </c>
      <c r="P307" s="162" t="s">
        <v>455</v>
      </c>
      <c r="Q307" s="162" t="s">
        <v>14</v>
      </c>
      <c r="R307" s="162" t="s">
        <v>2566</v>
      </c>
      <c r="S307" s="118" t="str">
        <f>_xlfn.DISPIMG("ID_DA928F2BE2B24AF3ABF5D40BAC268946",1)</f>
        <v>=DISPIMG("ID_DA928F2BE2B24AF3ABF5D40BAC268946",1)</v>
      </c>
      <c r="T307" s="115" t="s">
        <v>2567</v>
      </c>
      <c r="U307" s="27">
        <v>307</v>
      </c>
    </row>
    <row r="308" s="3" customFormat="1" customHeight="1" spans="1:21">
      <c r="A308" s="144">
        <v>44362.4870949074</v>
      </c>
      <c r="B308" s="27" t="s">
        <v>2568</v>
      </c>
      <c r="C308" s="27" t="s">
        <v>2569</v>
      </c>
      <c r="D308" s="162" t="s">
        <v>2570</v>
      </c>
      <c r="E308" s="162" t="s">
        <v>165</v>
      </c>
      <c r="F308" s="162" t="s">
        <v>2571</v>
      </c>
      <c r="G308" s="27">
        <v>13970219991</v>
      </c>
      <c r="H308" s="162" t="s">
        <v>2572</v>
      </c>
      <c r="I308" s="162" t="s">
        <v>297</v>
      </c>
      <c r="J308" s="162" t="s">
        <v>2573</v>
      </c>
      <c r="K308" s="27">
        <v>202101027</v>
      </c>
      <c r="L308" s="162" t="s">
        <v>157</v>
      </c>
      <c r="M308" s="162" t="s">
        <v>158</v>
      </c>
      <c r="N308" s="162" t="s">
        <v>2574</v>
      </c>
      <c r="O308" s="162" t="s">
        <v>160</v>
      </c>
      <c r="P308" s="162" t="s">
        <v>455</v>
      </c>
      <c r="Q308" s="162" t="s">
        <v>190</v>
      </c>
      <c r="R308" s="27">
        <v>0</v>
      </c>
      <c r="S308" s="118" t="str">
        <f>_xlfn.DISPIMG("ID_DD633B4B8EE94E4E8FD6FEF2A6CD2D39",1)</f>
        <v>=DISPIMG("ID_DD633B4B8EE94E4E8FD6FEF2A6CD2D39",1)</v>
      </c>
      <c r="T308" s="115" t="s">
        <v>2575</v>
      </c>
      <c r="U308" s="27">
        <v>308</v>
      </c>
    </row>
    <row r="309" s="3" customFormat="1" customHeight="1" spans="1:21">
      <c r="A309" s="144">
        <v>44362.4888773148</v>
      </c>
      <c r="B309" s="27" t="s">
        <v>2576</v>
      </c>
      <c r="C309" s="27" t="s">
        <v>2577</v>
      </c>
      <c r="D309" s="162" t="s">
        <v>2578</v>
      </c>
      <c r="E309" s="162" t="s">
        <v>165</v>
      </c>
      <c r="F309" s="162" t="s">
        <v>2579</v>
      </c>
      <c r="G309" s="27">
        <v>13907924069</v>
      </c>
      <c r="H309" s="162" t="s">
        <v>2580</v>
      </c>
      <c r="I309" s="162" t="s">
        <v>506</v>
      </c>
      <c r="J309" s="162" t="s">
        <v>13</v>
      </c>
      <c r="K309" s="27">
        <v>202102016</v>
      </c>
      <c r="L309" s="162" t="s">
        <v>279</v>
      </c>
      <c r="M309" s="162" t="s">
        <v>1237</v>
      </c>
      <c r="N309" s="162" t="s">
        <v>169</v>
      </c>
      <c r="O309" s="162" t="s">
        <v>170</v>
      </c>
      <c r="P309" s="162" t="s">
        <v>161</v>
      </c>
      <c r="Q309" s="162" t="s">
        <v>2284</v>
      </c>
      <c r="R309" s="162" t="s">
        <v>2581</v>
      </c>
      <c r="S309" s="118" t="str">
        <f>_xlfn.DISPIMG("ID_1B69D0009E5944278A43199D519E50CB",1)</f>
        <v>=DISPIMG("ID_1B69D0009E5944278A43199D519E50CB",1)</v>
      </c>
      <c r="T309" s="115" t="s">
        <v>2582</v>
      </c>
      <c r="U309" s="27">
        <v>309</v>
      </c>
    </row>
    <row r="310" s="3" customFormat="1" customHeight="1" spans="1:21">
      <c r="A310" s="144">
        <v>44362.4928819444</v>
      </c>
      <c r="B310" s="27" t="s">
        <v>2583</v>
      </c>
      <c r="C310" s="27" t="s">
        <v>2584</v>
      </c>
      <c r="D310" s="162" t="s">
        <v>2585</v>
      </c>
      <c r="E310" s="162" t="s">
        <v>153</v>
      </c>
      <c r="F310" s="162" t="s">
        <v>2586</v>
      </c>
      <c r="G310" s="27">
        <v>18870098307</v>
      </c>
      <c r="H310" s="162" t="s">
        <v>2587</v>
      </c>
      <c r="I310" s="162" t="s">
        <v>156</v>
      </c>
      <c r="J310" s="162" t="s">
        <v>13</v>
      </c>
      <c r="K310" s="27">
        <v>202102003</v>
      </c>
      <c r="L310" s="162" t="s">
        <v>157</v>
      </c>
      <c r="M310" s="162" t="s">
        <v>233</v>
      </c>
      <c r="N310" s="162" t="s">
        <v>179</v>
      </c>
      <c r="O310" s="162" t="s">
        <v>160</v>
      </c>
      <c r="P310" s="162" t="s">
        <v>2298</v>
      </c>
      <c r="Q310" s="162" t="s">
        <v>1692</v>
      </c>
      <c r="R310" s="162" t="s">
        <v>2588</v>
      </c>
      <c r="S310" s="118" t="str">
        <f>_xlfn.DISPIMG("ID_C226BACFF043492F9C2831E3F2035CBF",1)</f>
        <v>=DISPIMG("ID_C226BACFF043492F9C2831E3F2035CBF",1)</v>
      </c>
      <c r="T310" s="115" t="s">
        <v>2589</v>
      </c>
      <c r="U310" s="27">
        <v>310</v>
      </c>
    </row>
    <row r="311" s="3" customFormat="1" customHeight="1" spans="1:21">
      <c r="A311" s="144">
        <v>44362.5024652778</v>
      </c>
      <c r="B311" s="27" t="s">
        <v>2590</v>
      </c>
      <c r="C311" s="27" t="s">
        <v>2591</v>
      </c>
      <c r="D311" s="162" t="s">
        <v>2592</v>
      </c>
      <c r="E311" s="162" t="s">
        <v>165</v>
      </c>
      <c r="F311" s="162" t="s">
        <v>2593</v>
      </c>
      <c r="G311" s="27">
        <v>15179254283</v>
      </c>
      <c r="H311" s="162" t="s">
        <v>2594</v>
      </c>
      <c r="I311" s="162" t="s">
        <v>156</v>
      </c>
      <c r="J311" s="162" t="s">
        <v>13</v>
      </c>
      <c r="K311" s="27">
        <v>202102003</v>
      </c>
      <c r="L311" s="162" t="s">
        <v>157</v>
      </c>
      <c r="M311" s="162" t="s">
        <v>269</v>
      </c>
      <c r="N311" s="162" t="s">
        <v>298</v>
      </c>
      <c r="O311" s="162" t="s">
        <v>160</v>
      </c>
      <c r="P311" s="162" t="s">
        <v>161</v>
      </c>
      <c r="Q311" s="162" t="s">
        <v>13</v>
      </c>
      <c r="R311" s="162" t="s">
        <v>2595</v>
      </c>
      <c r="S311" s="118" t="str">
        <f>_xlfn.DISPIMG("ID_4B5E37E946EA4E60BDCBA196E50050B9",1)</f>
        <v>=DISPIMG("ID_4B5E37E946EA4E60BDCBA196E50050B9",1)</v>
      </c>
      <c r="T311" s="115" t="s">
        <v>2596</v>
      </c>
      <c r="U311" s="27">
        <v>311</v>
      </c>
    </row>
    <row r="312" s="3" customFormat="1" customHeight="1" spans="1:21">
      <c r="A312" s="144">
        <v>44362.5097685185</v>
      </c>
      <c r="B312" s="27" t="s">
        <v>2597</v>
      </c>
      <c r="C312" s="27" t="s">
        <v>1946</v>
      </c>
      <c r="D312" s="162" t="s">
        <v>2598</v>
      </c>
      <c r="E312" s="162" t="s">
        <v>153</v>
      </c>
      <c r="F312" s="162" t="s">
        <v>2599</v>
      </c>
      <c r="G312" s="27">
        <v>15979967100</v>
      </c>
      <c r="H312" s="162" t="s">
        <v>2600</v>
      </c>
      <c r="I312" s="162" t="s">
        <v>156</v>
      </c>
      <c r="J312" s="162" t="s">
        <v>9</v>
      </c>
      <c r="K312" s="27">
        <v>202102011</v>
      </c>
      <c r="L312" s="162" t="s">
        <v>157</v>
      </c>
      <c r="M312" s="162" t="s">
        <v>2601</v>
      </c>
      <c r="N312" s="162" t="s">
        <v>463</v>
      </c>
      <c r="O312" s="162" t="s">
        <v>160</v>
      </c>
      <c r="P312" s="162" t="s">
        <v>368</v>
      </c>
      <c r="Q312" s="162" t="s">
        <v>1406</v>
      </c>
      <c r="R312" s="162" t="s">
        <v>2602</v>
      </c>
      <c r="S312" s="118" t="str">
        <f>_xlfn.DISPIMG("ID_6E5E26FD0608404987009AB35A215594",1)</f>
        <v>=DISPIMG("ID_6E5E26FD0608404987009AB35A215594",1)</v>
      </c>
      <c r="T312" s="115" t="s">
        <v>2603</v>
      </c>
      <c r="U312" s="27">
        <v>312</v>
      </c>
    </row>
    <row r="313" s="3" customFormat="1" customHeight="1" spans="1:21">
      <c r="A313" s="144">
        <v>44362.511724537</v>
      </c>
      <c r="B313" s="27" t="s">
        <v>2604</v>
      </c>
      <c r="C313" s="27" t="s">
        <v>2605</v>
      </c>
      <c r="D313" s="162" t="s">
        <v>2606</v>
      </c>
      <c r="E313" s="162" t="s">
        <v>165</v>
      </c>
      <c r="F313" s="162" t="s">
        <v>2607</v>
      </c>
      <c r="G313" s="27">
        <v>18720995920</v>
      </c>
      <c r="H313" s="162" t="s">
        <v>2608</v>
      </c>
      <c r="I313" s="162" t="s">
        <v>297</v>
      </c>
      <c r="J313" s="162" t="s">
        <v>25</v>
      </c>
      <c r="K313" s="27">
        <v>202101008</v>
      </c>
      <c r="L313" s="162" t="s">
        <v>157</v>
      </c>
      <c r="M313" s="162" t="s">
        <v>1654</v>
      </c>
      <c r="N313" s="162" t="s">
        <v>2609</v>
      </c>
      <c r="O313" s="162" t="s">
        <v>160</v>
      </c>
      <c r="P313" s="162" t="s">
        <v>281</v>
      </c>
      <c r="Q313" s="162" t="s">
        <v>2610</v>
      </c>
      <c r="R313" s="162" t="s">
        <v>2611</v>
      </c>
      <c r="S313" s="118" t="str">
        <f>_xlfn.DISPIMG("ID_1DA33C1DACDA463582C160858194DE2A",1)</f>
        <v>=DISPIMG("ID_1DA33C1DACDA463582C160858194DE2A",1)</v>
      </c>
      <c r="T313" s="115" t="s">
        <v>2612</v>
      </c>
      <c r="U313" s="27">
        <v>313</v>
      </c>
    </row>
    <row r="314" s="3" customFormat="1" customHeight="1" spans="1:21">
      <c r="A314" s="144">
        <v>44362.5254976852</v>
      </c>
      <c r="B314" s="27" t="s">
        <v>2613</v>
      </c>
      <c r="C314" s="27" t="s">
        <v>2614</v>
      </c>
      <c r="D314" s="162" t="s">
        <v>2615</v>
      </c>
      <c r="E314" s="162" t="s">
        <v>165</v>
      </c>
      <c r="F314" s="162" t="s">
        <v>2616</v>
      </c>
      <c r="G314" s="27">
        <v>18779299651</v>
      </c>
      <c r="H314" s="162" t="s">
        <v>556</v>
      </c>
      <c r="I314" s="162" t="s">
        <v>278</v>
      </c>
      <c r="J314" s="162" t="s">
        <v>28</v>
      </c>
      <c r="K314" s="27">
        <v>202103001</v>
      </c>
      <c r="L314" s="162" t="s">
        <v>585</v>
      </c>
      <c r="M314" s="162" t="s">
        <v>367</v>
      </c>
      <c r="N314" s="162" t="s">
        <v>280</v>
      </c>
      <c r="O314" s="162" t="s">
        <v>170</v>
      </c>
      <c r="P314" s="162" t="s">
        <v>306</v>
      </c>
      <c r="Q314" s="162" t="s">
        <v>585</v>
      </c>
      <c r="R314" s="162" t="s">
        <v>2617</v>
      </c>
      <c r="S314" s="118" t="str">
        <f>_xlfn.DISPIMG("ID_D88361D0AC4F40C29B491840D8C35568",1)</f>
        <v>=DISPIMG("ID_D88361D0AC4F40C29B491840D8C35568",1)</v>
      </c>
      <c r="T314" s="115" t="s">
        <v>2618</v>
      </c>
      <c r="U314" s="27">
        <v>314</v>
      </c>
    </row>
    <row r="315" s="3" customFormat="1" customHeight="1" spans="1:21">
      <c r="A315" s="144">
        <v>44362.5404166667</v>
      </c>
      <c r="B315" s="27" t="s">
        <v>2619</v>
      </c>
      <c r="C315" s="27" t="s">
        <v>2620</v>
      </c>
      <c r="D315" s="162" t="s">
        <v>2620</v>
      </c>
      <c r="E315" s="162" t="s">
        <v>165</v>
      </c>
      <c r="F315" s="162" t="s">
        <v>2621</v>
      </c>
      <c r="G315" s="27">
        <v>15374326855</v>
      </c>
      <c r="H315" s="162" t="s">
        <v>2622</v>
      </c>
      <c r="I315" s="162" t="s">
        <v>156</v>
      </c>
      <c r="J315" s="162" t="s">
        <v>13</v>
      </c>
      <c r="K315" s="27">
        <v>202102003</v>
      </c>
      <c r="L315" s="162" t="s">
        <v>279</v>
      </c>
      <c r="M315" s="162" t="s">
        <v>2623</v>
      </c>
      <c r="N315" s="162" t="s">
        <v>223</v>
      </c>
      <c r="O315" s="162" t="s">
        <v>170</v>
      </c>
      <c r="P315" s="162" t="s">
        <v>587</v>
      </c>
      <c r="Q315" s="162" t="s">
        <v>487</v>
      </c>
      <c r="R315" s="162" t="s">
        <v>2624</v>
      </c>
      <c r="S315" s="118" t="str">
        <f>_xlfn.DISPIMG("ID_2F48B8B967A44C168C6D69CE2A1FBAF0",1)</f>
        <v>=DISPIMG("ID_2F48B8B967A44C168C6D69CE2A1FBAF0",1)</v>
      </c>
      <c r="T315" s="115" t="s">
        <v>2625</v>
      </c>
      <c r="U315" s="27">
        <v>315</v>
      </c>
    </row>
    <row r="316" s="3" customFormat="1" customHeight="1" spans="1:21">
      <c r="A316" s="144">
        <v>44362.5555439815</v>
      </c>
      <c r="B316" s="27" t="s">
        <v>2626</v>
      </c>
      <c r="C316" s="27" t="s">
        <v>2627</v>
      </c>
      <c r="D316" s="162" t="s">
        <v>2628</v>
      </c>
      <c r="E316" s="162" t="s">
        <v>165</v>
      </c>
      <c r="F316" s="162" t="s">
        <v>2629</v>
      </c>
      <c r="G316" s="27">
        <v>13870213240</v>
      </c>
      <c r="H316" s="162" t="s">
        <v>2630</v>
      </c>
      <c r="I316" s="162" t="s">
        <v>156</v>
      </c>
      <c r="J316" s="162" t="s">
        <v>14</v>
      </c>
      <c r="K316" s="27">
        <v>202101001</v>
      </c>
      <c r="L316" s="162" t="s">
        <v>157</v>
      </c>
      <c r="M316" s="162" t="s">
        <v>233</v>
      </c>
      <c r="N316" s="162" t="s">
        <v>454</v>
      </c>
      <c r="O316" s="162" t="s">
        <v>170</v>
      </c>
      <c r="P316" s="162" t="s">
        <v>2550</v>
      </c>
      <c r="Q316" s="162" t="s">
        <v>638</v>
      </c>
      <c r="R316" s="162" t="s">
        <v>2631</v>
      </c>
      <c r="S316" s="118" t="str">
        <f>_xlfn.DISPIMG("ID_CBC3FBFBAE354D589BD3606A77A20D02",1)</f>
        <v>=DISPIMG("ID_CBC3FBFBAE354D589BD3606A77A20D02",1)</v>
      </c>
      <c r="T316" s="115" t="s">
        <v>2632</v>
      </c>
      <c r="U316" s="27">
        <v>316</v>
      </c>
    </row>
    <row r="317" s="3" customFormat="1" customHeight="1" spans="1:21">
      <c r="A317" s="144">
        <v>44362.5624768519</v>
      </c>
      <c r="B317" s="27" t="s">
        <v>2633</v>
      </c>
      <c r="C317" s="27" t="s">
        <v>2634</v>
      </c>
      <c r="D317" s="162" t="s">
        <v>2635</v>
      </c>
      <c r="E317" s="162" t="s">
        <v>165</v>
      </c>
      <c r="F317" s="162" t="s">
        <v>2636</v>
      </c>
      <c r="G317" s="27">
        <v>15170208662</v>
      </c>
      <c r="H317" s="162" t="s">
        <v>2637</v>
      </c>
      <c r="I317" s="162" t="s">
        <v>156</v>
      </c>
      <c r="J317" s="162" t="s">
        <v>14</v>
      </c>
      <c r="K317" s="27">
        <v>202102001</v>
      </c>
      <c r="L317" s="162" t="s">
        <v>157</v>
      </c>
      <c r="M317" s="162" t="s">
        <v>233</v>
      </c>
      <c r="N317" s="162" t="s">
        <v>454</v>
      </c>
      <c r="O317" s="162" t="s">
        <v>170</v>
      </c>
      <c r="P317" s="162" t="s">
        <v>349</v>
      </c>
      <c r="Q317" s="162" t="s">
        <v>2638</v>
      </c>
      <c r="R317" s="162" t="s">
        <v>2639</v>
      </c>
      <c r="S317" s="118" t="str">
        <f>_xlfn.DISPIMG("ID_E1D95DAB49404461BEFC75E6320DFECC",1)</f>
        <v>=DISPIMG("ID_E1D95DAB49404461BEFC75E6320DFECC",1)</v>
      </c>
      <c r="T317" s="115" t="s">
        <v>2640</v>
      </c>
      <c r="U317" s="27">
        <v>317</v>
      </c>
    </row>
    <row r="318" s="3" customFormat="1" customHeight="1" spans="1:21">
      <c r="A318" s="144">
        <v>44364.5517476852</v>
      </c>
      <c r="B318" s="27" t="s">
        <v>2641</v>
      </c>
      <c r="C318" s="27" t="s">
        <v>2642</v>
      </c>
      <c r="D318" s="162" t="s">
        <v>2643</v>
      </c>
      <c r="E318" s="162" t="s">
        <v>165</v>
      </c>
      <c r="F318" s="162" t="s">
        <v>2644</v>
      </c>
      <c r="G318" s="27">
        <v>15779267017</v>
      </c>
      <c r="H318" s="162" t="s">
        <v>2645</v>
      </c>
      <c r="I318" s="162" t="s">
        <v>156</v>
      </c>
      <c r="J318" s="162" t="s">
        <v>6</v>
      </c>
      <c r="K318" s="27">
        <v>202102012</v>
      </c>
      <c r="L318" s="162" t="s">
        <v>157</v>
      </c>
      <c r="M318" s="162" t="s">
        <v>2646</v>
      </c>
      <c r="N318" s="162" t="s">
        <v>2647</v>
      </c>
      <c r="O318" s="162" t="s">
        <v>160</v>
      </c>
      <c r="P318" s="162" t="s">
        <v>306</v>
      </c>
      <c r="Q318" s="162" t="s">
        <v>18</v>
      </c>
      <c r="R318" s="162" t="s">
        <v>2648</v>
      </c>
      <c r="S318" s="118" t="str">
        <f>_xlfn.DISPIMG("ID_5444703683DB4591A53B76ECB3D8FAE4",1)</f>
        <v>=DISPIMG("ID_5444703683DB4591A53B76ECB3D8FAE4",1)</v>
      </c>
      <c r="T318" s="115" t="s">
        <v>2649</v>
      </c>
      <c r="U318" s="27">
        <v>318</v>
      </c>
    </row>
    <row r="319" s="3" customFormat="1" customHeight="1" spans="1:21">
      <c r="A319" s="144">
        <v>44362.5856944444</v>
      </c>
      <c r="B319" s="27" t="s">
        <v>2650</v>
      </c>
      <c r="C319" s="27" t="s">
        <v>2651</v>
      </c>
      <c r="D319" s="162" t="s">
        <v>2651</v>
      </c>
      <c r="E319" s="162" t="s">
        <v>165</v>
      </c>
      <c r="F319" s="162" t="s">
        <v>2652</v>
      </c>
      <c r="G319" s="27">
        <v>18779275146</v>
      </c>
      <c r="H319" s="162" t="s">
        <v>2653</v>
      </c>
      <c r="I319" s="162" t="s">
        <v>278</v>
      </c>
      <c r="J319" s="162" t="s">
        <v>28</v>
      </c>
      <c r="K319" s="27">
        <v>202103001</v>
      </c>
      <c r="L319" s="162" t="s">
        <v>279</v>
      </c>
      <c r="M319" s="162" t="s">
        <v>367</v>
      </c>
      <c r="N319" s="162" t="s">
        <v>960</v>
      </c>
      <c r="O319" s="162" t="s">
        <v>170</v>
      </c>
      <c r="P319" s="162" t="s">
        <v>261</v>
      </c>
      <c r="Q319" s="162" t="s">
        <v>2654</v>
      </c>
      <c r="R319" s="162" t="s">
        <v>2655</v>
      </c>
      <c r="S319" s="118" t="str">
        <f>_xlfn.DISPIMG("ID_1078F268CB1D42879EB5D176263AD754",1)</f>
        <v>=DISPIMG("ID_1078F268CB1D42879EB5D176263AD754",1)</v>
      </c>
      <c r="T319" s="115" t="s">
        <v>2656</v>
      </c>
      <c r="U319" s="27">
        <v>319</v>
      </c>
    </row>
    <row r="320" s="3" customFormat="1" customHeight="1" spans="1:21">
      <c r="A320" s="144">
        <v>44362.6021064815</v>
      </c>
      <c r="B320" s="27" t="s">
        <v>2657</v>
      </c>
      <c r="C320" s="27" t="s">
        <v>2658</v>
      </c>
      <c r="D320" s="162" t="s">
        <v>2659</v>
      </c>
      <c r="E320" s="162" t="s">
        <v>165</v>
      </c>
      <c r="F320" s="162" t="s">
        <v>2660</v>
      </c>
      <c r="G320" s="27">
        <v>13627065761</v>
      </c>
      <c r="H320" s="162" t="s">
        <v>2661</v>
      </c>
      <c r="I320" s="162" t="s">
        <v>156</v>
      </c>
      <c r="J320" s="162" t="s">
        <v>14</v>
      </c>
      <c r="K320" s="27">
        <v>202102001</v>
      </c>
      <c r="L320" s="162" t="s">
        <v>157</v>
      </c>
      <c r="M320" s="162" t="s">
        <v>269</v>
      </c>
      <c r="N320" s="162" t="s">
        <v>454</v>
      </c>
      <c r="O320" s="162" t="s">
        <v>170</v>
      </c>
      <c r="P320" s="162" t="s">
        <v>161</v>
      </c>
      <c r="Q320" s="162" t="s">
        <v>26</v>
      </c>
      <c r="R320" s="162" t="s">
        <v>2662</v>
      </c>
      <c r="S320" s="118" t="str">
        <f>_xlfn.DISPIMG("ID_4750BE615CAB4B2790251BC514AE2277",1)</f>
        <v>=DISPIMG("ID_4750BE615CAB4B2790251BC514AE2277",1)</v>
      </c>
      <c r="T320" s="115" t="s">
        <v>2663</v>
      </c>
      <c r="U320" s="27">
        <v>320</v>
      </c>
    </row>
    <row r="321" s="3" customFormat="1" customHeight="1" spans="1:21">
      <c r="A321" s="144">
        <v>44362.6083333333</v>
      </c>
      <c r="B321" s="27" t="s">
        <v>2664</v>
      </c>
      <c r="C321" s="27" t="s">
        <v>2665</v>
      </c>
      <c r="D321" s="162" t="s">
        <v>2666</v>
      </c>
      <c r="E321" s="162" t="s">
        <v>165</v>
      </c>
      <c r="F321" s="162" t="s">
        <v>2667</v>
      </c>
      <c r="G321" s="27">
        <v>13367011157</v>
      </c>
      <c r="H321" s="162" t="s">
        <v>2668</v>
      </c>
      <c r="I321" s="162" t="s">
        <v>278</v>
      </c>
      <c r="J321" s="162" t="s">
        <v>28</v>
      </c>
      <c r="K321" s="27">
        <v>202103001</v>
      </c>
      <c r="L321" s="162" t="s">
        <v>279</v>
      </c>
      <c r="M321" s="162" t="s">
        <v>2669</v>
      </c>
      <c r="N321" s="162" t="s">
        <v>280</v>
      </c>
      <c r="O321" s="162" t="s">
        <v>170</v>
      </c>
      <c r="P321" s="162" t="s">
        <v>368</v>
      </c>
      <c r="Q321" s="162" t="s">
        <v>340</v>
      </c>
      <c r="R321" s="162" t="s">
        <v>2670</v>
      </c>
      <c r="S321" s="118" t="str">
        <f>_xlfn.DISPIMG("ID_F3E1E6ADC00F4323859304E86EC6B8D9",1)</f>
        <v>=DISPIMG("ID_F3E1E6ADC00F4323859304E86EC6B8D9",1)</v>
      </c>
      <c r="T321" s="115" t="s">
        <v>2671</v>
      </c>
      <c r="U321" s="27">
        <v>321</v>
      </c>
    </row>
    <row r="322" s="98" customFormat="1" customHeight="1" spans="1:21">
      <c r="A322" s="148">
        <v>44362.6214814815</v>
      </c>
      <c r="B322" s="21" t="s">
        <v>2672</v>
      </c>
      <c r="C322" s="21" t="s">
        <v>2673</v>
      </c>
      <c r="D322" s="163" t="s">
        <v>2674</v>
      </c>
      <c r="E322" s="163" t="s">
        <v>165</v>
      </c>
      <c r="F322" s="163" t="s">
        <v>2675</v>
      </c>
      <c r="G322" s="21">
        <v>18000227120</v>
      </c>
      <c r="H322" s="163" t="s">
        <v>2676</v>
      </c>
      <c r="I322" s="163" t="s">
        <v>297</v>
      </c>
      <c r="J322" s="163" t="s">
        <v>25</v>
      </c>
      <c r="K322" s="21">
        <v>202101008</v>
      </c>
      <c r="L322" s="163" t="s">
        <v>157</v>
      </c>
      <c r="M322" s="163" t="s">
        <v>269</v>
      </c>
      <c r="N322" s="163" t="s">
        <v>2677</v>
      </c>
      <c r="O322" s="163" t="s">
        <v>160</v>
      </c>
      <c r="P322" s="163" t="s">
        <v>224</v>
      </c>
      <c r="Q322" s="163" t="s">
        <v>25</v>
      </c>
      <c r="R322" s="163" t="s">
        <v>2678</v>
      </c>
      <c r="S322" s="100" t="str">
        <f>_xlfn.DISPIMG("ID_30671CE1820E4356996F7B0F17F06E4D",1)</f>
        <v>=DISPIMG("ID_30671CE1820E4356996F7B0F17F06E4D",1)</v>
      </c>
      <c r="T322" s="99" t="s">
        <v>2679</v>
      </c>
      <c r="U322" s="27">
        <v>322</v>
      </c>
    </row>
    <row r="323" s="98" customFormat="1" customHeight="1" spans="1:21">
      <c r="A323" s="148">
        <v>44362.6227430556</v>
      </c>
      <c r="B323" s="21" t="s">
        <v>2680</v>
      </c>
      <c r="C323" s="21" t="s">
        <v>2681</v>
      </c>
      <c r="D323" s="163" t="s">
        <v>2682</v>
      </c>
      <c r="E323" s="163" t="s">
        <v>165</v>
      </c>
      <c r="F323" s="163" t="s">
        <v>2683</v>
      </c>
      <c r="G323" s="21">
        <v>18079206353</v>
      </c>
      <c r="H323" s="163" t="s">
        <v>2684</v>
      </c>
      <c r="I323" s="163" t="s">
        <v>278</v>
      </c>
      <c r="J323" s="163" t="s">
        <v>28</v>
      </c>
      <c r="K323" s="21">
        <v>202103001</v>
      </c>
      <c r="L323" s="163" t="s">
        <v>585</v>
      </c>
      <c r="M323" s="163" t="s">
        <v>367</v>
      </c>
      <c r="N323" s="163" t="s">
        <v>586</v>
      </c>
      <c r="O323" s="163" t="s">
        <v>170</v>
      </c>
      <c r="P323" s="163" t="s">
        <v>2685</v>
      </c>
      <c r="Q323" s="163" t="s">
        <v>2686</v>
      </c>
      <c r="R323" s="163" t="s">
        <v>2687</v>
      </c>
      <c r="S323" s="100" t="str">
        <f>_xlfn.DISPIMG("ID_59F1EB114240498698BFFAECF0E6DA81",1)</f>
        <v>=DISPIMG("ID_59F1EB114240498698BFFAECF0E6DA81",1)</v>
      </c>
      <c r="T323" s="99" t="s">
        <v>2688</v>
      </c>
      <c r="U323" s="27">
        <v>323</v>
      </c>
    </row>
    <row r="324" s="3" customFormat="1" customHeight="1" spans="1:21">
      <c r="A324" s="144">
        <v>44362.6230208333</v>
      </c>
      <c r="B324" s="27" t="s">
        <v>2689</v>
      </c>
      <c r="C324" s="27" t="s">
        <v>2690</v>
      </c>
      <c r="D324" s="162" t="s">
        <v>2691</v>
      </c>
      <c r="E324" s="162" t="s">
        <v>165</v>
      </c>
      <c r="F324" s="162" t="s">
        <v>2692</v>
      </c>
      <c r="G324" s="27">
        <v>13361724916</v>
      </c>
      <c r="H324" s="162" t="s">
        <v>2693</v>
      </c>
      <c r="I324" s="162" t="s">
        <v>278</v>
      </c>
      <c r="J324" s="162" t="s">
        <v>28</v>
      </c>
      <c r="K324" s="27">
        <v>202103001</v>
      </c>
      <c r="L324" s="162" t="s">
        <v>585</v>
      </c>
      <c r="M324" s="162" t="s">
        <v>367</v>
      </c>
      <c r="N324" s="162" t="s">
        <v>586</v>
      </c>
      <c r="O324" s="162" t="s">
        <v>170</v>
      </c>
      <c r="P324" s="162" t="s">
        <v>2685</v>
      </c>
      <c r="Q324" s="162" t="s">
        <v>2686</v>
      </c>
      <c r="R324" s="162" t="s">
        <v>2694</v>
      </c>
      <c r="S324" s="118" t="str">
        <f>_xlfn.DISPIMG("ID_80BD79931C0D4F069B4BB278F0D6EACF",1)</f>
        <v>=DISPIMG("ID_80BD79931C0D4F069B4BB278F0D6EACF",1)</v>
      </c>
      <c r="T324" s="115" t="s">
        <v>2695</v>
      </c>
      <c r="U324" s="27">
        <v>324</v>
      </c>
    </row>
    <row r="325" s="3" customFormat="1" customHeight="1" spans="1:21">
      <c r="A325" s="144">
        <v>44362.6291898148</v>
      </c>
      <c r="B325" s="27" t="s">
        <v>2696</v>
      </c>
      <c r="C325" s="27" t="s">
        <v>2697</v>
      </c>
      <c r="D325" s="162" t="s">
        <v>2698</v>
      </c>
      <c r="E325" s="162" t="s">
        <v>165</v>
      </c>
      <c r="F325" s="162" t="s">
        <v>2699</v>
      </c>
      <c r="G325" s="27">
        <v>17879865970</v>
      </c>
      <c r="H325" s="162" t="s">
        <v>2700</v>
      </c>
      <c r="I325" s="162" t="s">
        <v>156</v>
      </c>
      <c r="J325" s="162" t="s">
        <v>13</v>
      </c>
      <c r="K325" s="27">
        <v>202102003</v>
      </c>
      <c r="L325" s="162" t="s">
        <v>157</v>
      </c>
      <c r="M325" s="162" t="s">
        <v>603</v>
      </c>
      <c r="N325" s="162" t="s">
        <v>179</v>
      </c>
      <c r="O325" s="162" t="s">
        <v>160</v>
      </c>
      <c r="P325" s="162" t="s">
        <v>161</v>
      </c>
      <c r="Q325" s="162" t="s">
        <v>13</v>
      </c>
      <c r="R325" s="162" t="s">
        <v>2701</v>
      </c>
      <c r="S325" s="118" t="str">
        <f>_xlfn.DISPIMG("ID_F144CD0E4B7B43F08EC41420B132D7BF",1)</f>
        <v>=DISPIMG("ID_F144CD0E4B7B43F08EC41420B132D7BF",1)</v>
      </c>
      <c r="T325" s="115" t="s">
        <v>2702</v>
      </c>
      <c r="U325" s="27">
        <v>325</v>
      </c>
    </row>
    <row r="326" s="3" customFormat="1" customHeight="1" spans="1:21">
      <c r="A326" s="144">
        <v>44362.6380208333</v>
      </c>
      <c r="B326" s="27" t="s">
        <v>2703</v>
      </c>
      <c r="C326" s="27" t="s">
        <v>2704</v>
      </c>
      <c r="D326" s="162" t="s">
        <v>2705</v>
      </c>
      <c r="E326" s="162" t="s">
        <v>165</v>
      </c>
      <c r="F326" s="162" t="s">
        <v>2706</v>
      </c>
      <c r="G326" s="27">
        <v>18879206969</v>
      </c>
      <c r="H326" s="162" t="s">
        <v>2707</v>
      </c>
      <c r="I326" s="162" t="s">
        <v>156</v>
      </c>
      <c r="J326" s="162" t="s">
        <v>6</v>
      </c>
      <c r="K326" s="27">
        <v>202102012</v>
      </c>
      <c r="L326" s="162" t="s">
        <v>157</v>
      </c>
      <c r="M326" s="162" t="s">
        <v>2708</v>
      </c>
      <c r="N326" s="162" t="s">
        <v>750</v>
      </c>
      <c r="O326" s="162" t="s">
        <v>160</v>
      </c>
      <c r="P326" s="162" t="s">
        <v>216</v>
      </c>
      <c r="Q326" s="162" t="s">
        <v>18</v>
      </c>
      <c r="R326" s="27">
        <v>0</v>
      </c>
      <c r="S326" s="118" t="str">
        <f>_xlfn.DISPIMG("ID_4ECDECBC23404DF3A6E316268C69D43E",1)</f>
        <v>=DISPIMG("ID_4ECDECBC23404DF3A6E316268C69D43E",1)</v>
      </c>
      <c r="T326" s="115" t="s">
        <v>2709</v>
      </c>
      <c r="U326" s="27">
        <v>326</v>
      </c>
    </row>
    <row r="327" s="3" customFormat="1" customHeight="1" spans="1:21">
      <c r="A327" s="144">
        <v>44362.639837963</v>
      </c>
      <c r="B327" s="27" t="s">
        <v>2710</v>
      </c>
      <c r="C327" s="27" t="s">
        <v>1714</v>
      </c>
      <c r="D327" s="162" t="s">
        <v>2711</v>
      </c>
      <c r="E327" s="162" t="s">
        <v>165</v>
      </c>
      <c r="F327" s="162" t="s">
        <v>2712</v>
      </c>
      <c r="G327" s="27">
        <v>17722507024</v>
      </c>
      <c r="H327" s="162" t="s">
        <v>2713</v>
      </c>
      <c r="I327" s="162" t="s">
        <v>156</v>
      </c>
      <c r="J327" s="162" t="s">
        <v>13</v>
      </c>
      <c r="K327" s="27">
        <v>202102003</v>
      </c>
      <c r="L327" s="162" t="s">
        <v>157</v>
      </c>
      <c r="M327" s="162" t="s">
        <v>2714</v>
      </c>
      <c r="N327" s="162" t="s">
        <v>179</v>
      </c>
      <c r="O327" s="162" t="s">
        <v>160</v>
      </c>
      <c r="P327" s="162" t="s">
        <v>216</v>
      </c>
      <c r="Q327" s="162" t="s">
        <v>13</v>
      </c>
      <c r="R327" s="27">
        <v>0</v>
      </c>
      <c r="S327" s="118" t="str">
        <f>_xlfn.DISPIMG("ID_8518D0C3018F4000B213F1115E41EEAA",1)</f>
        <v>=DISPIMG("ID_8518D0C3018F4000B213F1115E41EEAA",1)</v>
      </c>
      <c r="T327" s="115" t="s">
        <v>2715</v>
      </c>
      <c r="U327" s="27">
        <v>327</v>
      </c>
    </row>
    <row r="328" s="3" customFormat="1" customHeight="1" spans="1:21">
      <c r="A328" s="144">
        <v>44362.6525462963</v>
      </c>
      <c r="B328" s="27" t="s">
        <v>2716</v>
      </c>
      <c r="C328" s="27" t="s">
        <v>2717</v>
      </c>
      <c r="D328" s="162" t="s">
        <v>2718</v>
      </c>
      <c r="E328" s="162" t="s">
        <v>153</v>
      </c>
      <c r="F328" s="162" t="s">
        <v>2719</v>
      </c>
      <c r="G328" s="27">
        <v>15779215230</v>
      </c>
      <c r="H328" s="162" t="s">
        <v>2720</v>
      </c>
      <c r="I328" s="162" t="s">
        <v>156</v>
      </c>
      <c r="J328" s="162" t="s">
        <v>6</v>
      </c>
      <c r="K328" s="27">
        <v>202102012</v>
      </c>
      <c r="L328" s="162" t="s">
        <v>157</v>
      </c>
      <c r="M328" s="162" t="s">
        <v>168</v>
      </c>
      <c r="N328" s="162" t="s">
        <v>2721</v>
      </c>
      <c r="O328" s="162" t="s">
        <v>160</v>
      </c>
      <c r="P328" s="162" t="s">
        <v>455</v>
      </c>
      <c r="Q328" s="162" t="s">
        <v>18</v>
      </c>
      <c r="R328" s="162" t="s">
        <v>2722</v>
      </c>
      <c r="S328" s="118" t="str">
        <f>_xlfn.DISPIMG("ID_2B62698B077F4147874AB6F7E19938E7",1)</f>
        <v>=DISPIMG("ID_2B62698B077F4147874AB6F7E19938E7",1)</v>
      </c>
      <c r="T328" s="115" t="s">
        <v>2723</v>
      </c>
      <c r="U328" s="27">
        <v>328</v>
      </c>
    </row>
    <row r="329" s="3" customFormat="1" customHeight="1" spans="1:21">
      <c r="A329" s="144">
        <v>44362.660787037</v>
      </c>
      <c r="B329" s="27" t="s">
        <v>2724</v>
      </c>
      <c r="C329" s="27" t="s">
        <v>2725</v>
      </c>
      <c r="D329" s="162" t="s">
        <v>2726</v>
      </c>
      <c r="E329" s="162" t="s">
        <v>165</v>
      </c>
      <c r="F329" s="162" t="s">
        <v>2727</v>
      </c>
      <c r="G329" s="27">
        <v>18770822590</v>
      </c>
      <c r="H329" s="162" t="s">
        <v>803</v>
      </c>
      <c r="I329" s="162" t="s">
        <v>156</v>
      </c>
      <c r="J329" s="162" t="s">
        <v>14</v>
      </c>
      <c r="K329" s="27">
        <v>202102001</v>
      </c>
      <c r="L329" s="162" t="s">
        <v>157</v>
      </c>
      <c r="M329" s="162" t="s">
        <v>233</v>
      </c>
      <c r="N329" s="162" t="s">
        <v>1570</v>
      </c>
      <c r="O329" s="162" t="s">
        <v>160</v>
      </c>
      <c r="P329" s="162" t="s">
        <v>252</v>
      </c>
      <c r="Q329" s="162" t="s">
        <v>26</v>
      </c>
      <c r="R329" s="162" t="s">
        <v>2728</v>
      </c>
      <c r="S329" s="118" t="str">
        <f>_xlfn.DISPIMG("ID_BA1DF7BF960547A0983F8DB11C878B07",1)</f>
        <v>=DISPIMG("ID_BA1DF7BF960547A0983F8DB11C878B07",1)</v>
      </c>
      <c r="T329" s="115" t="s">
        <v>2729</v>
      </c>
      <c r="U329" s="27">
        <v>329</v>
      </c>
    </row>
    <row r="330" s="3" customFormat="1" customHeight="1" spans="1:21">
      <c r="A330" s="144">
        <v>44362.6648958333</v>
      </c>
      <c r="B330" s="27" t="s">
        <v>2730</v>
      </c>
      <c r="C330" s="27" t="s">
        <v>2731</v>
      </c>
      <c r="D330" s="162" t="s">
        <v>2732</v>
      </c>
      <c r="E330" s="162" t="s">
        <v>165</v>
      </c>
      <c r="F330" s="162" t="s">
        <v>2733</v>
      </c>
      <c r="G330" s="27">
        <v>15079218024</v>
      </c>
      <c r="H330" s="162" t="s">
        <v>2734</v>
      </c>
      <c r="I330" s="162" t="s">
        <v>156</v>
      </c>
      <c r="J330" s="162" t="s">
        <v>7</v>
      </c>
      <c r="K330" s="27">
        <v>202102006</v>
      </c>
      <c r="L330" s="162" t="s">
        <v>157</v>
      </c>
      <c r="M330" s="162" t="s">
        <v>1112</v>
      </c>
      <c r="N330" s="162" t="s">
        <v>159</v>
      </c>
      <c r="O330" s="162" t="s">
        <v>160</v>
      </c>
      <c r="P330" s="162" t="s">
        <v>199</v>
      </c>
      <c r="Q330" s="162" t="s">
        <v>19</v>
      </c>
      <c r="R330" s="162" t="s">
        <v>2735</v>
      </c>
      <c r="S330" s="118" t="str">
        <f>_xlfn.DISPIMG("ID_8B921756A8224507AE26B26EA7A47E29",1)</f>
        <v>=DISPIMG("ID_8B921756A8224507AE26B26EA7A47E29",1)</v>
      </c>
      <c r="T330" s="115" t="s">
        <v>2736</v>
      </c>
      <c r="U330" s="27">
        <v>330</v>
      </c>
    </row>
    <row r="331" s="3" customFormat="1" customHeight="1" spans="1:21">
      <c r="A331" s="144">
        <v>44362.6695486111</v>
      </c>
      <c r="B331" s="27" t="s">
        <v>2737</v>
      </c>
      <c r="C331" s="27" t="s">
        <v>2738</v>
      </c>
      <c r="D331" s="162" t="s">
        <v>2739</v>
      </c>
      <c r="E331" s="162" t="s">
        <v>165</v>
      </c>
      <c r="F331" s="162" t="s">
        <v>2740</v>
      </c>
      <c r="G331" s="27">
        <v>15180645133</v>
      </c>
      <c r="H331" s="162" t="s">
        <v>1864</v>
      </c>
      <c r="I331" s="162" t="s">
        <v>278</v>
      </c>
      <c r="J331" s="162" t="s">
        <v>28</v>
      </c>
      <c r="K331" s="27">
        <v>202103001</v>
      </c>
      <c r="L331" s="162" t="s">
        <v>279</v>
      </c>
      <c r="M331" s="162" t="s">
        <v>2741</v>
      </c>
      <c r="N331" s="162" t="s">
        <v>2742</v>
      </c>
      <c r="O331" s="162" t="s">
        <v>160</v>
      </c>
      <c r="P331" s="162" t="s">
        <v>577</v>
      </c>
      <c r="Q331" s="162" t="s">
        <v>28</v>
      </c>
      <c r="R331" s="27">
        <v>0</v>
      </c>
      <c r="S331" s="118" t="str">
        <f>_xlfn.DISPIMG("ID_DBC66D2ED4394B2EABDB1526C646D9F0",1)</f>
        <v>=DISPIMG("ID_DBC66D2ED4394B2EABDB1526C646D9F0",1)</v>
      </c>
      <c r="T331" s="115" t="s">
        <v>2743</v>
      </c>
      <c r="U331" s="27">
        <v>331</v>
      </c>
    </row>
    <row r="332" s="3" customFormat="1" customHeight="1" spans="1:21">
      <c r="A332" s="144">
        <v>44362.6696527778</v>
      </c>
      <c r="B332" s="27" t="s">
        <v>2744</v>
      </c>
      <c r="C332" s="27" t="s">
        <v>2745</v>
      </c>
      <c r="D332" s="162" t="s">
        <v>2746</v>
      </c>
      <c r="E332" s="162" t="s">
        <v>165</v>
      </c>
      <c r="F332" s="162" t="s">
        <v>2747</v>
      </c>
      <c r="G332" s="27">
        <v>13479871563</v>
      </c>
      <c r="H332" s="162" t="s">
        <v>2748</v>
      </c>
      <c r="I332" s="162" t="s">
        <v>278</v>
      </c>
      <c r="J332" s="162" t="s">
        <v>28</v>
      </c>
      <c r="K332" s="27">
        <v>202103001</v>
      </c>
      <c r="L332" s="162" t="s">
        <v>279</v>
      </c>
      <c r="M332" s="162" t="s">
        <v>1432</v>
      </c>
      <c r="N332" s="162" t="s">
        <v>280</v>
      </c>
      <c r="O332" s="162" t="s">
        <v>170</v>
      </c>
      <c r="P332" s="162" t="s">
        <v>2221</v>
      </c>
      <c r="Q332" s="162" t="s">
        <v>340</v>
      </c>
      <c r="R332" s="162" t="s">
        <v>2749</v>
      </c>
      <c r="S332" s="118" t="str">
        <f>_xlfn.DISPIMG("ID_88F87A068C9F46F1A08F32919B53F4F3",1)</f>
        <v>=DISPIMG("ID_88F87A068C9F46F1A08F32919B53F4F3",1)</v>
      </c>
      <c r="T332" s="115" t="s">
        <v>2750</v>
      </c>
      <c r="U332" s="27">
        <v>332</v>
      </c>
    </row>
    <row r="333" s="3" customFormat="1" customHeight="1" spans="1:21">
      <c r="A333" s="144">
        <v>44362.6767824074</v>
      </c>
      <c r="B333" s="27" t="s">
        <v>2751</v>
      </c>
      <c r="C333" s="27" t="s">
        <v>2752</v>
      </c>
      <c r="D333" s="162" t="s">
        <v>2753</v>
      </c>
      <c r="E333" s="162" t="s">
        <v>165</v>
      </c>
      <c r="F333" s="162" t="s">
        <v>2754</v>
      </c>
      <c r="G333" s="27">
        <v>18770057517</v>
      </c>
      <c r="H333" s="162" t="s">
        <v>2755</v>
      </c>
      <c r="I333" s="162" t="s">
        <v>156</v>
      </c>
      <c r="J333" s="162" t="s">
        <v>13</v>
      </c>
      <c r="K333" s="27">
        <v>202102003</v>
      </c>
      <c r="L333" s="162" t="s">
        <v>157</v>
      </c>
      <c r="M333" s="162" t="s">
        <v>646</v>
      </c>
      <c r="N333" s="162" t="s">
        <v>179</v>
      </c>
      <c r="O333" s="162" t="s">
        <v>160</v>
      </c>
      <c r="P333" s="162" t="s">
        <v>548</v>
      </c>
      <c r="Q333" s="162" t="s">
        <v>2284</v>
      </c>
      <c r="R333" s="162" t="s">
        <v>2756</v>
      </c>
      <c r="S333" s="118" t="str">
        <f>_xlfn.DISPIMG("ID_2E6C674524F0427FBB4E2C3FFA53D3DF",1)</f>
        <v>=DISPIMG("ID_2E6C674524F0427FBB4E2C3FFA53D3DF",1)</v>
      </c>
      <c r="T333" s="115" t="s">
        <v>2757</v>
      </c>
      <c r="U333" s="27">
        <v>333</v>
      </c>
    </row>
    <row r="334" s="3" customFormat="1" customHeight="1" spans="1:21">
      <c r="A334" s="144">
        <v>44362.6785416667</v>
      </c>
      <c r="B334" s="27" t="s">
        <v>2758</v>
      </c>
      <c r="C334" s="27" t="s">
        <v>2759</v>
      </c>
      <c r="D334" s="162" t="s">
        <v>2760</v>
      </c>
      <c r="E334" s="162" t="s">
        <v>165</v>
      </c>
      <c r="F334" s="162" t="s">
        <v>2761</v>
      </c>
      <c r="G334" s="27">
        <v>18296291050</v>
      </c>
      <c r="H334" s="162" t="s">
        <v>2762</v>
      </c>
      <c r="I334" s="162" t="s">
        <v>156</v>
      </c>
      <c r="J334" s="162" t="s">
        <v>13</v>
      </c>
      <c r="K334" s="27">
        <v>202102003</v>
      </c>
      <c r="L334" s="162" t="s">
        <v>157</v>
      </c>
      <c r="M334" s="162" t="s">
        <v>2763</v>
      </c>
      <c r="N334" s="162" t="s">
        <v>179</v>
      </c>
      <c r="O334" s="162" t="s">
        <v>160</v>
      </c>
      <c r="P334" s="162" t="s">
        <v>261</v>
      </c>
      <c r="Q334" s="162" t="s">
        <v>487</v>
      </c>
      <c r="R334" s="27">
        <v>0</v>
      </c>
      <c r="S334" s="118" t="str">
        <f>_xlfn.DISPIMG("ID_345E5ECE839B455186CF8C80E701C44C",1)</f>
        <v>=DISPIMG("ID_345E5ECE839B455186CF8C80E701C44C",1)</v>
      </c>
      <c r="T334" s="115" t="s">
        <v>2764</v>
      </c>
      <c r="U334" s="27">
        <v>334</v>
      </c>
    </row>
    <row r="335" s="3" customFormat="1" customHeight="1" spans="1:21">
      <c r="A335" s="144">
        <v>44362.6786111111</v>
      </c>
      <c r="B335" s="27" t="s">
        <v>2765</v>
      </c>
      <c r="C335" s="27" t="s">
        <v>2766</v>
      </c>
      <c r="D335" s="162" t="s">
        <v>2767</v>
      </c>
      <c r="E335" s="162" t="s">
        <v>165</v>
      </c>
      <c r="F335" s="162" t="s">
        <v>2768</v>
      </c>
      <c r="G335" s="27">
        <v>18270257502</v>
      </c>
      <c r="H335" s="162" t="s">
        <v>2769</v>
      </c>
      <c r="I335" s="162" t="s">
        <v>506</v>
      </c>
      <c r="J335" s="162" t="s">
        <v>14</v>
      </c>
      <c r="K335" s="27">
        <v>202102014</v>
      </c>
      <c r="L335" s="162" t="s">
        <v>279</v>
      </c>
      <c r="M335" s="162" t="s">
        <v>367</v>
      </c>
      <c r="N335" s="162" t="s">
        <v>1878</v>
      </c>
      <c r="O335" s="162" t="s">
        <v>170</v>
      </c>
      <c r="P335" s="162" t="s">
        <v>161</v>
      </c>
      <c r="Q335" s="162" t="s">
        <v>14</v>
      </c>
      <c r="R335" s="162" t="s">
        <v>2770</v>
      </c>
      <c r="S335" s="118" t="str">
        <f>_xlfn.DISPIMG("ID_599781AB8A9B405FA1C45AEDC9F43F4B",1)</f>
        <v>=DISPIMG("ID_599781AB8A9B405FA1C45AEDC9F43F4B",1)</v>
      </c>
      <c r="T335" s="115" t="s">
        <v>2771</v>
      </c>
      <c r="U335" s="27">
        <v>335</v>
      </c>
    </row>
    <row r="336" s="5" customFormat="1" customHeight="1" spans="1:21">
      <c r="A336" s="146">
        <v>44363.383125</v>
      </c>
      <c r="B336" s="116" t="s">
        <v>2772</v>
      </c>
      <c r="C336" s="116" t="s">
        <v>2773</v>
      </c>
      <c r="D336" s="165" t="s">
        <v>2774</v>
      </c>
      <c r="E336" s="165" t="s">
        <v>165</v>
      </c>
      <c r="F336" s="165" t="s">
        <v>2775</v>
      </c>
      <c r="G336" s="116">
        <v>18720298910</v>
      </c>
      <c r="H336" s="165" t="s">
        <v>2776</v>
      </c>
      <c r="I336" s="165" t="s">
        <v>156</v>
      </c>
      <c r="J336" s="165" t="s">
        <v>7</v>
      </c>
      <c r="K336" s="116">
        <v>202102006</v>
      </c>
      <c r="L336" s="165" t="s">
        <v>157</v>
      </c>
      <c r="M336" s="165" t="s">
        <v>158</v>
      </c>
      <c r="N336" s="165" t="s">
        <v>1639</v>
      </c>
      <c r="O336" s="165" t="s">
        <v>170</v>
      </c>
      <c r="P336" s="165" t="s">
        <v>306</v>
      </c>
      <c r="Q336" s="165" t="s">
        <v>19</v>
      </c>
      <c r="R336" s="165" t="s">
        <v>2777</v>
      </c>
      <c r="S336" s="119" t="str">
        <f>_xlfn.DISPIMG("ID_DC860A7FCB384FE48AFC2F135021FF6F",1)</f>
        <v>=DISPIMG("ID_DC860A7FCB384FE48AFC2F135021FF6F",1)</v>
      </c>
      <c r="T336" s="120" t="s">
        <v>2778</v>
      </c>
      <c r="U336" s="27">
        <v>336</v>
      </c>
    </row>
    <row r="337" s="3" customFormat="1" customHeight="1" spans="1:21">
      <c r="A337" s="144">
        <v>44362.7049189815</v>
      </c>
      <c r="B337" s="27" t="s">
        <v>2779</v>
      </c>
      <c r="C337" s="27" t="s">
        <v>2780</v>
      </c>
      <c r="D337" s="162" t="s">
        <v>2781</v>
      </c>
      <c r="E337" s="162" t="s">
        <v>165</v>
      </c>
      <c r="F337" s="162" t="s">
        <v>2782</v>
      </c>
      <c r="G337" s="27">
        <v>15720953943</v>
      </c>
      <c r="H337" s="162" t="s">
        <v>2783</v>
      </c>
      <c r="I337" s="162" t="s">
        <v>156</v>
      </c>
      <c r="J337" s="162" t="s">
        <v>13</v>
      </c>
      <c r="K337" s="27">
        <v>202102003</v>
      </c>
      <c r="L337" s="162" t="s">
        <v>279</v>
      </c>
      <c r="M337" s="162" t="s">
        <v>178</v>
      </c>
      <c r="N337" s="162" t="s">
        <v>223</v>
      </c>
      <c r="O337" s="162" t="s">
        <v>170</v>
      </c>
      <c r="P337" s="162" t="s">
        <v>281</v>
      </c>
      <c r="Q337" s="162" t="s">
        <v>13</v>
      </c>
      <c r="R337" s="162" t="s">
        <v>2784</v>
      </c>
      <c r="S337" s="118" t="str">
        <f>_xlfn.DISPIMG("ID_88B18CBF153241AE8E07B8EDC59079D6",1)</f>
        <v>=DISPIMG("ID_88B18CBF153241AE8E07B8EDC59079D6",1)</v>
      </c>
      <c r="T337" s="115" t="s">
        <v>2785</v>
      </c>
      <c r="U337" s="27">
        <v>337</v>
      </c>
    </row>
    <row r="338" s="3" customFormat="1" customHeight="1" spans="1:21">
      <c r="A338" s="144">
        <v>44362.7273842593</v>
      </c>
      <c r="B338" s="27" t="s">
        <v>2786</v>
      </c>
      <c r="C338" s="27" t="s">
        <v>2787</v>
      </c>
      <c r="D338" s="162" t="s">
        <v>2788</v>
      </c>
      <c r="E338" s="162" t="s">
        <v>165</v>
      </c>
      <c r="F338" s="162" t="s">
        <v>2789</v>
      </c>
      <c r="G338" s="27">
        <v>15727651558</v>
      </c>
      <c r="H338" s="162" t="s">
        <v>2790</v>
      </c>
      <c r="I338" s="162" t="s">
        <v>156</v>
      </c>
      <c r="J338" s="162" t="s">
        <v>13</v>
      </c>
      <c r="K338" s="27">
        <v>202102003</v>
      </c>
      <c r="L338" s="162" t="s">
        <v>157</v>
      </c>
      <c r="M338" s="162" t="s">
        <v>827</v>
      </c>
      <c r="N338" s="162" t="s">
        <v>223</v>
      </c>
      <c r="O338" s="162" t="s">
        <v>170</v>
      </c>
      <c r="P338" s="162" t="s">
        <v>306</v>
      </c>
      <c r="Q338" s="162" t="s">
        <v>2791</v>
      </c>
      <c r="R338" s="162" t="s">
        <v>2792</v>
      </c>
      <c r="S338" s="118" t="str">
        <f>_xlfn.DISPIMG("ID_5273CD0F4AF44426A565D4F4C926815B",1)</f>
        <v>=DISPIMG("ID_5273CD0F4AF44426A565D4F4C926815B",1)</v>
      </c>
      <c r="T338" s="115" t="s">
        <v>2793</v>
      </c>
      <c r="U338" s="27">
        <v>338</v>
      </c>
    </row>
    <row r="339" s="3" customFormat="1" customHeight="1" spans="1:21">
      <c r="A339" s="144">
        <v>44362.7530787037</v>
      </c>
      <c r="B339" s="27" t="s">
        <v>2794</v>
      </c>
      <c r="C339" s="27" t="s">
        <v>2795</v>
      </c>
      <c r="D339" s="162" t="s">
        <v>2796</v>
      </c>
      <c r="E339" s="162" t="s">
        <v>165</v>
      </c>
      <c r="F339" s="162" t="s">
        <v>2797</v>
      </c>
      <c r="G339" s="27">
        <v>15079245341</v>
      </c>
      <c r="H339" s="162" t="s">
        <v>2798</v>
      </c>
      <c r="I339" s="162" t="s">
        <v>278</v>
      </c>
      <c r="J339" s="162" t="s">
        <v>28</v>
      </c>
      <c r="K339" s="27">
        <v>202103001</v>
      </c>
      <c r="L339" s="162" t="s">
        <v>279</v>
      </c>
      <c r="M339" s="162" t="s">
        <v>2799</v>
      </c>
      <c r="N339" s="162" t="s">
        <v>1489</v>
      </c>
      <c r="O339" s="162" t="s">
        <v>170</v>
      </c>
      <c r="P339" s="162" t="s">
        <v>2800</v>
      </c>
      <c r="Q339" s="162" t="s">
        <v>28</v>
      </c>
      <c r="R339" s="162" t="s">
        <v>2801</v>
      </c>
      <c r="S339" s="118" t="str">
        <f>_xlfn.DISPIMG("ID_CE28F2C62DED40E5A2B6EB31752867C6",1)</f>
        <v>=DISPIMG("ID_CE28F2C62DED40E5A2B6EB31752867C6",1)</v>
      </c>
      <c r="T339" s="115" t="s">
        <v>2802</v>
      </c>
      <c r="U339" s="27">
        <v>339</v>
      </c>
    </row>
    <row r="340" s="3" customFormat="1" customHeight="1" spans="1:21">
      <c r="A340" s="144">
        <v>44362.7545949074</v>
      </c>
      <c r="B340" s="27" t="s">
        <v>2803</v>
      </c>
      <c r="C340" s="27" t="s">
        <v>2804</v>
      </c>
      <c r="D340" s="162" t="s">
        <v>2805</v>
      </c>
      <c r="E340" s="162" t="s">
        <v>153</v>
      </c>
      <c r="F340" s="162" t="s">
        <v>2806</v>
      </c>
      <c r="G340" s="27">
        <v>15350253333</v>
      </c>
      <c r="H340" s="162" t="s">
        <v>2807</v>
      </c>
      <c r="I340" s="162" t="s">
        <v>268</v>
      </c>
      <c r="J340" s="162" t="s">
        <v>17</v>
      </c>
      <c r="K340" s="27">
        <v>202101007</v>
      </c>
      <c r="L340" s="162" t="s">
        <v>157</v>
      </c>
      <c r="M340" s="162" t="s">
        <v>269</v>
      </c>
      <c r="N340" s="162" t="s">
        <v>290</v>
      </c>
      <c r="O340" s="162" t="s">
        <v>170</v>
      </c>
      <c r="P340" s="162" t="s">
        <v>368</v>
      </c>
      <c r="Q340" s="162" t="s">
        <v>17</v>
      </c>
      <c r="R340" s="162" t="s">
        <v>2808</v>
      </c>
      <c r="S340" s="118" t="str">
        <f>_xlfn.DISPIMG("ID_7C47A0694F0147EB860DAA1E2F9E87A3",1)</f>
        <v>=DISPIMG("ID_7C47A0694F0147EB860DAA1E2F9E87A3",1)</v>
      </c>
      <c r="T340" s="115" t="s">
        <v>2809</v>
      </c>
      <c r="U340" s="27">
        <v>340</v>
      </c>
    </row>
    <row r="341" s="3" customFormat="1" customHeight="1" spans="1:21">
      <c r="A341" s="144">
        <v>44362.7548263889</v>
      </c>
      <c r="B341" s="27" t="s">
        <v>2810</v>
      </c>
      <c r="C341" s="27" t="s">
        <v>2811</v>
      </c>
      <c r="D341" s="162" t="s">
        <v>2812</v>
      </c>
      <c r="E341" s="162" t="s">
        <v>165</v>
      </c>
      <c r="F341" s="162" t="s">
        <v>2813</v>
      </c>
      <c r="G341" s="27">
        <v>17770890987</v>
      </c>
      <c r="H341" s="162" t="s">
        <v>2814</v>
      </c>
      <c r="I341" s="162" t="s">
        <v>156</v>
      </c>
      <c r="J341" s="162" t="s">
        <v>13</v>
      </c>
      <c r="K341" s="27">
        <v>202102003</v>
      </c>
      <c r="L341" s="162" t="s">
        <v>157</v>
      </c>
      <c r="M341" s="162" t="s">
        <v>385</v>
      </c>
      <c r="N341" s="162" t="s">
        <v>179</v>
      </c>
      <c r="O341" s="162" t="s">
        <v>170</v>
      </c>
      <c r="P341" s="162" t="s">
        <v>2047</v>
      </c>
      <c r="Q341" s="162" t="s">
        <v>1692</v>
      </c>
      <c r="R341" s="162" t="s">
        <v>2815</v>
      </c>
      <c r="S341" s="118" t="str">
        <f>_xlfn.DISPIMG("ID_5757AB93890A4F58A4EA7B46206D2416",1)</f>
        <v>=DISPIMG("ID_5757AB93890A4F58A4EA7B46206D2416",1)</v>
      </c>
      <c r="T341" s="115" t="s">
        <v>2816</v>
      </c>
      <c r="U341" s="27">
        <v>341</v>
      </c>
    </row>
    <row r="342" s="3" customFormat="1" customHeight="1" spans="1:21">
      <c r="A342" s="144">
        <v>44362.7583449074</v>
      </c>
      <c r="B342" s="27" t="s">
        <v>2817</v>
      </c>
      <c r="C342" s="27" t="s">
        <v>2818</v>
      </c>
      <c r="D342" s="162" t="s">
        <v>2819</v>
      </c>
      <c r="E342" s="162" t="s">
        <v>165</v>
      </c>
      <c r="F342" s="162" t="s">
        <v>2820</v>
      </c>
      <c r="G342" s="27">
        <v>18720151872</v>
      </c>
      <c r="H342" s="162" t="s">
        <v>1111</v>
      </c>
      <c r="I342" s="162" t="s">
        <v>156</v>
      </c>
      <c r="J342" s="162" t="s">
        <v>13</v>
      </c>
      <c r="K342" s="27">
        <v>202102003</v>
      </c>
      <c r="L342" s="162" t="s">
        <v>157</v>
      </c>
      <c r="M342" s="162" t="s">
        <v>269</v>
      </c>
      <c r="N342" s="162" t="s">
        <v>2821</v>
      </c>
      <c r="O342" s="162" t="s">
        <v>170</v>
      </c>
      <c r="P342" s="162" t="s">
        <v>455</v>
      </c>
      <c r="Q342" s="162" t="s">
        <v>13</v>
      </c>
      <c r="R342" s="27">
        <v>0</v>
      </c>
      <c r="S342" s="118" t="str">
        <f>_xlfn.DISPIMG("ID_3C9269A8B40D486AA589E83B191F62F8",1)</f>
        <v>=DISPIMG("ID_3C9269A8B40D486AA589E83B191F62F8",1)</v>
      </c>
      <c r="T342" s="115" t="s">
        <v>2822</v>
      </c>
      <c r="U342" s="27">
        <v>342</v>
      </c>
    </row>
    <row r="343" s="3" customFormat="1" customHeight="1" spans="1:21">
      <c r="A343" s="144">
        <v>44362.7746875</v>
      </c>
      <c r="B343" s="27" t="s">
        <v>2823</v>
      </c>
      <c r="C343" s="27" t="s">
        <v>2824</v>
      </c>
      <c r="D343" s="162" t="s">
        <v>2825</v>
      </c>
      <c r="E343" s="162" t="s">
        <v>165</v>
      </c>
      <c r="F343" s="162" t="s">
        <v>2826</v>
      </c>
      <c r="G343" s="27">
        <v>13177721280</v>
      </c>
      <c r="H343" s="162" t="s">
        <v>2827</v>
      </c>
      <c r="I343" s="162" t="s">
        <v>278</v>
      </c>
      <c r="J343" s="162" t="s">
        <v>28</v>
      </c>
      <c r="K343" s="27">
        <v>202103001</v>
      </c>
      <c r="L343" s="162" t="s">
        <v>279</v>
      </c>
      <c r="M343" s="162" t="s">
        <v>1237</v>
      </c>
      <c r="N343" s="162" t="s">
        <v>280</v>
      </c>
      <c r="O343" s="162" t="s">
        <v>170</v>
      </c>
      <c r="P343" s="162" t="s">
        <v>261</v>
      </c>
      <c r="Q343" s="162" t="s">
        <v>340</v>
      </c>
      <c r="R343" s="27">
        <v>0</v>
      </c>
      <c r="S343" s="118" t="str">
        <f>_xlfn.DISPIMG("ID_F08BB5C3B75D4962A37212B4DDDA960C",1)</f>
        <v>=DISPIMG("ID_F08BB5C3B75D4962A37212B4DDDA960C",1)</v>
      </c>
      <c r="T343" s="115" t="s">
        <v>2828</v>
      </c>
      <c r="U343" s="27">
        <v>343</v>
      </c>
    </row>
    <row r="344" s="3" customFormat="1" customHeight="1" spans="1:21">
      <c r="A344" s="144">
        <v>44362.7792708333</v>
      </c>
      <c r="B344" s="27" t="s">
        <v>2829</v>
      </c>
      <c r="C344" s="27" t="s">
        <v>2830</v>
      </c>
      <c r="D344" s="162" t="s">
        <v>2831</v>
      </c>
      <c r="E344" s="162" t="s">
        <v>165</v>
      </c>
      <c r="F344" s="162" t="s">
        <v>2832</v>
      </c>
      <c r="G344" s="27">
        <v>17794516178</v>
      </c>
      <c r="H344" s="162" t="s">
        <v>2833</v>
      </c>
      <c r="I344" s="162" t="s">
        <v>268</v>
      </c>
      <c r="J344" s="162" t="s">
        <v>16</v>
      </c>
      <c r="K344" s="27">
        <v>202101011</v>
      </c>
      <c r="L344" s="162" t="s">
        <v>705</v>
      </c>
      <c r="M344" s="162" t="s">
        <v>2834</v>
      </c>
      <c r="N344" s="162" t="s">
        <v>1397</v>
      </c>
      <c r="O344" s="162" t="s">
        <v>160</v>
      </c>
      <c r="P344" s="162" t="s">
        <v>261</v>
      </c>
      <c r="Q344" s="162" t="s">
        <v>2835</v>
      </c>
      <c r="R344" s="27">
        <v>0</v>
      </c>
      <c r="S344" s="118" t="str">
        <f>_xlfn.DISPIMG("ID_012851E191D54E319B75F7300CFFD208",1)</f>
        <v>=DISPIMG("ID_012851E191D54E319B75F7300CFFD208",1)</v>
      </c>
      <c r="T344" s="115" t="s">
        <v>2836</v>
      </c>
      <c r="U344" s="27">
        <v>344</v>
      </c>
    </row>
    <row r="345" s="3" customFormat="1" customHeight="1" spans="1:21">
      <c r="A345" s="144">
        <v>44362.7820949074</v>
      </c>
      <c r="B345" s="27" t="s">
        <v>2837</v>
      </c>
      <c r="C345" s="27" t="s">
        <v>2838</v>
      </c>
      <c r="D345" s="162" t="s">
        <v>2839</v>
      </c>
      <c r="E345" s="162" t="s">
        <v>165</v>
      </c>
      <c r="F345" s="162" t="s">
        <v>2840</v>
      </c>
      <c r="G345" s="27">
        <v>15979055139</v>
      </c>
      <c r="H345" s="162" t="s">
        <v>2841</v>
      </c>
      <c r="I345" s="162" t="s">
        <v>156</v>
      </c>
      <c r="J345" s="162" t="s">
        <v>8</v>
      </c>
      <c r="K345" s="27">
        <v>202102002</v>
      </c>
      <c r="L345" s="162" t="s">
        <v>157</v>
      </c>
      <c r="M345" s="162" t="s">
        <v>827</v>
      </c>
      <c r="N345" s="162" t="s">
        <v>270</v>
      </c>
      <c r="O345" s="162" t="s">
        <v>170</v>
      </c>
      <c r="P345" s="162" t="s">
        <v>587</v>
      </c>
      <c r="Q345" s="162" t="s">
        <v>2842</v>
      </c>
      <c r="R345" s="162" t="s">
        <v>2843</v>
      </c>
      <c r="S345" s="118" t="str">
        <f>_xlfn.DISPIMG("ID_D0E61411E52441859AFE69B7874CA20C",1)</f>
        <v>=DISPIMG("ID_D0E61411E52441859AFE69B7874CA20C",1)</v>
      </c>
      <c r="T345" s="115" t="s">
        <v>2844</v>
      </c>
      <c r="U345" s="27">
        <v>345</v>
      </c>
    </row>
    <row r="346" s="3" customFormat="1" customHeight="1" spans="1:21">
      <c r="A346" s="144">
        <v>44362.7998726852</v>
      </c>
      <c r="B346" s="27" t="s">
        <v>2845</v>
      </c>
      <c r="C346" s="27" t="s">
        <v>2846</v>
      </c>
      <c r="D346" s="162" t="s">
        <v>2847</v>
      </c>
      <c r="E346" s="162" t="s">
        <v>165</v>
      </c>
      <c r="F346" s="162" t="s">
        <v>2848</v>
      </c>
      <c r="G346" s="27">
        <v>18720087898</v>
      </c>
      <c r="H346" s="162" t="s">
        <v>2849</v>
      </c>
      <c r="I346" s="162" t="s">
        <v>156</v>
      </c>
      <c r="J346" s="162" t="s">
        <v>8</v>
      </c>
      <c r="K346" s="27">
        <v>202102002</v>
      </c>
      <c r="L346" s="162" t="s">
        <v>157</v>
      </c>
      <c r="M346" s="162" t="s">
        <v>1654</v>
      </c>
      <c r="N346" s="162" t="s">
        <v>813</v>
      </c>
      <c r="O346" s="162" t="s">
        <v>160</v>
      </c>
      <c r="P346" s="162" t="s">
        <v>516</v>
      </c>
      <c r="Q346" s="162" t="s">
        <v>8</v>
      </c>
      <c r="R346" s="162" t="s">
        <v>2850</v>
      </c>
      <c r="S346" s="118" t="str">
        <f>_xlfn.DISPIMG("ID_B4574457B7EA4998BCE46939492C25E1",1)</f>
        <v>=DISPIMG("ID_B4574457B7EA4998BCE46939492C25E1",1)</v>
      </c>
      <c r="T346" s="115" t="s">
        <v>2851</v>
      </c>
      <c r="U346" s="27">
        <v>346</v>
      </c>
    </row>
    <row r="347" s="3" customFormat="1" customHeight="1" spans="1:21">
      <c r="A347" s="144">
        <v>44362.8000578704</v>
      </c>
      <c r="B347" s="27" t="s">
        <v>2852</v>
      </c>
      <c r="C347" s="27" t="s">
        <v>2853</v>
      </c>
      <c r="D347" s="162" t="s">
        <v>2854</v>
      </c>
      <c r="E347" s="162" t="s">
        <v>165</v>
      </c>
      <c r="F347" s="162" t="s">
        <v>2855</v>
      </c>
      <c r="G347" s="27">
        <v>18720256092</v>
      </c>
      <c r="H347" s="162" t="s">
        <v>2856</v>
      </c>
      <c r="I347" s="162" t="s">
        <v>278</v>
      </c>
      <c r="J347" s="162" t="s">
        <v>28</v>
      </c>
      <c r="K347" s="27">
        <v>202103001</v>
      </c>
      <c r="L347" s="162" t="s">
        <v>279</v>
      </c>
      <c r="M347" s="162" t="s">
        <v>2857</v>
      </c>
      <c r="N347" s="162" t="s">
        <v>586</v>
      </c>
      <c r="O347" s="162" t="s">
        <v>170</v>
      </c>
      <c r="P347" s="162" t="s">
        <v>235</v>
      </c>
      <c r="Q347" s="162" t="s">
        <v>586</v>
      </c>
      <c r="R347" s="162" t="s">
        <v>2858</v>
      </c>
      <c r="S347" s="118" t="str">
        <f>_xlfn.DISPIMG("ID_11ED1DBBC626428D97C7101FAED1566F",1)</f>
        <v>=DISPIMG("ID_11ED1DBBC626428D97C7101FAED1566F",1)</v>
      </c>
      <c r="T347" s="115" t="s">
        <v>2859</v>
      </c>
      <c r="U347" s="27">
        <v>347</v>
      </c>
    </row>
    <row r="348" s="3" customFormat="1" customHeight="1" spans="1:21">
      <c r="A348" s="144">
        <v>44362.816724537</v>
      </c>
      <c r="B348" s="27" t="s">
        <v>2860</v>
      </c>
      <c r="C348" s="27" t="s">
        <v>2861</v>
      </c>
      <c r="D348" s="162" t="s">
        <v>2862</v>
      </c>
      <c r="E348" s="162" t="s">
        <v>165</v>
      </c>
      <c r="F348" s="162" t="s">
        <v>2863</v>
      </c>
      <c r="G348" s="27">
        <v>16623154389</v>
      </c>
      <c r="H348" s="162" t="s">
        <v>2864</v>
      </c>
      <c r="I348" s="162" t="s">
        <v>278</v>
      </c>
      <c r="J348" s="162" t="s">
        <v>28</v>
      </c>
      <c r="K348" s="27">
        <v>202103001</v>
      </c>
      <c r="L348" s="162" t="s">
        <v>585</v>
      </c>
      <c r="M348" s="162" t="s">
        <v>2865</v>
      </c>
      <c r="N348" s="162" t="s">
        <v>280</v>
      </c>
      <c r="O348" s="162" t="s">
        <v>170</v>
      </c>
      <c r="P348" s="162" t="s">
        <v>577</v>
      </c>
      <c r="Q348" s="162" t="s">
        <v>2866</v>
      </c>
      <c r="R348" s="162" t="s">
        <v>2867</v>
      </c>
      <c r="S348" s="118" t="str">
        <f>_xlfn.DISPIMG("ID_2A4EA762BC734560A58995F31757BD03",1)</f>
        <v>=DISPIMG("ID_2A4EA762BC734560A58995F31757BD03",1)</v>
      </c>
      <c r="T348" s="115" t="s">
        <v>2868</v>
      </c>
      <c r="U348" s="27">
        <v>348</v>
      </c>
    </row>
    <row r="349" s="3" customFormat="1" customHeight="1" spans="1:21">
      <c r="A349" s="144">
        <v>44362.8249884259</v>
      </c>
      <c r="B349" s="27" t="s">
        <v>2869</v>
      </c>
      <c r="C349" s="27" t="s">
        <v>2870</v>
      </c>
      <c r="D349" s="162" t="s">
        <v>2871</v>
      </c>
      <c r="E349" s="162" t="s">
        <v>165</v>
      </c>
      <c r="F349" s="162" t="s">
        <v>2872</v>
      </c>
      <c r="G349" s="27">
        <v>15135136743</v>
      </c>
      <c r="H349" s="162" t="s">
        <v>2873</v>
      </c>
      <c r="I349" s="162" t="s">
        <v>156</v>
      </c>
      <c r="J349" s="162" t="s">
        <v>3</v>
      </c>
      <c r="K349" s="27">
        <v>202102009</v>
      </c>
      <c r="L349" s="162" t="s">
        <v>157</v>
      </c>
      <c r="M349" s="162" t="s">
        <v>2874</v>
      </c>
      <c r="N349" s="162" t="s">
        <v>169</v>
      </c>
      <c r="O349" s="162" t="s">
        <v>170</v>
      </c>
      <c r="P349" s="162" t="s">
        <v>171</v>
      </c>
      <c r="Q349" s="162" t="s">
        <v>1425</v>
      </c>
      <c r="R349" s="27">
        <v>0</v>
      </c>
      <c r="S349" s="118" t="str">
        <f>_xlfn.DISPIMG("ID_16C7080DFBEB4260AD8944B9B8A16C63",1)</f>
        <v>=DISPIMG("ID_16C7080DFBEB4260AD8944B9B8A16C63",1)</v>
      </c>
      <c r="T349" s="115" t="s">
        <v>2875</v>
      </c>
      <c r="U349" s="27">
        <v>349</v>
      </c>
    </row>
    <row r="350" s="3" customFormat="1" customHeight="1" spans="1:21">
      <c r="A350" s="144">
        <v>44362.8324884259</v>
      </c>
      <c r="B350" s="27" t="s">
        <v>2876</v>
      </c>
      <c r="C350" s="27" t="s">
        <v>2877</v>
      </c>
      <c r="D350" s="162" t="s">
        <v>2878</v>
      </c>
      <c r="E350" s="162" t="s">
        <v>165</v>
      </c>
      <c r="F350" s="162" t="s">
        <v>2879</v>
      </c>
      <c r="G350" s="27">
        <v>17310085449</v>
      </c>
      <c r="H350" s="162" t="s">
        <v>2880</v>
      </c>
      <c r="I350" s="162" t="s">
        <v>156</v>
      </c>
      <c r="J350" s="162" t="s">
        <v>4</v>
      </c>
      <c r="K350" s="27">
        <v>202102005</v>
      </c>
      <c r="L350" s="162" t="s">
        <v>157</v>
      </c>
      <c r="M350" s="162" t="s">
        <v>385</v>
      </c>
      <c r="N350" s="162" t="s">
        <v>2881</v>
      </c>
      <c r="O350" s="162" t="s">
        <v>170</v>
      </c>
      <c r="P350" s="162" t="s">
        <v>306</v>
      </c>
      <c r="Q350" s="162" t="s">
        <v>2882</v>
      </c>
      <c r="R350" s="162" t="s">
        <v>2883</v>
      </c>
      <c r="S350" s="118" t="str">
        <f>_xlfn.DISPIMG("ID_EC7DE1A270244013822D2AF30798D0D0",1)</f>
        <v>=DISPIMG("ID_EC7DE1A270244013822D2AF30798D0D0",1)</v>
      </c>
      <c r="T350" s="115" t="s">
        <v>2884</v>
      </c>
      <c r="U350" s="27">
        <v>350</v>
      </c>
    </row>
    <row r="351" s="3" customFormat="1" customHeight="1" spans="1:21">
      <c r="A351" s="144">
        <v>44362.8445023148</v>
      </c>
      <c r="B351" s="27" t="s">
        <v>2885</v>
      </c>
      <c r="C351" s="27" t="s">
        <v>2886</v>
      </c>
      <c r="D351" s="162" t="s">
        <v>2887</v>
      </c>
      <c r="E351" s="162" t="s">
        <v>165</v>
      </c>
      <c r="F351" s="162" t="s">
        <v>2888</v>
      </c>
      <c r="G351" s="27">
        <v>15879243291</v>
      </c>
      <c r="H351" s="162" t="s">
        <v>2889</v>
      </c>
      <c r="I351" s="162" t="s">
        <v>278</v>
      </c>
      <c r="J351" s="162" t="s">
        <v>28</v>
      </c>
      <c r="K351" s="27">
        <v>202103001</v>
      </c>
      <c r="L351" s="162" t="s">
        <v>279</v>
      </c>
      <c r="M351" s="162" t="s">
        <v>2890</v>
      </c>
      <c r="N351" s="162" t="s">
        <v>280</v>
      </c>
      <c r="O351" s="162" t="s">
        <v>170</v>
      </c>
      <c r="P351" s="162" t="s">
        <v>261</v>
      </c>
      <c r="Q351" s="162" t="s">
        <v>2462</v>
      </c>
      <c r="R351" s="162" t="s">
        <v>2891</v>
      </c>
      <c r="S351" s="118" t="str">
        <f>_xlfn.DISPIMG("ID_0C2059A8D9A84C38B1CE4EFB24FA358E",1)</f>
        <v>=DISPIMG("ID_0C2059A8D9A84C38B1CE4EFB24FA358E",1)</v>
      </c>
      <c r="T351" s="115" t="s">
        <v>2892</v>
      </c>
      <c r="U351" s="27">
        <v>351</v>
      </c>
    </row>
    <row r="352" s="3" customFormat="1" customHeight="1" spans="1:21">
      <c r="A352" s="144">
        <v>44362.8559837963</v>
      </c>
      <c r="B352" s="27" t="s">
        <v>2893</v>
      </c>
      <c r="C352" s="27" t="s">
        <v>2894</v>
      </c>
      <c r="D352" s="162" t="s">
        <v>2895</v>
      </c>
      <c r="E352" s="162" t="s">
        <v>165</v>
      </c>
      <c r="F352" s="162" t="s">
        <v>2896</v>
      </c>
      <c r="G352" s="27">
        <v>13667020095</v>
      </c>
      <c r="H352" s="162" t="s">
        <v>2897</v>
      </c>
      <c r="I352" s="162" t="s">
        <v>156</v>
      </c>
      <c r="J352" s="162" t="s">
        <v>13</v>
      </c>
      <c r="K352" s="27">
        <v>202102003</v>
      </c>
      <c r="L352" s="162" t="s">
        <v>157</v>
      </c>
      <c r="M352" s="162" t="s">
        <v>1413</v>
      </c>
      <c r="N352" s="162" t="s">
        <v>298</v>
      </c>
      <c r="O352" s="162" t="s">
        <v>160</v>
      </c>
      <c r="P352" s="162" t="s">
        <v>455</v>
      </c>
      <c r="Q352" s="162" t="s">
        <v>13</v>
      </c>
      <c r="R352" s="27">
        <v>0</v>
      </c>
      <c r="S352" s="118" t="str">
        <f>_xlfn.DISPIMG("ID_C271EED4B7664E51B0603E12A2C5BA93",1)</f>
        <v>=DISPIMG("ID_C271EED4B7664E51B0603E12A2C5BA93",1)</v>
      </c>
      <c r="T352" s="115" t="s">
        <v>2898</v>
      </c>
      <c r="U352" s="27">
        <v>352</v>
      </c>
    </row>
    <row r="353" s="3" customFormat="1" customHeight="1" spans="1:21">
      <c r="A353" s="144">
        <v>44362.8740625</v>
      </c>
      <c r="B353" s="27" t="s">
        <v>2899</v>
      </c>
      <c r="C353" s="27" t="s">
        <v>2900</v>
      </c>
      <c r="D353" s="162" t="s">
        <v>2901</v>
      </c>
      <c r="E353" s="162" t="s">
        <v>165</v>
      </c>
      <c r="F353" s="162" t="s">
        <v>2902</v>
      </c>
      <c r="G353" s="27">
        <v>18070124707</v>
      </c>
      <c r="H353" s="162" t="s">
        <v>2903</v>
      </c>
      <c r="I353" s="162" t="s">
        <v>156</v>
      </c>
      <c r="J353" s="162" t="s">
        <v>13</v>
      </c>
      <c r="K353" s="27">
        <v>202102003</v>
      </c>
      <c r="L353" s="162" t="s">
        <v>157</v>
      </c>
      <c r="M353" s="162" t="s">
        <v>2904</v>
      </c>
      <c r="N353" s="162" t="s">
        <v>2379</v>
      </c>
      <c r="O353" s="162" t="s">
        <v>160</v>
      </c>
      <c r="P353" s="162" t="s">
        <v>396</v>
      </c>
      <c r="Q353" s="162" t="s">
        <v>13</v>
      </c>
      <c r="R353" s="27">
        <v>0</v>
      </c>
      <c r="S353" s="118" t="str">
        <f>_xlfn.DISPIMG("ID_C611D78CF3534BF4A6063B88C3B55BD9",1)</f>
        <v>=DISPIMG("ID_C611D78CF3534BF4A6063B88C3B55BD9",1)</v>
      </c>
      <c r="T353" s="115" t="s">
        <v>2905</v>
      </c>
      <c r="U353" s="27">
        <v>353</v>
      </c>
    </row>
    <row r="354" s="3" customFormat="1" customHeight="1" spans="1:21">
      <c r="A354" s="144">
        <v>44362.8913078704</v>
      </c>
      <c r="B354" s="27" t="s">
        <v>2906</v>
      </c>
      <c r="C354" s="27" t="s">
        <v>2907</v>
      </c>
      <c r="D354" s="162" t="s">
        <v>2908</v>
      </c>
      <c r="E354" s="162" t="s">
        <v>165</v>
      </c>
      <c r="F354" s="162" t="s">
        <v>2909</v>
      </c>
      <c r="G354" s="27">
        <v>15180608812</v>
      </c>
      <c r="H354" s="162" t="s">
        <v>2910</v>
      </c>
      <c r="I354" s="162" t="s">
        <v>278</v>
      </c>
      <c r="J354" s="162" t="s">
        <v>28</v>
      </c>
      <c r="K354" s="27">
        <v>202103001</v>
      </c>
      <c r="L354" s="162" t="s">
        <v>279</v>
      </c>
      <c r="M354" s="162" t="s">
        <v>732</v>
      </c>
      <c r="N354" s="162" t="s">
        <v>280</v>
      </c>
      <c r="O354" s="162" t="s">
        <v>170</v>
      </c>
      <c r="P354" s="162" t="s">
        <v>216</v>
      </c>
      <c r="Q354" s="162" t="s">
        <v>340</v>
      </c>
      <c r="R354" s="162" t="s">
        <v>2911</v>
      </c>
      <c r="S354" s="118" t="str">
        <f>_xlfn.DISPIMG("ID_2372D216C4084B2F90A1624776C89F44",1)</f>
        <v>=DISPIMG("ID_2372D216C4084B2F90A1624776C89F44",1)</v>
      </c>
      <c r="T354" s="115" t="s">
        <v>2912</v>
      </c>
      <c r="U354" s="27">
        <v>354</v>
      </c>
    </row>
    <row r="355" s="3" customFormat="1" customHeight="1" spans="1:21">
      <c r="A355" s="144">
        <v>44362.8942476852</v>
      </c>
      <c r="B355" s="27" t="s">
        <v>2913</v>
      </c>
      <c r="C355" s="27" t="s">
        <v>2914</v>
      </c>
      <c r="D355" s="162" t="s">
        <v>2915</v>
      </c>
      <c r="E355" s="162" t="s">
        <v>165</v>
      </c>
      <c r="F355" s="162" t="s">
        <v>2916</v>
      </c>
      <c r="G355" s="27">
        <v>18779224246</v>
      </c>
      <c r="H355" s="162" t="s">
        <v>2917</v>
      </c>
      <c r="I355" s="162" t="s">
        <v>506</v>
      </c>
      <c r="J355" s="162" t="s">
        <v>15</v>
      </c>
      <c r="K355" s="27">
        <v>202102019</v>
      </c>
      <c r="L355" s="162" t="s">
        <v>279</v>
      </c>
      <c r="M355" s="162" t="s">
        <v>367</v>
      </c>
      <c r="N355" s="162" t="s">
        <v>348</v>
      </c>
      <c r="O355" s="162" t="s">
        <v>170</v>
      </c>
      <c r="P355" s="162" t="s">
        <v>180</v>
      </c>
      <c r="Q355" s="162" t="s">
        <v>2918</v>
      </c>
      <c r="R355" s="27">
        <v>0</v>
      </c>
      <c r="S355" s="118" t="str">
        <f>_xlfn.DISPIMG("ID_0C4A3B774E384F888DCC2803C749C7F6",1)</f>
        <v>=DISPIMG("ID_0C4A3B774E384F888DCC2803C749C7F6",1)</v>
      </c>
      <c r="T355" s="115" t="s">
        <v>2919</v>
      </c>
      <c r="U355" s="27">
        <v>355</v>
      </c>
    </row>
    <row r="356" s="3" customFormat="1" customHeight="1" spans="1:21">
      <c r="A356" s="144">
        <v>44362.8989814815</v>
      </c>
      <c r="B356" s="27" t="s">
        <v>2920</v>
      </c>
      <c r="C356" s="27" t="s">
        <v>2921</v>
      </c>
      <c r="D356" s="162" t="s">
        <v>2922</v>
      </c>
      <c r="E356" s="162" t="s">
        <v>165</v>
      </c>
      <c r="F356" s="162" t="s">
        <v>2923</v>
      </c>
      <c r="G356" s="27">
        <v>18079240698</v>
      </c>
      <c r="H356" s="162" t="s">
        <v>2924</v>
      </c>
      <c r="I356" s="162" t="s">
        <v>156</v>
      </c>
      <c r="J356" s="162" t="s">
        <v>6</v>
      </c>
      <c r="K356" s="27">
        <v>202102012</v>
      </c>
      <c r="L356" s="162" t="s">
        <v>157</v>
      </c>
      <c r="M356" s="162" t="s">
        <v>322</v>
      </c>
      <c r="N356" s="162" t="s">
        <v>2268</v>
      </c>
      <c r="O356" s="162" t="s">
        <v>160</v>
      </c>
      <c r="P356" s="162" t="s">
        <v>455</v>
      </c>
      <c r="Q356" s="162" t="s">
        <v>2925</v>
      </c>
      <c r="R356" s="27">
        <v>0</v>
      </c>
      <c r="S356" s="118" t="str">
        <f>_xlfn.DISPIMG("ID_40B4A1C67261465298C744E0F0D93767",1)</f>
        <v>=DISPIMG("ID_40B4A1C67261465298C744E0F0D93767",1)</v>
      </c>
      <c r="T356" s="115" t="s">
        <v>2926</v>
      </c>
      <c r="U356" s="27">
        <v>356</v>
      </c>
    </row>
    <row r="357" s="98" customFormat="1" customHeight="1" spans="1:21">
      <c r="A357" s="148">
        <v>44362.905474537</v>
      </c>
      <c r="B357" s="21" t="s">
        <v>2927</v>
      </c>
      <c r="C357" s="21" t="s">
        <v>2179</v>
      </c>
      <c r="D357" s="163" t="s">
        <v>2180</v>
      </c>
      <c r="E357" s="163" t="s">
        <v>153</v>
      </c>
      <c r="F357" s="163" t="s">
        <v>2181</v>
      </c>
      <c r="G357" s="21">
        <v>18779219080</v>
      </c>
      <c r="H357" s="163" t="s">
        <v>2182</v>
      </c>
      <c r="I357" s="163" t="s">
        <v>506</v>
      </c>
      <c r="J357" s="163" t="s">
        <v>8</v>
      </c>
      <c r="K357" s="21">
        <v>202102015</v>
      </c>
      <c r="L357" s="163" t="s">
        <v>279</v>
      </c>
      <c r="M357" s="163" t="s">
        <v>158</v>
      </c>
      <c r="N357" s="163" t="s">
        <v>497</v>
      </c>
      <c r="O357" s="163" t="s">
        <v>170</v>
      </c>
      <c r="P357" s="163" t="s">
        <v>919</v>
      </c>
      <c r="Q357" s="163" t="s">
        <v>2183</v>
      </c>
      <c r="R357" s="163" t="s">
        <v>2184</v>
      </c>
      <c r="S357" s="100" t="str">
        <f>_xlfn.DISPIMG("ID_0A0A67C0CDBC40CC93D2DB58A0C89339",1)</f>
        <v>=DISPIMG("ID_0A0A67C0CDBC40CC93D2DB58A0C89339",1)</v>
      </c>
      <c r="T357" s="99" t="s">
        <v>2185</v>
      </c>
      <c r="U357" s="27">
        <v>357</v>
      </c>
    </row>
    <row r="358" s="3" customFormat="1" customHeight="1" spans="1:21">
      <c r="A358" s="144">
        <v>44362.9068055556</v>
      </c>
      <c r="B358" s="27" t="s">
        <v>2928</v>
      </c>
      <c r="C358" s="27" t="s">
        <v>2179</v>
      </c>
      <c r="D358" s="162" t="s">
        <v>2180</v>
      </c>
      <c r="E358" s="162" t="s">
        <v>153</v>
      </c>
      <c r="F358" s="162" t="s">
        <v>2181</v>
      </c>
      <c r="G358" s="27">
        <v>18779219080</v>
      </c>
      <c r="H358" s="162" t="s">
        <v>2182</v>
      </c>
      <c r="I358" s="162" t="s">
        <v>506</v>
      </c>
      <c r="J358" s="162" t="s">
        <v>8</v>
      </c>
      <c r="K358" s="27">
        <v>202102015</v>
      </c>
      <c r="L358" s="162" t="s">
        <v>279</v>
      </c>
      <c r="M358" s="162" t="s">
        <v>158</v>
      </c>
      <c r="N358" s="162" t="s">
        <v>497</v>
      </c>
      <c r="O358" s="162" t="s">
        <v>170</v>
      </c>
      <c r="P358" s="162" t="s">
        <v>919</v>
      </c>
      <c r="Q358" s="162" t="s">
        <v>2183</v>
      </c>
      <c r="R358" s="162" t="s">
        <v>2184</v>
      </c>
      <c r="S358" s="118" t="str">
        <f>_xlfn.DISPIMG("ID_59BF2512FDA845A780519BF3EE363C98",1)</f>
        <v>=DISPIMG("ID_59BF2512FDA845A780519BF3EE363C98",1)</v>
      </c>
      <c r="T358" s="115" t="s">
        <v>2185</v>
      </c>
      <c r="U358" s="27">
        <v>358</v>
      </c>
    </row>
    <row r="359" s="6" customFormat="1" customHeight="1" spans="1:21">
      <c r="A359" s="144">
        <v>44362.9097916667</v>
      </c>
      <c r="B359" s="27" t="s">
        <v>2929</v>
      </c>
      <c r="C359" s="27" t="s">
        <v>2673</v>
      </c>
      <c r="D359" s="162" t="s">
        <v>2674</v>
      </c>
      <c r="E359" s="162" t="s">
        <v>165</v>
      </c>
      <c r="F359" s="162" t="s">
        <v>2675</v>
      </c>
      <c r="G359" s="27">
        <v>18000227120</v>
      </c>
      <c r="H359" s="162" t="s">
        <v>2676</v>
      </c>
      <c r="I359" s="162" t="s">
        <v>297</v>
      </c>
      <c r="J359" s="162" t="s">
        <v>25</v>
      </c>
      <c r="K359" s="27">
        <v>202101008</v>
      </c>
      <c r="L359" s="162" t="s">
        <v>157</v>
      </c>
      <c r="M359" s="162" t="s">
        <v>269</v>
      </c>
      <c r="N359" s="162" t="s">
        <v>2677</v>
      </c>
      <c r="O359" s="162" t="s">
        <v>160</v>
      </c>
      <c r="P359" s="162" t="s">
        <v>224</v>
      </c>
      <c r="Q359" s="162" t="s">
        <v>25</v>
      </c>
      <c r="R359" s="162" t="s">
        <v>2678</v>
      </c>
      <c r="S359" s="118" t="str">
        <f>_xlfn.DISPIMG("ID_03E1DAA8D63B4AFF99883CCD0E6E65E6",1)</f>
        <v>=DISPIMG("ID_03E1DAA8D63B4AFF99883CCD0E6E65E6",1)</v>
      </c>
      <c r="T359" s="115" t="s">
        <v>2679</v>
      </c>
      <c r="U359" s="27">
        <v>359</v>
      </c>
    </row>
    <row r="360" s="6" customFormat="1" customHeight="1" spans="1:21">
      <c r="A360" s="144">
        <v>44362.9140277778</v>
      </c>
      <c r="B360" s="27" t="s">
        <v>2930</v>
      </c>
      <c r="C360" s="27" t="s">
        <v>2931</v>
      </c>
      <c r="D360" s="162" t="s">
        <v>2932</v>
      </c>
      <c r="E360" s="162" t="s">
        <v>165</v>
      </c>
      <c r="F360" s="162" t="s">
        <v>2933</v>
      </c>
      <c r="G360" s="27">
        <v>13870255583</v>
      </c>
      <c r="H360" s="162" t="s">
        <v>2934</v>
      </c>
      <c r="I360" s="162" t="s">
        <v>156</v>
      </c>
      <c r="J360" s="162" t="s">
        <v>13</v>
      </c>
      <c r="K360" s="27">
        <v>202102003</v>
      </c>
      <c r="L360" s="162" t="s">
        <v>157</v>
      </c>
      <c r="M360" s="162" t="s">
        <v>385</v>
      </c>
      <c r="N360" s="162" t="s">
        <v>1832</v>
      </c>
      <c r="O360" s="162" t="s">
        <v>160</v>
      </c>
      <c r="P360" s="162" t="s">
        <v>2935</v>
      </c>
      <c r="Q360" s="162" t="s">
        <v>487</v>
      </c>
      <c r="R360" s="162" t="s">
        <v>2936</v>
      </c>
      <c r="S360" s="118" t="str">
        <f>_xlfn.DISPIMG("ID_63C75D62D3BC4F35AC4FD3D224F21D03",1)</f>
        <v>=DISPIMG("ID_63C75D62D3BC4F35AC4FD3D224F21D03",1)</v>
      </c>
      <c r="T360" s="115" t="s">
        <v>2937</v>
      </c>
      <c r="U360" s="27">
        <v>360</v>
      </c>
    </row>
    <row r="361" s="3" customFormat="1" customHeight="1" spans="1:21">
      <c r="A361" s="144">
        <v>44362.9159259259</v>
      </c>
      <c r="B361" s="27" t="s">
        <v>2938</v>
      </c>
      <c r="C361" s="27" t="s">
        <v>2939</v>
      </c>
      <c r="D361" s="162" t="s">
        <v>2940</v>
      </c>
      <c r="E361" s="162" t="s">
        <v>153</v>
      </c>
      <c r="F361" s="162" t="s">
        <v>2941</v>
      </c>
      <c r="G361" s="27">
        <v>18679635856</v>
      </c>
      <c r="H361" s="162" t="s">
        <v>2942</v>
      </c>
      <c r="I361" s="162" t="s">
        <v>156</v>
      </c>
      <c r="J361" s="162" t="s">
        <v>10</v>
      </c>
      <c r="K361" s="27">
        <v>202102004</v>
      </c>
      <c r="L361" s="162" t="s">
        <v>157</v>
      </c>
      <c r="M361" s="162" t="s">
        <v>2943</v>
      </c>
      <c r="N361" s="162" t="s">
        <v>2093</v>
      </c>
      <c r="O361" s="162" t="s">
        <v>160</v>
      </c>
      <c r="P361" s="162" t="s">
        <v>587</v>
      </c>
      <c r="Q361" s="162" t="s">
        <v>10</v>
      </c>
      <c r="R361" s="27">
        <v>0</v>
      </c>
      <c r="S361" s="118" t="str">
        <f>_xlfn.DISPIMG("ID_5CF4EBD7502F4485844CA64AA4EECF8E",1)</f>
        <v>=DISPIMG("ID_5CF4EBD7502F4485844CA64AA4EECF8E",1)</v>
      </c>
      <c r="T361" s="115" t="s">
        <v>2944</v>
      </c>
      <c r="U361" s="27">
        <v>361</v>
      </c>
    </row>
    <row r="362" s="3" customFormat="1" customHeight="1" spans="1:21">
      <c r="A362" s="144">
        <v>44362.9181481482</v>
      </c>
      <c r="B362" s="27" t="s">
        <v>2945</v>
      </c>
      <c r="C362" s="27" t="s">
        <v>2946</v>
      </c>
      <c r="D362" s="162" t="s">
        <v>2947</v>
      </c>
      <c r="E362" s="162" t="s">
        <v>165</v>
      </c>
      <c r="F362" s="162" t="s">
        <v>2948</v>
      </c>
      <c r="G362" s="27">
        <v>17370852983</v>
      </c>
      <c r="H362" s="162" t="s">
        <v>2949</v>
      </c>
      <c r="I362" s="162" t="s">
        <v>156</v>
      </c>
      <c r="J362" s="162" t="s">
        <v>8</v>
      </c>
      <c r="K362" s="27">
        <v>202102002</v>
      </c>
      <c r="L362" s="162" t="s">
        <v>157</v>
      </c>
      <c r="M362" s="162" t="s">
        <v>611</v>
      </c>
      <c r="N362" s="162" t="s">
        <v>1832</v>
      </c>
      <c r="O362" s="162" t="s">
        <v>160</v>
      </c>
      <c r="P362" s="162" t="s">
        <v>306</v>
      </c>
      <c r="Q362" s="162" t="s">
        <v>2950</v>
      </c>
      <c r="R362" s="162" t="s">
        <v>2951</v>
      </c>
      <c r="S362" s="118" t="str">
        <f>_xlfn.DISPIMG("ID_53C3410979BA49538F1410917AAC183C",1)</f>
        <v>=DISPIMG("ID_53C3410979BA49538F1410917AAC183C",1)</v>
      </c>
      <c r="T362" s="115" t="s">
        <v>2952</v>
      </c>
      <c r="U362" s="27">
        <v>362</v>
      </c>
    </row>
    <row r="363" s="3" customFormat="1" customHeight="1" spans="1:21">
      <c r="A363" s="144">
        <v>44362.9447569444</v>
      </c>
      <c r="B363" s="27" t="s">
        <v>2953</v>
      </c>
      <c r="C363" s="27" t="s">
        <v>2954</v>
      </c>
      <c r="D363" s="162" t="s">
        <v>2955</v>
      </c>
      <c r="E363" s="162" t="s">
        <v>165</v>
      </c>
      <c r="F363" s="162" t="s">
        <v>2956</v>
      </c>
      <c r="G363" s="27">
        <v>18000230267</v>
      </c>
      <c r="H363" s="162" t="s">
        <v>2957</v>
      </c>
      <c r="I363" s="162" t="s">
        <v>384</v>
      </c>
      <c r="J363" s="162" t="s">
        <v>13</v>
      </c>
      <c r="K363" s="27">
        <v>202102003</v>
      </c>
      <c r="L363" s="162" t="s">
        <v>157</v>
      </c>
      <c r="M363" s="162" t="s">
        <v>158</v>
      </c>
      <c r="N363" s="162" t="s">
        <v>179</v>
      </c>
      <c r="O363" s="162" t="s">
        <v>160</v>
      </c>
      <c r="P363" s="162" t="s">
        <v>171</v>
      </c>
      <c r="Q363" s="162" t="s">
        <v>1156</v>
      </c>
      <c r="R363" s="27">
        <v>0</v>
      </c>
      <c r="S363" s="118" t="str">
        <f>_xlfn.DISPIMG("ID_89E1C4B49DA543108DA428FD2BB17935",1)</f>
        <v>=DISPIMG("ID_89E1C4B49DA543108DA428FD2BB17935",1)</v>
      </c>
      <c r="T363" s="115" t="s">
        <v>2958</v>
      </c>
      <c r="U363" s="27">
        <v>363</v>
      </c>
    </row>
    <row r="364" s="3" customFormat="1" customHeight="1" spans="1:21">
      <c r="A364" s="144">
        <v>44362.9473263889</v>
      </c>
      <c r="B364" s="27" t="s">
        <v>2959</v>
      </c>
      <c r="C364" s="27" t="s">
        <v>2960</v>
      </c>
      <c r="D364" s="162" t="s">
        <v>2961</v>
      </c>
      <c r="E364" s="162" t="s">
        <v>153</v>
      </c>
      <c r="F364" s="162" t="s">
        <v>2962</v>
      </c>
      <c r="G364" s="27">
        <v>15180672774</v>
      </c>
      <c r="H364" s="162" t="s">
        <v>2963</v>
      </c>
      <c r="I364" s="162" t="s">
        <v>268</v>
      </c>
      <c r="J364" s="162" t="s">
        <v>16</v>
      </c>
      <c r="K364" s="27">
        <v>202101011</v>
      </c>
      <c r="L364" s="162" t="s">
        <v>157</v>
      </c>
      <c r="M364" s="162" t="s">
        <v>385</v>
      </c>
      <c r="N364" s="162" t="s">
        <v>2964</v>
      </c>
      <c r="O364" s="162" t="s">
        <v>170</v>
      </c>
      <c r="P364" s="162" t="s">
        <v>161</v>
      </c>
      <c r="Q364" s="162" t="s">
        <v>1156</v>
      </c>
      <c r="R364" s="162" t="s">
        <v>2965</v>
      </c>
      <c r="S364" s="118" t="str">
        <f>_xlfn.DISPIMG("ID_7E33BA02CEC345A989E0186D8EADFECF",1)</f>
        <v>=DISPIMG("ID_7E33BA02CEC345A989E0186D8EADFECF",1)</v>
      </c>
      <c r="T364" s="115" t="s">
        <v>2966</v>
      </c>
      <c r="U364" s="27">
        <v>364</v>
      </c>
    </row>
    <row r="365" s="3" customFormat="1" customHeight="1" spans="1:21">
      <c r="A365" s="144">
        <v>44362.9737847222</v>
      </c>
      <c r="B365" s="27" t="s">
        <v>2967</v>
      </c>
      <c r="C365" s="27" t="s">
        <v>2968</v>
      </c>
      <c r="D365" s="162" t="s">
        <v>2969</v>
      </c>
      <c r="E365" s="162" t="s">
        <v>153</v>
      </c>
      <c r="F365" s="162" t="s">
        <v>2970</v>
      </c>
      <c r="G365" s="27">
        <v>18579193689</v>
      </c>
      <c r="H365" s="162" t="s">
        <v>2971</v>
      </c>
      <c r="I365" s="162" t="s">
        <v>268</v>
      </c>
      <c r="J365" s="162" t="s">
        <v>21</v>
      </c>
      <c r="K365" s="27">
        <v>202101022</v>
      </c>
      <c r="L365" s="162" t="s">
        <v>157</v>
      </c>
      <c r="M365" s="162" t="s">
        <v>827</v>
      </c>
      <c r="N365" s="162" t="s">
        <v>682</v>
      </c>
      <c r="O365" s="162" t="s">
        <v>170</v>
      </c>
      <c r="P365" s="162" t="s">
        <v>252</v>
      </c>
      <c r="Q365" s="162" t="s">
        <v>2972</v>
      </c>
      <c r="R365" s="27">
        <v>0</v>
      </c>
      <c r="S365" s="118" t="str">
        <f>_xlfn.DISPIMG("ID_99E38CC0E4B2437A8E74F9D976F948B9",1)</f>
        <v>=DISPIMG("ID_99E38CC0E4B2437A8E74F9D976F948B9",1)</v>
      </c>
      <c r="T365" s="115" t="s">
        <v>2973</v>
      </c>
      <c r="U365" s="27">
        <v>365</v>
      </c>
    </row>
    <row r="366" s="3" customFormat="1" customHeight="1" spans="1:21">
      <c r="A366" s="144">
        <v>44362.9752430556</v>
      </c>
      <c r="B366" s="27" t="s">
        <v>2974</v>
      </c>
      <c r="C366" s="27" t="s">
        <v>2975</v>
      </c>
      <c r="D366" s="162" t="s">
        <v>2976</v>
      </c>
      <c r="E366" s="162" t="s">
        <v>165</v>
      </c>
      <c r="F366" s="162" t="s">
        <v>2977</v>
      </c>
      <c r="G366" s="27">
        <v>18370138345</v>
      </c>
      <c r="H366" s="162" t="s">
        <v>2978</v>
      </c>
      <c r="I366" s="162" t="s">
        <v>156</v>
      </c>
      <c r="J366" s="162" t="s">
        <v>14</v>
      </c>
      <c r="K366" s="27">
        <v>202101001</v>
      </c>
      <c r="L366" s="162" t="s">
        <v>279</v>
      </c>
      <c r="M366" s="162" t="s">
        <v>367</v>
      </c>
      <c r="N366" s="162" t="s">
        <v>348</v>
      </c>
      <c r="O366" s="162" t="s">
        <v>170</v>
      </c>
      <c r="P366" s="162" t="s">
        <v>199</v>
      </c>
      <c r="Q366" s="162" t="s">
        <v>2031</v>
      </c>
      <c r="R366" s="162" t="s">
        <v>2979</v>
      </c>
      <c r="S366" s="118" t="str">
        <f>_xlfn.DISPIMG("ID_4F34FA9D170F4006AB964A8F2850EA2E",1)</f>
        <v>=DISPIMG("ID_4F34FA9D170F4006AB964A8F2850EA2E",1)</v>
      </c>
      <c r="T366" s="115" t="s">
        <v>2980</v>
      </c>
      <c r="U366" s="27">
        <v>366</v>
      </c>
    </row>
    <row r="367" s="3" customFormat="1" customHeight="1" spans="1:21">
      <c r="A367" s="144">
        <v>44362.9911342593</v>
      </c>
      <c r="B367" s="27" t="s">
        <v>2981</v>
      </c>
      <c r="C367" s="27" t="s">
        <v>2982</v>
      </c>
      <c r="D367" s="162" t="s">
        <v>2983</v>
      </c>
      <c r="E367" s="162" t="s">
        <v>165</v>
      </c>
      <c r="F367" s="162" t="s">
        <v>2984</v>
      </c>
      <c r="G367" s="27">
        <v>13699860392</v>
      </c>
      <c r="H367" s="162" t="s">
        <v>2985</v>
      </c>
      <c r="I367" s="162" t="s">
        <v>156</v>
      </c>
      <c r="J367" s="162" t="s">
        <v>8</v>
      </c>
      <c r="K367" s="27">
        <v>202102002</v>
      </c>
      <c r="L367" s="162" t="s">
        <v>157</v>
      </c>
      <c r="M367" s="162" t="s">
        <v>187</v>
      </c>
      <c r="N367" s="162" t="s">
        <v>2986</v>
      </c>
      <c r="O367" s="162" t="s">
        <v>160</v>
      </c>
      <c r="P367" s="162" t="s">
        <v>516</v>
      </c>
      <c r="Q367" s="162" t="s">
        <v>20</v>
      </c>
      <c r="R367" s="162" t="s">
        <v>2987</v>
      </c>
      <c r="S367" s="118" t="str">
        <f>_xlfn.DISPIMG("ID_60E91D8703D740D9A8AE531BE158A22D",1)</f>
        <v>=DISPIMG("ID_60E91D8703D740D9A8AE531BE158A22D",1)</v>
      </c>
      <c r="T367" s="115" t="s">
        <v>2988</v>
      </c>
      <c r="U367" s="27">
        <v>367</v>
      </c>
    </row>
    <row r="368" s="3" customFormat="1" customHeight="1" spans="1:21">
      <c r="A368" s="144">
        <v>44363.0033449074</v>
      </c>
      <c r="B368" s="27" t="s">
        <v>2989</v>
      </c>
      <c r="C368" s="27" t="s">
        <v>2990</v>
      </c>
      <c r="D368" s="162" t="s">
        <v>2991</v>
      </c>
      <c r="E368" s="162" t="s">
        <v>165</v>
      </c>
      <c r="F368" s="162" t="s">
        <v>2992</v>
      </c>
      <c r="G368" s="27">
        <v>18720220590</v>
      </c>
      <c r="H368" s="162" t="s">
        <v>2993</v>
      </c>
      <c r="I368" s="162" t="s">
        <v>156</v>
      </c>
      <c r="J368" s="162" t="s">
        <v>14</v>
      </c>
      <c r="K368" s="27">
        <v>202102001</v>
      </c>
      <c r="L368" s="162" t="s">
        <v>157</v>
      </c>
      <c r="M368" s="162" t="s">
        <v>611</v>
      </c>
      <c r="N368" s="162" t="s">
        <v>179</v>
      </c>
      <c r="O368" s="162" t="s">
        <v>160</v>
      </c>
      <c r="P368" s="162" t="s">
        <v>216</v>
      </c>
      <c r="Q368" s="162" t="s">
        <v>14</v>
      </c>
      <c r="R368" s="27">
        <v>0</v>
      </c>
      <c r="S368" s="118" t="str">
        <f>_xlfn.DISPIMG("ID_AFAEC7F47E5847F688912010DE531FF7",1)</f>
        <v>=DISPIMG("ID_AFAEC7F47E5847F688912010DE531FF7",1)</v>
      </c>
      <c r="T368" s="115" t="s">
        <v>2994</v>
      </c>
      <c r="U368" s="27">
        <v>368</v>
      </c>
    </row>
    <row r="369" s="3" customFormat="1" customHeight="1" spans="1:21">
      <c r="A369" s="144">
        <v>44363.0381481481</v>
      </c>
      <c r="B369" s="27" t="s">
        <v>2995</v>
      </c>
      <c r="C369" s="27" t="s">
        <v>2996</v>
      </c>
      <c r="D369" s="162" t="s">
        <v>2996</v>
      </c>
      <c r="E369" s="162" t="s">
        <v>165</v>
      </c>
      <c r="F369" s="162" t="s">
        <v>2997</v>
      </c>
      <c r="G369" s="27">
        <v>17379208038</v>
      </c>
      <c r="H369" s="162" t="s">
        <v>2998</v>
      </c>
      <c r="I369" s="162" t="s">
        <v>156</v>
      </c>
      <c r="J369" s="162" t="s">
        <v>8</v>
      </c>
      <c r="K369" s="27">
        <v>202102002</v>
      </c>
      <c r="L369" s="162" t="s">
        <v>157</v>
      </c>
      <c r="M369" s="162" t="s">
        <v>437</v>
      </c>
      <c r="N369" s="162" t="s">
        <v>1481</v>
      </c>
      <c r="O369" s="162" t="s">
        <v>160</v>
      </c>
      <c r="P369" s="162" t="s">
        <v>281</v>
      </c>
      <c r="Q369" s="162" t="s">
        <v>8</v>
      </c>
      <c r="R369" s="27">
        <v>0</v>
      </c>
      <c r="S369" s="118" t="str">
        <f>_xlfn.DISPIMG("ID_A119020A43A6495588BAFB55CB082F01",1)</f>
        <v>=DISPIMG("ID_A119020A43A6495588BAFB55CB082F01",1)</v>
      </c>
      <c r="T369" s="115" t="s">
        <v>2999</v>
      </c>
      <c r="U369" s="27">
        <v>369</v>
      </c>
    </row>
    <row r="370" s="3" customFormat="1" customHeight="1" spans="1:21">
      <c r="A370" s="144">
        <v>44363.2807638889</v>
      </c>
      <c r="B370" s="27" t="s">
        <v>3000</v>
      </c>
      <c r="C370" s="27" t="s">
        <v>3001</v>
      </c>
      <c r="D370" s="162" t="s">
        <v>3002</v>
      </c>
      <c r="E370" s="162" t="s">
        <v>165</v>
      </c>
      <c r="F370" s="162" t="s">
        <v>3003</v>
      </c>
      <c r="G370" s="27">
        <v>15798074733</v>
      </c>
      <c r="H370" s="162" t="s">
        <v>3004</v>
      </c>
      <c r="I370" s="162" t="s">
        <v>297</v>
      </c>
      <c r="J370" s="162" t="s">
        <v>25</v>
      </c>
      <c r="K370" s="27">
        <v>202101008</v>
      </c>
      <c r="L370" s="162" t="s">
        <v>157</v>
      </c>
      <c r="M370" s="162" t="s">
        <v>540</v>
      </c>
      <c r="N370" s="162" t="s">
        <v>179</v>
      </c>
      <c r="O370" s="162" t="s">
        <v>160</v>
      </c>
      <c r="P370" s="162" t="s">
        <v>2047</v>
      </c>
      <c r="Q370" s="162" t="s">
        <v>3005</v>
      </c>
      <c r="R370" s="27">
        <v>0</v>
      </c>
      <c r="S370" s="118" t="str">
        <f>_xlfn.DISPIMG("ID_4E0EBDB804BA45EB8B4195F5A93DFBBD",1)</f>
        <v>=DISPIMG("ID_4E0EBDB804BA45EB8B4195F5A93DFBBD",1)</v>
      </c>
      <c r="T370" s="115" t="s">
        <v>3006</v>
      </c>
      <c r="U370" s="27">
        <v>370</v>
      </c>
    </row>
    <row r="371" s="3" customFormat="1" customHeight="1" spans="1:21">
      <c r="A371" s="144">
        <v>44363.352037037</v>
      </c>
      <c r="B371" s="27" t="s">
        <v>3007</v>
      </c>
      <c r="C371" s="27" t="s">
        <v>678</v>
      </c>
      <c r="D371" s="162" t="s">
        <v>3008</v>
      </c>
      <c r="E371" s="162" t="s">
        <v>165</v>
      </c>
      <c r="F371" s="162" t="s">
        <v>3009</v>
      </c>
      <c r="G371" s="27">
        <v>15180626109</v>
      </c>
      <c r="H371" s="162" t="s">
        <v>3010</v>
      </c>
      <c r="I371" s="162" t="s">
        <v>156</v>
      </c>
      <c r="J371" s="162" t="s">
        <v>13</v>
      </c>
      <c r="K371" s="27">
        <v>202102003</v>
      </c>
      <c r="L371" s="162" t="s">
        <v>157</v>
      </c>
      <c r="M371" s="162" t="s">
        <v>197</v>
      </c>
      <c r="N371" s="162" t="s">
        <v>179</v>
      </c>
      <c r="O371" s="162" t="s">
        <v>160</v>
      </c>
      <c r="P371" s="162" t="s">
        <v>261</v>
      </c>
      <c r="Q371" s="162" t="s">
        <v>3011</v>
      </c>
      <c r="R371" s="27">
        <v>0</v>
      </c>
      <c r="S371" s="118" t="str">
        <f>_xlfn.DISPIMG("ID_81E01CE746794A43971E9E864E9A0098",1)</f>
        <v>=DISPIMG("ID_81E01CE746794A43971E9E864E9A0098",1)</v>
      </c>
      <c r="T371" s="115" t="s">
        <v>3012</v>
      </c>
      <c r="U371" s="27">
        <v>371</v>
      </c>
    </row>
    <row r="372" s="3" customFormat="1" customHeight="1" spans="1:21">
      <c r="A372" s="144">
        <v>44363.3822337963</v>
      </c>
      <c r="B372" s="27" t="s">
        <v>3013</v>
      </c>
      <c r="C372" s="27" t="s">
        <v>3014</v>
      </c>
      <c r="D372" s="162" t="s">
        <v>3015</v>
      </c>
      <c r="E372" s="162" t="s">
        <v>165</v>
      </c>
      <c r="F372" s="162" t="s">
        <v>3016</v>
      </c>
      <c r="G372" s="27">
        <v>15779237225</v>
      </c>
      <c r="H372" s="162" t="s">
        <v>3017</v>
      </c>
      <c r="I372" s="162" t="s">
        <v>278</v>
      </c>
      <c r="J372" s="162" t="s">
        <v>28</v>
      </c>
      <c r="K372" s="27">
        <v>202103001</v>
      </c>
      <c r="L372" s="162" t="s">
        <v>585</v>
      </c>
      <c r="M372" s="162" t="s">
        <v>3018</v>
      </c>
      <c r="N372" s="162" t="s">
        <v>586</v>
      </c>
      <c r="O372" s="162" t="s">
        <v>170</v>
      </c>
      <c r="P372" s="162" t="s">
        <v>1346</v>
      </c>
      <c r="Q372" s="162" t="s">
        <v>340</v>
      </c>
      <c r="R372" s="162" t="s">
        <v>3019</v>
      </c>
      <c r="S372" s="118" t="str">
        <f>_xlfn.DISPIMG("ID_5D71807FA9B14D55B579AC354805CDFB",1)</f>
        <v>=DISPIMG("ID_5D71807FA9B14D55B579AC354805CDFB",1)</v>
      </c>
      <c r="T372" s="115" t="s">
        <v>3020</v>
      </c>
      <c r="U372" s="27">
        <v>372</v>
      </c>
    </row>
    <row r="373" s="98" customFormat="1" customHeight="1" spans="1:21">
      <c r="A373" s="148">
        <v>44363.3939814815</v>
      </c>
      <c r="B373" s="21" t="s">
        <v>3021</v>
      </c>
      <c r="C373" s="21" t="s">
        <v>3022</v>
      </c>
      <c r="D373" s="163" t="s">
        <v>3022</v>
      </c>
      <c r="E373" s="163" t="s">
        <v>165</v>
      </c>
      <c r="F373" s="163" t="s">
        <v>3023</v>
      </c>
      <c r="G373" s="21">
        <v>15870035090</v>
      </c>
      <c r="H373" s="163" t="s">
        <v>3024</v>
      </c>
      <c r="I373" s="163" t="s">
        <v>268</v>
      </c>
      <c r="J373" s="163" t="s">
        <v>16</v>
      </c>
      <c r="K373" s="21">
        <v>202101011</v>
      </c>
      <c r="L373" s="163" t="s">
        <v>157</v>
      </c>
      <c r="M373" s="163" t="s">
        <v>233</v>
      </c>
      <c r="N373" s="163" t="s">
        <v>1088</v>
      </c>
      <c r="O373" s="163" t="s">
        <v>170</v>
      </c>
      <c r="P373" s="163" t="s">
        <v>548</v>
      </c>
      <c r="Q373" s="163" t="s">
        <v>1579</v>
      </c>
      <c r="R373" s="163" t="s">
        <v>3025</v>
      </c>
      <c r="S373" s="100" t="str">
        <f>_xlfn.DISPIMG("ID_1303693E3214444387A1C4F2C9CF9D25",1)</f>
        <v>=DISPIMG("ID_1303693E3214444387A1C4F2C9CF9D25",1)</v>
      </c>
      <c r="T373" s="99" t="s">
        <v>3026</v>
      </c>
      <c r="U373" s="27">
        <v>373</v>
      </c>
    </row>
    <row r="374" s="3" customFormat="1" customHeight="1" spans="1:21">
      <c r="A374" s="144">
        <v>44363.3972916667</v>
      </c>
      <c r="B374" s="27" t="s">
        <v>3027</v>
      </c>
      <c r="C374" s="27" t="s">
        <v>3028</v>
      </c>
      <c r="D374" s="162" t="s">
        <v>3029</v>
      </c>
      <c r="E374" s="162" t="s">
        <v>153</v>
      </c>
      <c r="F374" s="162" t="s">
        <v>3030</v>
      </c>
      <c r="G374" s="27">
        <v>13517024072</v>
      </c>
      <c r="H374" s="162" t="s">
        <v>3031</v>
      </c>
      <c r="I374" s="162" t="s">
        <v>156</v>
      </c>
      <c r="J374" s="162" t="s">
        <v>21</v>
      </c>
      <c r="K374" s="27">
        <v>202102011</v>
      </c>
      <c r="L374" s="162" t="s">
        <v>157</v>
      </c>
      <c r="M374" s="162" t="s">
        <v>3032</v>
      </c>
      <c r="N374" s="162" t="s">
        <v>472</v>
      </c>
      <c r="O374" s="162" t="s">
        <v>160</v>
      </c>
      <c r="P374" s="162" t="s">
        <v>455</v>
      </c>
      <c r="Q374" s="162" t="s">
        <v>1579</v>
      </c>
      <c r="R374" s="27">
        <v>0</v>
      </c>
      <c r="S374" s="118" t="str">
        <f>_xlfn.DISPIMG("ID_2065FB2DB1EB4190B94172D3F2A5E8E8",1)</f>
        <v>=DISPIMG("ID_2065FB2DB1EB4190B94172D3F2A5E8E8",1)</v>
      </c>
      <c r="T374" s="115" t="s">
        <v>3033</v>
      </c>
      <c r="U374" s="27">
        <v>374</v>
      </c>
    </row>
    <row r="375" s="3" customFormat="1" customHeight="1" spans="1:21">
      <c r="A375" s="144">
        <v>44363.4071296296</v>
      </c>
      <c r="B375" s="27" t="s">
        <v>3034</v>
      </c>
      <c r="C375" s="27" t="s">
        <v>3035</v>
      </c>
      <c r="D375" s="162" t="s">
        <v>3036</v>
      </c>
      <c r="E375" s="162" t="s">
        <v>165</v>
      </c>
      <c r="F375" s="162" t="s">
        <v>3037</v>
      </c>
      <c r="G375" s="27">
        <v>13755268380</v>
      </c>
      <c r="H375" s="162" t="s">
        <v>3038</v>
      </c>
      <c r="I375" s="162" t="s">
        <v>156</v>
      </c>
      <c r="J375" s="162" t="s">
        <v>14</v>
      </c>
      <c r="K375" s="27">
        <v>202102001</v>
      </c>
      <c r="L375" s="162" t="s">
        <v>279</v>
      </c>
      <c r="M375" s="162" t="s">
        <v>1674</v>
      </c>
      <c r="N375" s="162" t="s">
        <v>348</v>
      </c>
      <c r="O375" s="162" t="s">
        <v>170</v>
      </c>
      <c r="P375" s="162" t="s">
        <v>3039</v>
      </c>
      <c r="Q375" s="162" t="s">
        <v>2395</v>
      </c>
      <c r="R375" s="162" t="s">
        <v>3040</v>
      </c>
      <c r="S375" s="118" t="str">
        <f>_xlfn.DISPIMG("ID_BCD8D492551D473299BE1D3404EC1A74",1)</f>
        <v>=DISPIMG("ID_BCD8D492551D473299BE1D3404EC1A74",1)</v>
      </c>
      <c r="T375" s="115" t="s">
        <v>3041</v>
      </c>
      <c r="U375" s="27">
        <v>375</v>
      </c>
    </row>
    <row r="376" s="3" customFormat="1" customHeight="1" spans="1:21">
      <c r="A376" s="144">
        <v>44363.4105324074</v>
      </c>
      <c r="B376" s="27" t="s">
        <v>3042</v>
      </c>
      <c r="C376" s="27" t="s">
        <v>3043</v>
      </c>
      <c r="D376" s="162" t="s">
        <v>3044</v>
      </c>
      <c r="E376" s="162" t="s">
        <v>165</v>
      </c>
      <c r="F376" s="162" t="s">
        <v>3045</v>
      </c>
      <c r="G376" s="27">
        <v>13699543820</v>
      </c>
      <c r="H376" s="162" t="s">
        <v>3046</v>
      </c>
      <c r="I376" s="162" t="s">
        <v>384</v>
      </c>
      <c r="J376" s="162" t="s">
        <v>13</v>
      </c>
      <c r="K376" s="27">
        <v>202102003</v>
      </c>
      <c r="L376" s="162" t="s">
        <v>157</v>
      </c>
      <c r="M376" s="162" t="s">
        <v>385</v>
      </c>
      <c r="N376" s="162" t="s">
        <v>828</v>
      </c>
      <c r="O376" s="162" t="s">
        <v>170</v>
      </c>
      <c r="P376" s="162" t="s">
        <v>180</v>
      </c>
      <c r="Q376" s="162" t="s">
        <v>25</v>
      </c>
      <c r="R376" s="162" t="s">
        <v>3047</v>
      </c>
      <c r="S376" s="118" t="str">
        <f>_xlfn.DISPIMG("ID_FA7CA8E8B8074253ACA743E7DE4282F0",1)</f>
        <v>=DISPIMG("ID_FA7CA8E8B8074253ACA743E7DE4282F0",1)</v>
      </c>
      <c r="T376" s="115" t="s">
        <v>3048</v>
      </c>
      <c r="U376" s="27">
        <v>376</v>
      </c>
    </row>
    <row r="377" s="3" customFormat="1" customHeight="1" spans="1:21">
      <c r="A377" s="144">
        <v>44363.4205439815</v>
      </c>
      <c r="B377" s="27" t="s">
        <v>3049</v>
      </c>
      <c r="C377" s="27" t="s">
        <v>3050</v>
      </c>
      <c r="D377" s="162" t="s">
        <v>3051</v>
      </c>
      <c r="E377" s="162" t="s">
        <v>165</v>
      </c>
      <c r="F377" s="162" t="s">
        <v>3052</v>
      </c>
      <c r="G377" s="27">
        <v>18779104869</v>
      </c>
      <c r="H377" s="162" t="s">
        <v>3053</v>
      </c>
      <c r="I377" s="162" t="s">
        <v>384</v>
      </c>
      <c r="J377" s="162" t="s">
        <v>18</v>
      </c>
      <c r="K377" s="27">
        <v>202101024</v>
      </c>
      <c r="L377" s="162" t="s">
        <v>157</v>
      </c>
      <c r="M377" s="162" t="s">
        <v>3054</v>
      </c>
      <c r="N377" s="162" t="s">
        <v>404</v>
      </c>
      <c r="O377" s="162" t="s">
        <v>160</v>
      </c>
      <c r="P377" s="162" t="s">
        <v>455</v>
      </c>
      <c r="Q377" s="162" t="s">
        <v>18</v>
      </c>
      <c r="R377" s="27">
        <v>0</v>
      </c>
      <c r="S377" s="118" t="str">
        <f>_xlfn.DISPIMG("ID_030DD5A3CEBA48E5AA84D6300BCE898E",1)</f>
        <v>=DISPIMG("ID_030DD5A3CEBA48E5AA84D6300BCE898E",1)</v>
      </c>
      <c r="T377" s="115" t="s">
        <v>3055</v>
      </c>
      <c r="U377" s="27">
        <v>377</v>
      </c>
    </row>
    <row r="378" s="3" customFormat="1" customHeight="1" spans="1:21">
      <c r="A378" s="144">
        <v>44364.1924884259</v>
      </c>
      <c r="B378" s="27" t="s">
        <v>3056</v>
      </c>
      <c r="C378" s="27" t="s">
        <v>3057</v>
      </c>
      <c r="D378" s="162" t="s">
        <v>3058</v>
      </c>
      <c r="E378" s="162" t="s">
        <v>165</v>
      </c>
      <c r="F378" s="162" t="s">
        <v>3059</v>
      </c>
      <c r="G378" s="27">
        <v>18616047542</v>
      </c>
      <c r="H378" s="162" t="s">
        <v>3060</v>
      </c>
      <c r="I378" s="162" t="s">
        <v>156</v>
      </c>
      <c r="J378" s="162" t="s">
        <v>14</v>
      </c>
      <c r="K378" s="27">
        <v>202102001</v>
      </c>
      <c r="L378" s="162" t="s">
        <v>157</v>
      </c>
      <c r="M378" s="162" t="s">
        <v>233</v>
      </c>
      <c r="N378" s="162" t="s">
        <v>1489</v>
      </c>
      <c r="O378" s="162" t="s">
        <v>170</v>
      </c>
      <c r="P378" s="162" t="s">
        <v>3061</v>
      </c>
      <c r="Q378" s="162" t="s">
        <v>3062</v>
      </c>
      <c r="R378" s="162" t="s">
        <v>3063</v>
      </c>
      <c r="S378" s="118" t="str">
        <f>_xlfn.DISPIMG("ID_0F24A07024DD4EC28C638A81C28E0099",1)</f>
        <v>=DISPIMG("ID_0F24A07024DD4EC28C638A81C28E0099",1)</v>
      </c>
      <c r="T378" s="115" t="s">
        <v>3064</v>
      </c>
      <c r="U378" s="27">
        <v>378</v>
      </c>
    </row>
    <row r="379" s="3" customFormat="1" customHeight="1" spans="1:21">
      <c r="A379" s="144">
        <v>44363.4280787037</v>
      </c>
      <c r="B379" s="27" t="s">
        <v>3065</v>
      </c>
      <c r="C379" s="27" t="s">
        <v>3066</v>
      </c>
      <c r="D379" s="162" t="s">
        <v>3067</v>
      </c>
      <c r="E379" s="162" t="s">
        <v>165</v>
      </c>
      <c r="F379" s="162" t="s">
        <v>3068</v>
      </c>
      <c r="G379" s="27">
        <v>18070525525</v>
      </c>
      <c r="H379" s="162" t="s">
        <v>3069</v>
      </c>
      <c r="I379" s="162" t="s">
        <v>156</v>
      </c>
      <c r="J379" s="162" t="s">
        <v>14</v>
      </c>
      <c r="K379" s="27">
        <v>202102001</v>
      </c>
      <c r="L379" s="162" t="s">
        <v>157</v>
      </c>
      <c r="M379" s="162" t="s">
        <v>3070</v>
      </c>
      <c r="N379" s="162" t="s">
        <v>454</v>
      </c>
      <c r="O379" s="162" t="s">
        <v>170</v>
      </c>
      <c r="P379" s="162" t="s">
        <v>577</v>
      </c>
      <c r="Q379" s="162" t="s">
        <v>1579</v>
      </c>
      <c r="R379" s="162" t="s">
        <v>3071</v>
      </c>
      <c r="S379" s="118" t="str">
        <f>_xlfn.DISPIMG("ID_2CCF9645E24E4A3B81BAE72B8AED314D",1)</f>
        <v>=DISPIMG("ID_2CCF9645E24E4A3B81BAE72B8AED314D",1)</v>
      </c>
      <c r="T379" s="115" t="s">
        <v>3072</v>
      </c>
      <c r="U379" s="27">
        <v>379</v>
      </c>
    </row>
    <row r="380" s="3" customFormat="1" customHeight="1" spans="1:21">
      <c r="A380" s="144">
        <v>44363.4329282407</v>
      </c>
      <c r="B380" s="27" t="s">
        <v>3073</v>
      </c>
      <c r="C380" s="27" t="s">
        <v>3074</v>
      </c>
      <c r="D380" s="162" t="s">
        <v>3075</v>
      </c>
      <c r="E380" s="162" t="s">
        <v>165</v>
      </c>
      <c r="F380" s="162" t="s">
        <v>3076</v>
      </c>
      <c r="G380" s="27">
        <v>13122383919</v>
      </c>
      <c r="H380" s="162" t="s">
        <v>3077</v>
      </c>
      <c r="I380" s="162" t="s">
        <v>156</v>
      </c>
      <c r="J380" s="162" t="s">
        <v>8</v>
      </c>
      <c r="K380" s="27">
        <v>202102002</v>
      </c>
      <c r="L380" s="162" t="s">
        <v>157</v>
      </c>
      <c r="M380" s="162" t="s">
        <v>3078</v>
      </c>
      <c r="N380" s="162" t="s">
        <v>3079</v>
      </c>
      <c r="O380" s="162" t="s">
        <v>160</v>
      </c>
      <c r="P380" s="162" t="s">
        <v>252</v>
      </c>
      <c r="Q380" s="162" t="s">
        <v>8</v>
      </c>
      <c r="R380" s="27">
        <v>0</v>
      </c>
      <c r="S380" s="118" t="str">
        <f>_xlfn.DISPIMG("ID_0C5BA3A4E8B245D6AB6AE82F368BFF6A",1)</f>
        <v>=DISPIMG("ID_0C5BA3A4E8B245D6AB6AE82F368BFF6A",1)</v>
      </c>
      <c r="T380" s="115" t="s">
        <v>3080</v>
      </c>
      <c r="U380" s="27">
        <v>380</v>
      </c>
    </row>
    <row r="381" s="3" customFormat="1" customHeight="1" spans="1:21">
      <c r="A381" s="144">
        <v>44363.4351967593</v>
      </c>
      <c r="B381" s="27" t="s">
        <v>3081</v>
      </c>
      <c r="C381" s="27" t="s">
        <v>3082</v>
      </c>
      <c r="D381" s="162" t="s">
        <v>3083</v>
      </c>
      <c r="E381" s="162" t="s">
        <v>165</v>
      </c>
      <c r="F381" s="162" t="s">
        <v>3084</v>
      </c>
      <c r="G381" s="27">
        <v>15070231776</v>
      </c>
      <c r="H381" s="162" t="s">
        <v>3085</v>
      </c>
      <c r="I381" s="162" t="s">
        <v>156</v>
      </c>
      <c r="J381" s="162" t="s">
        <v>8</v>
      </c>
      <c r="K381" s="27">
        <v>202102002</v>
      </c>
      <c r="L381" s="162" t="s">
        <v>157</v>
      </c>
      <c r="M381" s="162" t="s">
        <v>3086</v>
      </c>
      <c r="N381" s="162" t="s">
        <v>3087</v>
      </c>
      <c r="O381" s="162" t="s">
        <v>160</v>
      </c>
      <c r="P381" s="162" t="s">
        <v>455</v>
      </c>
      <c r="Q381" s="162" t="s">
        <v>8</v>
      </c>
      <c r="R381" s="27">
        <v>0</v>
      </c>
      <c r="S381" s="118" t="str">
        <f>_xlfn.DISPIMG("ID_FE0A8F210AE74D2ABEA83714575A775F",1)</f>
        <v>=DISPIMG("ID_FE0A8F210AE74D2ABEA83714575A775F",1)</v>
      </c>
      <c r="T381" s="115" t="s">
        <v>3088</v>
      </c>
      <c r="U381" s="27">
        <v>381</v>
      </c>
    </row>
    <row r="382" s="3" customFormat="1" customHeight="1" spans="1:21">
      <c r="A382" s="144">
        <v>44363.4478703704</v>
      </c>
      <c r="B382" s="27" t="s">
        <v>3089</v>
      </c>
      <c r="C382" s="27" t="s">
        <v>3090</v>
      </c>
      <c r="D382" s="162" t="s">
        <v>3091</v>
      </c>
      <c r="E382" s="162" t="s">
        <v>165</v>
      </c>
      <c r="F382" s="162" t="s">
        <v>3092</v>
      </c>
      <c r="G382" s="27">
        <v>18679162461</v>
      </c>
      <c r="H382" s="162" t="s">
        <v>3093</v>
      </c>
      <c r="I382" s="162" t="s">
        <v>156</v>
      </c>
      <c r="J382" s="162" t="s">
        <v>6</v>
      </c>
      <c r="K382" s="27">
        <v>202102012</v>
      </c>
      <c r="L382" s="162" t="s">
        <v>157</v>
      </c>
      <c r="M382" s="162" t="s">
        <v>3094</v>
      </c>
      <c r="N382" s="162" t="s">
        <v>3095</v>
      </c>
      <c r="O382" s="162" t="s">
        <v>160</v>
      </c>
      <c r="P382" s="162" t="s">
        <v>171</v>
      </c>
      <c r="Q382" s="162" t="s">
        <v>18</v>
      </c>
      <c r="R382" s="162" t="s">
        <v>3096</v>
      </c>
      <c r="S382" s="118" t="str">
        <f>_xlfn.DISPIMG("ID_26230D3A7A254FB387523A67FAC705F7",1)</f>
        <v>=DISPIMG("ID_26230D3A7A254FB387523A67FAC705F7",1)</v>
      </c>
      <c r="T382" s="115" t="s">
        <v>3097</v>
      </c>
      <c r="U382" s="27">
        <v>382</v>
      </c>
    </row>
    <row r="383" s="3" customFormat="1" customHeight="1" spans="1:21">
      <c r="A383" s="144">
        <v>44363.450474537</v>
      </c>
      <c r="B383" s="27" t="s">
        <v>3098</v>
      </c>
      <c r="C383" s="27" t="s">
        <v>3099</v>
      </c>
      <c r="D383" s="162" t="s">
        <v>3099</v>
      </c>
      <c r="E383" s="162" t="s">
        <v>165</v>
      </c>
      <c r="F383" s="162" t="s">
        <v>3100</v>
      </c>
      <c r="G383" s="27">
        <v>15720976892</v>
      </c>
      <c r="H383" s="162" t="s">
        <v>3101</v>
      </c>
      <c r="I383" s="162" t="s">
        <v>384</v>
      </c>
      <c r="J383" s="162" t="s">
        <v>17</v>
      </c>
      <c r="K383" s="27">
        <v>202101018</v>
      </c>
      <c r="L383" s="162" t="s">
        <v>157</v>
      </c>
      <c r="M383" s="162" t="s">
        <v>385</v>
      </c>
      <c r="N383" s="162" t="s">
        <v>290</v>
      </c>
      <c r="O383" s="162" t="s">
        <v>170</v>
      </c>
      <c r="P383" s="162" t="s">
        <v>577</v>
      </c>
      <c r="Q383" s="162" t="s">
        <v>3102</v>
      </c>
      <c r="R383" s="162" t="s">
        <v>3103</v>
      </c>
      <c r="S383" s="118" t="str">
        <f>_xlfn.DISPIMG("ID_FEEAA5237B6C4B708D314FC0E0560DA3",1)</f>
        <v>=DISPIMG("ID_FEEAA5237B6C4B708D314FC0E0560DA3",1)</v>
      </c>
      <c r="T383" s="115" t="s">
        <v>3104</v>
      </c>
      <c r="U383" s="27">
        <v>383</v>
      </c>
    </row>
    <row r="384" s="5" customFormat="1" customHeight="1" spans="1:21">
      <c r="A384" s="146">
        <v>44363.4609027778</v>
      </c>
      <c r="B384" s="116" t="s">
        <v>3105</v>
      </c>
      <c r="C384" s="116" t="s">
        <v>3106</v>
      </c>
      <c r="D384" s="165" t="s">
        <v>3107</v>
      </c>
      <c r="E384" s="165" t="s">
        <v>165</v>
      </c>
      <c r="F384" s="165" t="s">
        <v>3108</v>
      </c>
      <c r="G384" s="116">
        <v>15070251262</v>
      </c>
      <c r="H384" s="165" t="s">
        <v>3109</v>
      </c>
      <c r="I384" s="165" t="s">
        <v>384</v>
      </c>
      <c r="J384" s="165" t="s">
        <v>21</v>
      </c>
      <c r="K384" s="116">
        <v>202101023</v>
      </c>
      <c r="L384" s="165" t="s">
        <v>157</v>
      </c>
      <c r="M384" s="165" t="s">
        <v>1203</v>
      </c>
      <c r="N384" s="165" t="s">
        <v>682</v>
      </c>
      <c r="O384" s="165" t="s">
        <v>170</v>
      </c>
      <c r="P384" s="165" t="s">
        <v>3110</v>
      </c>
      <c r="Q384" s="165" t="s">
        <v>3111</v>
      </c>
      <c r="R384" s="165" t="s">
        <v>3112</v>
      </c>
      <c r="S384" s="119" t="str">
        <f>_xlfn.DISPIMG("ID_865FFCD2F6414202A972206BA39BAB94",1)</f>
        <v>=DISPIMG("ID_865FFCD2F6414202A972206BA39BAB94",1)</v>
      </c>
      <c r="T384" s="120" t="s">
        <v>3113</v>
      </c>
      <c r="U384" s="27">
        <v>384</v>
      </c>
    </row>
    <row r="385" s="3" customFormat="1" customHeight="1" spans="1:21">
      <c r="A385" s="144">
        <v>44363.4831481481</v>
      </c>
      <c r="B385" s="27" t="s">
        <v>3114</v>
      </c>
      <c r="C385" s="27" t="s">
        <v>3115</v>
      </c>
      <c r="D385" s="162" t="s">
        <v>3116</v>
      </c>
      <c r="E385" s="162" t="s">
        <v>165</v>
      </c>
      <c r="F385" s="162" t="s">
        <v>3117</v>
      </c>
      <c r="G385" s="27">
        <v>15279286337</v>
      </c>
      <c r="H385" s="162" t="s">
        <v>3118</v>
      </c>
      <c r="I385" s="162" t="s">
        <v>268</v>
      </c>
      <c r="J385" s="162" t="s">
        <v>16</v>
      </c>
      <c r="K385" s="27">
        <v>202101011</v>
      </c>
      <c r="L385" s="162" t="s">
        <v>157</v>
      </c>
      <c r="M385" s="162" t="s">
        <v>385</v>
      </c>
      <c r="N385" s="162" t="s">
        <v>3119</v>
      </c>
      <c r="O385" s="162" t="s">
        <v>170</v>
      </c>
      <c r="P385" s="162" t="s">
        <v>161</v>
      </c>
      <c r="Q385" s="162" t="s">
        <v>190</v>
      </c>
      <c r="R385" s="27">
        <v>0</v>
      </c>
      <c r="S385" s="118" t="str">
        <f>_xlfn.DISPIMG("ID_BC4D6E67EBDF472A876E1598CD3DE965",1)</f>
        <v>=DISPIMG("ID_BC4D6E67EBDF472A876E1598CD3DE965",1)</v>
      </c>
      <c r="T385" s="115" t="s">
        <v>3120</v>
      </c>
      <c r="U385" s="27">
        <v>385</v>
      </c>
    </row>
    <row r="386" s="3" customFormat="1" customHeight="1" spans="1:21">
      <c r="A386" s="144">
        <v>44363.5033796296</v>
      </c>
      <c r="B386" s="27" t="s">
        <v>3121</v>
      </c>
      <c r="C386" s="27" t="s">
        <v>3122</v>
      </c>
      <c r="D386" s="162" t="s">
        <v>3123</v>
      </c>
      <c r="E386" s="162" t="s">
        <v>165</v>
      </c>
      <c r="F386" s="162" t="s">
        <v>3124</v>
      </c>
      <c r="G386" s="27">
        <v>19979611731</v>
      </c>
      <c r="H386" s="162" t="s">
        <v>3125</v>
      </c>
      <c r="I386" s="162" t="s">
        <v>156</v>
      </c>
      <c r="J386" s="162" t="s">
        <v>6</v>
      </c>
      <c r="K386" s="27">
        <v>202102012</v>
      </c>
      <c r="L386" s="162" t="s">
        <v>157</v>
      </c>
      <c r="M386" s="162" t="s">
        <v>3126</v>
      </c>
      <c r="N386" s="162" t="s">
        <v>404</v>
      </c>
      <c r="O386" s="162" t="s">
        <v>160</v>
      </c>
      <c r="P386" s="162" t="s">
        <v>199</v>
      </c>
      <c r="Q386" s="162" t="s">
        <v>18</v>
      </c>
      <c r="R386" s="27">
        <v>0</v>
      </c>
      <c r="S386" s="118" t="str">
        <f>_xlfn.DISPIMG("ID_A2488CA19AE844B4BBFD68619FFEAA1D",1)</f>
        <v>=DISPIMG("ID_A2488CA19AE844B4BBFD68619FFEAA1D",1)</v>
      </c>
      <c r="T386" s="115" t="s">
        <v>3127</v>
      </c>
      <c r="U386" s="27">
        <v>386</v>
      </c>
    </row>
    <row r="387" s="3" customFormat="1" customHeight="1" spans="1:21">
      <c r="A387" s="144">
        <v>44363.5122685185</v>
      </c>
      <c r="B387" s="27" t="s">
        <v>3128</v>
      </c>
      <c r="C387" s="27" t="s">
        <v>3129</v>
      </c>
      <c r="D387" s="162" t="s">
        <v>3130</v>
      </c>
      <c r="E387" s="162" t="s">
        <v>165</v>
      </c>
      <c r="F387" s="162" t="s">
        <v>3131</v>
      </c>
      <c r="G387" s="27">
        <v>13510703252</v>
      </c>
      <c r="H387" s="162" t="s">
        <v>731</v>
      </c>
      <c r="I387" s="162" t="s">
        <v>384</v>
      </c>
      <c r="J387" s="162" t="s">
        <v>25</v>
      </c>
      <c r="K387" s="27">
        <v>202101007</v>
      </c>
      <c r="L387" s="162" t="s">
        <v>157</v>
      </c>
      <c r="M387" s="162" t="s">
        <v>1203</v>
      </c>
      <c r="N387" s="162" t="s">
        <v>223</v>
      </c>
      <c r="O387" s="162" t="s">
        <v>170</v>
      </c>
      <c r="P387" s="162" t="s">
        <v>224</v>
      </c>
      <c r="Q387" s="162" t="s">
        <v>25</v>
      </c>
      <c r="R387" s="162" t="s">
        <v>3132</v>
      </c>
      <c r="S387" s="118" t="str">
        <f>_xlfn.DISPIMG("ID_DD2B22793A5D42C5A4C202130135D188",1)</f>
        <v>=DISPIMG("ID_DD2B22793A5D42C5A4C202130135D188",1)</v>
      </c>
      <c r="T387" s="115" t="s">
        <v>3133</v>
      </c>
      <c r="U387" s="27">
        <v>387</v>
      </c>
    </row>
    <row r="388" s="4" customFormat="1" customHeight="1" spans="1:21">
      <c r="A388" s="145">
        <v>44363.5167824074</v>
      </c>
      <c r="B388" s="22" t="s">
        <v>3134</v>
      </c>
      <c r="C388" s="22" t="s">
        <v>3135</v>
      </c>
      <c r="D388" s="164" t="s">
        <v>3136</v>
      </c>
      <c r="E388" s="164" t="s">
        <v>165</v>
      </c>
      <c r="F388" s="164" t="s">
        <v>3137</v>
      </c>
      <c r="G388" s="22">
        <v>13207912916</v>
      </c>
      <c r="H388" s="164" t="s">
        <v>3138</v>
      </c>
      <c r="I388" s="164" t="s">
        <v>278</v>
      </c>
      <c r="J388" s="164" t="s">
        <v>28</v>
      </c>
      <c r="K388" s="22">
        <v>202103001</v>
      </c>
      <c r="L388" s="164" t="s">
        <v>157</v>
      </c>
      <c r="M388" s="164" t="s">
        <v>233</v>
      </c>
      <c r="N388" s="164" t="s">
        <v>280</v>
      </c>
      <c r="O388" s="164" t="s">
        <v>170</v>
      </c>
      <c r="P388" s="164" t="s">
        <v>199</v>
      </c>
      <c r="Q388" s="164" t="s">
        <v>517</v>
      </c>
      <c r="R388" s="164" t="s">
        <v>3139</v>
      </c>
      <c r="S388" s="23" t="str">
        <f>_xlfn.DISPIMG("ID_5DD0D632EE9F43A696BEAC7A2AD60F9E",1)</f>
        <v>=DISPIMG("ID_5DD0D632EE9F43A696BEAC7A2AD60F9E",1)</v>
      </c>
      <c r="T388" s="103" t="s">
        <v>3140</v>
      </c>
      <c r="U388" s="27">
        <v>388</v>
      </c>
    </row>
    <row r="389" s="3" customFormat="1" customHeight="1" spans="1:21">
      <c r="A389" s="144">
        <v>44363.5286689815</v>
      </c>
      <c r="B389" s="27" t="s">
        <v>3141</v>
      </c>
      <c r="C389" s="27" t="s">
        <v>3142</v>
      </c>
      <c r="D389" s="162" t="s">
        <v>3143</v>
      </c>
      <c r="E389" s="162" t="s">
        <v>165</v>
      </c>
      <c r="F389" s="162" t="s">
        <v>3144</v>
      </c>
      <c r="G389" s="27">
        <v>18046721566</v>
      </c>
      <c r="H389" s="162" t="s">
        <v>3145</v>
      </c>
      <c r="I389" s="162" t="s">
        <v>278</v>
      </c>
      <c r="J389" s="162" t="s">
        <v>28</v>
      </c>
      <c r="K389" s="27">
        <v>202103001</v>
      </c>
      <c r="L389" s="162" t="s">
        <v>279</v>
      </c>
      <c r="M389" s="162" t="s">
        <v>367</v>
      </c>
      <c r="N389" s="162" t="s">
        <v>169</v>
      </c>
      <c r="O389" s="162" t="s">
        <v>170</v>
      </c>
      <c r="P389" s="162" t="s">
        <v>2685</v>
      </c>
      <c r="Q389" s="162" t="s">
        <v>3146</v>
      </c>
      <c r="R389" s="162" t="s">
        <v>3147</v>
      </c>
      <c r="S389" s="118" t="str">
        <f>_xlfn.DISPIMG("ID_A94A4E6038894CA88A82184D1877D675",1)</f>
        <v>=DISPIMG("ID_A94A4E6038894CA88A82184D1877D675",1)</v>
      </c>
      <c r="T389" s="115" t="s">
        <v>3148</v>
      </c>
      <c r="U389" s="27">
        <v>389</v>
      </c>
    </row>
    <row r="390" s="3" customFormat="1" customHeight="1" spans="1:21">
      <c r="A390" s="144">
        <v>44364.8834375</v>
      </c>
      <c r="B390" s="27" t="s">
        <v>3149</v>
      </c>
      <c r="C390" s="27" t="s">
        <v>3150</v>
      </c>
      <c r="D390" s="162" t="s">
        <v>3151</v>
      </c>
      <c r="E390" s="162" t="s">
        <v>165</v>
      </c>
      <c r="F390" s="162" t="s">
        <v>3152</v>
      </c>
      <c r="G390" s="27">
        <v>15807046137</v>
      </c>
      <c r="H390" s="162" t="s">
        <v>3153</v>
      </c>
      <c r="I390" s="162" t="s">
        <v>156</v>
      </c>
      <c r="J390" s="162" t="s">
        <v>13</v>
      </c>
      <c r="K390" s="27">
        <v>202102003</v>
      </c>
      <c r="L390" s="162" t="s">
        <v>157</v>
      </c>
      <c r="M390" s="162" t="s">
        <v>611</v>
      </c>
      <c r="N390" s="162" t="s">
        <v>179</v>
      </c>
      <c r="O390" s="162" t="s">
        <v>160</v>
      </c>
      <c r="P390" s="162" t="s">
        <v>261</v>
      </c>
      <c r="Q390" s="162" t="s">
        <v>13</v>
      </c>
      <c r="R390" s="162" t="s">
        <v>3154</v>
      </c>
      <c r="S390" s="118" t="str">
        <f>_xlfn.DISPIMG("ID_677BA8871B344518950747C60527229E",1)</f>
        <v>=DISPIMG("ID_677BA8871B344518950747C60527229E",1)</v>
      </c>
      <c r="T390" s="115" t="s">
        <v>3155</v>
      </c>
      <c r="U390" s="27">
        <v>390</v>
      </c>
    </row>
    <row r="391" s="3" customFormat="1" customHeight="1" spans="1:21">
      <c r="A391" s="144">
        <v>44363.5501736111</v>
      </c>
      <c r="B391" s="27" t="s">
        <v>3156</v>
      </c>
      <c r="C391" s="27" t="s">
        <v>1428</v>
      </c>
      <c r="D391" s="162" t="s">
        <v>1429</v>
      </c>
      <c r="E391" s="162" t="s">
        <v>165</v>
      </c>
      <c r="F391" s="162" t="s">
        <v>1430</v>
      </c>
      <c r="G391" s="27">
        <v>15779219115</v>
      </c>
      <c r="H391" s="162" t="s">
        <v>1431</v>
      </c>
      <c r="I391" s="162" t="s">
        <v>278</v>
      </c>
      <c r="J391" s="162" t="s">
        <v>28</v>
      </c>
      <c r="K391" s="27">
        <v>202103001</v>
      </c>
      <c r="L391" s="162" t="s">
        <v>279</v>
      </c>
      <c r="M391" s="162" t="s">
        <v>1432</v>
      </c>
      <c r="N391" s="162" t="s">
        <v>1433</v>
      </c>
      <c r="O391" s="162" t="s">
        <v>170</v>
      </c>
      <c r="P391" s="162" t="s">
        <v>261</v>
      </c>
      <c r="Q391" s="162" t="s">
        <v>1013</v>
      </c>
      <c r="R391" s="162" t="s">
        <v>1435</v>
      </c>
      <c r="S391" s="118" t="str">
        <f>_xlfn.DISPIMG("ID_2AA0C0867EDA4E25AC1B455524935955",1)</f>
        <v>=DISPIMG("ID_2AA0C0867EDA4E25AC1B455524935955",1)</v>
      </c>
      <c r="T391" s="115" t="s">
        <v>1436</v>
      </c>
      <c r="U391" s="27">
        <v>391</v>
      </c>
    </row>
    <row r="392" s="3" customFormat="1" customHeight="1" spans="1:21">
      <c r="A392" s="144">
        <v>44363.5979050926</v>
      </c>
      <c r="B392" s="27" t="s">
        <v>3157</v>
      </c>
      <c r="C392" s="27" t="s">
        <v>3158</v>
      </c>
      <c r="D392" s="162" t="s">
        <v>3159</v>
      </c>
      <c r="E392" s="162" t="s">
        <v>153</v>
      </c>
      <c r="F392" s="162" t="s">
        <v>3160</v>
      </c>
      <c r="G392" s="27">
        <v>15070024256</v>
      </c>
      <c r="H392" s="162" t="s">
        <v>3161</v>
      </c>
      <c r="I392" s="162" t="s">
        <v>268</v>
      </c>
      <c r="J392" s="162" t="s">
        <v>21</v>
      </c>
      <c r="K392" s="27">
        <v>202101022</v>
      </c>
      <c r="L392" s="162" t="s">
        <v>157</v>
      </c>
      <c r="M392" s="162" t="s">
        <v>827</v>
      </c>
      <c r="N392" s="162" t="s">
        <v>682</v>
      </c>
      <c r="O392" s="162" t="s">
        <v>170</v>
      </c>
      <c r="P392" s="162" t="s">
        <v>281</v>
      </c>
      <c r="Q392" s="162" t="s">
        <v>2244</v>
      </c>
      <c r="R392" s="162" t="s">
        <v>3162</v>
      </c>
      <c r="S392" s="118" t="str">
        <f>_xlfn.DISPIMG("ID_2F448B7CE8524D1AA48554771DC3D4AB",1)</f>
        <v>=DISPIMG("ID_2F448B7CE8524D1AA48554771DC3D4AB",1)</v>
      </c>
      <c r="T392" s="115" t="s">
        <v>3163</v>
      </c>
      <c r="U392" s="27">
        <v>392</v>
      </c>
    </row>
    <row r="393" s="3" customFormat="1" customHeight="1" spans="1:21">
      <c r="A393" s="144">
        <v>44363.6059259259</v>
      </c>
      <c r="B393" s="27" t="s">
        <v>3164</v>
      </c>
      <c r="C393" s="27" t="s">
        <v>3165</v>
      </c>
      <c r="D393" s="162" t="s">
        <v>3166</v>
      </c>
      <c r="E393" s="162" t="s">
        <v>165</v>
      </c>
      <c r="F393" s="162" t="s">
        <v>3167</v>
      </c>
      <c r="G393" s="27">
        <v>18797976473</v>
      </c>
      <c r="H393" s="162" t="s">
        <v>3168</v>
      </c>
      <c r="I393" s="162" t="s">
        <v>156</v>
      </c>
      <c r="J393" s="162" t="s">
        <v>14</v>
      </c>
      <c r="K393" s="27">
        <v>202102001</v>
      </c>
      <c r="L393" s="162" t="s">
        <v>157</v>
      </c>
      <c r="M393" s="162" t="s">
        <v>158</v>
      </c>
      <c r="N393" s="162" t="s">
        <v>395</v>
      </c>
      <c r="O393" s="162" t="s">
        <v>160</v>
      </c>
      <c r="P393" s="162" t="s">
        <v>587</v>
      </c>
      <c r="Q393" s="162" t="s">
        <v>14</v>
      </c>
      <c r="R393" s="27">
        <v>0</v>
      </c>
      <c r="S393" s="118" t="str">
        <f>_xlfn.DISPIMG("ID_F2E559AD12664A6E81B51441D537B134",1)</f>
        <v>=DISPIMG("ID_F2E559AD12664A6E81B51441D537B134",1)</v>
      </c>
      <c r="T393" s="115" t="s">
        <v>3169</v>
      </c>
      <c r="U393" s="27">
        <v>393</v>
      </c>
    </row>
    <row r="394" s="3" customFormat="1" customHeight="1" spans="1:21">
      <c r="A394" s="144">
        <v>44363.6138310185</v>
      </c>
      <c r="B394" s="27" t="s">
        <v>3170</v>
      </c>
      <c r="C394" s="27" t="s">
        <v>3171</v>
      </c>
      <c r="D394" s="162" t="s">
        <v>3172</v>
      </c>
      <c r="E394" s="162" t="s">
        <v>165</v>
      </c>
      <c r="F394" s="162" t="s">
        <v>3173</v>
      </c>
      <c r="G394" s="27">
        <v>18970280941</v>
      </c>
      <c r="H394" s="162" t="s">
        <v>2228</v>
      </c>
      <c r="I394" s="162" t="s">
        <v>278</v>
      </c>
      <c r="J394" s="162" t="s">
        <v>28</v>
      </c>
      <c r="K394" s="27">
        <v>202103001</v>
      </c>
      <c r="L394" s="162" t="s">
        <v>585</v>
      </c>
      <c r="M394" s="162" t="s">
        <v>3174</v>
      </c>
      <c r="N394" s="162" t="s">
        <v>586</v>
      </c>
      <c r="O394" s="162" t="s">
        <v>170</v>
      </c>
      <c r="P394" s="162" t="s">
        <v>3039</v>
      </c>
      <c r="Q394" s="162" t="s">
        <v>340</v>
      </c>
      <c r="R394" s="162" t="s">
        <v>3175</v>
      </c>
      <c r="S394" s="118" t="str">
        <f>_xlfn.DISPIMG("ID_0094E289D6FF483F911D447623CD2A7B",1)</f>
        <v>=DISPIMG("ID_0094E289D6FF483F911D447623CD2A7B",1)</v>
      </c>
      <c r="T394" s="115" t="s">
        <v>3176</v>
      </c>
      <c r="U394" s="27">
        <v>394</v>
      </c>
    </row>
    <row r="395" s="3" customFormat="1" customHeight="1" spans="1:21">
      <c r="A395" s="144">
        <v>44363.6182060185</v>
      </c>
      <c r="B395" s="27" t="s">
        <v>3177</v>
      </c>
      <c r="C395" s="27" t="s">
        <v>2472</v>
      </c>
      <c r="D395" s="162" t="s">
        <v>3178</v>
      </c>
      <c r="E395" s="162" t="s">
        <v>153</v>
      </c>
      <c r="F395" s="162" t="s">
        <v>3179</v>
      </c>
      <c r="G395" s="27">
        <v>15257934004</v>
      </c>
      <c r="H395" s="162" t="s">
        <v>3180</v>
      </c>
      <c r="I395" s="162" t="s">
        <v>384</v>
      </c>
      <c r="J395" s="162" t="s">
        <v>21</v>
      </c>
      <c r="K395" s="27">
        <v>202101023</v>
      </c>
      <c r="L395" s="162" t="s">
        <v>157</v>
      </c>
      <c r="M395" s="162" t="s">
        <v>1258</v>
      </c>
      <c r="N395" s="162" t="s">
        <v>682</v>
      </c>
      <c r="O395" s="162" t="s">
        <v>170</v>
      </c>
      <c r="P395" s="162" t="s">
        <v>587</v>
      </c>
      <c r="Q395" s="162" t="s">
        <v>1824</v>
      </c>
      <c r="R395" s="162" t="s">
        <v>3181</v>
      </c>
      <c r="S395" s="118" t="str">
        <f>_xlfn.DISPIMG("ID_D70CF13D201844A6B6408BAB9F88D034",1)</f>
        <v>=DISPIMG("ID_D70CF13D201844A6B6408BAB9F88D034",1)</v>
      </c>
      <c r="T395" s="115" t="s">
        <v>3182</v>
      </c>
      <c r="U395" s="27">
        <v>395</v>
      </c>
    </row>
    <row r="396" s="3" customFormat="1" customHeight="1" spans="1:21">
      <c r="A396" s="144">
        <v>44363.6333101852</v>
      </c>
      <c r="B396" s="27" t="s">
        <v>3183</v>
      </c>
      <c r="C396" s="27" t="s">
        <v>3184</v>
      </c>
      <c r="D396" s="162" t="s">
        <v>3185</v>
      </c>
      <c r="E396" s="162" t="s">
        <v>165</v>
      </c>
      <c r="F396" s="162" t="s">
        <v>3186</v>
      </c>
      <c r="G396" s="27">
        <v>15070259733</v>
      </c>
      <c r="H396" s="162" t="s">
        <v>3187</v>
      </c>
      <c r="I396" s="162" t="s">
        <v>297</v>
      </c>
      <c r="J396" s="162" t="s">
        <v>25</v>
      </c>
      <c r="K396" s="27">
        <v>202101008</v>
      </c>
      <c r="L396" s="162" t="s">
        <v>157</v>
      </c>
      <c r="M396" s="162" t="s">
        <v>646</v>
      </c>
      <c r="N396" s="162" t="s">
        <v>179</v>
      </c>
      <c r="O396" s="162" t="s">
        <v>170</v>
      </c>
      <c r="P396" s="162" t="s">
        <v>161</v>
      </c>
      <c r="Q396" s="162" t="s">
        <v>3188</v>
      </c>
      <c r="R396" s="27">
        <v>0</v>
      </c>
      <c r="S396" s="118" t="str">
        <f>_xlfn.DISPIMG("ID_76C776A08E8241118AA436F440F434C8",1)</f>
        <v>=DISPIMG("ID_76C776A08E8241118AA436F440F434C8",1)</v>
      </c>
      <c r="T396" s="115" t="s">
        <v>3189</v>
      </c>
      <c r="U396" s="27">
        <v>396</v>
      </c>
    </row>
    <row r="397" s="3" customFormat="1" customHeight="1" spans="1:21">
      <c r="A397" s="144">
        <v>44363.6362731481</v>
      </c>
      <c r="B397" s="27" t="s">
        <v>3190</v>
      </c>
      <c r="C397" s="27" t="s">
        <v>3191</v>
      </c>
      <c r="D397" s="162" t="s">
        <v>3192</v>
      </c>
      <c r="E397" s="162" t="s">
        <v>165</v>
      </c>
      <c r="F397" s="162" t="s">
        <v>3193</v>
      </c>
      <c r="G397" s="27">
        <v>13361729367</v>
      </c>
      <c r="H397" s="162" t="s">
        <v>3194</v>
      </c>
      <c r="I397" s="162" t="s">
        <v>268</v>
      </c>
      <c r="J397" s="162" t="s">
        <v>17</v>
      </c>
      <c r="K397" s="27">
        <v>202101017</v>
      </c>
      <c r="L397" s="162" t="s">
        <v>157</v>
      </c>
      <c r="M397" s="162" t="s">
        <v>1258</v>
      </c>
      <c r="N397" s="162" t="s">
        <v>3195</v>
      </c>
      <c r="O397" s="162" t="s">
        <v>170</v>
      </c>
      <c r="P397" s="162" t="s">
        <v>216</v>
      </c>
      <c r="Q397" s="162" t="s">
        <v>17</v>
      </c>
      <c r="R397" s="162" t="s">
        <v>3196</v>
      </c>
      <c r="S397" s="118" t="str">
        <f>_xlfn.DISPIMG("ID_F0B384F7F2BD4ECB81B75D08A62A8621",1)</f>
        <v>=DISPIMG("ID_F0B384F7F2BD4ECB81B75D08A62A8621",1)</v>
      </c>
      <c r="T397" s="115" t="s">
        <v>3197</v>
      </c>
      <c r="U397" s="27">
        <v>397</v>
      </c>
    </row>
    <row r="398" s="3" customFormat="1" customHeight="1" spans="1:21">
      <c r="A398" s="144">
        <v>44363.6372800926</v>
      </c>
      <c r="B398" s="27" t="s">
        <v>3198</v>
      </c>
      <c r="C398" s="27" t="s">
        <v>3199</v>
      </c>
      <c r="D398" s="162" t="s">
        <v>2831</v>
      </c>
      <c r="E398" s="162" t="s">
        <v>165</v>
      </c>
      <c r="F398" s="162" t="s">
        <v>3200</v>
      </c>
      <c r="G398" s="27">
        <v>15079253920</v>
      </c>
      <c r="H398" s="162" t="s">
        <v>3201</v>
      </c>
      <c r="I398" s="162" t="s">
        <v>384</v>
      </c>
      <c r="J398" s="162" t="s">
        <v>21</v>
      </c>
      <c r="K398" s="27">
        <v>202101023</v>
      </c>
      <c r="L398" s="162" t="s">
        <v>157</v>
      </c>
      <c r="M398" s="162" t="s">
        <v>1413</v>
      </c>
      <c r="N398" s="162" t="s">
        <v>682</v>
      </c>
      <c r="O398" s="162" t="s">
        <v>170</v>
      </c>
      <c r="P398" s="162" t="s">
        <v>261</v>
      </c>
      <c r="Q398" s="162" t="s">
        <v>1824</v>
      </c>
      <c r="R398" s="27">
        <v>0</v>
      </c>
      <c r="S398" s="118" t="str">
        <f>_xlfn.DISPIMG("ID_6FA15DDD4AA745CAA44305EB8A7C29E0",1)</f>
        <v>=DISPIMG("ID_6FA15DDD4AA745CAA44305EB8A7C29E0",1)</v>
      </c>
      <c r="T398" s="115" t="s">
        <v>2836</v>
      </c>
      <c r="U398" s="27">
        <v>398</v>
      </c>
    </row>
    <row r="399" s="3" customFormat="1" customHeight="1" spans="1:21">
      <c r="A399" s="144">
        <v>44363.6389467593</v>
      </c>
      <c r="B399" s="27" t="s">
        <v>3202</v>
      </c>
      <c r="C399" s="27" t="s">
        <v>3203</v>
      </c>
      <c r="D399" s="162" t="s">
        <v>3204</v>
      </c>
      <c r="E399" s="162" t="s">
        <v>165</v>
      </c>
      <c r="F399" s="162" t="s">
        <v>3205</v>
      </c>
      <c r="G399" s="27">
        <v>18270304769</v>
      </c>
      <c r="H399" s="162" t="s">
        <v>3206</v>
      </c>
      <c r="I399" s="162" t="s">
        <v>156</v>
      </c>
      <c r="J399" s="162" t="s">
        <v>13</v>
      </c>
      <c r="K399" s="27">
        <v>202102003</v>
      </c>
      <c r="L399" s="162" t="s">
        <v>279</v>
      </c>
      <c r="M399" s="162" t="s">
        <v>168</v>
      </c>
      <c r="N399" s="162" t="s">
        <v>223</v>
      </c>
      <c r="O399" s="162" t="s">
        <v>170</v>
      </c>
      <c r="P399" s="162" t="s">
        <v>171</v>
      </c>
      <c r="Q399" s="162" t="s">
        <v>13</v>
      </c>
      <c r="R399" s="162" t="s">
        <v>3207</v>
      </c>
      <c r="S399" s="118" t="str">
        <f>_xlfn.DISPIMG("ID_51BC672EACDF4F87BCFEE4B4000126C2",1)</f>
        <v>=DISPIMG("ID_51BC672EACDF4F87BCFEE4B4000126C2",1)</v>
      </c>
      <c r="T399" s="115" t="s">
        <v>3208</v>
      </c>
      <c r="U399" s="27">
        <v>399</v>
      </c>
    </row>
    <row r="400" s="3" customFormat="1" customHeight="1" spans="1:21">
      <c r="A400" s="144">
        <v>44363.6404398148</v>
      </c>
      <c r="B400" s="27" t="s">
        <v>3209</v>
      </c>
      <c r="C400" s="27" t="s">
        <v>3210</v>
      </c>
      <c r="D400" s="162" t="s">
        <v>3211</v>
      </c>
      <c r="E400" s="162" t="s">
        <v>165</v>
      </c>
      <c r="F400" s="162" t="s">
        <v>3212</v>
      </c>
      <c r="G400" s="27">
        <v>15779234299</v>
      </c>
      <c r="H400" s="162" t="s">
        <v>3213</v>
      </c>
      <c r="I400" s="162" t="s">
        <v>506</v>
      </c>
      <c r="J400" s="162" t="s">
        <v>15</v>
      </c>
      <c r="K400" s="27">
        <v>202101019</v>
      </c>
      <c r="L400" s="162" t="s">
        <v>157</v>
      </c>
      <c r="M400" s="162" t="s">
        <v>178</v>
      </c>
      <c r="N400" s="162" t="s">
        <v>215</v>
      </c>
      <c r="O400" s="162" t="s">
        <v>170</v>
      </c>
      <c r="P400" s="162" t="s">
        <v>199</v>
      </c>
      <c r="Q400" s="162" t="s">
        <v>3214</v>
      </c>
      <c r="R400" s="162" t="s">
        <v>3215</v>
      </c>
      <c r="S400" s="118" t="str">
        <f>_xlfn.DISPIMG("ID_C6192F8F8B3E4D2CBC3C30A06AF40B6E",1)</f>
        <v>=DISPIMG("ID_C6192F8F8B3E4D2CBC3C30A06AF40B6E",1)</v>
      </c>
      <c r="T400" s="115" t="s">
        <v>3216</v>
      </c>
      <c r="U400" s="27">
        <v>400</v>
      </c>
    </row>
    <row r="401" s="4" customFormat="1" customHeight="1" spans="1:21">
      <c r="A401" s="145">
        <v>44365.4468634259</v>
      </c>
      <c r="B401" s="22" t="s">
        <v>3217</v>
      </c>
      <c r="C401" s="22" t="s">
        <v>3218</v>
      </c>
      <c r="D401" s="164" t="s">
        <v>3219</v>
      </c>
      <c r="E401" s="164" t="s">
        <v>165</v>
      </c>
      <c r="F401" s="164" t="s">
        <v>3220</v>
      </c>
      <c r="G401" s="22">
        <v>18279832090</v>
      </c>
      <c r="H401" s="164" t="s">
        <v>3221</v>
      </c>
      <c r="I401" s="164" t="s">
        <v>384</v>
      </c>
      <c r="J401" s="164" t="s">
        <v>25</v>
      </c>
      <c r="K401" s="22">
        <v>202101007</v>
      </c>
      <c r="L401" s="164" t="s">
        <v>157</v>
      </c>
      <c r="M401" s="164" t="s">
        <v>507</v>
      </c>
      <c r="N401" s="164" t="s">
        <v>828</v>
      </c>
      <c r="O401" s="164" t="s">
        <v>170</v>
      </c>
      <c r="P401" s="164" t="s">
        <v>161</v>
      </c>
      <c r="Q401" s="164" t="s">
        <v>25</v>
      </c>
      <c r="R401" s="164" t="s">
        <v>3222</v>
      </c>
      <c r="S401" s="23" t="str">
        <f>_xlfn.DISPIMG("ID_31DA0D5E67EC49E4A7DA2145DC608874",1)</f>
        <v>=DISPIMG("ID_31DA0D5E67EC49E4A7DA2145DC608874",1)</v>
      </c>
      <c r="T401" s="103" t="s">
        <v>3223</v>
      </c>
      <c r="U401" s="27">
        <v>401</v>
      </c>
    </row>
    <row r="402" s="3" customFormat="1" customHeight="1" spans="1:21">
      <c r="A402" s="144">
        <v>44363.6502662037</v>
      </c>
      <c r="B402" s="27" t="s">
        <v>3224</v>
      </c>
      <c r="C402" s="27" t="s">
        <v>3225</v>
      </c>
      <c r="D402" s="162" t="s">
        <v>3226</v>
      </c>
      <c r="E402" s="162" t="s">
        <v>165</v>
      </c>
      <c r="F402" s="162" t="s">
        <v>3227</v>
      </c>
      <c r="G402" s="27">
        <v>18279226554</v>
      </c>
      <c r="H402" s="162" t="s">
        <v>3228</v>
      </c>
      <c r="I402" s="162" t="s">
        <v>156</v>
      </c>
      <c r="J402" s="162" t="s">
        <v>8</v>
      </c>
      <c r="K402" s="27">
        <v>202102002</v>
      </c>
      <c r="L402" s="162" t="s">
        <v>157</v>
      </c>
      <c r="M402" s="162" t="s">
        <v>3229</v>
      </c>
      <c r="N402" s="162" t="s">
        <v>1832</v>
      </c>
      <c r="O402" s="162" t="s">
        <v>160</v>
      </c>
      <c r="P402" s="162" t="s">
        <v>235</v>
      </c>
      <c r="Q402" s="162" t="s">
        <v>3230</v>
      </c>
      <c r="R402" s="27">
        <v>0</v>
      </c>
      <c r="S402" s="118" t="str">
        <f>_xlfn.DISPIMG("ID_E38CE29681DB4326A5DB290E49AD4AFC",1)</f>
        <v>=DISPIMG("ID_E38CE29681DB4326A5DB290E49AD4AFC",1)</v>
      </c>
      <c r="T402" s="115" t="s">
        <v>3231</v>
      </c>
      <c r="U402" s="27">
        <v>402</v>
      </c>
    </row>
    <row r="403" s="3" customFormat="1" customHeight="1" spans="1:21">
      <c r="A403" s="144">
        <v>44363.6791203704</v>
      </c>
      <c r="B403" s="27" t="s">
        <v>3232</v>
      </c>
      <c r="C403" s="27" t="s">
        <v>3233</v>
      </c>
      <c r="D403" s="162" t="s">
        <v>3234</v>
      </c>
      <c r="E403" s="162" t="s">
        <v>165</v>
      </c>
      <c r="F403" s="162" t="s">
        <v>3235</v>
      </c>
      <c r="G403" s="27">
        <v>15083801983</v>
      </c>
      <c r="H403" s="162" t="s">
        <v>3236</v>
      </c>
      <c r="I403" s="162" t="s">
        <v>278</v>
      </c>
      <c r="J403" s="162" t="s">
        <v>28</v>
      </c>
      <c r="K403" s="27">
        <v>202103001</v>
      </c>
      <c r="L403" s="162" t="s">
        <v>279</v>
      </c>
      <c r="M403" s="162" t="s">
        <v>339</v>
      </c>
      <c r="N403" s="162" t="s">
        <v>960</v>
      </c>
      <c r="O403" s="162" t="s">
        <v>170</v>
      </c>
      <c r="P403" s="162" t="s">
        <v>2935</v>
      </c>
      <c r="Q403" s="162" t="s">
        <v>376</v>
      </c>
      <c r="R403" s="162" t="s">
        <v>3237</v>
      </c>
      <c r="S403" s="118" t="str">
        <f>_xlfn.DISPIMG("ID_6E77F2441F654B1DACC44E4FDEC025B1",1)</f>
        <v>=DISPIMG("ID_6E77F2441F654B1DACC44E4FDEC025B1",1)</v>
      </c>
      <c r="T403" s="115" t="s">
        <v>3238</v>
      </c>
      <c r="U403" s="27">
        <v>403</v>
      </c>
    </row>
    <row r="404" s="3" customFormat="1" customHeight="1" spans="1:21">
      <c r="A404" s="144">
        <v>44363.7048611111</v>
      </c>
      <c r="B404" s="27" t="s">
        <v>3239</v>
      </c>
      <c r="C404" s="27" t="s">
        <v>3240</v>
      </c>
      <c r="D404" s="162" t="s">
        <v>3241</v>
      </c>
      <c r="E404" s="162" t="s">
        <v>165</v>
      </c>
      <c r="F404" s="162" t="s">
        <v>3242</v>
      </c>
      <c r="G404" s="27">
        <v>15390868523</v>
      </c>
      <c r="H404" s="162" t="s">
        <v>3243</v>
      </c>
      <c r="I404" s="162" t="s">
        <v>156</v>
      </c>
      <c r="J404" s="162" t="s">
        <v>13</v>
      </c>
      <c r="K404" s="27">
        <v>202102003</v>
      </c>
      <c r="L404" s="162" t="s">
        <v>157</v>
      </c>
      <c r="M404" s="162" t="s">
        <v>3244</v>
      </c>
      <c r="N404" s="162" t="s">
        <v>179</v>
      </c>
      <c r="O404" s="162" t="s">
        <v>160</v>
      </c>
      <c r="P404" s="162" t="s">
        <v>161</v>
      </c>
      <c r="Q404" s="162" t="s">
        <v>190</v>
      </c>
      <c r="R404" s="27">
        <v>0</v>
      </c>
      <c r="S404" s="118" t="str">
        <f>_xlfn.DISPIMG("ID_AED07D8F3E8D4336A7B785D8FBC52BF4",1)</f>
        <v>=DISPIMG("ID_AED07D8F3E8D4336A7B785D8FBC52BF4",1)</v>
      </c>
      <c r="T404" s="115" t="s">
        <v>3245</v>
      </c>
      <c r="U404" s="27">
        <v>404</v>
      </c>
    </row>
    <row r="405" s="3" customFormat="1" customHeight="1" spans="1:21">
      <c r="A405" s="144">
        <v>44363.7121412037</v>
      </c>
      <c r="B405" s="27" t="s">
        <v>3246</v>
      </c>
      <c r="C405" s="27" t="s">
        <v>3247</v>
      </c>
      <c r="D405" s="162" t="s">
        <v>3248</v>
      </c>
      <c r="E405" s="162" t="s">
        <v>153</v>
      </c>
      <c r="F405" s="162" t="s">
        <v>3249</v>
      </c>
      <c r="G405" s="27">
        <v>15180608216</v>
      </c>
      <c r="H405" s="162" t="s">
        <v>3250</v>
      </c>
      <c r="I405" s="162" t="s">
        <v>156</v>
      </c>
      <c r="J405" s="162" t="s">
        <v>11</v>
      </c>
      <c r="K405" s="27">
        <v>202102013</v>
      </c>
      <c r="L405" s="162" t="s">
        <v>157</v>
      </c>
      <c r="M405" s="162" t="s">
        <v>827</v>
      </c>
      <c r="N405" s="162" t="s">
        <v>3251</v>
      </c>
      <c r="O405" s="162" t="s">
        <v>160</v>
      </c>
      <c r="P405" s="162" t="s">
        <v>161</v>
      </c>
      <c r="Q405" s="162" t="s">
        <v>8</v>
      </c>
      <c r="R405" s="27">
        <v>0</v>
      </c>
      <c r="S405" s="118" t="str">
        <f>_xlfn.DISPIMG("ID_80F22CEDB358451BB7235F67F99FD33D",1)</f>
        <v>=DISPIMG("ID_80F22CEDB358451BB7235F67F99FD33D",1)</v>
      </c>
      <c r="T405" s="115" t="s">
        <v>3252</v>
      </c>
      <c r="U405" s="27">
        <v>405</v>
      </c>
    </row>
    <row r="406" s="4" customFormat="1" customHeight="1" spans="1:21">
      <c r="A406" s="145">
        <v>44365.6648842593</v>
      </c>
      <c r="B406" s="22" t="s">
        <v>3253</v>
      </c>
      <c r="C406" s="22" t="s">
        <v>3254</v>
      </c>
      <c r="D406" s="164" t="s">
        <v>3255</v>
      </c>
      <c r="E406" s="164" t="s">
        <v>165</v>
      </c>
      <c r="F406" s="164" t="s">
        <v>3256</v>
      </c>
      <c r="G406" s="22">
        <v>18770283607</v>
      </c>
      <c r="H406" s="164" t="s">
        <v>3257</v>
      </c>
      <c r="I406" s="164" t="s">
        <v>156</v>
      </c>
      <c r="J406" s="164" t="s">
        <v>13</v>
      </c>
      <c r="K406" s="22">
        <v>202102003</v>
      </c>
      <c r="L406" s="164" t="s">
        <v>157</v>
      </c>
      <c r="M406" s="164" t="s">
        <v>611</v>
      </c>
      <c r="N406" s="164" t="s">
        <v>179</v>
      </c>
      <c r="O406" s="164" t="s">
        <v>160</v>
      </c>
      <c r="P406" s="164" t="s">
        <v>577</v>
      </c>
      <c r="Q406" s="164" t="s">
        <v>3258</v>
      </c>
      <c r="R406" s="164" t="s">
        <v>3259</v>
      </c>
      <c r="S406" s="23" t="str">
        <f>_xlfn.DISPIMG("ID_9640DE1808F9498F8612547EA44506E8",1)</f>
        <v>=DISPIMG("ID_9640DE1808F9498F8612547EA44506E8",1)</v>
      </c>
      <c r="T406" s="103" t="s">
        <v>3260</v>
      </c>
      <c r="U406" s="27">
        <v>406</v>
      </c>
    </row>
    <row r="407" s="3" customFormat="1" customHeight="1" spans="1:21">
      <c r="A407" s="144">
        <v>44363.737037037</v>
      </c>
      <c r="B407" s="27" t="s">
        <v>3261</v>
      </c>
      <c r="C407" s="27" t="s">
        <v>3262</v>
      </c>
      <c r="D407" s="162" t="s">
        <v>3263</v>
      </c>
      <c r="E407" s="162" t="s">
        <v>165</v>
      </c>
      <c r="F407" s="162" t="s">
        <v>3264</v>
      </c>
      <c r="G407" s="27">
        <v>15297923055</v>
      </c>
      <c r="H407" s="162" t="s">
        <v>803</v>
      </c>
      <c r="I407" s="162" t="s">
        <v>156</v>
      </c>
      <c r="J407" s="162" t="s">
        <v>7</v>
      </c>
      <c r="K407" s="27">
        <v>202102006</v>
      </c>
      <c r="L407" s="162" t="s">
        <v>157</v>
      </c>
      <c r="M407" s="162" t="s">
        <v>507</v>
      </c>
      <c r="N407" s="162" t="s">
        <v>243</v>
      </c>
      <c r="O407" s="162" t="s">
        <v>160</v>
      </c>
      <c r="P407" s="162" t="s">
        <v>1089</v>
      </c>
      <c r="Q407" s="162" t="s">
        <v>13</v>
      </c>
      <c r="R407" s="27">
        <v>0</v>
      </c>
      <c r="S407" s="118" t="str">
        <f>_xlfn.DISPIMG("ID_E2A16755D9294F19AC6C5724406D1776",1)</f>
        <v>=DISPIMG("ID_E2A16755D9294F19AC6C5724406D1776",1)</v>
      </c>
      <c r="T407" s="115" t="s">
        <v>3265</v>
      </c>
      <c r="U407" s="27">
        <v>407</v>
      </c>
    </row>
    <row r="408" s="3" customFormat="1" customHeight="1" spans="1:21">
      <c r="A408" s="144">
        <v>44363.7372569444</v>
      </c>
      <c r="B408" s="27" t="s">
        <v>3266</v>
      </c>
      <c r="C408" s="27" t="s">
        <v>3267</v>
      </c>
      <c r="D408" s="162" t="s">
        <v>3268</v>
      </c>
      <c r="E408" s="162" t="s">
        <v>165</v>
      </c>
      <c r="F408" s="162" t="s">
        <v>3269</v>
      </c>
      <c r="G408" s="27">
        <v>18770914454</v>
      </c>
      <c r="H408" s="162" t="s">
        <v>3270</v>
      </c>
      <c r="I408" s="162" t="s">
        <v>156</v>
      </c>
      <c r="J408" s="162" t="s">
        <v>14</v>
      </c>
      <c r="K408" s="27">
        <v>202102001</v>
      </c>
      <c r="L408" s="162" t="s">
        <v>279</v>
      </c>
      <c r="M408" s="162" t="s">
        <v>178</v>
      </c>
      <c r="N408" s="162" t="s">
        <v>348</v>
      </c>
      <c r="O408" s="162" t="s">
        <v>170</v>
      </c>
      <c r="P408" s="162" t="s">
        <v>216</v>
      </c>
      <c r="Q408" s="162" t="s">
        <v>638</v>
      </c>
      <c r="R408" s="162" t="s">
        <v>3271</v>
      </c>
      <c r="S408" s="118" t="str">
        <f>_xlfn.DISPIMG("ID_A7E75D79E714426086202D465053808C",1)</f>
        <v>=DISPIMG("ID_A7E75D79E714426086202D465053808C",1)</v>
      </c>
      <c r="T408" s="115" t="s">
        <v>3272</v>
      </c>
      <c r="U408" s="27">
        <v>408</v>
      </c>
    </row>
    <row r="409" s="3" customFormat="1" customHeight="1" spans="1:21">
      <c r="A409" s="144">
        <v>44363.7380324074</v>
      </c>
      <c r="B409" s="27" t="s">
        <v>3273</v>
      </c>
      <c r="C409" s="27" t="s">
        <v>3274</v>
      </c>
      <c r="D409" s="162" t="s">
        <v>3274</v>
      </c>
      <c r="E409" s="162" t="s">
        <v>165</v>
      </c>
      <c r="F409" s="162" t="s">
        <v>3275</v>
      </c>
      <c r="G409" s="27">
        <v>15870802185</v>
      </c>
      <c r="H409" s="162" t="s">
        <v>959</v>
      </c>
      <c r="I409" s="162" t="s">
        <v>156</v>
      </c>
      <c r="J409" s="162" t="s">
        <v>12</v>
      </c>
      <c r="K409" s="27">
        <v>202102010</v>
      </c>
      <c r="L409" s="162" t="s">
        <v>157</v>
      </c>
      <c r="M409" s="162" t="s">
        <v>3276</v>
      </c>
      <c r="N409" s="162" t="s">
        <v>3277</v>
      </c>
      <c r="O409" s="162" t="s">
        <v>170</v>
      </c>
      <c r="P409" s="162" t="s">
        <v>516</v>
      </c>
      <c r="Q409" s="162" t="s">
        <v>3278</v>
      </c>
      <c r="R409" s="162" t="s">
        <v>3279</v>
      </c>
      <c r="S409" s="118" t="str">
        <f>_xlfn.DISPIMG("ID_CA7F81D47ACB4FA38E0278F330AEC9F9",1)</f>
        <v>=DISPIMG("ID_CA7F81D47ACB4FA38E0278F330AEC9F9",1)</v>
      </c>
      <c r="T409" s="115" t="s">
        <v>3280</v>
      </c>
      <c r="U409" s="27">
        <v>409</v>
      </c>
    </row>
    <row r="410" s="3" customFormat="1" customHeight="1" spans="1:21">
      <c r="A410" s="144">
        <v>44363.7433564815</v>
      </c>
      <c r="B410" s="27" t="s">
        <v>3281</v>
      </c>
      <c r="C410" s="27" t="s">
        <v>3282</v>
      </c>
      <c r="D410" s="162" t="s">
        <v>3283</v>
      </c>
      <c r="E410" s="162" t="s">
        <v>165</v>
      </c>
      <c r="F410" s="162" t="s">
        <v>3284</v>
      </c>
      <c r="G410" s="27">
        <v>18970283911</v>
      </c>
      <c r="H410" s="162" t="s">
        <v>3285</v>
      </c>
      <c r="I410" s="162" t="s">
        <v>156</v>
      </c>
      <c r="J410" s="162" t="s">
        <v>14</v>
      </c>
      <c r="K410" s="27">
        <v>202102001</v>
      </c>
      <c r="L410" s="162" t="s">
        <v>157</v>
      </c>
      <c r="M410" s="162" t="s">
        <v>178</v>
      </c>
      <c r="N410" s="162" t="s">
        <v>3286</v>
      </c>
      <c r="O410" s="162" t="s">
        <v>170</v>
      </c>
      <c r="P410" s="162" t="s">
        <v>199</v>
      </c>
      <c r="Q410" s="162" t="s">
        <v>14</v>
      </c>
      <c r="R410" s="162" t="s">
        <v>3287</v>
      </c>
      <c r="S410" s="118" t="str">
        <f>_xlfn.DISPIMG("ID_CEC6054CEEDC4B7EB64CEFDE8D077DB1",1)</f>
        <v>=DISPIMG("ID_CEC6054CEEDC4B7EB64CEFDE8D077DB1",1)</v>
      </c>
      <c r="T410" s="115" t="s">
        <v>3288</v>
      </c>
      <c r="U410" s="27">
        <v>410</v>
      </c>
    </row>
    <row r="411" s="98" customFormat="1" customHeight="1" spans="1:21">
      <c r="A411" s="148">
        <v>44363.77875</v>
      </c>
      <c r="B411" s="21" t="s">
        <v>3289</v>
      </c>
      <c r="C411" s="21" t="s">
        <v>3022</v>
      </c>
      <c r="D411" s="163" t="s">
        <v>3022</v>
      </c>
      <c r="E411" s="163" t="s">
        <v>165</v>
      </c>
      <c r="F411" s="163" t="s">
        <v>3023</v>
      </c>
      <c r="G411" s="21">
        <v>15870035090</v>
      </c>
      <c r="H411" s="163" t="s">
        <v>3024</v>
      </c>
      <c r="I411" s="163" t="s">
        <v>268</v>
      </c>
      <c r="J411" s="163" t="s">
        <v>16</v>
      </c>
      <c r="K411" s="21">
        <v>202101011</v>
      </c>
      <c r="L411" s="163" t="s">
        <v>157</v>
      </c>
      <c r="M411" s="163" t="s">
        <v>233</v>
      </c>
      <c r="N411" s="163" t="s">
        <v>1088</v>
      </c>
      <c r="O411" s="163" t="s">
        <v>170</v>
      </c>
      <c r="P411" s="163" t="s">
        <v>548</v>
      </c>
      <c r="Q411" s="163" t="s">
        <v>1579</v>
      </c>
      <c r="R411" s="163" t="s">
        <v>3025</v>
      </c>
      <c r="S411" s="100" t="str">
        <f>_xlfn.DISPIMG("ID_E400268117C94B978EF7C7DD2C8C326E",1)</f>
        <v>=DISPIMG("ID_E400268117C94B978EF7C7DD2C8C326E",1)</v>
      </c>
      <c r="T411" s="99" t="s">
        <v>3026</v>
      </c>
      <c r="U411" s="27">
        <v>411</v>
      </c>
    </row>
    <row r="412" s="3" customFormat="1" customHeight="1" spans="1:21">
      <c r="A412" s="144">
        <v>44363.7800347222</v>
      </c>
      <c r="B412" s="27" t="s">
        <v>3290</v>
      </c>
      <c r="C412" s="27" t="s">
        <v>3022</v>
      </c>
      <c r="D412" s="162" t="s">
        <v>3022</v>
      </c>
      <c r="E412" s="162" t="s">
        <v>165</v>
      </c>
      <c r="F412" s="162" t="s">
        <v>3023</v>
      </c>
      <c r="G412" s="27">
        <v>15870035090</v>
      </c>
      <c r="H412" s="162" t="s">
        <v>3024</v>
      </c>
      <c r="I412" s="162" t="s">
        <v>268</v>
      </c>
      <c r="J412" s="162" t="s">
        <v>16</v>
      </c>
      <c r="K412" s="27">
        <v>202101011</v>
      </c>
      <c r="L412" s="162" t="s">
        <v>157</v>
      </c>
      <c r="M412" s="162" t="s">
        <v>233</v>
      </c>
      <c r="N412" s="162" t="s">
        <v>1088</v>
      </c>
      <c r="O412" s="162" t="s">
        <v>170</v>
      </c>
      <c r="P412" s="162" t="s">
        <v>548</v>
      </c>
      <c r="Q412" s="162" t="s">
        <v>1579</v>
      </c>
      <c r="R412" s="162" t="s">
        <v>3025</v>
      </c>
      <c r="S412" s="118" t="str">
        <f>_xlfn.DISPIMG("ID_B71153A1EE7A48CF8E15967732B6C043",1)</f>
        <v>=DISPIMG("ID_B71153A1EE7A48CF8E15967732B6C043",1)</v>
      </c>
      <c r="T412" s="115" t="s">
        <v>3026</v>
      </c>
      <c r="U412" s="27">
        <v>412</v>
      </c>
    </row>
    <row r="413" s="3" customFormat="1" customHeight="1" spans="1:21">
      <c r="A413" s="144">
        <v>44364.8818518519</v>
      </c>
      <c r="B413" s="27" t="s">
        <v>3291</v>
      </c>
      <c r="C413" s="27" t="s">
        <v>3292</v>
      </c>
      <c r="D413" s="162" t="s">
        <v>3293</v>
      </c>
      <c r="E413" s="162" t="s">
        <v>165</v>
      </c>
      <c r="F413" s="162" t="s">
        <v>3294</v>
      </c>
      <c r="G413" s="27">
        <v>18170265828</v>
      </c>
      <c r="H413" s="162" t="s">
        <v>3295</v>
      </c>
      <c r="I413" s="162" t="s">
        <v>278</v>
      </c>
      <c r="J413" s="162" t="s">
        <v>28</v>
      </c>
      <c r="K413" s="27">
        <v>202103001</v>
      </c>
      <c r="L413" s="162" t="s">
        <v>157</v>
      </c>
      <c r="M413" s="162" t="s">
        <v>233</v>
      </c>
      <c r="N413" s="162" t="s">
        <v>280</v>
      </c>
      <c r="O413" s="162" t="s">
        <v>170</v>
      </c>
      <c r="P413" s="162" t="s">
        <v>3061</v>
      </c>
      <c r="Q413" s="162" t="s">
        <v>3296</v>
      </c>
      <c r="R413" s="162" t="s">
        <v>3297</v>
      </c>
      <c r="S413" s="118" t="str">
        <f>_xlfn.DISPIMG("ID_1A8F20F988244300AFCAF70BDC1F337C",1)</f>
        <v>=DISPIMG("ID_1A8F20F988244300AFCAF70BDC1F337C",1)</v>
      </c>
      <c r="T413" s="115" t="s">
        <v>3298</v>
      </c>
      <c r="U413" s="27">
        <v>413</v>
      </c>
    </row>
    <row r="414" s="3" customFormat="1" customHeight="1" spans="1:21">
      <c r="A414" s="144">
        <v>44363.8165509259</v>
      </c>
      <c r="B414" s="27" t="s">
        <v>3299</v>
      </c>
      <c r="C414" s="27" t="s">
        <v>3300</v>
      </c>
      <c r="D414" s="162" t="s">
        <v>3301</v>
      </c>
      <c r="E414" s="162" t="s">
        <v>165</v>
      </c>
      <c r="F414" s="162" t="s">
        <v>3302</v>
      </c>
      <c r="G414" s="27">
        <v>13870479934</v>
      </c>
      <c r="H414" s="162" t="s">
        <v>3303</v>
      </c>
      <c r="I414" s="162" t="s">
        <v>156</v>
      </c>
      <c r="J414" s="162" t="s">
        <v>3</v>
      </c>
      <c r="K414" s="27">
        <v>202102009</v>
      </c>
      <c r="L414" s="162" t="s">
        <v>157</v>
      </c>
      <c r="M414" s="162" t="s">
        <v>178</v>
      </c>
      <c r="N414" s="162" t="s">
        <v>454</v>
      </c>
      <c r="O414" s="162" t="s">
        <v>170</v>
      </c>
      <c r="P414" s="162" t="s">
        <v>261</v>
      </c>
      <c r="Q414" s="162" t="s">
        <v>1425</v>
      </c>
      <c r="R414" s="27">
        <v>0</v>
      </c>
      <c r="S414" s="118" t="str">
        <f>_xlfn.DISPIMG("ID_DD8D706699DA435AABD3242B003A06E3",1)</f>
        <v>=DISPIMG("ID_DD8D706699DA435AABD3242B003A06E3",1)</v>
      </c>
      <c r="T414" s="115" t="s">
        <v>3304</v>
      </c>
      <c r="U414" s="27">
        <v>414</v>
      </c>
    </row>
    <row r="415" s="3" customFormat="1" customHeight="1" spans="1:21">
      <c r="A415" s="144">
        <v>44363.8564467593</v>
      </c>
      <c r="B415" s="27" t="s">
        <v>3305</v>
      </c>
      <c r="C415" s="27" t="s">
        <v>3306</v>
      </c>
      <c r="D415" s="162" t="s">
        <v>3307</v>
      </c>
      <c r="E415" s="162" t="s">
        <v>165</v>
      </c>
      <c r="F415" s="162" t="s">
        <v>3308</v>
      </c>
      <c r="G415" s="27">
        <v>15570243314</v>
      </c>
      <c r="H415" s="162" t="s">
        <v>2482</v>
      </c>
      <c r="I415" s="162" t="s">
        <v>278</v>
      </c>
      <c r="J415" s="162" t="s">
        <v>28</v>
      </c>
      <c r="K415" s="27">
        <v>202103001</v>
      </c>
      <c r="L415" s="162" t="s">
        <v>279</v>
      </c>
      <c r="M415" s="162" t="s">
        <v>3309</v>
      </c>
      <c r="N415" s="162" t="s">
        <v>2326</v>
      </c>
      <c r="O415" s="162" t="s">
        <v>170</v>
      </c>
      <c r="P415" s="162" t="s">
        <v>396</v>
      </c>
      <c r="Q415" s="162" t="s">
        <v>517</v>
      </c>
      <c r="R415" s="162" t="s">
        <v>3310</v>
      </c>
      <c r="S415" s="118" t="str">
        <f>_xlfn.DISPIMG("ID_354EF343CD5243F482E0D228CE19598F",1)</f>
        <v>=DISPIMG("ID_354EF343CD5243F482E0D228CE19598F",1)</v>
      </c>
      <c r="T415" s="115" t="s">
        <v>3311</v>
      </c>
      <c r="U415" s="27">
        <v>415</v>
      </c>
    </row>
    <row r="416" s="3" customFormat="1" customHeight="1" spans="1:21">
      <c r="A416" s="144">
        <v>44363.8460532407</v>
      </c>
      <c r="B416" s="27" t="s">
        <v>3312</v>
      </c>
      <c r="C416" s="27" t="s">
        <v>3313</v>
      </c>
      <c r="D416" s="162" t="s">
        <v>3314</v>
      </c>
      <c r="E416" s="162" t="s">
        <v>165</v>
      </c>
      <c r="F416" s="162" t="s">
        <v>3315</v>
      </c>
      <c r="G416" s="27">
        <v>18070403284</v>
      </c>
      <c r="H416" s="162" t="s">
        <v>3316</v>
      </c>
      <c r="I416" s="162" t="s">
        <v>156</v>
      </c>
      <c r="J416" s="162" t="s">
        <v>13</v>
      </c>
      <c r="K416" s="27">
        <v>202102003</v>
      </c>
      <c r="L416" s="162" t="s">
        <v>157</v>
      </c>
      <c r="M416" s="162" t="s">
        <v>385</v>
      </c>
      <c r="N416" s="162" t="s">
        <v>2821</v>
      </c>
      <c r="O416" s="162" t="s">
        <v>170</v>
      </c>
      <c r="P416" s="162" t="s">
        <v>281</v>
      </c>
      <c r="Q416" s="162" t="s">
        <v>25</v>
      </c>
      <c r="R416" s="162" t="s">
        <v>3317</v>
      </c>
      <c r="S416" s="118" t="str">
        <f>_xlfn.DISPIMG("ID_395A3D0BD71445EA85EA2ACA292A2801",1)</f>
        <v>=DISPIMG("ID_395A3D0BD71445EA85EA2ACA292A2801",1)</v>
      </c>
      <c r="T416" s="115" t="s">
        <v>3318</v>
      </c>
      <c r="U416" s="27">
        <v>416</v>
      </c>
    </row>
    <row r="417" s="3" customFormat="1" customHeight="1" spans="1:21">
      <c r="A417" s="144">
        <v>44363.8569097222</v>
      </c>
      <c r="B417" s="27" t="s">
        <v>3319</v>
      </c>
      <c r="C417" s="27" t="s">
        <v>3306</v>
      </c>
      <c r="D417" s="162" t="s">
        <v>3320</v>
      </c>
      <c r="E417" s="162" t="s">
        <v>165</v>
      </c>
      <c r="F417" s="162" t="s">
        <v>3321</v>
      </c>
      <c r="G417" s="27">
        <v>13979205561</v>
      </c>
      <c r="H417" s="162" t="s">
        <v>959</v>
      </c>
      <c r="I417" s="162" t="s">
        <v>278</v>
      </c>
      <c r="J417" s="162" t="s">
        <v>28</v>
      </c>
      <c r="K417" s="27">
        <v>202103001</v>
      </c>
      <c r="L417" s="162" t="s">
        <v>585</v>
      </c>
      <c r="M417" s="162" t="s">
        <v>168</v>
      </c>
      <c r="N417" s="162" t="s">
        <v>280</v>
      </c>
      <c r="O417" s="162" t="s">
        <v>170</v>
      </c>
      <c r="P417" s="162" t="s">
        <v>2047</v>
      </c>
      <c r="Q417" s="162" t="s">
        <v>340</v>
      </c>
      <c r="R417" s="162" t="s">
        <v>3322</v>
      </c>
      <c r="S417" s="118" t="str">
        <f>_xlfn.DISPIMG("ID_98A98A82D5AD4E03ADF0E8FE54980276",1)</f>
        <v>=DISPIMG("ID_98A98A82D5AD4E03ADF0E8FE54980276",1)</v>
      </c>
      <c r="T417" s="115" t="s">
        <v>3323</v>
      </c>
      <c r="U417" s="27">
        <v>417</v>
      </c>
    </row>
    <row r="418" s="4" customFormat="1" customHeight="1" spans="1:21">
      <c r="A418" s="145">
        <v>44365.4204050926</v>
      </c>
      <c r="B418" s="22" t="s">
        <v>3324</v>
      </c>
      <c r="C418" s="22" t="s">
        <v>3325</v>
      </c>
      <c r="D418" s="164" t="s">
        <v>3326</v>
      </c>
      <c r="E418" s="164" t="s">
        <v>165</v>
      </c>
      <c r="F418" s="164" t="s">
        <v>3327</v>
      </c>
      <c r="G418" s="22">
        <v>15979970756</v>
      </c>
      <c r="H418" s="164" t="s">
        <v>3328</v>
      </c>
      <c r="I418" s="164" t="s">
        <v>278</v>
      </c>
      <c r="J418" s="164" t="s">
        <v>28</v>
      </c>
      <c r="K418" s="22">
        <v>202103001</v>
      </c>
      <c r="L418" s="164" t="s">
        <v>279</v>
      </c>
      <c r="M418" s="164" t="s">
        <v>3329</v>
      </c>
      <c r="N418" s="164" t="s">
        <v>280</v>
      </c>
      <c r="O418" s="164" t="s">
        <v>170</v>
      </c>
      <c r="P418" s="164" t="s">
        <v>368</v>
      </c>
      <c r="Q418" s="164" t="s">
        <v>376</v>
      </c>
      <c r="R418" s="164" t="s">
        <v>3330</v>
      </c>
      <c r="S418" s="23" t="str">
        <f>_xlfn.DISPIMG("ID_35E61F5727C7442282FC0637F60D57FC",1)</f>
        <v>=DISPIMG("ID_35E61F5727C7442282FC0637F60D57FC",1)</v>
      </c>
      <c r="T418" s="103" t="s">
        <v>3331</v>
      </c>
      <c r="U418" s="27">
        <v>418</v>
      </c>
    </row>
    <row r="419" s="3" customFormat="1" customHeight="1" spans="1:21">
      <c r="A419" s="144">
        <v>44363.8613888889</v>
      </c>
      <c r="B419" s="27" t="s">
        <v>3332</v>
      </c>
      <c r="C419" s="27" t="s">
        <v>2681</v>
      </c>
      <c r="D419" s="162" t="s">
        <v>2682</v>
      </c>
      <c r="E419" s="162" t="s">
        <v>165</v>
      </c>
      <c r="F419" s="162" t="s">
        <v>2683</v>
      </c>
      <c r="G419" s="27">
        <v>18079206353</v>
      </c>
      <c r="H419" s="162" t="s">
        <v>2684</v>
      </c>
      <c r="I419" s="162" t="s">
        <v>278</v>
      </c>
      <c r="J419" s="162" t="s">
        <v>28</v>
      </c>
      <c r="K419" s="27">
        <v>202103001</v>
      </c>
      <c r="L419" s="162" t="s">
        <v>585</v>
      </c>
      <c r="M419" s="162" t="s">
        <v>367</v>
      </c>
      <c r="N419" s="162" t="s">
        <v>586</v>
      </c>
      <c r="O419" s="162" t="s">
        <v>170</v>
      </c>
      <c r="P419" s="162" t="s">
        <v>2685</v>
      </c>
      <c r="Q419" s="162" t="s">
        <v>2686</v>
      </c>
      <c r="R419" s="162" t="s">
        <v>2687</v>
      </c>
      <c r="S419" s="118" t="str">
        <f>_xlfn.DISPIMG("ID_5B48971EF1B54F2AA5263A5C67E87781",1)</f>
        <v>=DISPIMG("ID_5B48971EF1B54F2AA5263A5C67E87781",1)</v>
      </c>
      <c r="T419" s="115" t="s">
        <v>2688</v>
      </c>
      <c r="U419" s="27">
        <v>419</v>
      </c>
    </row>
    <row r="420" s="3" customFormat="1" customHeight="1" spans="1:21">
      <c r="A420" s="144">
        <v>44363.8641319444</v>
      </c>
      <c r="B420" s="27" t="s">
        <v>3333</v>
      </c>
      <c r="C420" s="27" t="s">
        <v>3334</v>
      </c>
      <c r="D420" s="162" t="s">
        <v>3335</v>
      </c>
      <c r="E420" s="162" t="s">
        <v>165</v>
      </c>
      <c r="F420" s="162" t="s">
        <v>3336</v>
      </c>
      <c r="G420" s="27">
        <v>15170662594</v>
      </c>
      <c r="H420" s="162" t="s">
        <v>3337</v>
      </c>
      <c r="I420" s="162" t="s">
        <v>156</v>
      </c>
      <c r="J420" s="162" t="s">
        <v>11</v>
      </c>
      <c r="K420" s="27">
        <v>202102013</v>
      </c>
      <c r="L420" s="162" t="s">
        <v>157</v>
      </c>
      <c r="M420" s="162" t="s">
        <v>3070</v>
      </c>
      <c r="N420" s="162" t="s">
        <v>1147</v>
      </c>
      <c r="O420" s="162" t="s">
        <v>170</v>
      </c>
      <c r="P420" s="162" t="s">
        <v>306</v>
      </c>
      <c r="Q420" s="162" t="s">
        <v>23</v>
      </c>
      <c r="R420" s="162" t="s">
        <v>3338</v>
      </c>
      <c r="S420" s="118" t="str">
        <f>_xlfn.DISPIMG("ID_1086188647994FC4A050F44FE33ED3AF",1)</f>
        <v>=DISPIMG("ID_1086188647994FC4A050F44FE33ED3AF",1)</v>
      </c>
      <c r="T420" s="115" t="s">
        <v>3339</v>
      </c>
      <c r="U420" s="27">
        <v>420</v>
      </c>
    </row>
    <row r="421" s="3" customFormat="1" customHeight="1" spans="1:21">
      <c r="A421" s="144">
        <v>44363.8815972222</v>
      </c>
      <c r="B421" s="27" t="s">
        <v>3340</v>
      </c>
      <c r="C421" s="27" t="s">
        <v>3341</v>
      </c>
      <c r="D421" s="162" t="s">
        <v>3342</v>
      </c>
      <c r="E421" s="162" t="s">
        <v>165</v>
      </c>
      <c r="F421" s="162" t="s">
        <v>3343</v>
      </c>
      <c r="G421" s="27">
        <v>18320666217</v>
      </c>
      <c r="H421" s="162" t="s">
        <v>3344</v>
      </c>
      <c r="I421" s="162" t="s">
        <v>278</v>
      </c>
      <c r="J421" s="162" t="s">
        <v>28</v>
      </c>
      <c r="K421" s="27">
        <v>202103001</v>
      </c>
      <c r="L421" s="162" t="s">
        <v>157</v>
      </c>
      <c r="M421" s="162" t="s">
        <v>3345</v>
      </c>
      <c r="N421" s="162" t="s">
        <v>280</v>
      </c>
      <c r="O421" s="162" t="s">
        <v>170</v>
      </c>
      <c r="P421" s="162" t="s">
        <v>235</v>
      </c>
      <c r="Q421" s="162" t="s">
        <v>3346</v>
      </c>
      <c r="R421" s="162" t="s">
        <v>3347</v>
      </c>
      <c r="S421" s="118" t="str">
        <f>_xlfn.DISPIMG("ID_E18EEBC59F6A4BD3BA9929CD3773910D",1)</f>
        <v>=DISPIMG("ID_E18EEBC59F6A4BD3BA9929CD3773910D",1)</v>
      </c>
      <c r="T421" s="115" t="s">
        <v>3348</v>
      </c>
      <c r="U421" s="27">
        <v>421</v>
      </c>
    </row>
    <row r="422" s="3" customFormat="1" customHeight="1" spans="1:21">
      <c r="A422" s="144">
        <v>44363.9216782407</v>
      </c>
      <c r="B422" s="27" t="s">
        <v>3349</v>
      </c>
      <c r="C422" s="27" t="s">
        <v>3350</v>
      </c>
      <c r="D422" s="162" t="s">
        <v>3351</v>
      </c>
      <c r="E422" s="162" t="s">
        <v>165</v>
      </c>
      <c r="F422" s="162" t="s">
        <v>3352</v>
      </c>
      <c r="G422" s="27">
        <v>18720295129</v>
      </c>
      <c r="H422" s="162" t="s">
        <v>3353</v>
      </c>
      <c r="I422" s="162" t="s">
        <v>156</v>
      </c>
      <c r="J422" s="162" t="s">
        <v>13</v>
      </c>
      <c r="K422" s="27">
        <v>202102003</v>
      </c>
      <c r="L422" s="162" t="s">
        <v>279</v>
      </c>
      <c r="M422" s="162" t="s">
        <v>158</v>
      </c>
      <c r="N422" s="162" t="s">
        <v>223</v>
      </c>
      <c r="O422" s="162" t="s">
        <v>170</v>
      </c>
      <c r="P422" s="162" t="s">
        <v>180</v>
      </c>
      <c r="Q422" s="162" t="s">
        <v>3354</v>
      </c>
      <c r="R422" s="162" t="s">
        <v>3355</v>
      </c>
      <c r="S422" s="118" t="str">
        <f>_xlfn.DISPIMG("ID_74A8F2037BB844E7BAC2F04950084CD2",1)</f>
        <v>=DISPIMG("ID_74A8F2037BB844E7BAC2F04950084CD2",1)</v>
      </c>
      <c r="T422" s="115" t="s">
        <v>3356</v>
      </c>
      <c r="U422" s="27">
        <v>422</v>
      </c>
    </row>
    <row r="423" s="3" customFormat="1" customHeight="1" spans="1:21">
      <c r="A423" s="144">
        <v>44363.9575462963</v>
      </c>
      <c r="B423" s="27" t="s">
        <v>3357</v>
      </c>
      <c r="C423" s="27" t="s">
        <v>3358</v>
      </c>
      <c r="D423" s="162" t="s">
        <v>3359</v>
      </c>
      <c r="E423" s="162" t="s">
        <v>165</v>
      </c>
      <c r="F423" s="162" t="s">
        <v>3360</v>
      </c>
      <c r="G423" s="27">
        <v>18970285935</v>
      </c>
      <c r="H423" s="162" t="s">
        <v>3361</v>
      </c>
      <c r="I423" s="162" t="s">
        <v>297</v>
      </c>
      <c r="J423" s="162" t="s">
        <v>26</v>
      </c>
      <c r="K423" s="27">
        <v>202101003</v>
      </c>
      <c r="L423" s="162" t="s">
        <v>157</v>
      </c>
      <c r="M423" s="162" t="s">
        <v>1213</v>
      </c>
      <c r="N423" s="162" t="s">
        <v>3362</v>
      </c>
      <c r="O423" s="162" t="s">
        <v>160</v>
      </c>
      <c r="P423" s="162" t="s">
        <v>224</v>
      </c>
      <c r="Q423" s="162" t="s">
        <v>26</v>
      </c>
      <c r="R423" s="27">
        <v>0</v>
      </c>
      <c r="S423" s="118" t="str">
        <f>_xlfn.DISPIMG("ID_8997E37C597A4A678DEC3DE2B773630A",1)</f>
        <v>=DISPIMG("ID_8997E37C597A4A678DEC3DE2B773630A",1)</v>
      </c>
      <c r="T423" s="115" t="s">
        <v>3363</v>
      </c>
      <c r="U423" s="27">
        <v>423</v>
      </c>
    </row>
    <row r="424" s="3" customFormat="1" customHeight="1" spans="1:21">
      <c r="A424" s="144">
        <v>44364.0051273148</v>
      </c>
      <c r="B424" s="27" t="s">
        <v>3364</v>
      </c>
      <c r="C424" s="27" t="s">
        <v>3365</v>
      </c>
      <c r="D424" s="162" t="s">
        <v>3366</v>
      </c>
      <c r="E424" s="162" t="s">
        <v>153</v>
      </c>
      <c r="F424" s="162" t="s">
        <v>3367</v>
      </c>
      <c r="G424" s="27">
        <v>13755682208</v>
      </c>
      <c r="H424" s="162" t="s">
        <v>3368</v>
      </c>
      <c r="I424" s="162" t="s">
        <v>506</v>
      </c>
      <c r="J424" s="162" t="s">
        <v>6</v>
      </c>
      <c r="K424" s="27">
        <v>202102021</v>
      </c>
      <c r="L424" s="162" t="s">
        <v>279</v>
      </c>
      <c r="M424" s="162" t="s">
        <v>178</v>
      </c>
      <c r="N424" s="162" t="s">
        <v>1138</v>
      </c>
      <c r="O424" s="162" t="s">
        <v>170</v>
      </c>
      <c r="P424" s="162" t="s">
        <v>216</v>
      </c>
      <c r="Q424" s="162" t="s">
        <v>3369</v>
      </c>
      <c r="R424" s="162" t="s">
        <v>3370</v>
      </c>
      <c r="S424" s="118" t="str">
        <f>_xlfn.DISPIMG("ID_5C988A3540504C69ADD9A8ABF15446E0",1)</f>
        <v>=DISPIMG("ID_5C988A3540504C69ADD9A8ABF15446E0",1)</v>
      </c>
      <c r="T424" s="115" t="s">
        <v>3371</v>
      </c>
      <c r="U424" s="27">
        <v>424</v>
      </c>
    </row>
    <row r="425" s="3" customFormat="1" customHeight="1" spans="1:21">
      <c r="A425" s="144">
        <v>44364.014837963</v>
      </c>
      <c r="B425" s="27" t="s">
        <v>3372</v>
      </c>
      <c r="C425" s="27" t="s">
        <v>3373</v>
      </c>
      <c r="D425" s="162" t="s">
        <v>3374</v>
      </c>
      <c r="E425" s="162" t="s">
        <v>165</v>
      </c>
      <c r="F425" s="162" t="s">
        <v>3375</v>
      </c>
      <c r="G425" s="27">
        <v>18879135233</v>
      </c>
      <c r="H425" s="162" t="s">
        <v>3376</v>
      </c>
      <c r="I425" s="162" t="s">
        <v>156</v>
      </c>
      <c r="J425" s="162" t="s">
        <v>14</v>
      </c>
      <c r="K425" s="27">
        <v>202102001</v>
      </c>
      <c r="L425" s="162" t="s">
        <v>279</v>
      </c>
      <c r="M425" s="162" t="s">
        <v>339</v>
      </c>
      <c r="N425" s="162" t="s">
        <v>1950</v>
      </c>
      <c r="O425" s="162" t="s">
        <v>170</v>
      </c>
      <c r="P425" s="162" t="s">
        <v>216</v>
      </c>
      <c r="Q425" s="162" t="s">
        <v>350</v>
      </c>
      <c r="R425" s="162" t="s">
        <v>3377</v>
      </c>
      <c r="S425" s="118" t="str">
        <f>_xlfn.DISPIMG("ID_A4F86B02E8AC4C77B083B94B4997B486",1)</f>
        <v>=DISPIMG("ID_A4F86B02E8AC4C77B083B94B4997B486",1)</v>
      </c>
      <c r="T425" s="115" t="s">
        <v>3378</v>
      </c>
      <c r="U425" s="27">
        <v>425</v>
      </c>
    </row>
    <row r="426" s="3" customFormat="1" customHeight="1" spans="1:21">
      <c r="A426" s="144">
        <v>44364.0187268518</v>
      </c>
      <c r="B426" s="27" t="s">
        <v>3379</v>
      </c>
      <c r="C426" s="27" t="s">
        <v>3380</v>
      </c>
      <c r="D426" s="162" t="s">
        <v>3381</v>
      </c>
      <c r="E426" s="162" t="s">
        <v>165</v>
      </c>
      <c r="F426" s="162" t="s">
        <v>3382</v>
      </c>
      <c r="G426" s="27">
        <v>15070017489</v>
      </c>
      <c r="H426" s="162" t="s">
        <v>3383</v>
      </c>
      <c r="I426" s="162" t="s">
        <v>156</v>
      </c>
      <c r="J426" s="162" t="s">
        <v>14</v>
      </c>
      <c r="K426" s="27">
        <v>202102001</v>
      </c>
      <c r="L426" s="162" t="s">
        <v>157</v>
      </c>
      <c r="M426" s="162" t="s">
        <v>1121</v>
      </c>
      <c r="N426" s="162" t="s">
        <v>1832</v>
      </c>
      <c r="O426" s="162" t="s">
        <v>160</v>
      </c>
      <c r="P426" s="162" t="s">
        <v>199</v>
      </c>
      <c r="Q426" s="162" t="s">
        <v>14</v>
      </c>
      <c r="R426" s="27">
        <v>0</v>
      </c>
      <c r="S426" s="118" t="str">
        <f>_xlfn.DISPIMG("ID_755EB9C887424753BE38DCDA04F5D53F",1)</f>
        <v>=DISPIMG("ID_755EB9C887424753BE38DCDA04F5D53F",1)</v>
      </c>
      <c r="T426" s="115" t="s">
        <v>3384</v>
      </c>
      <c r="U426" s="27">
        <v>426</v>
      </c>
    </row>
    <row r="427" s="3" customFormat="1" customHeight="1" spans="1:21">
      <c r="A427" s="144">
        <v>44364.2901388889</v>
      </c>
      <c r="B427" s="27" t="s">
        <v>3385</v>
      </c>
      <c r="C427" s="27" t="s">
        <v>1293</v>
      </c>
      <c r="D427" s="162" t="s">
        <v>3386</v>
      </c>
      <c r="E427" s="162" t="s">
        <v>165</v>
      </c>
      <c r="F427" s="162" t="s">
        <v>3387</v>
      </c>
      <c r="G427" s="27">
        <v>15070657835</v>
      </c>
      <c r="H427" s="162" t="s">
        <v>3388</v>
      </c>
      <c r="I427" s="162" t="s">
        <v>384</v>
      </c>
      <c r="J427" s="162" t="s">
        <v>25</v>
      </c>
      <c r="K427" s="27">
        <v>202101007</v>
      </c>
      <c r="L427" s="162" t="s">
        <v>705</v>
      </c>
      <c r="M427" s="162" t="s">
        <v>233</v>
      </c>
      <c r="N427" s="162" t="s">
        <v>3389</v>
      </c>
      <c r="O427" s="162" t="s">
        <v>160</v>
      </c>
      <c r="P427" s="162" t="s">
        <v>261</v>
      </c>
      <c r="Q427" s="162" t="s">
        <v>1506</v>
      </c>
      <c r="R427" s="27">
        <v>0</v>
      </c>
      <c r="S427" s="118" t="str">
        <f>_xlfn.DISPIMG("ID_E7900D53DC2C42DFA545534A1C33490B",1)</f>
        <v>=DISPIMG("ID_E7900D53DC2C42DFA545534A1C33490B",1)</v>
      </c>
      <c r="T427" s="115" t="s">
        <v>3390</v>
      </c>
      <c r="U427" s="27">
        <v>427</v>
      </c>
    </row>
    <row r="428" s="4" customFormat="1" customHeight="1" spans="1:21">
      <c r="A428" s="145">
        <v>44364.3271064815</v>
      </c>
      <c r="B428" s="22" t="s">
        <v>3391</v>
      </c>
      <c r="C428" s="22" t="s">
        <v>3392</v>
      </c>
      <c r="D428" s="164" t="s">
        <v>3393</v>
      </c>
      <c r="E428" s="164" t="s">
        <v>165</v>
      </c>
      <c r="F428" s="164" t="s">
        <v>3394</v>
      </c>
      <c r="G428" s="22">
        <v>13755222258</v>
      </c>
      <c r="H428" s="164" t="s">
        <v>3395</v>
      </c>
      <c r="I428" s="164" t="s">
        <v>278</v>
      </c>
      <c r="J428" s="164" t="s">
        <v>28</v>
      </c>
      <c r="K428" s="22">
        <v>202101003</v>
      </c>
      <c r="L428" s="164" t="s">
        <v>585</v>
      </c>
      <c r="M428" s="164" t="s">
        <v>3396</v>
      </c>
      <c r="N428" s="164" t="s">
        <v>586</v>
      </c>
      <c r="O428" s="164" t="s">
        <v>170</v>
      </c>
      <c r="P428" s="164" t="s">
        <v>3397</v>
      </c>
      <c r="Q428" s="164" t="s">
        <v>3398</v>
      </c>
      <c r="R428" s="164" t="s">
        <v>3399</v>
      </c>
      <c r="S428" s="23" t="str">
        <f>_xlfn.DISPIMG("ID_7B9E4020F2C94CC099858598DA5339A8",1)</f>
        <v>=DISPIMG("ID_7B9E4020F2C94CC099858598DA5339A8",1)</v>
      </c>
      <c r="T428" s="103" t="s">
        <v>3400</v>
      </c>
      <c r="U428" s="27">
        <v>428</v>
      </c>
    </row>
    <row r="429" s="4" customFormat="1" customHeight="1" spans="1:21">
      <c r="A429" s="145">
        <v>44364.3401736111</v>
      </c>
      <c r="B429" s="22" t="s">
        <v>3401</v>
      </c>
      <c r="C429" s="22" t="s">
        <v>3402</v>
      </c>
      <c r="D429" s="164" t="s">
        <v>3403</v>
      </c>
      <c r="E429" s="164" t="s">
        <v>165</v>
      </c>
      <c r="F429" s="164" t="s">
        <v>3404</v>
      </c>
      <c r="G429" s="22">
        <v>18000721221</v>
      </c>
      <c r="H429" s="164" t="s">
        <v>959</v>
      </c>
      <c r="I429" s="164" t="s">
        <v>278</v>
      </c>
      <c r="J429" s="164" t="s">
        <v>28</v>
      </c>
      <c r="K429" s="22">
        <v>202103001</v>
      </c>
      <c r="L429" s="164" t="s">
        <v>279</v>
      </c>
      <c r="M429" s="164" t="s">
        <v>168</v>
      </c>
      <c r="N429" s="164" t="s">
        <v>280</v>
      </c>
      <c r="O429" s="164" t="s">
        <v>170</v>
      </c>
      <c r="P429" s="164" t="s">
        <v>516</v>
      </c>
      <c r="Q429" s="164" t="s">
        <v>280</v>
      </c>
      <c r="R429" s="164" t="s">
        <v>3405</v>
      </c>
      <c r="S429" s="23" t="str">
        <f>_xlfn.DISPIMG("ID_7EFAC0679406489199323C08AE652767",1)</f>
        <v>=DISPIMG("ID_7EFAC0679406489199323C08AE652767",1)</v>
      </c>
      <c r="T429" s="103" t="s">
        <v>3406</v>
      </c>
      <c r="U429" s="27">
        <v>429</v>
      </c>
    </row>
    <row r="430" s="3" customFormat="1" customHeight="1" spans="1:21">
      <c r="A430" s="144">
        <v>44364.3634375</v>
      </c>
      <c r="B430" s="27" t="s">
        <v>3407</v>
      </c>
      <c r="C430" s="27" t="s">
        <v>3408</v>
      </c>
      <c r="D430" s="162" t="s">
        <v>3409</v>
      </c>
      <c r="E430" s="162" t="s">
        <v>165</v>
      </c>
      <c r="F430" s="162" t="s">
        <v>3410</v>
      </c>
      <c r="G430" s="27">
        <v>15079270221</v>
      </c>
      <c r="H430" s="162" t="s">
        <v>3411</v>
      </c>
      <c r="I430" s="162" t="s">
        <v>156</v>
      </c>
      <c r="J430" s="162" t="s">
        <v>13</v>
      </c>
      <c r="K430" s="27">
        <v>202102003</v>
      </c>
      <c r="L430" s="162" t="s">
        <v>157</v>
      </c>
      <c r="M430" s="162" t="s">
        <v>158</v>
      </c>
      <c r="N430" s="162" t="s">
        <v>298</v>
      </c>
      <c r="O430" s="162" t="s">
        <v>160</v>
      </c>
      <c r="P430" s="162" t="s">
        <v>306</v>
      </c>
      <c r="Q430" s="162" t="s">
        <v>13</v>
      </c>
      <c r="R430" s="162" t="s">
        <v>3412</v>
      </c>
      <c r="S430" s="118" t="str">
        <f>_xlfn.DISPIMG("ID_36F8A707A81B40EC83CC116E77C5C07D",1)</f>
        <v>=DISPIMG("ID_36F8A707A81B40EC83CC116E77C5C07D",1)</v>
      </c>
      <c r="T430" s="115" t="s">
        <v>3413</v>
      </c>
      <c r="U430" s="27">
        <v>430</v>
      </c>
    </row>
    <row r="431" s="3" customFormat="1" customHeight="1" spans="1:21">
      <c r="A431" s="144">
        <v>44364.3653935185</v>
      </c>
      <c r="B431" s="27" t="s">
        <v>3414</v>
      </c>
      <c r="C431" s="27" t="s">
        <v>3415</v>
      </c>
      <c r="D431" s="162" t="s">
        <v>3416</v>
      </c>
      <c r="E431" s="162" t="s">
        <v>165</v>
      </c>
      <c r="F431" s="162" t="s">
        <v>3417</v>
      </c>
      <c r="G431" s="27">
        <v>15179885806</v>
      </c>
      <c r="H431" s="162" t="s">
        <v>3316</v>
      </c>
      <c r="I431" s="162" t="s">
        <v>156</v>
      </c>
      <c r="J431" s="162" t="s">
        <v>8</v>
      </c>
      <c r="K431" s="27">
        <v>202102002</v>
      </c>
      <c r="L431" s="162" t="s">
        <v>157</v>
      </c>
      <c r="M431" s="162" t="s">
        <v>242</v>
      </c>
      <c r="N431" s="162" t="s">
        <v>3087</v>
      </c>
      <c r="O431" s="162" t="s">
        <v>160</v>
      </c>
      <c r="P431" s="162" t="s">
        <v>180</v>
      </c>
      <c r="Q431" s="162" t="s">
        <v>3418</v>
      </c>
      <c r="R431" s="162" t="s">
        <v>3419</v>
      </c>
      <c r="S431" s="118" t="str">
        <f>_xlfn.DISPIMG("ID_7663A71771F44500AC5AF2DBC8366CB5",1)</f>
        <v>=DISPIMG("ID_7663A71771F44500AC5AF2DBC8366CB5",1)</v>
      </c>
      <c r="T431" s="115" t="s">
        <v>3420</v>
      </c>
      <c r="U431" s="27">
        <v>431</v>
      </c>
    </row>
    <row r="432" s="3" customFormat="1" customHeight="1" spans="1:21">
      <c r="A432" s="144">
        <v>44364.3668287037</v>
      </c>
      <c r="B432" s="27" t="s">
        <v>3421</v>
      </c>
      <c r="C432" s="27" t="s">
        <v>3422</v>
      </c>
      <c r="D432" s="162" t="s">
        <v>3423</v>
      </c>
      <c r="E432" s="162" t="s">
        <v>165</v>
      </c>
      <c r="F432" s="162" t="s">
        <v>3424</v>
      </c>
      <c r="G432" s="27">
        <v>18720214779</v>
      </c>
      <c r="H432" s="162" t="s">
        <v>2228</v>
      </c>
      <c r="I432" s="162" t="s">
        <v>156</v>
      </c>
      <c r="J432" s="162" t="s">
        <v>6</v>
      </c>
      <c r="K432" s="27">
        <v>202102012</v>
      </c>
      <c r="L432" s="162" t="s">
        <v>157</v>
      </c>
      <c r="M432" s="162" t="s">
        <v>1424</v>
      </c>
      <c r="N432" s="162" t="s">
        <v>404</v>
      </c>
      <c r="O432" s="162" t="s">
        <v>160</v>
      </c>
      <c r="P432" s="162" t="s">
        <v>171</v>
      </c>
      <c r="Q432" s="162" t="s">
        <v>18</v>
      </c>
      <c r="R432" s="162" t="s">
        <v>3425</v>
      </c>
      <c r="S432" s="118" t="str">
        <f>_xlfn.DISPIMG("ID_F35EB404C32C41B8B6B9DFFF6A73D9A8",1)</f>
        <v>=DISPIMG("ID_F35EB404C32C41B8B6B9DFFF6A73D9A8",1)</v>
      </c>
      <c r="T432" s="115" t="s">
        <v>3426</v>
      </c>
      <c r="U432" s="27">
        <v>432</v>
      </c>
    </row>
    <row r="433" s="3" customFormat="1" customHeight="1" spans="1:21">
      <c r="A433" s="144">
        <v>44364.3683564815</v>
      </c>
      <c r="B433" s="27" t="s">
        <v>3427</v>
      </c>
      <c r="C433" s="27" t="s">
        <v>3428</v>
      </c>
      <c r="D433" s="162" t="s">
        <v>3429</v>
      </c>
      <c r="E433" s="162" t="s">
        <v>165</v>
      </c>
      <c r="F433" s="162" t="s">
        <v>3430</v>
      </c>
      <c r="G433" s="27">
        <v>18279285118</v>
      </c>
      <c r="H433" s="162" t="s">
        <v>3010</v>
      </c>
      <c r="I433" s="162" t="s">
        <v>278</v>
      </c>
      <c r="J433" s="162" t="s">
        <v>28</v>
      </c>
      <c r="K433" s="27">
        <v>202103001</v>
      </c>
      <c r="L433" s="162" t="s">
        <v>585</v>
      </c>
      <c r="M433" s="162" t="s">
        <v>3018</v>
      </c>
      <c r="N433" s="162" t="s">
        <v>586</v>
      </c>
      <c r="O433" s="162" t="s">
        <v>170</v>
      </c>
      <c r="P433" s="162" t="s">
        <v>3431</v>
      </c>
      <c r="Q433" s="162" t="s">
        <v>586</v>
      </c>
      <c r="R433" s="162" t="s">
        <v>3432</v>
      </c>
      <c r="S433" s="118" t="str">
        <f>_xlfn.DISPIMG("ID_E1216B8DC47A44DFAB6AC1BAFDBCD62B",1)</f>
        <v>=DISPIMG("ID_E1216B8DC47A44DFAB6AC1BAFDBCD62B",1)</v>
      </c>
      <c r="T433" s="115" t="s">
        <v>3433</v>
      </c>
      <c r="U433" s="27">
        <v>433</v>
      </c>
    </row>
    <row r="434" s="3" customFormat="1" customHeight="1" spans="1:21">
      <c r="A434" s="144">
        <v>44364.394537037</v>
      </c>
      <c r="B434" s="27" t="s">
        <v>3434</v>
      </c>
      <c r="C434" s="27" t="s">
        <v>3435</v>
      </c>
      <c r="D434" s="162" t="s">
        <v>3436</v>
      </c>
      <c r="E434" s="162" t="s">
        <v>165</v>
      </c>
      <c r="F434" s="162" t="s">
        <v>3437</v>
      </c>
      <c r="G434" s="27">
        <v>15396816962</v>
      </c>
      <c r="H434" s="162" t="s">
        <v>3438</v>
      </c>
      <c r="I434" s="162" t="s">
        <v>156</v>
      </c>
      <c r="J434" s="162" t="s">
        <v>14</v>
      </c>
      <c r="K434" s="27">
        <v>202102001</v>
      </c>
      <c r="L434" s="162" t="s">
        <v>279</v>
      </c>
      <c r="M434" s="162" t="s">
        <v>367</v>
      </c>
      <c r="N434" s="162" t="s">
        <v>348</v>
      </c>
      <c r="O434" s="162" t="s">
        <v>170</v>
      </c>
      <c r="P434" s="162" t="s">
        <v>180</v>
      </c>
      <c r="Q434" s="162" t="s">
        <v>638</v>
      </c>
      <c r="R434" s="162" t="s">
        <v>3439</v>
      </c>
      <c r="S434" s="118" t="str">
        <f>_xlfn.DISPIMG("ID_82244367FBEE45C5B0219468F4CFBAF4",1)</f>
        <v>=DISPIMG("ID_82244367FBEE45C5B0219468F4CFBAF4",1)</v>
      </c>
      <c r="T434" s="115" t="s">
        <v>3440</v>
      </c>
      <c r="U434" s="27">
        <v>434</v>
      </c>
    </row>
    <row r="435" s="3" customFormat="1" customHeight="1" spans="1:21">
      <c r="A435" s="144">
        <v>44364.402349537</v>
      </c>
      <c r="B435" s="27" t="s">
        <v>3441</v>
      </c>
      <c r="C435" s="27" t="s">
        <v>3442</v>
      </c>
      <c r="D435" s="162" t="s">
        <v>3443</v>
      </c>
      <c r="E435" s="162" t="s">
        <v>165</v>
      </c>
      <c r="F435" s="162" t="s">
        <v>3444</v>
      </c>
      <c r="G435" s="27">
        <v>18607912074</v>
      </c>
      <c r="H435" s="162" t="s">
        <v>3445</v>
      </c>
      <c r="I435" s="162" t="s">
        <v>278</v>
      </c>
      <c r="J435" s="162" t="s">
        <v>28</v>
      </c>
      <c r="K435" s="27">
        <v>202103001</v>
      </c>
      <c r="L435" s="162" t="s">
        <v>279</v>
      </c>
      <c r="M435" s="162" t="s">
        <v>515</v>
      </c>
      <c r="N435" s="162" t="s">
        <v>280</v>
      </c>
      <c r="O435" s="162" t="s">
        <v>170</v>
      </c>
      <c r="P435" s="162" t="s">
        <v>224</v>
      </c>
      <c r="Q435" s="162" t="s">
        <v>517</v>
      </c>
      <c r="R435" s="162" t="s">
        <v>3446</v>
      </c>
      <c r="S435" s="118" t="str">
        <f>_xlfn.DISPIMG("ID_BD52B8A2C60C41F6B5F6C165401F5CB1",1)</f>
        <v>=DISPIMG("ID_BD52B8A2C60C41F6B5F6C165401F5CB1",1)</v>
      </c>
      <c r="T435" s="115" t="s">
        <v>3447</v>
      </c>
      <c r="U435" s="27">
        <v>435</v>
      </c>
    </row>
    <row r="436" s="3" customFormat="1" customHeight="1" spans="1:21">
      <c r="A436" s="144">
        <v>44364.4057060185</v>
      </c>
      <c r="B436" s="27" t="s">
        <v>3448</v>
      </c>
      <c r="C436" s="27" t="s">
        <v>3449</v>
      </c>
      <c r="D436" s="162" t="s">
        <v>3450</v>
      </c>
      <c r="E436" s="162" t="s">
        <v>165</v>
      </c>
      <c r="F436" s="162" t="s">
        <v>3451</v>
      </c>
      <c r="G436" s="27">
        <v>13122970585</v>
      </c>
      <c r="H436" s="162" t="s">
        <v>3452</v>
      </c>
      <c r="I436" s="162" t="s">
        <v>156</v>
      </c>
      <c r="J436" s="162" t="s">
        <v>6</v>
      </c>
      <c r="K436" s="27">
        <v>202102012</v>
      </c>
      <c r="L436" s="162" t="s">
        <v>157</v>
      </c>
      <c r="M436" s="162" t="s">
        <v>3453</v>
      </c>
      <c r="N436" s="162" t="s">
        <v>323</v>
      </c>
      <c r="O436" s="162" t="s">
        <v>170</v>
      </c>
      <c r="P436" s="162" t="s">
        <v>396</v>
      </c>
      <c r="Q436" s="162" t="s">
        <v>2244</v>
      </c>
      <c r="R436" s="162" t="s">
        <v>3454</v>
      </c>
      <c r="S436" s="118" t="str">
        <f>_xlfn.DISPIMG("ID_75AF34168E0448D4A462EFA2E90CB632",1)</f>
        <v>=DISPIMG("ID_75AF34168E0448D4A462EFA2E90CB632",1)</v>
      </c>
      <c r="T436" s="115" t="s">
        <v>3455</v>
      </c>
      <c r="U436" s="27">
        <v>436</v>
      </c>
    </row>
    <row r="437" s="3" customFormat="1" customHeight="1" spans="1:21">
      <c r="A437" s="144">
        <v>44364.4123842593</v>
      </c>
      <c r="B437" s="27" t="s">
        <v>3456</v>
      </c>
      <c r="C437" s="27" t="s">
        <v>3457</v>
      </c>
      <c r="D437" s="162" t="s">
        <v>3458</v>
      </c>
      <c r="E437" s="162" t="s">
        <v>165</v>
      </c>
      <c r="F437" s="162" t="s">
        <v>3459</v>
      </c>
      <c r="G437" s="27">
        <v>18207577354</v>
      </c>
      <c r="H437" s="162" t="s">
        <v>3460</v>
      </c>
      <c r="I437" s="162" t="s">
        <v>156</v>
      </c>
      <c r="J437" s="162" t="s">
        <v>13</v>
      </c>
      <c r="K437" s="27">
        <v>202102003</v>
      </c>
      <c r="L437" s="162" t="s">
        <v>157</v>
      </c>
      <c r="M437" s="162" t="s">
        <v>385</v>
      </c>
      <c r="N437" s="162" t="s">
        <v>3461</v>
      </c>
      <c r="O437" s="162" t="s">
        <v>160</v>
      </c>
      <c r="P437" s="162" t="s">
        <v>368</v>
      </c>
      <c r="Q437" s="162" t="s">
        <v>3011</v>
      </c>
      <c r="R437" s="162" t="s">
        <v>3462</v>
      </c>
      <c r="S437" s="118" t="str">
        <f>_xlfn.DISPIMG("ID_D2C4D691F93F4717949BB5BBCD3994DD",1)</f>
        <v>=DISPIMG("ID_D2C4D691F93F4717949BB5BBCD3994DD",1)</v>
      </c>
      <c r="T437" s="115" t="s">
        <v>3463</v>
      </c>
      <c r="U437" s="27">
        <v>437</v>
      </c>
    </row>
    <row r="438" s="3" customFormat="1" customHeight="1" spans="1:21">
      <c r="A438" s="144">
        <v>44364.4175115741</v>
      </c>
      <c r="B438" s="27" t="s">
        <v>3464</v>
      </c>
      <c r="C438" s="27" t="s">
        <v>3465</v>
      </c>
      <c r="D438" s="162" t="s">
        <v>3466</v>
      </c>
      <c r="E438" s="162" t="s">
        <v>165</v>
      </c>
      <c r="F438" s="162" t="s">
        <v>3467</v>
      </c>
      <c r="G438" s="27">
        <v>15879126790</v>
      </c>
      <c r="H438" s="162" t="s">
        <v>3468</v>
      </c>
      <c r="I438" s="162" t="s">
        <v>156</v>
      </c>
      <c r="J438" s="162" t="s">
        <v>6</v>
      </c>
      <c r="K438" s="27">
        <v>202102012</v>
      </c>
      <c r="L438" s="162" t="s">
        <v>157</v>
      </c>
      <c r="M438" s="162" t="s">
        <v>901</v>
      </c>
      <c r="N438" s="162" t="s">
        <v>188</v>
      </c>
      <c r="O438" s="162" t="s">
        <v>160</v>
      </c>
      <c r="P438" s="162" t="s">
        <v>281</v>
      </c>
      <c r="Q438" s="162" t="s">
        <v>1579</v>
      </c>
      <c r="R438" s="162" t="s">
        <v>3469</v>
      </c>
      <c r="S438" s="118" t="str">
        <f>_xlfn.DISPIMG("ID_F4E1B2AC46944606B0ACE14F8CC9918C",1)</f>
        <v>=DISPIMG("ID_F4E1B2AC46944606B0ACE14F8CC9918C",1)</v>
      </c>
      <c r="T438" s="115" t="s">
        <v>3470</v>
      </c>
      <c r="U438" s="27">
        <v>438</v>
      </c>
    </row>
    <row r="439" s="3" customFormat="1" customHeight="1" spans="1:21">
      <c r="A439" s="144">
        <v>44364.4698263889</v>
      </c>
      <c r="B439" s="27" t="s">
        <v>3471</v>
      </c>
      <c r="C439" s="27" t="s">
        <v>3472</v>
      </c>
      <c r="D439" s="162" t="s">
        <v>3473</v>
      </c>
      <c r="E439" s="162" t="s">
        <v>165</v>
      </c>
      <c r="F439" s="162" t="s">
        <v>3474</v>
      </c>
      <c r="G439" s="27">
        <v>16605630524</v>
      </c>
      <c r="H439" s="162" t="s">
        <v>3475</v>
      </c>
      <c r="I439" s="162" t="s">
        <v>384</v>
      </c>
      <c r="J439" s="162" t="s">
        <v>20</v>
      </c>
      <c r="K439" s="27">
        <v>202101005</v>
      </c>
      <c r="L439" s="162" t="s">
        <v>705</v>
      </c>
      <c r="M439" s="162" t="s">
        <v>1112</v>
      </c>
      <c r="N439" s="162" t="s">
        <v>3476</v>
      </c>
      <c r="O439" s="162" t="s">
        <v>160</v>
      </c>
      <c r="P439" s="162" t="s">
        <v>455</v>
      </c>
      <c r="Q439" s="162" t="s">
        <v>3477</v>
      </c>
      <c r="R439" s="27">
        <v>0</v>
      </c>
      <c r="S439" s="118" t="str">
        <f>_xlfn.DISPIMG("ID_BFF35F7767BD4AFE8B2C782755AFDE14",1)</f>
        <v>=DISPIMG("ID_BFF35F7767BD4AFE8B2C782755AFDE14",1)</v>
      </c>
      <c r="T439" s="115" t="s">
        <v>3478</v>
      </c>
      <c r="U439" s="27">
        <v>439</v>
      </c>
    </row>
    <row r="440" s="3" customFormat="1" customHeight="1" spans="1:21">
      <c r="A440" s="144">
        <v>44364.4783680556</v>
      </c>
      <c r="B440" s="27" t="s">
        <v>3479</v>
      </c>
      <c r="C440" s="147" t="s">
        <v>3480</v>
      </c>
      <c r="D440" s="162" t="s">
        <v>3481</v>
      </c>
      <c r="E440" s="162" t="s">
        <v>153</v>
      </c>
      <c r="F440" s="162" t="s">
        <v>3482</v>
      </c>
      <c r="G440" s="27">
        <v>13119548929</v>
      </c>
      <c r="H440" s="162" t="s">
        <v>3483</v>
      </c>
      <c r="I440" s="162" t="s">
        <v>506</v>
      </c>
      <c r="J440" s="162" t="s">
        <v>13</v>
      </c>
      <c r="K440" s="27">
        <v>202102016</v>
      </c>
      <c r="L440" s="162" t="s">
        <v>157</v>
      </c>
      <c r="M440" s="162" t="s">
        <v>1112</v>
      </c>
      <c r="N440" s="162" t="s">
        <v>3484</v>
      </c>
      <c r="O440" s="162" t="s">
        <v>160</v>
      </c>
      <c r="P440" s="162" t="s">
        <v>216</v>
      </c>
      <c r="Q440" s="162" t="s">
        <v>2284</v>
      </c>
      <c r="R440" s="162" t="s">
        <v>3485</v>
      </c>
      <c r="S440" s="118" t="str">
        <f>_xlfn.DISPIMG("ID_9C9702A9D71D49F4A0D4283BE0B57A8D",1)</f>
        <v>=DISPIMG("ID_9C9702A9D71D49F4A0D4283BE0B57A8D",1)</v>
      </c>
      <c r="T440" s="115" t="s">
        <v>3486</v>
      </c>
      <c r="U440" s="27">
        <v>440</v>
      </c>
    </row>
    <row r="441" s="3" customFormat="1" customHeight="1" spans="1:21">
      <c r="A441" s="144">
        <v>44364.5069560185</v>
      </c>
      <c r="B441" s="27" t="s">
        <v>3487</v>
      </c>
      <c r="C441" s="147" t="s">
        <v>2225</v>
      </c>
      <c r="D441" s="162" t="s">
        <v>3488</v>
      </c>
      <c r="E441" s="162" t="s">
        <v>165</v>
      </c>
      <c r="F441" s="162" t="s">
        <v>3489</v>
      </c>
      <c r="G441" s="27">
        <v>13755200519</v>
      </c>
      <c r="H441" s="162" t="s">
        <v>2228</v>
      </c>
      <c r="I441" s="162" t="s">
        <v>278</v>
      </c>
      <c r="J441" s="162" t="s">
        <v>28</v>
      </c>
      <c r="K441" s="27">
        <v>202103001</v>
      </c>
      <c r="L441" s="162" t="s">
        <v>279</v>
      </c>
      <c r="M441" s="162" t="s">
        <v>3490</v>
      </c>
      <c r="N441" s="162" t="s">
        <v>404</v>
      </c>
      <c r="O441" s="162" t="s">
        <v>160</v>
      </c>
      <c r="P441" s="162" t="s">
        <v>1346</v>
      </c>
      <c r="Q441" s="162" t="s">
        <v>517</v>
      </c>
      <c r="R441" s="162" t="s">
        <v>3491</v>
      </c>
      <c r="S441" s="118" t="str">
        <f>_xlfn.DISPIMG("ID_6A8C51914B494C9CBD5F245F39A2E519",1)</f>
        <v>=DISPIMG("ID_6A8C51914B494C9CBD5F245F39A2E519",1)</v>
      </c>
      <c r="T441" s="115" t="s">
        <v>3492</v>
      </c>
      <c r="U441" s="27">
        <v>441</v>
      </c>
    </row>
    <row r="442" s="3" customFormat="1" customHeight="1" spans="1:21">
      <c r="A442" s="144">
        <v>44364.5173842593</v>
      </c>
      <c r="B442" s="27" t="s">
        <v>3493</v>
      </c>
      <c r="C442" s="147" t="s">
        <v>3494</v>
      </c>
      <c r="D442" s="162" t="s">
        <v>3494</v>
      </c>
      <c r="E442" s="162" t="s">
        <v>165</v>
      </c>
      <c r="F442" s="162" t="s">
        <v>3495</v>
      </c>
      <c r="G442" s="27">
        <v>18000225971</v>
      </c>
      <c r="H442" s="162" t="s">
        <v>3445</v>
      </c>
      <c r="I442" s="162" t="s">
        <v>156</v>
      </c>
      <c r="J442" s="162" t="s">
        <v>14</v>
      </c>
      <c r="K442" s="27">
        <v>202102001</v>
      </c>
      <c r="L442" s="162" t="s">
        <v>157</v>
      </c>
      <c r="M442" s="162" t="s">
        <v>158</v>
      </c>
      <c r="N442" s="162" t="s">
        <v>348</v>
      </c>
      <c r="O442" s="162" t="s">
        <v>170</v>
      </c>
      <c r="P442" s="162" t="s">
        <v>349</v>
      </c>
      <c r="Q442" s="162" t="s">
        <v>689</v>
      </c>
      <c r="R442" s="162" t="s">
        <v>3496</v>
      </c>
      <c r="S442" s="118" t="str">
        <f>_xlfn.DISPIMG("ID_92399A40D7B44F3B89AA85711A99D812",1)</f>
        <v>=DISPIMG("ID_92399A40D7B44F3B89AA85711A99D812",1)</v>
      </c>
      <c r="T442" s="115" t="s">
        <v>3497</v>
      </c>
      <c r="U442" s="27">
        <v>442</v>
      </c>
    </row>
    <row r="443" s="4" customFormat="1" customHeight="1" spans="1:21">
      <c r="A443" s="145">
        <v>44364.5288773148</v>
      </c>
      <c r="B443" s="22" t="s">
        <v>3498</v>
      </c>
      <c r="C443" s="22" t="s">
        <v>3499</v>
      </c>
      <c r="D443" s="164" t="s">
        <v>3500</v>
      </c>
      <c r="E443" s="164" t="s">
        <v>165</v>
      </c>
      <c r="F443" s="164" t="s">
        <v>3501</v>
      </c>
      <c r="G443" s="22">
        <v>15070192175</v>
      </c>
      <c r="H443" s="164" t="s">
        <v>3502</v>
      </c>
      <c r="I443" s="164" t="s">
        <v>156</v>
      </c>
      <c r="J443" s="164" t="s">
        <v>14</v>
      </c>
      <c r="K443" s="22">
        <v>202102001</v>
      </c>
      <c r="L443" s="164" t="s">
        <v>279</v>
      </c>
      <c r="M443" s="164" t="s">
        <v>1545</v>
      </c>
      <c r="N443" s="164" t="s">
        <v>348</v>
      </c>
      <c r="O443" s="164" t="s">
        <v>170</v>
      </c>
      <c r="P443" s="164" t="s">
        <v>577</v>
      </c>
      <c r="Q443" s="164" t="s">
        <v>638</v>
      </c>
      <c r="R443" s="164" t="s">
        <v>3503</v>
      </c>
      <c r="S443" s="23" t="str">
        <f>_xlfn.DISPIMG("ID_582DA32893494A1CB2F261C9DF30C5FF",1)</f>
        <v>=DISPIMG("ID_582DA32893494A1CB2F261C9DF30C5FF",1)</v>
      </c>
      <c r="T443" s="103" t="s">
        <v>3504</v>
      </c>
      <c r="U443" s="27">
        <v>443</v>
      </c>
    </row>
    <row r="444" s="98" customFormat="1" customHeight="1" spans="1:21">
      <c r="A444" s="148">
        <v>44364.5402777778</v>
      </c>
      <c r="B444" s="21" t="s">
        <v>3505</v>
      </c>
      <c r="C444" s="21" t="s">
        <v>3506</v>
      </c>
      <c r="D444" s="163" t="s">
        <v>3507</v>
      </c>
      <c r="E444" s="163" t="s">
        <v>165</v>
      </c>
      <c r="F444" s="163" t="s">
        <v>3508</v>
      </c>
      <c r="G444" s="21">
        <v>15179282402</v>
      </c>
      <c r="H444" s="163" t="s">
        <v>3509</v>
      </c>
      <c r="I444" s="163" t="s">
        <v>384</v>
      </c>
      <c r="J444" s="163" t="s">
        <v>16</v>
      </c>
      <c r="K444" s="21">
        <v>202101002</v>
      </c>
      <c r="L444" s="163" t="s">
        <v>157</v>
      </c>
      <c r="M444" s="163" t="s">
        <v>158</v>
      </c>
      <c r="N444" s="163" t="s">
        <v>2742</v>
      </c>
      <c r="O444" s="163" t="s">
        <v>160</v>
      </c>
      <c r="P444" s="163" t="s">
        <v>281</v>
      </c>
      <c r="Q444" s="163" t="s">
        <v>3510</v>
      </c>
      <c r="R444" s="21">
        <v>0</v>
      </c>
      <c r="S444" s="100" t="str">
        <f>_xlfn.DISPIMG("ID_C27F6D3FCFCA466FA5407A989BCF50C5",1)</f>
        <v>=DISPIMG("ID_C27F6D3FCFCA466FA5407A989BCF50C5",1)</v>
      </c>
      <c r="T444" s="99" t="s">
        <v>3511</v>
      </c>
      <c r="U444" s="27">
        <v>444</v>
      </c>
    </row>
    <row r="445" s="3" customFormat="1" customHeight="1" spans="1:21">
      <c r="A445" s="144">
        <v>44364.5439814815</v>
      </c>
      <c r="B445" s="27" t="s">
        <v>3512</v>
      </c>
      <c r="C445" s="27" t="s">
        <v>3506</v>
      </c>
      <c r="D445" s="162" t="s">
        <v>3507</v>
      </c>
      <c r="E445" s="162" t="s">
        <v>165</v>
      </c>
      <c r="F445" s="162" t="s">
        <v>3508</v>
      </c>
      <c r="G445" s="27">
        <v>15179282402</v>
      </c>
      <c r="H445" s="162" t="s">
        <v>3509</v>
      </c>
      <c r="I445" s="162" t="s">
        <v>384</v>
      </c>
      <c r="J445" s="162" t="s">
        <v>16</v>
      </c>
      <c r="K445" s="27">
        <v>202101012</v>
      </c>
      <c r="L445" s="162" t="s">
        <v>157</v>
      </c>
      <c r="M445" s="162" t="s">
        <v>158</v>
      </c>
      <c r="N445" s="162" t="s">
        <v>2742</v>
      </c>
      <c r="O445" s="162" t="s">
        <v>160</v>
      </c>
      <c r="P445" s="162" t="s">
        <v>281</v>
      </c>
      <c r="Q445" s="162" t="s">
        <v>3510</v>
      </c>
      <c r="R445" s="27">
        <v>0</v>
      </c>
      <c r="S445" s="118" t="str">
        <f>_xlfn.DISPIMG("ID_F203C9D79BED4D608F3184BA9064F545",1)</f>
        <v>=DISPIMG("ID_F203C9D79BED4D608F3184BA9064F545",1)</v>
      </c>
      <c r="T445" s="115" t="s">
        <v>3511</v>
      </c>
      <c r="U445" s="27">
        <v>445</v>
      </c>
    </row>
    <row r="446" s="4" customFormat="1" customHeight="1" spans="1:21">
      <c r="A446" s="145">
        <v>44364.5600810185</v>
      </c>
      <c r="B446" s="22" t="s">
        <v>3513</v>
      </c>
      <c r="C446" s="22" t="s">
        <v>3514</v>
      </c>
      <c r="D446" s="164" t="s">
        <v>3515</v>
      </c>
      <c r="E446" s="164" t="s">
        <v>153</v>
      </c>
      <c r="F446" s="164" t="s">
        <v>3516</v>
      </c>
      <c r="G446" s="22">
        <v>17770840211</v>
      </c>
      <c r="H446" s="164" t="s">
        <v>3517</v>
      </c>
      <c r="I446" s="164" t="s">
        <v>384</v>
      </c>
      <c r="J446" s="164" t="s">
        <v>9</v>
      </c>
      <c r="K446" s="22">
        <v>202101001</v>
      </c>
      <c r="L446" s="164" t="s">
        <v>157</v>
      </c>
      <c r="M446" s="164" t="s">
        <v>3518</v>
      </c>
      <c r="N446" s="164" t="s">
        <v>472</v>
      </c>
      <c r="O446" s="164" t="s">
        <v>160</v>
      </c>
      <c r="P446" s="164" t="s">
        <v>455</v>
      </c>
      <c r="Q446" s="164" t="s">
        <v>3519</v>
      </c>
      <c r="R446" s="22">
        <v>202101023</v>
      </c>
      <c r="S446" s="23" t="str">
        <f>_xlfn.DISPIMG("ID_C58F0E7AF40D45868F2F2F76C4EDE485",1)</f>
        <v>=DISPIMG("ID_C58F0E7AF40D45868F2F2F76C4EDE485",1)</v>
      </c>
      <c r="T446" s="103" t="s">
        <v>3520</v>
      </c>
      <c r="U446" s="27">
        <v>446</v>
      </c>
    </row>
    <row r="447" s="98" customFormat="1" customHeight="1" spans="1:21">
      <c r="A447" s="148">
        <v>44364.5618865741</v>
      </c>
      <c r="B447" s="21" t="s">
        <v>3521</v>
      </c>
      <c r="C447" s="21" t="s">
        <v>3522</v>
      </c>
      <c r="D447" s="163" t="s">
        <v>3523</v>
      </c>
      <c r="E447" s="163" t="s">
        <v>153</v>
      </c>
      <c r="F447" s="163" t="s">
        <v>3524</v>
      </c>
      <c r="G447" s="21">
        <v>13576309812</v>
      </c>
      <c r="H447" s="163" t="s">
        <v>3525</v>
      </c>
      <c r="I447" s="163" t="s">
        <v>384</v>
      </c>
      <c r="J447" s="163" t="s">
        <v>26</v>
      </c>
      <c r="K447" s="21">
        <v>202101023</v>
      </c>
      <c r="L447" s="163" t="s">
        <v>705</v>
      </c>
      <c r="M447" s="163" t="s">
        <v>3526</v>
      </c>
      <c r="N447" s="163" t="s">
        <v>3527</v>
      </c>
      <c r="O447" s="163" t="s">
        <v>170</v>
      </c>
      <c r="P447" s="163" t="s">
        <v>455</v>
      </c>
      <c r="Q447" s="163" t="s">
        <v>3528</v>
      </c>
      <c r="R447" s="163" t="s">
        <v>3528</v>
      </c>
      <c r="S447" s="100" t="str">
        <f>_xlfn.DISPIMG("ID_2B34C9518EA342159A61ABFA1DC3CE83",1)</f>
        <v>=DISPIMG("ID_2B34C9518EA342159A61ABFA1DC3CE83",1)</v>
      </c>
      <c r="T447" s="99" t="s">
        <v>3529</v>
      </c>
      <c r="U447" s="149">
        <v>447</v>
      </c>
    </row>
    <row r="448" s="3" customFormat="1" customHeight="1" spans="1:21">
      <c r="A448" s="144">
        <v>44364.5633101852</v>
      </c>
      <c r="B448" s="27" t="s">
        <v>3530</v>
      </c>
      <c r="C448" s="27" t="s">
        <v>1293</v>
      </c>
      <c r="D448" s="162" t="s">
        <v>3531</v>
      </c>
      <c r="E448" s="162" t="s">
        <v>153</v>
      </c>
      <c r="F448" s="162" t="s">
        <v>3532</v>
      </c>
      <c r="G448" s="27">
        <v>17687910769</v>
      </c>
      <c r="H448" s="162" t="s">
        <v>3533</v>
      </c>
      <c r="I448" s="162" t="s">
        <v>384</v>
      </c>
      <c r="J448" s="162" t="s">
        <v>21</v>
      </c>
      <c r="K448" s="27">
        <v>202101023</v>
      </c>
      <c r="L448" s="162" t="s">
        <v>157</v>
      </c>
      <c r="M448" s="162" t="s">
        <v>3518</v>
      </c>
      <c r="N448" s="162" t="s">
        <v>3534</v>
      </c>
      <c r="O448" s="162" t="s">
        <v>160</v>
      </c>
      <c r="P448" s="162" t="s">
        <v>455</v>
      </c>
      <c r="Q448" s="162" t="s">
        <v>2462</v>
      </c>
      <c r="R448" s="27">
        <v>0</v>
      </c>
      <c r="S448" s="118" t="str">
        <f>_xlfn.DISPIMG("ID_B9B540B424394A6290A83DEC0AB8F385",1)</f>
        <v>=DISPIMG("ID_B9B540B424394A6290A83DEC0AB8F385",1)</v>
      </c>
      <c r="T448" s="115" t="s">
        <v>3535</v>
      </c>
      <c r="U448" s="27">
        <v>448</v>
      </c>
    </row>
    <row r="449" s="4" customFormat="1" customHeight="1" spans="1:21">
      <c r="A449" s="145">
        <v>44364.5665972222</v>
      </c>
      <c r="B449" s="22" t="s">
        <v>3536</v>
      </c>
      <c r="C449" s="22" t="s">
        <v>3537</v>
      </c>
      <c r="D449" s="164" t="s">
        <v>3538</v>
      </c>
      <c r="E449" s="164" t="s">
        <v>153</v>
      </c>
      <c r="F449" s="164" t="s">
        <v>3539</v>
      </c>
      <c r="G449" s="22">
        <v>15770899535</v>
      </c>
      <c r="H449" s="164" t="s">
        <v>3540</v>
      </c>
      <c r="I449" s="164" t="s">
        <v>156</v>
      </c>
      <c r="J449" s="164" t="s">
        <v>9</v>
      </c>
      <c r="K449" s="22">
        <v>202102011</v>
      </c>
      <c r="L449" s="164" t="s">
        <v>157</v>
      </c>
      <c r="M449" s="164" t="s">
        <v>3518</v>
      </c>
      <c r="N449" s="164" t="s">
        <v>472</v>
      </c>
      <c r="O449" s="164" t="s">
        <v>160</v>
      </c>
      <c r="P449" s="164" t="s">
        <v>455</v>
      </c>
      <c r="Q449" s="164" t="s">
        <v>3519</v>
      </c>
      <c r="R449" s="164" t="s">
        <v>3519</v>
      </c>
      <c r="S449" s="23" t="str">
        <f>_xlfn.DISPIMG("ID_0BCC1778ACA14DBF957E729E6605C713",1)</f>
        <v>=DISPIMG("ID_0BCC1778ACA14DBF957E729E6605C713",1)</v>
      </c>
      <c r="T449" s="103" t="s">
        <v>3541</v>
      </c>
      <c r="U449" s="27">
        <v>449</v>
      </c>
    </row>
    <row r="450" s="3" customFormat="1" customHeight="1" spans="1:21">
      <c r="A450" s="144">
        <v>44364.5680439815</v>
      </c>
      <c r="B450" s="27" t="s">
        <v>3542</v>
      </c>
      <c r="C450" s="27" t="s">
        <v>1946</v>
      </c>
      <c r="D450" s="162" t="s">
        <v>3543</v>
      </c>
      <c r="E450" s="162" t="s">
        <v>153</v>
      </c>
      <c r="F450" s="162" t="s">
        <v>3544</v>
      </c>
      <c r="G450" s="27">
        <v>17683950767</v>
      </c>
      <c r="H450" s="162" t="s">
        <v>3545</v>
      </c>
      <c r="I450" s="162" t="s">
        <v>156</v>
      </c>
      <c r="J450" s="162" t="s">
        <v>9</v>
      </c>
      <c r="K450" s="27">
        <v>202102011</v>
      </c>
      <c r="L450" s="162" t="s">
        <v>157</v>
      </c>
      <c r="M450" s="162" t="s">
        <v>3518</v>
      </c>
      <c r="N450" s="162" t="s">
        <v>472</v>
      </c>
      <c r="O450" s="162" t="s">
        <v>160</v>
      </c>
      <c r="P450" s="162" t="s">
        <v>455</v>
      </c>
      <c r="Q450" s="162" t="s">
        <v>3519</v>
      </c>
      <c r="R450" s="27">
        <v>0</v>
      </c>
      <c r="S450" s="118" t="str">
        <f>_xlfn.DISPIMG("ID_2D99CEE979EF4ECAAD8A877BAF74FBA6",1)</f>
        <v>=DISPIMG("ID_2D99CEE979EF4ECAAD8A877BAF74FBA6",1)</v>
      </c>
      <c r="T450" s="115" t="s">
        <v>3546</v>
      </c>
      <c r="U450" s="27">
        <v>450</v>
      </c>
    </row>
    <row r="451" s="3" customFormat="1" customHeight="1" spans="1:21">
      <c r="A451" s="144">
        <v>44364.5715972222</v>
      </c>
      <c r="B451" s="27" t="s">
        <v>3547</v>
      </c>
      <c r="C451" s="27" t="s">
        <v>3548</v>
      </c>
      <c r="D451" s="162" t="s">
        <v>3549</v>
      </c>
      <c r="E451" s="162" t="s">
        <v>153</v>
      </c>
      <c r="F451" s="162" t="s">
        <v>3550</v>
      </c>
      <c r="G451" s="27">
        <v>15879724111</v>
      </c>
      <c r="H451" s="162" t="s">
        <v>3551</v>
      </c>
      <c r="I451" s="162" t="s">
        <v>156</v>
      </c>
      <c r="J451" s="162" t="s">
        <v>9</v>
      </c>
      <c r="K451" s="27">
        <v>202102011</v>
      </c>
      <c r="L451" s="162" t="s">
        <v>157</v>
      </c>
      <c r="M451" s="162" t="s">
        <v>1413</v>
      </c>
      <c r="N451" s="162" t="s">
        <v>682</v>
      </c>
      <c r="O451" s="162" t="s">
        <v>170</v>
      </c>
      <c r="P451" s="162" t="s">
        <v>261</v>
      </c>
      <c r="Q451" s="162" t="s">
        <v>3552</v>
      </c>
      <c r="R451" s="27">
        <v>0</v>
      </c>
      <c r="S451" s="118" t="str">
        <f>_xlfn.DISPIMG("ID_DB61A8C4A58C4CD3A7E5339498EDC8D8",1)</f>
        <v>=DISPIMG("ID_DB61A8C4A58C4CD3A7E5339498EDC8D8",1)</v>
      </c>
      <c r="T451" s="115" t="s">
        <v>3553</v>
      </c>
      <c r="U451" s="27">
        <v>451</v>
      </c>
    </row>
    <row r="452" s="3" customFormat="1" customHeight="1" spans="1:21">
      <c r="A452" s="144">
        <v>44364.5748263889</v>
      </c>
      <c r="B452" s="27" t="s">
        <v>3554</v>
      </c>
      <c r="C452" s="27" t="s">
        <v>3555</v>
      </c>
      <c r="D452" s="162" t="s">
        <v>3556</v>
      </c>
      <c r="E452" s="162" t="s">
        <v>153</v>
      </c>
      <c r="F452" s="162" t="s">
        <v>3557</v>
      </c>
      <c r="G452" s="27">
        <v>17346719580</v>
      </c>
      <c r="H452" s="162" t="s">
        <v>3558</v>
      </c>
      <c r="I452" s="162" t="s">
        <v>156</v>
      </c>
      <c r="J452" s="162" t="s">
        <v>9</v>
      </c>
      <c r="K452" s="27">
        <v>202102011</v>
      </c>
      <c r="L452" s="162" t="s">
        <v>157</v>
      </c>
      <c r="M452" s="162" t="s">
        <v>3518</v>
      </c>
      <c r="N452" s="162" t="s">
        <v>3559</v>
      </c>
      <c r="O452" s="162" t="s">
        <v>160</v>
      </c>
      <c r="P452" s="162" t="s">
        <v>455</v>
      </c>
      <c r="Q452" s="162" t="s">
        <v>3519</v>
      </c>
      <c r="R452" s="27">
        <v>0</v>
      </c>
      <c r="S452" s="118" t="str">
        <f>_xlfn.DISPIMG("ID_21EB11AFC3FB431C8DEC9B4C05162E66",1)</f>
        <v>=DISPIMG("ID_21EB11AFC3FB431C8DEC9B4C05162E66",1)</v>
      </c>
      <c r="T452" s="115" t="s">
        <v>3560</v>
      </c>
      <c r="U452" s="27">
        <v>452</v>
      </c>
    </row>
    <row r="453" s="4" customFormat="1" customHeight="1" spans="1:21">
      <c r="A453" s="145">
        <v>44364.5776041667</v>
      </c>
      <c r="B453" s="22" t="s">
        <v>3561</v>
      </c>
      <c r="C453" s="22" t="s">
        <v>3562</v>
      </c>
      <c r="D453" s="164" t="s">
        <v>3563</v>
      </c>
      <c r="E453" s="164" t="s">
        <v>153</v>
      </c>
      <c r="F453" s="164" t="s">
        <v>3564</v>
      </c>
      <c r="G453" s="22">
        <v>15907977787</v>
      </c>
      <c r="H453" s="164" t="s">
        <v>3565</v>
      </c>
      <c r="I453" s="164" t="s">
        <v>156</v>
      </c>
      <c r="J453" s="164" t="s">
        <v>9</v>
      </c>
      <c r="K453" s="22">
        <v>202102011</v>
      </c>
      <c r="L453" s="164" t="s">
        <v>157</v>
      </c>
      <c r="M453" s="164" t="s">
        <v>233</v>
      </c>
      <c r="N453" s="164" t="s">
        <v>3566</v>
      </c>
      <c r="O453" s="164" t="s">
        <v>170</v>
      </c>
      <c r="P453" s="164" t="s">
        <v>261</v>
      </c>
      <c r="Q453" s="164" t="s">
        <v>1579</v>
      </c>
      <c r="R453" s="22">
        <v>0</v>
      </c>
      <c r="S453" s="23" t="str">
        <f>_xlfn.DISPIMG("ID_3C6447D057EF4BF7AE9ECFE35CBC5ECF",1)</f>
        <v>=DISPIMG("ID_3C6447D057EF4BF7AE9ECFE35CBC5ECF",1)</v>
      </c>
      <c r="T453" s="103" t="s">
        <v>3567</v>
      </c>
      <c r="U453" s="27">
        <v>453</v>
      </c>
    </row>
    <row r="454" s="3" customFormat="1" customHeight="1" spans="1:21">
      <c r="A454" s="144">
        <v>44364.6397106481</v>
      </c>
      <c r="B454" s="27" t="s">
        <v>3568</v>
      </c>
      <c r="C454" s="27" t="s">
        <v>3569</v>
      </c>
      <c r="D454" s="162" t="s">
        <v>3570</v>
      </c>
      <c r="E454" s="162" t="s">
        <v>165</v>
      </c>
      <c r="F454" s="162" t="s">
        <v>3571</v>
      </c>
      <c r="G454" s="27">
        <v>13879176428</v>
      </c>
      <c r="H454" s="162" t="s">
        <v>3572</v>
      </c>
      <c r="I454" s="162" t="s">
        <v>156</v>
      </c>
      <c r="J454" s="162" t="s">
        <v>15</v>
      </c>
      <c r="K454" s="27">
        <v>202102007</v>
      </c>
      <c r="L454" s="162" t="s">
        <v>157</v>
      </c>
      <c r="M454" s="162" t="s">
        <v>233</v>
      </c>
      <c r="N454" s="162" t="s">
        <v>454</v>
      </c>
      <c r="O454" s="162" t="s">
        <v>170</v>
      </c>
      <c r="P454" s="162" t="s">
        <v>3573</v>
      </c>
      <c r="Q454" s="162" t="s">
        <v>3574</v>
      </c>
      <c r="R454" s="162" t="s">
        <v>3575</v>
      </c>
      <c r="S454" s="118" t="str">
        <f>_xlfn.DISPIMG("ID_4E9B8A157E55446AAA9BAC9D6541DF67",1)</f>
        <v>=DISPIMG("ID_4E9B8A157E55446AAA9BAC9D6541DF67",1)</v>
      </c>
      <c r="T454" s="115" t="s">
        <v>3576</v>
      </c>
      <c r="U454" s="27">
        <v>454</v>
      </c>
    </row>
    <row r="455" s="3" customFormat="1" customHeight="1" spans="1:21">
      <c r="A455" s="144">
        <v>44364.6714583333</v>
      </c>
      <c r="B455" s="27" t="s">
        <v>3577</v>
      </c>
      <c r="C455" s="27" t="s">
        <v>3578</v>
      </c>
      <c r="D455" s="162" t="s">
        <v>3579</v>
      </c>
      <c r="E455" s="162" t="s">
        <v>153</v>
      </c>
      <c r="F455" s="162" t="s">
        <v>3580</v>
      </c>
      <c r="G455" s="27">
        <v>15179270292</v>
      </c>
      <c r="H455" s="27" t="s">
        <v>3581</v>
      </c>
      <c r="I455" s="162" t="s">
        <v>156</v>
      </c>
      <c r="J455" s="162" t="s">
        <v>15</v>
      </c>
      <c r="K455" s="27">
        <v>202102007</v>
      </c>
      <c r="L455" s="162" t="s">
        <v>157</v>
      </c>
      <c r="M455" s="162" t="s">
        <v>158</v>
      </c>
      <c r="N455" s="162" t="s">
        <v>1832</v>
      </c>
      <c r="O455" s="162" t="s">
        <v>160</v>
      </c>
      <c r="P455" s="162" t="s">
        <v>368</v>
      </c>
      <c r="Q455" s="162" t="s">
        <v>3582</v>
      </c>
      <c r="R455" s="27">
        <v>0</v>
      </c>
      <c r="S455" s="118" t="str">
        <f>_xlfn.DISPIMG("ID_10B7637016814F53B0B0689821F0D756",1)</f>
        <v>=DISPIMG("ID_10B7637016814F53B0B0689821F0D756",1)</v>
      </c>
      <c r="T455" s="115" t="s">
        <v>3583</v>
      </c>
      <c r="U455" s="27">
        <v>455</v>
      </c>
    </row>
    <row r="456" s="3" customFormat="1" customHeight="1" spans="1:21">
      <c r="A456" s="144">
        <v>44364.6823263889</v>
      </c>
      <c r="B456" s="27" t="s">
        <v>3584</v>
      </c>
      <c r="C456" s="27" t="s">
        <v>3585</v>
      </c>
      <c r="D456" s="162" t="s">
        <v>3586</v>
      </c>
      <c r="E456" s="162" t="s">
        <v>165</v>
      </c>
      <c r="F456" s="162" t="s">
        <v>3587</v>
      </c>
      <c r="G456" s="27">
        <v>13970222797</v>
      </c>
      <c r="H456" s="162" t="s">
        <v>3588</v>
      </c>
      <c r="I456" s="162" t="s">
        <v>156</v>
      </c>
      <c r="J456" s="162" t="s">
        <v>4</v>
      </c>
      <c r="K456" s="27">
        <v>202102006</v>
      </c>
      <c r="L456" s="162" t="s">
        <v>157</v>
      </c>
      <c r="M456" s="162" t="s">
        <v>158</v>
      </c>
      <c r="N456" s="162" t="s">
        <v>3589</v>
      </c>
      <c r="O456" s="162" t="s">
        <v>160</v>
      </c>
      <c r="P456" s="162" t="s">
        <v>235</v>
      </c>
      <c r="Q456" s="162" t="s">
        <v>4</v>
      </c>
      <c r="R456" s="162" t="s">
        <v>3590</v>
      </c>
      <c r="S456" s="118" t="str">
        <f>_xlfn.DISPIMG("ID_1E4E55AF2274433A8809E53B95627C78",1)</f>
        <v>=DISPIMG("ID_1E4E55AF2274433A8809E53B95627C78",1)</v>
      </c>
      <c r="T456" s="115" t="s">
        <v>3591</v>
      </c>
      <c r="U456" s="27">
        <v>456</v>
      </c>
    </row>
    <row r="457" s="3" customFormat="1" customHeight="1" spans="1:21">
      <c r="A457" s="144">
        <v>44364.6944328704</v>
      </c>
      <c r="B457" s="27" t="s">
        <v>3592</v>
      </c>
      <c r="C457" s="27" t="s">
        <v>3593</v>
      </c>
      <c r="D457" s="162" t="s">
        <v>3594</v>
      </c>
      <c r="E457" s="162" t="s">
        <v>165</v>
      </c>
      <c r="F457" s="162" t="s">
        <v>3595</v>
      </c>
      <c r="G457" s="27">
        <v>13635983416</v>
      </c>
      <c r="H457" s="162" t="s">
        <v>3596</v>
      </c>
      <c r="I457" s="162" t="s">
        <v>156</v>
      </c>
      <c r="J457" s="162" t="s">
        <v>8</v>
      </c>
      <c r="K457" s="27">
        <v>202102002</v>
      </c>
      <c r="L457" s="162" t="s">
        <v>279</v>
      </c>
      <c r="M457" s="162" t="s">
        <v>3597</v>
      </c>
      <c r="N457" s="162" t="s">
        <v>497</v>
      </c>
      <c r="O457" s="162" t="s">
        <v>170</v>
      </c>
      <c r="P457" s="162" t="s">
        <v>189</v>
      </c>
      <c r="Q457" s="162" t="s">
        <v>989</v>
      </c>
      <c r="R457" s="162" t="s">
        <v>3598</v>
      </c>
      <c r="S457" s="118" t="str">
        <f>_xlfn.DISPIMG("ID_DB80027A676342B6B8178A0E756378C3",1)</f>
        <v>=DISPIMG("ID_DB80027A676342B6B8178A0E756378C3",1)</v>
      </c>
      <c r="T457" s="115" t="s">
        <v>3599</v>
      </c>
      <c r="U457" s="27">
        <v>457</v>
      </c>
    </row>
    <row r="458" s="3" customFormat="1" customHeight="1" spans="1:21">
      <c r="A458" s="144">
        <v>44364.6980092593</v>
      </c>
      <c r="B458" s="27" t="s">
        <v>3600</v>
      </c>
      <c r="C458" s="27" t="s">
        <v>3601</v>
      </c>
      <c r="D458" s="162" t="s">
        <v>3602</v>
      </c>
      <c r="E458" s="162" t="s">
        <v>165</v>
      </c>
      <c r="F458" s="162" t="s">
        <v>3603</v>
      </c>
      <c r="G458" s="27">
        <v>18507927596</v>
      </c>
      <c r="H458" s="162" t="s">
        <v>2228</v>
      </c>
      <c r="I458" s="162" t="s">
        <v>156</v>
      </c>
      <c r="J458" s="162" t="s">
        <v>14</v>
      </c>
      <c r="K458" s="27">
        <v>202102001</v>
      </c>
      <c r="L458" s="162" t="s">
        <v>279</v>
      </c>
      <c r="M458" s="162" t="s">
        <v>158</v>
      </c>
      <c r="N458" s="162" t="s">
        <v>348</v>
      </c>
      <c r="O458" s="162" t="s">
        <v>170</v>
      </c>
      <c r="P458" s="162" t="s">
        <v>281</v>
      </c>
      <c r="Q458" s="162" t="s">
        <v>14</v>
      </c>
      <c r="R458" s="162" t="s">
        <v>3604</v>
      </c>
      <c r="S458" s="118" t="str">
        <f>_xlfn.DISPIMG("ID_ADF263347E1B436A9E9869CDB170C299",1)</f>
        <v>=DISPIMG("ID_ADF263347E1B436A9E9869CDB170C299",1)</v>
      </c>
      <c r="T458" s="115" t="s">
        <v>3605</v>
      </c>
      <c r="U458" s="27">
        <v>458</v>
      </c>
    </row>
    <row r="459" s="3" customFormat="1" customHeight="1" spans="1:21">
      <c r="A459" s="144">
        <v>44364.7059837963</v>
      </c>
      <c r="B459" s="27" t="s">
        <v>3606</v>
      </c>
      <c r="C459" s="27" t="s">
        <v>3607</v>
      </c>
      <c r="D459" s="162" t="s">
        <v>3608</v>
      </c>
      <c r="E459" s="162" t="s">
        <v>165</v>
      </c>
      <c r="F459" s="162" t="s">
        <v>3609</v>
      </c>
      <c r="G459" s="27">
        <v>18279283769</v>
      </c>
      <c r="H459" s="162" t="s">
        <v>3610</v>
      </c>
      <c r="I459" s="162" t="s">
        <v>278</v>
      </c>
      <c r="J459" s="162" t="s">
        <v>28</v>
      </c>
      <c r="K459" s="27">
        <v>202103001</v>
      </c>
      <c r="L459" s="162" t="s">
        <v>585</v>
      </c>
      <c r="M459" s="162" t="s">
        <v>3174</v>
      </c>
      <c r="N459" s="162" t="s">
        <v>280</v>
      </c>
      <c r="O459" s="162" t="s">
        <v>170</v>
      </c>
      <c r="P459" s="162" t="s">
        <v>3039</v>
      </c>
      <c r="Q459" s="162" t="s">
        <v>2686</v>
      </c>
      <c r="R459" s="162" t="s">
        <v>3611</v>
      </c>
      <c r="S459" s="118" t="str">
        <f>_xlfn.DISPIMG("ID_39BF594A37E3442B8E4FFF60E8863D45",1)</f>
        <v>=DISPIMG("ID_39BF594A37E3442B8E4FFF60E8863D45",1)</v>
      </c>
      <c r="T459" s="115" t="s">
        <v>3612</v>
      </c>
      <c r="U459" s="27">
        <v>459</v>
      </c>
    </row>
    <row r="460" s="4" customFormat="1" customHeight="1" spans="1:21">
      <c r="A460" s="145">
        <v>44364.7096527778</v>
      </c>
      <c r="B460" s="22" t="s">
        <v>3613</v>
      </c>
      <c r="C460" s="22" t="s">
        <v>3614</v>
      </c>
      <c r="D460" s="164" t="s">
        <v>3615</v>
      </c>
      <c r="E460" s="164" t="s">
        <v>165</v>
      </c>
      <c r="F460" s="164" t="s">
        <v>3616</v>
      </c>
      <c r="G460" s="22">
        <v>18676661873</v>
      </c>
      <c r="H460" s="164" t="s">
        <v>3617</v>
      </c>
      <c r="I460" s="164" t="s">
        <v>156</v>
      </c>
      <c r="J460" s="164" t="s">
        <v>13</v>
      </c>
      <c r="K460" s="22">
        <v>202101003</v>
      </c>
      <c r="L460" s="164" t="s">
        <v>157</v>
      </c>
      <c r="M460" s="164" t="s">
        <v>2243</v>
      </c>
      <c r="N460" s="164" t="s">
        <v>179</v>
      </c>
      <c r="O460" s="164" t="s">
        <v>160</v>
      </c>
      <c r="P460" s="164" t="s">
        <v>910</v>
      </c>
      <c r="Q460" s="164" t="s">
        <v>2244</v>
      </c>
      <c r="R460" s="164" t="s">
        <v>3618</v>
      </c>
      <c r="S460" s="23" t="str">
        <f>_xlfn.DISPIMG("ID_33D1BE3856DC4BDE83B623418C60EC26",1)</f>
        <v>=DISPIMG("ID_33D1BE3856DC4BDE83B623418C60EC26",1)</v>
      </c>
      <c r="T460" s="103" t="s">
        <v>3619</v>
      </c>
      <c r="U460" s="27">
        <v>460</v>
      </c>
    </row>
    <row r="461" s="3" customFormat="1" customHeight="1" spans="1:21">
      <c r="A461" s="144">
        <v>44364.7171759259</v>
      </c>
      <c r="B461" s="27" t="s">
        <v>3620</v>
      </c>
      <c r="C461" s="27" t="s">
        <v>3621</v>
      </c>
      <c r="D461" s="162" t="s">
        <v>3622</v>
      </c>
      <c r="E461" s="162" t="s">
        <v>165</v>
      </c>
      <c r="F461" s="162" t="s">
        <v>3623</v>
      </c>
      <c r="G461" s="27">
        <v>13077975587</v>
      </c>
      <c r="H461" s="162" t="s">
        <v>3624</v>
      </c>
      <c r="I461" s="162" t="s">
        <v>268</v>
      </c>
      <c r="J461" s="162" t="s">
        <v>8</v>
      </c>
      <c r="K461" s="27">
        <v>202102002</v>
      </c>
      <c r="L461" s="162" t="s">
        <v>157</v>
      </c>
      <c r="M461" s="162" t="s">
        <v>3625</v>
      </c>
      <c r="N461" s="162" t="s">
        <v>3626</v>
      </c>
      <c r="O461" s="162" t="s">
        <v>160</v>
      </c>
      <c r="P461" s="162" t="s">
        <v>673</v>
      </c>
      <c r="Q461" s="162" t="s">
        <v>20</v>
      </c>
      <c r="R461" s="27">
        <v>0</v>
      </c>
      <c r="S461" s="118" t="str">
        <f>_xlfn.DISPIMG("ID_892B76E7BF3A4E06A1CCC00A4DBCC4C6",1)</f>
        <v>=DISPIMG("ID_892B76E7BF3A4E06A1CCC00A4DBCC4C6",1)</v>
      </c>
      <c r="T461" s="115" t="s">
        <v>3627</v>
      </c>
      <c r="U461" s="27">
        <v>461</v>
      </c>
    </row>
    <row r="462" s="3" customFormat="1" customHeight="1" spans="1:21">
      <c r="A462" s="144">
        <v>44364.7320833333</v>
      </c>
      <c r="B462" s="27" t="s">
        <v>3628</v>
      </c>
      <c r="C462" s="27" t="s">
        <v>3629</v>
      </c>
      <c r="D462" s="162" t="s">
        <v>3630</v>
      </c>
      <c r="E462" s="162" t="s">
        <v>153</v>
      </c>
      <c r="F462" s="162" t="s">
        <v>3631</v>
      </c>
      <c r="G462" s="27">
        <v>19979468695</v>
      </c>
      <c r="H462" s="162" t="s">
        <v>3632</v>
      </c>
      <c r="I462" s="162" t="s">
        <v>506</v>
      </c>
      <c r="J462" s="162" t="s">
        <v>6</v>
      </c>
      <c r="K462" s="27">
        <v>202102021</v>
      </c>
      <c r="L462" s="162" t="s">
        <v>157</v>
      </c>
      <c r="M462" s="162" t="s">
        <v>3633</v>
      </c>
      <c r="N462" s="162" t="s">
        <v>323</v>
      </c>
      <c r="O462" s="162" t="s">
        <v>170</v>
      </c>
      <c r="P462" s="162" t="s">
        <v>171</v>
      </c>
      <c r="Q462" s="162" t="s">
        <v>3634</v>
      </c>
      <c r="R462" s="162" t="s">
        <v>3635</v>
      </c>
      <c r="S462" s="118" t="str">
        <f>_xlfn.DISPIMG("ID_7CE83E02BD574BEF88ED6441327C41EF",1)</f>
        <v>=DISPIMG("ID_7CE83E02BD574BEF88ED6441327C41EF",1)</v>
      </c>
      <c r="T462" s="115" t="s">
        <v>3636</v>
      </c>
      <c r="U462" s="27">
        <v>462</v>
      </c>
    </row>
    <row r="463" s="3" customFormat="1" customHeight="1" spans="1:21">
      <c r="A463" s="144">
        <v>44364.741087963</v>
      </c>
      <c r="B463" s="27" t="s">
        <v>3637</v>
      </c>
      <c r="C463" s="27" t="s">
        <v>3638</v>
      </c>
      <c r="D463" s="162" t="s">
        <v>3639</v>
      </c>
      <c r="E463" s="162" t="s">
        <v>165</v>
      </c>
      <c r="F463" s="162" t="s">
        <v>3640</v>
      </c>
      <c r="G463" s="27">
        <v>18370771770</v>
      </c>
      <c r="H463" s="162" t="s">
        <v>3641</v>
      </c>
      <c r="I463" s="162" t="s">
        <v>268</v>
      </c>
      <c r="J463" s="162" t="s">
        <v>14</v>
      </c>
      <c r="K463" s="27">
        <v>202102001</v>
      </c>
      <c r="L463" s="162" t="s">
        <v>157</v>
      </c>
      <c r="M463" s="162" t="s">
        <v>1413</v>
      </c>
      <c r="N463" s="162" t="s">
        <v>3642</v>
      </c>
      <c r="O463" s="162" t="s">
        <v>170</v>
      </c>
      <c r="P463" s="162" t="s">
        <v>161</v>
      </c>
      <c r="Q463" s="162" t="s">
        <v>350</v>
      </c>
      <c r="R463" s="162" t="s">
        <v>3643</v>
      </c>
      <c r="S463" s="118" t="str">
        <f>_xlfn.DISPIMG("ID_711901E3E72645DEB928FFCE78C71328",1)</f>
        <v>=DISPIMG("ID_711901E3E72645DEB928FFCE78C71328",1)</v>
      </c>
      <c r="T463" s="115" t="s">
        <v>3644</v>
      </c>
      <c r="U463" s="27">
        <v>463</v>
      </c>
    </row>
    <row r="464" s="3" customFormat="1" customHeight="1" spans="1:21">
      <c r="A464" s="144">
        <v>44364.777337963</v>
      </c>
      <c r="B464" s="27" t="s">
        <v>3645</v>
      </c>
      <c r="C464" s="27" t="s">
        <v>3646</v>
      </c>
      <c r="D464" s="162" t="s">
        <v>3647</v>
      </c>
      <c r="E464" s="162" t="s">
        <v>165</v>
      </c>
      <c r="F464" s="162" t="s">
        <v>3648</v>
      </c>
      <c r="G464" s="27">
        <v>19914728112</v>
      </c>
      <c r="H464" s="162" t="s">
        <v>3649</v>
      </c>
      <c r="I464" s="162" t="s">
        <v>156</v>
      </c>
      <c r="J464" s="162" t="s">
        <v>13</v>
      </c>
      <c r="K464" s="27">
        <v>202102003</v>
      </c>
      <c r="L464" s="162" t="s">
        <v>705</v>
      </c>
      <c r="M464" s="162" t="s">
        <v>1413</v>
      </c>
      <c r="N464" s="162" t="s">
        <v>3650</v>
      </c>
      <c r="O464" s="162" t="s">
        <v>170</v>
      </c>
      <c r="P464" s="162" t="s">
        <v>455</v>
      </c>
      <c r="Q464" s="162" t="s">
        <v>3651</v>
      </c>
      <c r="R464" s="27">
        <v>0</v>
      </c>
      <c r="S464" s="118" t="str">
        <f>_xlfn.DISPIMG("ID_5D17E050202348DFAA14EEF8D985F66D",1)</f>
        <v>=DISPIMG("ID_5D17E050202348DFAA14EEF8D985F66D",1)</v>
      </c>
      <c r="T464" s="115" t="s">
        <v>3652</v>
      </c>
      <c r="U464" s="27">
        <v>464</v>
      </c>
    </row>
    <row r="465" s="3" customFormat="1" customHeight="1" spans="1:21">
      <c r="A465" s="144">
        <v>44364.8113888889</v>
      </c>
      <c r="B465" s="27" t="s">
        <v>3653</v>
      </c>
      <c r="C465" s="27" t="s">
        <v>3654</v>
      </c>
      <c r="D465" s="162" t="s">
        <v>3655</v>
      </c>
      <c r="E465" s="162" t="s">
        <v>153</v>
      </c>
      <c r="F465" s="162" t="s">
        <v>3656</v>
      </c>
      <c r="G465" s="27">
        <v>13177872440</v>
      </c>
      <c r="H465" s="162" t="s">
        <v>3657</v>
      </c>
      <c r="I465" s="162" t="s">
        <v>156</v>
      </c>
      <c r="J465" s="162" t="s">
        <v>4</v>
      </c>
      <c r="K465" s="27">
        <v>202102005</v>
      </c>
      <c r="L465" s="162" t="s">
        <v>157</v>
      </c>
      <c r="M465" s="162" t="s">
        <v>385</v>
      </c>
      <c r="N465" s="162" t="s">
        <v>179</v>
      </c>
      <c r="O465" s="162" t="s">
        <v>170</v>
      </c>
      <c r="P465" s="162" t="s">
        <v>368</v>
      </c>
      <c r="Q465" s="162" t="s">
        <v>4</v>
      </c>
      <c r="R465" s="27">
        <v>0</v>
      </c>
      <c r="S465" s="118" t="str">
        <f>_xlfn.DISPIMG("ID_252B07FFDA0E4134A421E2449004C504",1)</f>
        <v>=DISPIMG("ID_252B07FFDA0E4134A421E2449004C504",1)</v>
      </c>
      <c r="T465" s="115" t="s">
        <v>3658</v>
      </c>
      <c r="U465" s="27">
        <v>465</v>
      </c>
    </row>
    <row r="466" s="3" customFormat="1" customHeight="1" spans="1:21">
      <c r="A466" s="144">
        <v>44364.8141435185</v>
      </c>
      <c r="B466" s="27" t="s">
        <v>3659</v>
      </c>
      <c r="C466" s="27" t="s">
        <v>3660</v>
      </c>
      <c r="D466" s="162" t="s">
        <v>3661</v>
      </c>
      <c r="E466" s="162" t="s">
        <v>165</v>
      </c>
      <c r="F466" s="162" t="s">
        <v>3662</v>
      </c>
      <c r="G466" s="27">
        <v>15623206169</v>
      </c>
      <c r="H466" s="162" t="s">
        <v>926</v>
      </c>
      <c r="I466" s="162" t="s">
        <v>297</v>
      </c>
      <c r="J466" s="162" t="s">
        <v>20</v>
      </c>
      <c r="K466" s="27">
        <v>202101006</v>
      </c>
      <c r="L466" s="162" t="s">
        <v>157</v>
      </c>
      <c r="M466" s="162" t="s">
        <v>3663</v>
      </c>
      <c r="N466" s="162" t="s">
        <v>1832</v>
      </c>
      <c r="O466" s="162" t="s">
        <v>160</v>
      </c>
      <c r="P466" s="162" t="s">
        <v>455</v>
      </c>
      <c r="Q466" s="162" t="s">
        <v>20</v>
      </c>
      <c r="R466" s="27">
        <v>0</v>
      </c>
      <c r="S466" s="118" t="str">
        <f>_xlfn.DISPIMG("ID_2A9E22A9ABC949F8A9FA9AA3239D48CC",1)</f>
        <v>=DISPIMG("ID_2A9E22A9ABC949F8A9FA9AA3239D48CC",1)</v>
      </c>
      <c r="T466" s="115" t="s">
        <v>3664</v>
      </c>
      <c r="U466" s="27">
        <v>466</v>
      </c>
    </row>
    <row r="467" s="3" customFormat="1" customHeight="1" spans="1:21">
      <c r="A467" s="144">
        <v>44364.8153703704</v>
      </c>
      <c r="B467" s="27" t="s">
        <v>3665</v>
      </c>
      <c r="C467" s="27" t="s">
        <v>3666</v>
      </c>
      <c r="D467" s="162" t="s">
        <v>3667</v>
      </c>
      <c r="E467" s="162" t="s">
        <v>153</v>
      </c>
      <c r="F467" s="162" t="s">
        <v>3668</v>
      </c>
      <c r="G467" s="27">
        <v>15604248160</v>
      </c>
      <c r="H467" s="162" t="s">
        <v>3669</v>
      </c>
      <c r="I467" s="162" t="s">
        <v>384</v>
      </c>
      <c r="J467" s="162" t="s">
        <v>27</v>
      </c>
      <c r="K467" s="27">
        <v>202101016</v>
      </c>
      <c r="L467" s="162" t="s">
        <v>705</v>
      </c>
      <c r="M467" s="162" t="s">
        <v>3670</v>
      </c>
      <c r="N467" s="162" t="s">
        <v>215</v>
      </c>
      <c r="O467" s="162" t="s">
        <v>160</v>
      </c>
      <c r="P467" s="162" t="s">
        <v>910</v>
      </c>
      <c r="Q467" s="162" t="s">
        <v>3671</v>
      </c>
      <c r="R467" s="162" t="s">
        <v>3672</v>
      </c>
      <c r="S467" s="118" t="str">
        <f>_xlfn.DISPIMG("ID_FBBE15C9E10944F892C3BCC99A8EDA31",1)</f>
        <v>=DISPIMG("ID_FBBE15C9E10944F892C3BCC99A8EDA31",1)</v>
      </c>
      <c r="T467" s="115" t="s">
        <v>3673</v>
      </c>
      <c r="U467" s="27">
        <v>467</v>
      </c>
    </row>
    <row r="468" s="3" customFormat="1" customHeight="1" spans="1:21">
      <c r="A468" s="144">
        <v>44364.8214814815</v>
      </c>
      <c r="B468" s="27" t="s">
        <v>3674</v>
      </c>
      <c r="C468" s="27" t="s">
        <v>3675</v>
      </c>
      <c r="D468" s="162" t="s">
        <v>3676</v>
      </c>
      <c r="E468" s="162" t="s">
        <v>165</v>
      </c>
      <c r="F468" s="162" t="s">
        <v>3677</v>
      </c>
      <c r="G468" s="27">
        <v>18296221374</v>
      </c>
      <c r="H468" s="162" t="s">
        <v>3678</v>
      </c>
      <c r="I468" s="162" t="s">
        <v>278</v>
      </c>
      <c r="J468" s="162" t="s">
        <v>28</v>
      </c>
      <c r="K468" s="27">
        <v>202103001</v>
      </c>
      <c r="L468" s="162" t="s">
        <v>585</v>
      </c>
      <c r="M468" s="162" t="s">
        <v>3679</v>
      </c>
      <c r="N468" s="162" t="s">
        <v>586</v>
      </c>
      <c r="O468" s="162" t="s">
        <v>170</v>
      </c>
      <c r="P468" s="162" t="s">
        <v>1089</v>
      </c>
      <c r="Q468" s="162" t="s">
        <v>3680</v>
      </c>
      <c r="R468" s="162" t="s">
        <v>3681</v>
      </c>
      <c r="S468" s="118" t="str">
        <f>_xlfn.DISPIMG("ID_B6A72806890947DEB45EA914FD393A84",1)</f>
        <v>=DISPIMG("ID_B6A72806890947DEB45EA914FD393A84",1)</v>
      </c>
      <c r="T468" s="115" t="s">
        <v>3682</v>
      </c>
      <c r="U468" s="27">
        <v>468</v>
      </c>
    </row>
    <row r="469" s="3" customFormat="1" customHeight="1" spans="1:21">
      <c r="A469" s="144">
        <v>44364.8222685185</v>
      </c>
      <c r="B469" s="27" t="s">
        <v>3683</v>
      </c>
      <c r="C469" s="27" t="s">
        <v>3684</v>
      </c>
      <c r="D469" s="162" t="s">
        <v>3685</v>
      </c>
      <c r="E469" s="162" t="s">
        <v>165</v>
      </c>
      <c r="F469" s="162" t="s">
        <v>3686</v>
      </c>
      <c r="G469" s="27">
        <v>18270929326</v>
      </c>
      <c r="H469" s="162" t="s">
        <v>402</v>
      </c>
      <c r="I469" s="162" t="s">
        <v>156</v>
      </c>
      <c r="J469" s="162" t="s">
        <v>7</v>
      </c>
      <c r="K469" s="27">
        <v>202102006</v>
      </c>
      <c r="L469" s="162" t="s">
        <v>157</v>
      </c>
      <c r="M469" s="162" t="s">
        <v>884</v>
      </c>
      <c r="N469" s="162" t="s">
        <v>454</v>
      </c>
      <c r="O469" s="162" t="s">
        <v>170</v>
      </c>
      <c r="P469" s="162" t="s">
        <v>3687</v>
      </c>
      <c r="Q469" s="162" t="s">
        <v>7</v>
      </c>
      <c r="R469" s="162" t="s">
        <v>3688</v>
      </c>
      <c r="S469" s="118" t="str">
        <f>_xlfn.DISPIMG("ID_E15A59AE3AB3482DA375DB6FC21D8F4C",1)</f>
        <v>=DISPIMG("ID_E15A59AE3AB3482DA375DB6FC21D8F4C",1)</v>
      </c>
      <c r="T469" s="115" t="s">
        <v>3689</v>
      </c>
      <c r="U469" s="27">
        <v>469</v>
      </c>
    </row>
    <row r="470" s="3" customFormat="1" customHeight="1" spans="1:21">
      <c r="A470" s="144">
        <v>44364.8227314815</v>
      </c>
      <c r="B470" s="27" t="s">
        <v>3690</v>
      </c>
      <c r="C470" s="27" t="s">
        <v>3691</v>
      </c>
      <c r="D470" s="162" t="s">
        <v>1027</v>
      </c>
      <c r="E470" s="162" t="s">
        <v>165</v>
      </c>
      <c r="F470" s="162" t="s">
        <v>3692</v>
      </c>
      <c r="G470" s="27">
        <v>15779259710</v>
      </c>
      <c r="H470" s="162" t="s">
        <v>3693</v>
      </c>
      <c r="I470" s="162" t="s">
        <v>156</v>
      </c>
      <c r="J470" s="162" t="s">
        <v>8</v>
      </c>
      <c r="K470" s="27">
        <v>202102002</v>
      </c>
      <c r="L470" s="162" t="s">
        <v>279</v>
      </c>
      <c r="M470" s="162" t="s">
        <v>3694</v>
      </c>
      <c r="N470" s="162" t="s">
        <v>497</v>
      </c>
      <c r="O470" s="162" t="s">
        <v>170</v>
      </c>
      <c r="P470" s="162" t="s">
        <v>180</v>
      </c>
      <c r="Q470" s="162" t="s">
        <v>8</v>
      </c>
      <c r="R470" s="162" t="s">
        <v>3695</v>
      </c>
      <c r="S470" s="118" t="str">
        <f>_xlfn.DISPIMG("ID_57DB6C2F5BCD45498E344599D2C7D1D8",1)</f>
        <v>=DISPIMG("ID_57DB6C2F5BCD45498E344599D2C7D1D8",1)</v>
      </c>
      <c r="T470" s="115" t="s">
        <v>3696</v>
      </c>
      <c r="U470" s="27">
        <v>470</v>
      </c>
    </row>
    <row r="471" s="3" customFormat="1" customHeight="1" spans="1:21">
      <c r="A471" s="144">
        <v>44364.8525</v>
      </c>
      <c r="B471" s="27" t="s">
        <v>3697</v>
      </c>
      <c r="C471" s="27" t="s">
        <v>3698</v>
      </c>
      <c r="D471" s="162" t="s">
        <v>3699</v>
      </c>
      <c r="E471" s="162" t="s">
        <v>153</v>
      </c>
      <c r="F471" s="162" t="s">
        <v>3700</v>
      </c>
      <c r="G471" s="27">
        <v>18046710217</v>
      </c>
      <c r="H471" s="162" t="s">
        <v>3701</v>
      </c>
      <c r="I471" s="162" t="s">
        <v>384</v>
      </c>
      <c r="J471" s="162" t="s">
        <v>21</v>
      </c>
      <c r="K471" s="27">
        <v>202101023</v>
      </c>
      <c r="L471" s="162" t="s">
        <v>157</v>
      </c>
      <c r="M471" s="162" t="s">
        <v>233</v>
      </c>
      <c r="N471" s="162" t="s">
        <v>682</v>
      </c>
      <c r="O471" s="162" t="s">
        <v>170</v>
      </c>
      <c r="P471" s="162" t="s">
        <v>306</v>
      </c>
      <c r="Q471" s="162" t="s">
        <v>1579</v>
      </c>
      <c r="R471" s="162" t="s">
        <v>3702</v>
      </c>
      <c r="S471" s="118" t="str">
        <f>_xlfn.DISPIMG("ID_E2F022B7DBF04DECBE980BB970833FC7",1)</f>
        <v>=DISPIMG("ID_E2F022B7DBF04DECBE980BB970833FC7",1)</v>
      </c>
      <c r="T471" s="115" t="s">
        <v>3703</v>
      </c>
      <c r="U471" s="127">
        <v>471</v>
      </c>
    </row>
    <row r="472" s="3" customFormat="1" customHeight="1" spans="1:21">
      <c r="A472" s="144">
        <v>44364.8531018519</v>
      </c>
      <c r="B472" s="27" t="s">
        <v>3704</v>
      </c>
      <c r="C472" s="27" t="s">
        <v>3705</v>
      </c>
      <c r="D472" s="162" t="s">
        <v>3705</v>
      </c>
      <c r="E472" s="162" t="s">
        <v>165</v>
      </c>
      <c r="F472" s="162" t="s">
        <v>3706</v>
      </c>
      <c r="G472" s="27">
        <v>15079123471</v>
      </c>
      <c r="H472" s="162" t="s">
        <v>3707</v>
      </c>
      <c r="I472" s="162" t="s">
        <v>156</v>
      </c>
      <c r="J472" s="162" t="s">
        <v>14</v>
      </c>
      <c r="K472" s="27">
        <v>202102011</v>
      </c>
      <c r="L472" s="162" t="s">
        <v>157</v>
      </c>
      <c r="M472" s="162" t="s">
        <v>233</v>
      </c>
      <c r="N472" s="162" t="s">
        <v>3708</v>
      </c>
      <c r="O472" s="162" t="s">
        <v>170</v>
      </c>
      <c r="P472" s="162" t="s">
        <v>216</v>
      </c>
      <c r="Q472" s="162" t="s">
        <v>14</v>
      </c>
      <c r="R472" s="162" t="s">
        <v>3709</v>
      </c>
      <c r="S472" s="118" t="str">
        <f>_xlfn.DISPIMG("ID_BF7D6285C9C043E7887E7AA2FA4C62A7",1)</f>
        <v>=DISPIMG("ID_BF7D6285C9C043E7887E7AA2FA4C62A7",1)</v>
      </c>
      <c r="T472" s="115" t="s">
        <v>3710</v>
      </c>
      <c r="U472" s="127">
        <v>472</v>
      </c>
    </row>
    <row r="473" s="3" customFormat="1" customHeight="1" spans="1:21">
      <c r="A473" s="144">
        <v>44364.8590509259</v>
      </c>
      <c r="B473" s="27" t="s">
        <v>3711</v>
      </c>
      <c r="C473" s="27" t="s">
        <v>1827</v>
      </c>
      <c r="D473" s="162" t="s">
        <v>3712</v>
      </c>
      <c r="E473" s="162" t="s">
        <v>165</v>
      </c>
      <c r="F473" s="162" t="s">
        <v>3713</v>
      </c>
      <c r="G473" s="27">
        <v>18720196269</v>
      </c>
      <c r="H473" s="162" t="s">
        <v>3714</v>
      </c>
      <c r="I473" s="162" t="s">
        <v>278</v>
      </c>
      <c r="J473" s="162" t="s">
        <v>28</v>
      </c>
      <c r="K473" s="27">
        <v>202103001</v>
      </c>
      <c r="L473" s="162" t="s">
        <v>585</v>
      </c>
      <c r="M473" s="162" t="s">
        <v>367</v>
      </c>
      <c r="N473" s="162" t="s">
        <v>2686</v>
      </c>
      <c r="O473" s="162" t="s">
        <v>160</v>
      </c>
      <c r="P473" s="162" t="s">
        <v>3039</v>
      </c>
      <c r="Q473" s="162" t="s">
        <v>3715</v>
      </c>
      <c r="R473" s="162" t="s">
        <v>3716</v>
      </c>
      <c r="S473" s="118" t="str">
        <f>_xlfn.DISPIMG("ID_059DAEED1F3E457C93C0A1610046F2A5",1)</f>
        <v>=DISPIMG("ID_059DAEED1F3E457C93C0A1610046F2A5",1)</v>
      </c>
      <c r="T473" s="115" t="s">
        <v>3717</v>
      </c>
      <c r="U473" s="127">
        <v>473</v>
      </c>
    </row>
    <row r="474" s="3" customFormat="1" customHeight="1" spans="1:21">
      <c r="A474" s="144">
        <v>44364.8660069444</v>
      </c>
      <c r="B474" s="27" t="s">
        <v>3718</v>
      </c>
      <c r="C474" s="27" t="s">
        <v>3719</v>
      </c>
      <c r="D474" s="162" t="s">
        <v>3720</v>
      </c>
      <c r="E474" s="162" t="s">
        <v>165</v>
      </c>
      <c r="F474" s="162" t="s">
        <v>3721</v>
      </c>
      <c r="G474" s="27">
        <v>15970603423</v>
      </c>
      <c r="H474" s="162" t="s">
        <v>3722</v>
      </c>
      <c r="I474" s="162" t="s">
        <v>278</v>
      </c>
      <c r="J474" s="162" t="s">
        <v>28</v>
      </c>
      <c r="K474" s="27">
        <v>202103001</v>
      </c>
      <c r="L474" s="162" t="s">
        <v>157</v>
      </c>
      <c r="M474" s="162" t="s">
        <v>178</v>
      </c>
      <c r="N474" s="162" t="s">
        <v>960</v>
      </c>
      <c r="O474" s="162" t="s">
        <v>170</v>
      </c>
      <c r="P474" s="162" t="s">
        <v>180</v>
      </c>
      <c r="Q474" s="162" t="s">
        <v>340</v>
      </c>
      <c r="R474" s="162" t="s">
        <v>3723</v>
      </c>
      <c r="S474" s="118" t="str">
        <f>_xlfn.DISPIMG("ID_38A4C94876C044A5A6F3E884E1CD36B4",1)</f>
        <v>=DISPIMG("ID_38A4C94876C044A5A6F3E884E1CD36B4",1)</v>
      </c>
      <c r="T474" s="115" t="s">
        <v>3724</v>
      </c>
      <c r="U474" s="127">
        <v>474</v>
      </c>
    </row>
    <row r="475" s="3" customFormat="1" customHeight="1" spans="1:21">
      <c r="A475" s="144">
        <v>44364.8782638889</v>
      </c>
      <c r="B475" s="27" t="s">
        <v>3725</v>
      </c>
      <c r="C475" s="27" t="s">
        <v>3726</v>
      </c>
      <c r="D475" s="162" t="s">
        <v>3727</v>
      </c>
      <c r="E475" s="162" t="s">
        <v>165</v>
      </c>
      <c r="F475" s="162" t="s">
        <v>3728</v>
      </c>
      <c r="G475" s="27">
        <v>18270897422</v>
      </c>
      <c r="H475" s="162" t="s">
        <v>3729</v>
      </c>
      <c r="I475" s="162" t="s">
        <v>297</v>
      </c>
      <c r="J475" s="162" t="s">
        <v>11</v>
      </c>
      <c r="K475" s="27">
        <v>202101031</v>
      </c>
      <c r="L475" s="162" t="s">
        <v>157</v>
      </c>
      <c r="M475" s="162" t="s">
        <v>385</v>
      </c>
      <c r="N475" s="162" t="s">
        <v>1147</v>
      </c>
      <c r="O475" s="162" t="s">
        <v>170</v>
      </c>
      <c r="P475" s="162" t="s">
        <v>368</v>
      </c>
      <c r="Q475" s="162" t="s">
        <v>2882</v>
      </c>
      <c r="R475" s="162" t="s">
        <v>3730</v>
      </c>
      <c r="S475" s="118" t="str">
        <f>_xlfn.DISPIMG("ID_9A8E5B0A21704ED9ACFE9C7380F006F7",1)</f>
        <v>=DISPIMG("ID_9A8E5B0A21704ED9ACFE9C7380F006F7",1)</v>
      </c>
      <c r="T475" s="115" t="s">
        <v>3731</v>
      </c>
      <c r="U475" s="127">
        <v>475</v>
      </c>
    </row>
    <row r="476" s="3" customFormat="1" customHeight="1" spans="1:21">
      <c r="A476" s="144">
        <v>44364.8863078704</v>
      </c>
      <c r="B476" s="27" t="s">
        <v>3732</v>
      </c>
      <c r="C476" s="27" t="s">
        <v>3733</v>
      </c>
      <c r="D476" s="162" t="s">
        <v>3734</v>
      </c>
      <c r="E476" s="162" t="s">
        <v>165</v>
      </c>
      <c r="F476" s="162" t="s">
        <v>3735</v>
      </c>
      <c r="G476" s="27">
        <v>15070233072</v>
      </c>
      <c r="H476" s="162" t="s">
        <v>3736</v>
      </c>
      <c r="I476" s="162" t="s">
        <v>156</v>
      </c>
      <c r="J476" s="162" t="s">
        <v>8</v>
      </c>
      <c r="K476" s="27">
        <v>202102002</v>
      </c>
      <c r="L476" s="162" t="s">
        <v>157</v>
      </c>
      <c r="M476" s="162" t="s">
        <v>3737</v>
      </c>
      <c r="N476" s="162" t="s">
        <v>3738</v>
      </c>
      <c r="O476" s="162" t="s">
        <v>160</v>
      </c>
      <c r="P476" s="162" t="s">
        <v>171</v>
      </c>
      <c r="Q476" s="162" t="s">
        <v>8</v>
      </c>
      <c r="R476" s="162" t="s">
        <v>3739</v>
      </c>
      <c r="S476" s="118" t="str">
        <f>_xlfn.DISPIMG("ID_B7F470084B4940CBBF67BF60A043E6F0",1)</f>
        <v>=DISPIMG("ID_B7F470084B4940CBBF67BF60A043E6F0",1)</v>
      </c>
      <c r="T476" s="115" t="s">
        <v>3740</v>
      </c>
      <c r="U476" s="127">
        <v>476</v>
      </c>
    </row>
    <row r="477" s="3" customFormat="1" customHeight="1" spans="1:21">
      <c r="A477" s="144">
        <v>44364.8897569444</v>
      </c>
      <c r="B477" s="27" t="s">
        <v>3741</v>
      </c>
      <c r="C477" s="27" t="s">
        <v>3742</v>
      </c>
      <c r="D477" s="162" t="s">
        <v>3743</v>
      </c>
      <c r="E477" s="162" t="s">
        <v>165</v>
      </c>
      <c r="F477" s="162" t="s">
        <v>3744</v>
      </c>
      <c r="G477" s="27">
        <v>15679201300</v>
      </c>
      <c r="H477" s="162" t="s">
        <v>3745</v>
      </c>
      <c r="I477" s="162" t="s">
        <v>156</v>
      </c>
      <c r="J477" s="162" t="s">
        <v>6</v>
      </c>
      <c r="K477" s="27">
        <v>202102012</v>
      </c>
      <c r="L477" s="162" t="s">
        <v>157</v>
      </c>
      <c r="M477" s="162" t="s">
        <v>437</v>
      </c>
      <c r="N477" s="162" t="s">
        <v>3746</v>
      </c>
      <c r="O477" s="162" t="s">
        <v>160</v>
      </c>
      <c r="P477" s="162" t="s">
        <v>216</v>
      </c>
      <c r="Q477" s="162" t="s">
        <v>18</v>
      </c>
      <c r="R477" s="162" t="s">
        <v>3747</v>
      </c>
      <c r="S477" s="118" t="str">
        <f>_xlfn.DISPIMG("ID_B41ADE81115D4115B428E62357BC8F70",1)</f>
        <v>=DISPIMG("ID_B41ADE81115D4115B428E62357BC8F70",1)</v>
      </c>
      <c r="T477" s="115" t="s">
        <v>3748</v>
      </c>
      <c r="U477" s="127">
        <v>477</v>
      </c>
    </row>
    <row r="478" s="3" customFormat="1" customHeight="1" spans="1:21">
      <c r="A478" s="144">
        <v>44364.902025463</v>
      </c>
      <c r="B478" s="27" t="s">
        <v>3749</v>
      </c>
      <c r="C478" s="27" t="s">
        <v>3750</v>
      </c>
      <c r="D478" s="162" t="s">
        <v>3751</v>
      </c>
      <c r="E478" s="162" t="s">
        <v>153</v>
      </c>
      <c r="F478" s="162" t="s">
        <v>3752</v>
      </c>
      <c r="G478" s="27">
        <v>15180696881</v>
      </c>
      <c r="H478" s="162" t="s">
        <v>3753</v>
      </c>
      <c r="I478" s="162" t="s">
        <v>384</v>
      </c>
      <c r="J478" s="162" t="s">
        <v>21</v>
      </c>
      <c r="K478" s="27">
        <v>202101023</v>
      </c>
      <c r="L478" s="162" t="s">
        <v>157</v>
      </c>
      <c r="M478" s="162" t="s">
        <v>827</v>
      </c>
      <c r="N478" s="162" t="s">
        <v>682</v>
      </c>
      <c r="O478" s="162" t="s">
        <v>170</v>
      </c>
      <c r="P478" s="162" t="s">
        <v>161</v>
      </c>
      <c r="Q478" s="162" t="s">
        <v>3754</v>
      </c>
      <c r="R478" s="27">
        <v>0</v>
      </c>
      <c r="S478" s="118" t="str">
        <f>_xlfn.DISPIMG("ID_0C4C873C986C4E8A8DE913748576F208",1)</f>
        <v>=DISPIMG("ID_0C4C873C986C4E8A8DE913748576F208",1)</v>
      </c>
      <c r="T478" s="115" t="s">
        <v>3755</v>
      </c>
      <c r="U478" s="127">
        <v>478</v>
      </c>
    </row>
    <row r="479" s="3" customFormat="1" customHeight="1" spans="1:21">
      <c r="A479" s="144">
        <v>44364.9114583333</v>
      </c>
      <c r="B479" s="27" t="s">
        <v>3756</v>
      </c>
      <c r="C479" s="27" t="s">
        <v>3757</v>
      </c>
      <c r="D479" s="162" t="s">
        <v>3758</v>
      </c>
      <c r="E479" s="162" t="s">
        <v>165</v>
      </c>
      <c r="F479" s="162" t="s">
        <v>3759</v>
      </c>
      <c r="G479" s="27">
        <v>15946993908</v>
      </c>
      <c r="H479" s="162" t="s">
        <v>3760</v>
      </c>
      <c r="I479" s="162" t="s">
        <v>156</v>
      </c>
      <c r="J479" s="162" t="s">
        <v>6</v>
      </c>
      <c r="K479" s="27">
        <v>202102012</v>
      </c>
      <c r="L479" s="162" t="s">
        <v>157</v>
      </c>
      <c r="M479" s="162" t="s">
        <v>3761</v>
      </c>
      <c r="N479" s="162" t="s">
        <v>404</v>
      </c>
      <c r="O479" s="162" t="s">
        <v>160</v>
      </c>
      <c r="P479" s="162" t="s">
        <v>252</v>
      </c>
      <c r="Q479" s="162" t="s">
        <v>6</v>
      </c>
      <c r="R479" s="162" t="s">
        <v>3762</v>
      </c>
      <c r="S479" s="118" t="str">
        <f>_xlfn.DISPIMG("ID_C2F02D4F7B2D4545A16075F83680F752",1)</f>
        <v>=DISPIMG("ID_C2F02D4F7B2D4545A16075F83680F752",1)</v>
      </c>
      <c r="T479" s="115" t="s">
        <v>3763</v>
      </c>
      <c r="U479" s="127">
        <v>479</v>
      </c>
    </row>
    <row r="480" s="3" customFormat="1" customHeight="1" spans="1:21">
      <c r="A480" s="144">
        <v>44364.9224421296</v>
      </c>
      <c r="B480" s="27" t="s">
        <v>3764</v>
      </c>
      <c r="C480" s="27" t="s">
        <v>3765</v>
      </c>
      <c r="D480" s="162" t="s">
        <v>3766</v>
      </c>
      <c r="E480" s="162" t="s">
        <v>165</v>
      </c>
      <c r="F480" s="162" t="s">
        <v>3767</v>
      </c>
      <c r="G480" s="27">
        <v>18079224740</v>
      </c>
      <c r="H480" s="162" t="s">
        <v>3768</v>
      </c>
      <c r="I480" s="162" t="s">
        <v>156</v>
      </c>
      <c r="J480" s="162" t="s">
        <v>8</v>
      </c>
      <c r="K480" s="27">
        <v>202102002</v>
      </c>
      <c r="L480" s="162" t="s">
        <v>157</v>
      </c>
      <c r="M480" s="162" t="s">
        <v>233</v>
      </c>
      <c r="N480" s="162" t="s">
        <v>3769</v>
      </c>
      <c r="O480" s="162" t="s">
        <v>160</v>
      </c>
      <c r="P480" s="162" t="s">
        <v>1089</v>
      </c>
      <c r="Q480" s="162" t="s">
        <v>8</v>
      </c>
      <c r="R480" s="27">
        <v>0</v>
      </c>
      <c r="S480" s="118" t="str">
        <f>_xlfn.DISPIMG("ID_2E7FF83B7D12427491B1BA1300A2CD7A",1)</f>
        <v>=DISPIMG("ID_2E7FF83B7D12427491B1BA1300A2CD7A",1)</v>
      </c>
      <c r="T480" s="115" t="s">
        <v>3770</v>
      </c>
      <c r="U480" s="127">
        <v>480</v>
      </c>
    </row>
    <row r="481" s="3" customFormat="1" customHeight="1" spans="1:21">
      <c r="A481" s="144">
        <v>44364.9230092593</v>
      </c>
      <c r="B481" s="27" t="s">
        <v>3771</v>
      </c>
      <c r="C481" s="27" t="s">
        <v>3772</v>
      </c>
      <c r="D481" s="162" t="s">
        <v>3773</v>
      </c>
      <c r="E481" s="162" t="s">
        <v>165</v>
      </c>
      <c r="F481" s="162" t="s">
        <v>3774</v>
      </c>
      <c r="G481" s="27">
        <v>15083553694</v>
      </c>
      <c r="H481" s="162" t="s">
        <v>3775</v>
      </c>
      <c r="I481" s="162" t="s">
        <v>156</v>
      </c>
      <c r="J481" s="162" t="s">
        <v>14</v>
      </c>
      <c r="K481" s="27">
        <v>202102001</v>
      </c>
      <c r="L481" s="162" t="s">
        <v>279</v>
      </c>
      <c r="M481" s="162" t="s">
        <v>178</v>
      </c>
      <c r="N481" s="162" t="s">
        <v>348</v>
      </c>
      <c r="O481" s="162" t="s">
        <v>170</v>
      </c>
      <c r="P481" s="162" t="s">
        <v>180</v>
      </c>
      <c r="Q481" s="162" t="s">
        <v>14</v>
      </c>
      <c r="R481" s="162" t="s">
        <v>3776</v>
      </c>
      <c r="S481" s="118" t="str">
        <f>_xlfn.DISPIMG("ID_CF1C1431032D4C21956EAEFBC2630095",1)</f>
        <v>=DISPIMG("ID_CF1C1431032D4C21956EAEFBC2630095",1)</v>
      </c>
      <c r="T481" s="115" t="s">
        <v>3777</v>
      </c>
      <c r="U481" s="127">
        <v>481</v>
      </c>
    </row>
    <row r="482" s="3" customFormat="1" customHeight="1" spans="1:21">
      <c r="A482" s="144">
        <v>44364.9244328704</v>
      </c>
      <c r="B482" s="27" t="s">
        <v>3778</v>
      </c>
      <c r="C482" s="27" t="s">
        <v>3779</v>
      </c>
      <c r="D482" s="162" t="s">
        <v>3780</v>
      </c>
      <c r="E482" s="162" t="s">
        <v>165</v>
      </c>
      <c r="F482" s="162" t="s">
        <v>3781</v>
      </c>
      <c r="G482" s="27">
        <v>18372112404</v>
      </c>
      <c r="H482" s="162" t="s">
        <v>3782</v>
      </c>
      <c r="I482" s="162" t="s">
        <v>156</v>
      </c>
      <c r="J482" s="162" t="s">
        <v>6</v>
      </c>
      <c r="K482" s="27">
        <v>202102012</v>
      </c>
      <c r="L482" s="162" t="s">
        <v>157</v>
      </c>
      <c r="M482" s="162" t="s">
        <v>3783</v>
      </c>
      <c r="N482" s="162" t="s">
        <v>3784</v>
      </c>
      <c r="O482" s="162" t="s">
        <v>160</v>
      </c>
      <c r="P482" s="162" t="s">
        <v>252</v>
      </c>
      <c r="Q482" s="162" t="s">
        <v>6</v>
      </c>
      <c r="R482" s="162" t="s">
        <v>3785</v>
      </c>
      <c r="S482" s="118" t="str">
        <f>_xlfn.DISPIMG("ID_D2BC3DB6B6B24D07A1729D0ECE731594",1)</f>
        <v>=DISPIMG("ID_D2BC3DB6B6B24D07A1729D0ECE731594",1)</v>
      </c>
      <c r="T482" s="115" t="s">
        <v>3786</v>
      </c>
      <c r="U482" s="127">
        <v>482</v>
      </c>
    </row>
    <row r="483" s="3" customFormat="1" customHeight="1" spans="1:21">
      <c r="A483" s="144">
        <v>44364.9341319444</v>
      </c>
      <c r="B483" s="27" t="s">
        <v>3787</v>
      </c>
      <c r="C483" s="27" t="s">
        <v>3788</v>
      </c>
      <c r="D483" s="162" t="s">
        <v>3789</v>
      </c>
      <c r="E483" s="162" t="s">
        <v>165</v>
      </c>
      <c r="F483" s="162" t="s">
        <v>3790</v>
      </c>
      <c r="G483" s="27">
        <v>15979943806</v>
      </c>
      <c r="H483" s="162" t="s">
        <v>3791</v>
      </c>
      <c r="I483" s="162" t="s">
        <v>384</v>
      </c>
      <c r="J483" s="162" t="s">
        <v>25</v>
      </c>
      <c r="K483" s="27">
        <v>202101007</v>
      </c>
      <c r="L483" s="162" t="s">
        <v>157</v>
      </c>
      <c r="M483" s="162" t="s">
        <v>2874</v>
      </c>
      <c r="N483" s="162" t="s">
        <v>3792</v>
      </c>
      <c r="O483" s="162" t="s">
        <v>170</v>
      </c>
      <c r="P483" s="162" t="s">
        <v>216</v>
      </c>
      <c r="Q483" s="162" t="s">
        <v>25</v>
      </c>
      <c r="R483" s="162" t="s">
        <v>3793</v>
      </c>
      <c r="S483" s="118" t="str">
        <f>_xlfn.DISPIMG("ID_7E3A3C48C46B4922B18A5C2AD1587AC0",1)</f>
        <v>=DISPIMG("ID_7E3A3C48C46B4922B18A5C2AD1587AC0",1)</v>
      </c>
      <c r="T483" s="115" t="s">
        <v>3794</v>
      </c>
      <c r="U483" s="127">
        <v>483</v>
      </c>
    </row>
    <row r="484" s="3" customFormat="1" customHeight="1" spans="1:21">
      <c r="A484" s="144">
        <v>44364.9346875</v>
      </c>
      <c r="B484" s="27" t="s">
        <v>3795</v>
      </c>
      <c r="C484" s="27" t="s">
        <v>3796</v>
      </c>
      <c r="D484" s="162" t="s">
        <v>3797</v>
      </c>
      <c r="E484" s="162" t="s">
        <v>165</v>
      </c>
      <c r="F484" s="162" t="s">
        <v>3798</v>
      </c>
      <c r="G484" s="27">
        <v>15879245873</v>
      </c>
      <c r="H484" s="162" t="s">
        <v>3799</v>
      </c>
      <c r="I484" s="162" t="s">
        <v>506</v>
      </c>
      <c r="J484" s="162" t="s">
        <v>6</v>
      </c>
      <c r="K484" s="27">
        <v>202102021</v>
      </c>
      <c r="L484" s="162" t="s">
        <v>157</v>
      </c>
      <c r="M484" s="162" t="s">
        <v>158</v>
      </c>
      <c r="N484" s="162" t="s">
        <v>188</v>
      </c>
      <c r="O484" s="162" t="s">
        <v>160</v>
      </c>
      <c r="P484" s="162" t="s">
        <v>306</v>
      </c>
      <c r="Q484" s="162" t="s">
        <v>3800</v>
      </c>
      <c r="R484" s="27">
        <v>0</v>
      </c>
      <c r="S484" s="118" t="str">
        <f>_xlfn.DISPIMG("ID_B80DCC3A028B4FB2A6977287EC2BFAD8",1)</f>
        <v>=DISPIMG("ID_B80DCC3A028B4FB2A6977287EC2BFAD8",1)</v>
      </c>
      <c r="T484" s="115" t="s">
        <v>3801</v>
      </c>
      <c r="U484" s="127">
        <v>484</v>
      </c>
    </row>
    <row r="485" s="3" customFormat="1" customHeight="1" spans="1:21">
      <c r="A485" s="144">
        <v>44364.9381597222</v>
      </c>
      <c r="B485" s="27" t="s">
        <v>3802</v>
      </c>
      <c r="C485" s="27" t="s">
        <v>3803</v>
      </c>
      <c r="D485" s="162" t="s">
        <v>3804</v>
      </c>
      <c r="E485" s="162" t="s">
        <v>165</v>
      </c>
      <c r="F485" s="162" t="s">
        <v>3805</v>
      </c>
      <c r="G485" s="27">
        <v>18859568610</v>
      </c>
      <c r="H485" s="162" t="s">
        <v>3806</v>
      </c>
      <c r="I485" s="162" t="s">
        <v>156</v>
      </c>
      <c r="J485" s="162" t="s">
        <v>13</v>
      </c>
      <c r="K485" s="27">
        <v>202102003</v>
      </c>
      <c r="L485" s="162" t="s">
        <v>157</v>
      </c>
      <c r="M485" s="162" t="s">
        <v>2943</v>
      </c>
      <c r="N485" s="162" t="s">
        <v>179</v>
      </c>
      <c r="O485" s="162" t="s">
        <v>160</v>
      </c>
      <c r="P485" s="162" t="s">
        <v>235</v>
      </c>
      <c r="Q485" s="162" t="s">
        <v>1187</v>
      </c>
      <c r="R485" s="162" t="s">
        <v>3807</v>
      </c>
      <c r="S485" s="118" t="str">
        <f>_xlfn.DISPIMG("ID_958C237DE20E4119882FD97115456597",1)</f>
        <v>=DISPIMG("ID_958C237DE20E4119882FD97115456597",1)</v>
      </c>
      <c r="T485" s="115" t="s">
        <v>3808</v>
      </c>
      <c r="U485" s="127">
        <v>485</v>
      </c>
    </row>
    <row r="486" s="3" customFormat="1" customHeight="1" spans="1:21">
      <c r="A486" s="144">
        <v>44364.9436689815</v>
      </c>
      <c r="B486" s="27" t="s">
        <v>3809</v>
      </c>
      <c r="C486" s="27" t="s">
        <v>3810</v>
      </c>
      <c r="D486" s="162" t="s">
        <v>3811</v>
      </c>
      <c r="E486" s="162" t="s">
        <v>165</v>
      </c>
      <c r="F486" s="162" t="s">
        <v>3812</v>
      </c>
      <c r="G486" s="27">
        <v>18970830560</v>
      </c>
      <c r="H486" s="162" t="s">
        <v>3813</v>
      </c>
      <c r="I486" s="162" t="s">
        <v>156</v>
      </c>
      <c r="J486" s="162" t="s">
        <v>8</v>
      </c>
      <c r="K486" s="27">
        <v>202102002</v>
      </c>
      <c r="L486" s="162" t="s">
        <v>157</v>
      </c>
      <c r="M486" s="162" t="s">
        <v>2483</v>
      </c>
      <c r="N486" s="162" t="s">
        <v>1832</v>
      </c>
      <c r="O486" s="162" t="s">
        <v>160</v>
      </c>
      <c r="P486" s="162" t="s">
        <v>349</v>
      </c>
      <c r="Q486" s="162" t="s">
        <v>8</v>
      </c>
      <c r="R486" s="27">
        <v>0</v>
      </c>
      <c r="S486" s="118" t="str">
        <f>_xlfn.DISPIMG("ID_E15E0A7D91AC4C3983241BCD063880D6",1)</f>
        <v>=DISPIMG("ID_E15E0A7D91AC4C3983241BCD063880D6",1)</v>
      </c>
      <c r="T486" s="115" t="s">
        <v>3814</v>
      </c>
      <c r="U486" s="127">
        <v>486</v>
      </c>
    </row>
    <row r="487" s="3" customFormat="1" customHeight="1" spans="1:21">
      <c r="A487" s="144">
        <v>44364.9557523148</v>
      </c>
      <c r="B487" s="27" t="s">
        <v>3815</v>
      </c>
      <c r="C487" s="27" t="s">
        <v>3816</v>
      </c>
      <c r="D487" s="162" t="s">
        <v>3817</v>
      </c>
      <c r="E487" s="162" t="s">
        <v>165</v>
      </c>
      <c r="F487" s="162" t="s">
        <v>3818</v>
      </c>
      <c r="G487" s="27">
        <v>13002997695</v>
      </c>
      <c r="H487" s="162" t="s">
        <v>3819</v>
      </c>
      <c r="I487" s="162" t="s">
        <v>156</v>
      </c>
      <c r="J487" s="162" t="s">
        <v>4</v>
      </c>
      <c r="K487" s="27">
        <v>202102005</v>
      </c>
      <c r="L487" s="162" t="s">
        <v>157</v>
      </c>
      <c r="M487" s="162" t="s">
        <v>3820</v>
      </c>
      <c r="N487" s="162" t="s">
        <v>3821</v>
      </c>
      <c r="O487" s="162" t="s">
        <v>160</v>
      </c>
      <c r="P487" s="162" t="s">
        <v>199</v>
      </c>
      <c r="Q487" s="162" t="s">
        <v>4</v>
      </c>
      <c r="R487" s="162" t="s">
        <v>3822</v>
      </c>
      <c r="S487" s="118" t="str">
        <f>_xlfn.DISPIMG("ID_F12BD6FEE7C74060A499738E5A967A51",1)</f>
        <v>=DISPIMG("ID_F12BD6FEE7C74060A499738E5A967A51",1)</v>
      </c>
      <c r="T487" s="115" t="s">
        <v>3823</v>
      </c>
      <c r="U487" s="127">
        <v>487</v>
      </c>
    </row>
    <row r="488" s="3" customFormat="1" customHeight="1" spans="1:21">
      <c r="A488" s="144">
        <v>44364.9589583333</v>
      </c>
      <c r="B488" s="27" t="s">
        <v>3824</v>
      </c>
      <c r="C488" s="27" t="s">
        <v>3825</v>
      </c>
      <c r="D488" s="162" t="s">
        <v>3826</v>
      </c>
      <c r="E488" s="162" t="s">
        <v>165</v>
      </c>
      <c r="F488" s="162" t="s">
        <v>3827</v>
      </c>
      <c r="G488" s="27">
        <v>18379207307</v>
      </c>
      <c r="H488" s="162" t="s">
        <v>3828</v>
      </c>
      <c r="I488" s="162" t="s">
        <v>156</v>
      </c>
      <c r="J488" s="162" t="s">
        <v>13</v>
      </c>
      <c r="K488" s="27">
        <v>202102003</v>
      </c>
      <c r="L488" s="162" t="s">
        <v>279</v>
      </c>
      <c r="M488" s="162" t="s">
        <v>158</v>
      </c>
      <c r="N488" s="162" t="s">
        <v>223</v>
      </c>
      <c r="O488" s="162" t="s">
        <v>170</v>
      </c>
      <c r="P488" s="162" t="s">
        <v>180</v>
      </c>
      <c r="Q488" s="162" t="s">
        <v>487</v>
      </c>
      <c r="R488" s="162" t="s">
        <v>3829</v>
      </c>
      <c r="S488" s="118" t="str">
        <f>_xlfn.DISPIMG("ID_0F27C17184DB40E4ADCCEAF2E242F8D5",1)</f>
        <v>=DISPIMG("ID_0F27C17184DB40E4ADCCEAF2E242F8D5",1)</v>
      </c>
      <c r="T488" s="115" t="s">
        <v>3830</v>
      </c>
      <c r="U488" s="127">
        <v>488</v>
      </c>
    </row>
    <row r="489" s="3" customFormat="1" customHeight="1" spans="1:21">
      <c r="A489" s="144">
        <v>44364.9748032407</v>
      </c>
      <c r="B489" s="27" t="s">
        <v>3831</v>
      </c>
      <c r="C489" s="27" t="s">
        <v>3832</v>
      </c>
      <c r="D489" s="162" t="s">
        <v>3833</v>
      </c>
      <c r="E489" s="162" t="s">
        <v>153</v>
      </c>
      <c r="F489" s="162" t="s">
        <v>3834</v>
      </c>
      <c r="G489" s="27">
        <v>15970472554</v>
      </c>
      <c r="H489" s="162" t="s">
        <v>3835</v>
      </c>
      <c r="I489" s="162" t="s">
        <v>268</v>
      </c>
      <c r="J489" s="162" t="s">
        <v>16</v>
      </c>
      <c r="K489" s="27">
        <v>202101011</v>
      </c>
      <c r="L489" s="162" t="s">
        <v>705</v>
      </c>
      <c r="M489" s="162" t="s">
        <v>1654</v>
      </c>
      <c r="N489" s="162" t="s">
        <v>3836</v>
      </c>
      <c r="O489" s="162" t="s">
        <v>160</v>
      </c>
      <c r="P489" s="162" t="s">
        <v>235</v>
      </c>
      <c r="Q489" s="162" t="s">
        <v>16</v>
      </c>
      <c r="R489" s="162" t="s">
        <v>3837</v>
      </c>
      <c r="S489" s="118" t="str">
        <f>_xlfn.DISPIMG("ID_34928AEB616641BE854DC3D58FC2EECD",1)</f>
        <v>=DISPIMG("ID_34928AEB616641BE854DC3D58FC2EECD",1)</v>
      </c>
      <c r="T489" s="115" t="s">
        <v>3838</v>
      </c>
      <c r="U489" s="127">
        <v>489</v>
      </c>
    </row>
    <row r="490" s="3" customFormat="1" customHeight="1" spans="1:21">
      <c r="A490" s="144">
        <v>44365.0083217593</v>
      </c>
      <c r="B490" s="27" t="s">
        <v>3839</v>
      </c>
      <c r="C490" s="27" t="s">
        <v>3840</v>
      </c>
      <c r="D490" s="162" t="s">
        <v>3841</v>
      </c>
      <c r="E490" s="162" t="s">
        <v>165</v>
      </c>
      <c r="F490" s="162" t="s">
        <v>3842</v>
      </c>
      <c r="G490" s="27">
        <v>13177873876</v>
      </c>
      <c r="H490" s="162" t="s">
        <v>3843</v>
      </c>
      <c r="I490" s="162" t="s">
        <v>156</v>
      </c>
      <c r="J490" s="162" t="s">
        <v>15</v>
      </c>
      <c r="K490" s="27">
        <v>202102007</v>
      </c>
      <c r="L490" s="162" t="s">
        <v>157</v>
      </c>
      <c r="M490" s="162" t="s">
        <v>233</v>
      </c>
      <c r="N490" s="162" t="s">
        <v>169</v>
      </c>
      <c r="O490" s="162" t="s">
        <v>170</v>
      </c>
      <c r="P490" s="162" t="s">
        <v>3844</v>
      </c>
      <c r="Q490" s="162" t="s">
        <v>3845</v>
      </c>
      <c r="R490" s="162" t="s">
        <v>3846</v>
      </c>
      <c r="S490" s="118" t="str">
        <f>_xlfn.DISPIMG("ID_0D39E07DE3FA4F1EAFE382357648332E",1)</f>
        <v>=DISPIMG("ID_0D39E07DE3FA4F1EAFE382357648332E",1)</v>
      </c>
      <c r="T490" s="115" t="s">
        <v>3847</v>
      </c>
      <c r="U490" s="127">
        <v>490</v>
      </c>
    </row>
    <row r="491" s="3" customFormat="1" customHeight="1" spans="1:21">
      <c r="A491" s="144">
        <v>44365.0769212963</v>
      </c>
      <c r="B491" s="27" t="s">
        <v>3848</v>
      </c>
      <c r="C491" s="27" t="s">
        <v>3849</v>
      </c>
      <c r="D491" s="162" t="s">
        <v>3850</v>
      </c>
      <c r="E491" s="162" t="s">
        <v>165</v>
      </c>
      <c r="F491" s="162" t="s">
        <v>3851</v>
      </c>
      <c r="G491" s="27">
        <v>15797695028</v>
      </c>
      <c r="H491" s="162" t="s">
        <v>3852</v>
      </c>
      <c r="I491" s="162" t="s">
        <v>156</v>
      </c>
      <c r="J491" s="162" t="s">
        <v>8</v>
      </c>
      <c r="K491" s="27">
        <v>202102002</v>
      </c>
      <c r="L491" s="162" t="s">
        <v>157</v>
      </c>
      <c r="M491" s="162" t="s">
        <v>233</v>
      </c>
      <c r="N491" s="162" t="s">
        <v>3853</v>
      </c>
      <c r="O491" s="162" t="s">
        <v>160</v>
      </c>
      <c r="P491" s="162" t="s">
        <v>235</v>
      </c>
      <c r="Q491" s="162" t="s">
        <v>3854</v>
      </c>
      <c r="R491" s="27">
        <v>0</v>
      </c>
      <c r="S491" s="118" t="str">
        <f>_xlfn.DISPIMG("ID_84872379004C4F22BC15C75702A4DBC9",1)</f>
        <v>=DISPIMG("ID_84872379004C4F22BC15C75702A4DBC9",1)</v>
      </c>
      <c r="T491" s="115" t="s">
        <v>3855</v>
      </c>
      <c r="U491" s="127">
        <v>491</v>
      </c>
    </row>
    <row r="492" s="3" customFormat="1" customHeight="1" spans="1:21">
      <c r="A492" s="144">
        <v>44365.2715625</v>
      </c>
      <c r="B492" s="27" t="s">
        <v>3856</v>
      </c>
      <c r="C492" s="27" t="s">
        <v>3857</v>
      </c>
      <c r="D492" s="162" t="s">
        <v>3858</v>
      </c>
      <c r="E492" s="162" t="s">
        <v>165</v>
      </c>
      <c r="F492" s="162" t="s">
        <v>3859</v>
      </c>
      <c r="G492" s="27">
        <v>15374225748</v>
      </c>
      <c r="H492" s="162" t="s">
        <v>3860</v>
      </c>
      <c r="I492" s="162" t="s">
        <v>156</v>
      </c>
      <c r="J492" s="162" t="s">
        <v>14</v>
      </c>
      <c r="K492" s="27">
        <v>202102001</v>
      </c>
      <c r="L492" s="162" t="s">
        <v>279</v>
      </c>
      <c r="M492" s="162" t="s">
        <v>3861</v>
      </c>
      <c r="N492" s="162" t="s">
        <v>298</v>
      </c>
      <c r="O492" s="162" t="s">
        <v>160</v>
      </c>
      <c r="P492" s="162" t="s">
        <v>805</v>
      </c>
      <c r="Q492" s="162" t="s">
        <v>121</v>
      </c>
      <c r="R492" s="27">
        <v>0</v>
      </c>
      <c r="S492" s="118" t="str">
        <f>_xlfn.DISPIMG("ID_8CF8C6C0A559454996AB6FB606BDA1DD",1)</f>
        <v>=DISPIMG("ID_8CF8C6C0A559454996AB6FB606BDA1DD",1)</v>
      </c>
      <c r="T492" s="115" t="s">
        <v>3862</v>
      </c>
      <c r="U492" s="127">
        <v>492</v>
      </c>
    </row>
    <row r="493" s="3" customFormat="1" customHeight="1" spans="1:21">
      <c r="A493" s="144">
        <v>44365.3315162037</v>
      </c>
      <c r="B493" s="27" t="s">
        <v>3863</v>
      </c>
      <c r="C493" s="27" t="s">
        <v>3864</v>
      </c>
      <c r="D493" s="162" t="s">
        <v>3865</v>
      </c>
      <c r="E493" s="162" t="s">
        <v>165</v>
      </c>
      <c r="F493" s="162" t="s">
        <v>3866</v>
      </c>
      <c r="G493" s="27">
        <v>18879267212</v>
      </c>
      <c r="H493" s="162" t="s">
        <v>3867</v>
      </c>
      <c r="I493" s="162" t="s">
        <v>156</v>
      </c>
      <c r="J493" s="162" t="s">
        <v>8</v>
      </c>
      <c r="K493" s="27">
        <v>202102002</v>
      </c>
      <c r="L493" s="162" t="s">
        <v>157</v>
      </c>
      <c r="M493" s="162" t="s">
        <v>827</v>
      </c>
      <c r="N493" s="162" t="s">
        <v>270</v>
      </c>
      <c r="O493" s="162" t="s">
        <v>170</v>
      </c>
      <c r="P493" s="162" t="s">
        <v>171</v>
      </c>
      <c r="Q493" s="162" t="s">
        <v>3868</v>
      </c>
      <c r="R493" s="162" t="s">
        <v>3869</v>
      </c>
      <c r="S493" s="118" t="str">
        <f>_xlfn.DISPIMG("ID_60BA691C89BB46A3A629500DC48B1B82",1)</f>
        <v>=DISPIMG("ID_60BA691C89BB46A3A629500DC48B1B82",1)</v>
      </c>
      <c r="T493" s="115" t="s">
        <v>3870</v>
      </c>
      <c r="U493" s="127">
        <v>493</v>
      </c>
    </row>
    <row r="494" s="3" customFormat="1" customHeight="1" spans="1:21">
      <c r="A494" s="144">
        <v>44365.3502662037</v>
      </c>
      <c r="B494" s="27" t="s">
        <v>3871</v>
      </c>
      <c r="C494" s="27" t="s">
        <v>3872</v>
      </c>
      <c r="D494" s="162" t="s">
        <v>3873</v>
      </c>
      <c r="E494" s="162" t="s">
        <v>153</v>
      </c>
      <c r="F494" s="162" t="s">
        <v>3874</v>
      </c>
      <c r="G494" s="27">
        <v>13317434772</v>
      </c>
      <c r="H494" s="162" t="s">
        <v>3875</v>
      </c>
      <c r="I494" s="162" t="s">
        <v>156</v>
      </c>
      <c r="J494" s="162" t="s">
        <v>5</v>
      </c>
      <c r="K494" s="27">
        <v>202102008</v>
      </c>
      <c r="L494" s="162" t="s">
        <v>157</v>
      </c>
      <c r="M494" s="162" t="s">
        <v>3876</v>
      </c>
      <c r="N494" s="162" t="s">
        <v>290</v>
      </c>
      <c r="O494" s="162" t="s">
        <v>170</v>
      </c>
      <c r="P494" s="162" t="s">
        <v>171</v>
      </c>
      <c r="Q494" s="162" t="s">
        <v>1064</v>
      </c>
      <c r="R494" s="162" t="s">
        <v>3877</v>
      </c>
      <c r="S494" s="118" t="str">
        <f>_xlfn.DISPIMG("ID_707B86616C5E4D0A96852FA2ECC7652E",1)</f>
        <v>=DISPIMG("ID_707B86616C5E4D0A96852FA2ECC7652E",1)</v>
      </c>
      <c r="T494" s="115" t="s">
        <v>3878</v>
      </c>
      <c r="U494" s="127">
        <v>494</v>
      </c>
    </row>
    <row r="495" s="3" customFormat="1" customHeight="1" spans="1:21">
      <c r="A495" s="144">
        <v>44365.3771527778</v>
      </c>
      <c r="B495" s="27" t="s">
        <v>3879</v>
      </c>
      <c r="C495" s="27" t="s">
        <v>3880</v>
      </c>
      <c r="D495" s="162" t="s">
        <v>3881</v>
      </c>
      <c r="E495" s="162" t="s">
        <v>165</v>
      </c>
      <c r="F495" s="162" t="s">
        <v>3882</v>
      </c>
      <c r="G495" s="27">
        <v>18770914505</v>
      </c>
      <c r="H495" s="162" t="s">
        <v>3883</v>
      </c>
      <c r="I495" s="162" t="s">
        <v>156</v>
      </c>
      <c r="J495" s="162" t="s">
        <v>14</v>
      </c>
      <c r="K495" s="27">
        <v>202102001</v>
      </c>
      <c r="L495" s="162" t="s">
        <v>279</v>
      </c>
      <c r="M495" s="162" t="s">
        <v>178</v>
      </c>
      <c r="N495" s="162" t="s">
        <v>348</v>
      </c>
      <c r="O495" s="162" t="s">
        <v>170</v>
      </c>
      <c r="P495" s="162" t="s">
        <v>281</v>
      </c>
      <c r="Q495" s="162" t="s">
        <v>498</v>
      </c>
      <c r="R495" s="162" t="s">
        <v>3884</v>
      </c>
      <c r="S495" s="118" t="str">
        <f>_xlfn.DISPIMG("ID_3C6B462D1CF047DC951D0874F80418DC",1)</f>
        <v>=DISPIMG("ID_3C6B462D1CF047DC951D0874F80418DC",1)</v>
      </c>
      <c r="T495" s="115" t="s">
        <v>3885</v>
      </c>
      <c r="U495" s="127">
        <v>495</v>
      </c>
    </row>
    <row r="496" s="3" customFormat="1" customHeight="1" spans="1:21">
      <c r="A496" s="144">
        <v>44365.3990509259</v>
      </c>
      <c r="B496" s="27" t="s">
        <v>3886</v>
      </c>
      <c r="C496" s="27" t="s">
        <v>3887</v>
      </c>
      <c r="D496" s="162" t="s">
        <v>3888</v>
      </c>
      <c r="E496" s="162" t="s">
        <v>165</v>
      </c>
      <c r="F496" s="162" t="s">
        <v>3889</v>
      </c>
      <c r="G496" s="27">
        <v>15949598955</v>
      </c>
      <c r="H496" s="162" t="s">
        <v>3890</v>
      </c>
      <c r="I496" s="162" t="s">
        <v>156</v>
      </c>
      <c r="J496" s="162" t="s">
        <v>14</v>
      </c>
      <c r="K496" s="27">
        <v>202102001</v>
      </c>
      <c r="L496" s="162" t="s">
        <v>279</v>
      </c>
      <c r="M496" s="162" t="s">
        <v>367</v>
      </c>
      <c r="N496" s="162" t="s">
        <v>348</v>
      </c>
      <c r="O496" s="162" t="s">
        <v>170</v>
      </c>
      <c r="P496" s="162" t="s">
        <v>587</v>
      </c>
      <c r="Q496" s="162" t="s">
        <v>14</v>
      </c>
      <c r="R496" s="162" t="s">
        <v>3891</v>
      </c>
      <c r="S496" s="118" t="str">
        <f>_xlfn.DISPIMG("ID_2410E866E9B946F380BB65E1492A0355",1)</f>
        <v>=DISPIMG("ID_2410E866E9B946F380BB65E1492A0355",1)</v>
      </c>
      <c r="T496" s="115" t="s">
        <v>3892</v>
      </c>
      <c r="U496" s="127">
        <v>496</v>
      </c>
    </row>
    <row r="497" s="3" customFormat="1" customHeight="1" spans="1:21">
      <c r="A497" s="144">
        <v>44365.3993634259</v>
      </c>
      <c r="B497" s="27" t="s">
        <v>3893</v>
      </c>
      <c r="C497" s="27" t="s">
        <v>3894</v>
      </c>
      <c r="D497" s="162" t="s">
        <v>3895</v>
      </c>
      <c r="E497" s="162" t="s">
        <v>165</v>
      </c>
      <c r="F497" s="162" t="s">
        <v>3896</v>
      </c>
      <c r="G497" s="27">
        <v>17859733350</v>
      </c>
      <c r="H497" s="162" t="s">
        <v>3897</v>
      </c>
      <c r="I497" s="162" t="s">
        <v>156</v>
      </c>
      <c r="J497" s="162" t="s">
        <v>6</v>
      </c>
      <c r="K497" s="27">
        <v>202102012</v>
      </c>
      <c r="L497" s="162" t="s">
        <v>157</v>
      </c>
      <c r="M497" s="162" t="s">
        <v>3898</v>
      </c>
      <c r="N497" s="162" t="s">
        <v>3784</v>
      </c>
      <c r="O497" s="162" t="s">
        <v>160</v>
      </c>
      <c r="P497" s="162" t="s">
        <v>235</v>
      </c>
      <c r="Q497" s="162" t="s">
        <v>3899</v>
      </c>
      <c r="R497" s="162" t="s">
        <v>3900</v>
      </c>
      <c r="S497" s="118" t="str">
        <f>_xlfn.DISPIMG("ID_BC241117C250469C89F85CEC4B64E8AA",1)</f>
        <v>=DISPIMG("ID_BC241117C250469C89F85CEC4B64E8AA",1)</v>
      </c>
      <c r="T497" s="115" t="s">
        <v>3901</v>
      </c>
      <c r="U497" s="127">
        <v>497</v>
      </c>
    </row>
    <row r="498" s="3" customFormat="1" customHeight="1" spans="1:21">
      <c r="A498" s="144">
        <v>44365.4000810185</v>
      </c>
      <c r="B498" s="27" t="s">
        <v>3902</v>
      </c>
      <c r="C498" s="27" t="s">
        <v>3903</v>
      </c>
      <c r="D498" s="162" t="s">
        <v>3904</v>
      </c>
      <c r="E498" s="162" t="s">
        <v>153</v>
      </c>
      <c r="F498" s="162" t="s">
        <v>3905</v>
      </c>
      <c r="G498" s="27">
        <v>15007027769</v>
      </c>
      <c r="H498" s="162" t="s">
        <v>3906</v>
      </c>
      <c r="I498" s="162" t="s">
        <v>156</v>
      </c>
      <c r="J498" s="162" t="s">
        <v>8</v>
      </c>
      <c r="K498" s="27">
        <v>202102002</v>
      </c>
      <c r="L498" s="162" t="s">
        <v>157</v>
      </c>
      <c r="M498" s="162" t="s">
        <v>158</v>
      </c>
      <c r="N498" s="162" t="s">
        <v>1481</v>
      </c>
      <c r="O498" s="162" t="s">
        <v>160</v>
      </c>
      <c r="P498" s="162" t="s">
        <v>216</v>
      </c>
      <c r="Q498" s="162" t="s">
        <v>8</v>
      </c>
      <c r="R498" s="27">
        <v>0</v>
      </c>
      <c r="S498" s="118" t="str">
        <f>_xlfn.DISPIMG("ID_9F8C123E434549AABE94648B98FC4902",1)</f>
        <v>=DISPIMG("ID_9F8C123E434549AABE94648B98FC4902",1)</v>
      </c>
      <c r="T498" s="115" t="s">
        <v>3907</v>
      </c>
      <c r="U498" s="127">
        <v>498</v>
      </c>
    </row>
    <row r="499" s="3" customFormat="1" customHeight="1" spans="1:21">
      <c r="A499" s="144">
        <v>44365.4041203704</v>
      </c>
      <c r="B499" s="27" t="s">
        <v>3908</v>
      </c>
      <c r="C499" s="27" t="s">
        <v>3909</v>
      </c>
      <c r="D499" s="162" t="s">
        <v>3910</v>
      </c>
      <c r="E499" s="162" t="s">
        <v>165</v>
      </c>
      <c r="F499" s="162" t="s">
        <v>3911</v>
      </c>
      <c r="G499" s="27">
        <v>13627096197</v>
      </c>
      <c r="H499" s="162" t="s">
        <v>3912</v>
      </c>
      <c r="I499" s="162" t="s">
        <v>156</v>
      </c>
      <c r="J499" s="162" t="s">
        <v>14</v>
      </c>
      <c r="K499" s="27">
        <v>202102001</v>
      </c>
      <c r="L499" s="162" t="s">
        <v>157</v>
      </c>
      <c r="M499" s="162" t="s">
        <v>233</v>
      </c>
      <c r="N499" s="162" t="s">
        <v>454</v>
      </c>
      <c r="O499" s="162" t="s">
        <v>170</v>
      </c>
      <c r="P499" s="162" t="s">
        <v>516</v>
      </c>
      <c r="Q499" s="162" t="s">
        <v>3913</v>
      </c>
      <c r="R499" s="162" t="s">
        <v>3914</v>
      </c>
      <c r="S499" s="118" t="str">
        <f>_xlfn.DISPIMG("ID_2CCA277749F14624BD11838DCC078340",1)</f>
        <v>=DISPIMG("ID_2CCA277749F14624BD11838DCC078340",1)</v>
      </c>
      <c r="T499" s="115" t="s">
        <v>3915</v>
      </c>
      <c r="U499" s="127">
        <v>499</v>
      </c>
    </row>
    <row r="500" s="3" customFormat="1" customHeight="1" spans="1:21">
      <c r="A500" s="144">
        <v>44365.4083449074</v>
      </c>
      <c r="B500" s="27" t="s">
        <v>3916</v>
      </c>
      <c r="C500" s="27" t="s">
        <v>3917</v>
      </c>
      <c r="D500" s="162" t="s">
        <v>3918</v>
      </c>
      <c r="E500" s="162" t="s">
        <v>165</v>
      </c>
      <c r="F500" s="162" t="s">
        <v>3919</v>
      </c>
      <c r="G500" s="27">
        <v>18979261626</v>
      </c>
      <c r="H500" s="162" t="s">
        <v>1111</v>
      </c>
      <c r="I500" s="162" t="s">
        <v>384</v>
      </c>
      <c r="J500" s="162" t="s">
        <v>25</v>
      </c>
      <c r="K500" s="27">
        <v>202101007</v>
      </c>
      <c r="L500" s="162" t="s">
        <v>157</v>
      </c>
      <c r="M500" s="162" t="s">
        <v>178</v>
      </c>
      <c r="N500" s="162" t="s">
        <v>179</v>
      </c>
      <c r="O500" s="162" t="s">
        <v>170</v>
      </c>
      <c r="P500" s="162" t="s">
        <v>161</v>
      </c>
      <c r="Q500" s="162" t="s">
        <v>952</v>
      </c>
      <c r="R500" s="162" t="s">
        <v>3920</v>
      </c>
      <c r="S500" s="118" t="str">
        <f>_xlfn.DISPIMG("ID_64C458B5785C4AE8B3EB4D932C0866CC",1)</f>
        <v>=DISPIMG("ID_64C458B5785C4AE8B3EB4D932C0866CC",1)</v>
      </c>
      <c r="T500" s="115" t="s">
        <v>3921</v>
      </c>
      <c r="U500" s="127">
        <v>500</v>
      </c>
    </row>
    <row r="501" s="3" customFormat="1" customHeight="1" spans="1:21">
      <c r="A501" s="144">
        <v>44365.4103819444</v>
      </c>
      <c r="B501" s="27" t="s">
        <v>3922</v>
      </c>
      <c r="C501" s="27" t="s">
        <v>3923</v>
      </c>
      <c r="D501" s="162" t="s">
        <v>3924</v>
      </c>
      <c r="E501" s="162" t="s">
        <v>165</v>
      </c>
      <c r="F501" s="162" t="s">
        <v>3925</v>
      </c>
      <c r="G501" s="27">
        <v>15797691720</v>
      </c>
      <c r="H501" s="162" t="s">
        <v>3926</v>
      </c>
      <c r="I501" s="162" t="s">
        <v>156</v>
      </c>
      <c r="J501" s="162" t="s">
        <v>8</v>
      </c>
      <c r="K501" s="27">
        <v>202102002</v>
      </c>
      <c r="L501" s="162" t="s">
        <v>157</v>
      </c>
      <c r="M501" s="162" t="s">
        <v>603</v>
      </c>
      <c r="N501" s="162" t="s">
        <v>2379</v>
      </c>
      <c r="O501" s="162" t="s">
        <v>160</v>
      </c>
      <c r="P501" s="162" t="s">
        <v>306</v>
      </c>
      <c r="Q501" s="162" t="s">
        <v>989</v>
      </c>
      <c r="R501" s="162" t="s">
        <v>3927</v>
      </c>
      <c r="S501" s="118" t="str">
        <f>_xlfn.DISPIMG("ID_514B3145E6BD4A2498C42CFECAEF98E2",1)</f>
        <v>=DISPIMG("ID_514B3145E6BD4A2498C42CFECAEF98E2",1)</v>
      </c>
      <c r="T501" s="115" t="s">
        <v>3928</v>
      </c>
      <c r="U501" s="127">
        <v>501</v>
      </c>
    </row>
    <row r="502" s="3" customFormat="1" customHeight="1" spans="1:21">
      <c r="A502" s="144">
        <v>44365.422025463</v>
      </c>
      <c r="B502" s="27" t="s">
        <v>3929</v>
      </c>
      <c r="C502" s="27" t="s">
        <v>3930</v>
      </c>
      <c r="D502" s="162" t="s">
        <v>3931</v>
      </c>
      <c r="E502" s="162" t="s">
        <v>165</v>
      </c>
      <c r="F502" s="162" t="s">
        <v>3932</v>
      </c>
      <c r="G502" s="27">
        <v>13064153607</v>
      </c>
      <c r="H502" s="162" t="s">
        <v>3933</v>
      </c>
      <c r="I502" s="162" t="s">
        <v>156</v>
      </c>
      <c r="J502" s="162" t="s">
        <v>14</v>
      </c>
      <c r="K502" s="27">
        <v>202102001</v>
      </c>
      <c r="L502" s="162" t="s">
        <v>279</v>
      </c>
      <c r="M502" s="162" t="s">
        <v>3934</v>
      </c>
      <c r="N502" s="162" t="s">
        <v>348</v>
      </c>
      <c r="O502" s="162" t="s">
        <v>170</v>
      </c>
      <c r="P502" s="162" t="s">
        <v>349</v>
      </c>
      <c r="Q502" s="162" t="s">
        <v>3935</v>
      </c>
      <c r="R502" s="162" t="s">
        <v>3936</v>
      </c>
      <c r="S502" s="118" t="str">
        <f>_xlfn.DISPIMG("ID_FD6A12B7DDFB4497A1625AEB18B6C93E",1)</f>
        <v>=DISPIMG("ID_FD6A12B7DDFB4497A1625AEB18B6C93E",1)</v>
      </c>
      <c r="T502" s="115" t="s">
        <v>3937</v>
      </c>
      <c r="U502" s="127">
        <v>502</v>
      </c>
    </row>
    <row r="503" s="3" customFormat="1" customHeight="1" spans="1:21">
      <c r="A503" s="144">
        <v>44365.4222453704</v>
      </c>
      <c r="B503" s="27" t="s">
        <v>3938</v>
      </c>
      <c r="C503" s="27" t="s">
        <v>3939</v>
      </c>
      <c r="D503" s="162" t="s">
        <v>3940</v>
      </c>
      <c r="E503" s="162" t="s">
        <v>165</v>
      </c>
      <c r="F503" s="162" t="s">
        <v>3941</v>
      </c>
      <c r="G503" s="27">
        <v>13699503652</v>
      </c>
      <c r="H503" s="162" t="s">
        <v>3942</v>
      </c>
      <c r="I503" s="162" t="s">
        <v>156</v>
      </c>
      <c r="J503" s="162" t="s">
        <v>4</v>
      </c>
      <c r="K503" s="27">
        <v>202102005</v>
      </c>
      <c r="L503" s="162" t="s">
        <v>157</v>
      </c>
      <c r="M503" s="162" t="s">
        <v>385</v>
      </c>
      <c r="N503" s="162" t="s">
        <v>3943</v>
      </c>
      <c r="O503" s="162" t="s">
        <v>170</v>
      </c>
      <c r="P503" s="162" t="s">
        <v>180</v>
      </c>
      <c r="Q503" s="162" t="s">
        <v>4</v>
      </c>
      <c r="R503" s="162" t="s">
        <v>3944</v>
      </c>
      <c r="S503" s="118" t="str">
        <f>_xlfn.DISPIMG("ID_5F49521312D540BAA0750C7E0D3B723B",1)</f>
        <v>=DISPIMG("ID_5F49521312D540BAA0750C7E0D3B723B",1)</v>
      </c>
      <c r="T503" s="115" t="s">
        <v>3945</v>
      </c>
      <c r="U503" s="127">
        <v>503</v>
      </c>
    </row>
    <row r="504" s="3" customFormat="1" customHeight="1" spans="1:21">
      <c r="A504" s="144">
        <v>44365.4269444444</v>
      </c>
      <c r="B504" s="27" t="s">
        <v>3946</v>
      </c>
      <c r="C504" s="27" t="s">
        <v>3947</v>
      </c>
      <c r="D504" s="162" t="s">
        <v>3948</v>
      </c>
      <c r="E504" s="162" t="s">
        <v>165</v>
      </c>
      <c r="F504" s="162" t="s">
        <v>3949</v>
      </c>
      <c r="G504" s="27">
        <v>13803563575</v>
      </c>
      <c r="H504" s="162" t="s">
        <v>3950</v>
      </c>
      <c r="I504" s="162" t="s">
        <v>156</v>
      </c>
      <c r="J504" s="162" t="s">
        <v>8</v>
      </c>
      <c r="K504" s="27">
        <v>202102002</v>
      </c>
      <c r="L504" s="162" t="s">
        <v>279</v>
      </c>
      <c r="M504" s="162" t="s">
        <v>158</v>
      </c>
      <c r="N504" s="162" t="s">
        <v>497</v>
      </c>
      <c r="O504" s="162" t="s">
        <v>170</v>
      </c>
      <c r="P504" s="162" t="s">
        <v>180</v>
      </c>
      <c r="Q504" s="162" t="s">
        <v>3230</v>
      </c>
      <c r="R504" s="162" t="s">
        <v>3951</v>
      </c>
      <c r="S504" s="118" t="str">
        <f>_xlfn.DISPIMG("ID_997BB006A29449FB8D35751C6152A872",1)</f>
        <v>=DISPIMG("ID_997BB006A29449FB8D35751C6152A872",1)</v>
      </c>
      <c r="T504" s="115" t="s">
        <v>3952</v>
      </c>
      <c r="U504" s="127">
        <v>504</v>
      </c>
    </row>
    <row r="505" s="3" customFormat="1" customHeight="1" spans="1:21">
      <c r="A505" s="144">
        <v>44365.4338541667</v>
      </c>
      <c r="B505" s="27" t="s">
        <v>3953</v>
      </c>
      <c r="C505" s="27" t="s">
        <v>3954</v>
      </c>
      <c r="D505" s="162" t="s">
        <v>3955</v>
      </c>
      <c r="E505" s="162" t="s">
        <v>153</v>
      </c>
      <c r="F505" s="162" t="s">
        <v>3956</v>
      </c>
      <c r="G505" s="27">
        <v>18379670015</v>
      </c>
      <c r="H505" s="162" t="s">
        <v>3957</v>
      </c>
      <c r="I505" s="162" t="s">
        <v>384</v>
      </c>
      <c r="J505" s="162" t="s">
        <v>20</v>
      </c>
      <c r="K505" s="27">
        <v>202101005</v>
      </c>
      <c r="L505" s="162" t="s">
        <v>157</v>
      </c>
      <c r="M505" s="162" t="s">
        <v>507</v>
      </c>
      <c r="N505" s="162" t="s">
        <v>270</v>
      </c>
      <c r="O505" s="162" t="s">
        <v>170</v>
      </c>
      <c r="P505" s="162" t="s">
        <v>235</v>
      </c>
      <c r="Q505" s="162" t="s">
        <v>1322</v>
      </c>
      <c r="R505" s="162" t="s">
        <v>3958</v>
      </c>
      <c r="S505" s="118" t="str">
        <f>_xlfn.DISPIMG("ID_C25C6B154C2847C9934F6981B40FCD0C",1)</f>
        <v>=DISPIMG("ID_C25C6B154C2847C9934F6981B40FCD0C",1)</v>
      </c>
      <c r="T505" s="115" t="s">
        <v>3959</v>
      </c>
      <c r="U505" s="127">
        <v>505</v>
      </c>
    </row>
    <row r="506" s="3" customFormat="1" customHeight="1" spans="1:21">
      <c r="A506" s="144">
        <v>44365.4340856482</v>
      </c>
      <c r="B506" s="27" t="s">
        <v>3960</v>
      </c>
      <c r="C506" s="27" t="s">
        <v>3961</v>
      </c>
      <c r="D506" s="162" t="s">
        <v>3962</v>
      </c>
      <c r="E506" s="162" t="s">
        <v>165</v>
      </c>
      <c r="F506" s="162" t="s">
        <v>3963</v>
      </c>
      <c r="G506" s="27">
        <v>18870866549</v>
      </c>
      <c r="H506" s="162" t="s">
        <v>3964</v>
      </c>
      <c r="I506" s="162" t="s">
        <v>156</v>
      </c>
      <c r="J506" s="162" t="s">
        <v>4</v>
      </c>
      <c r="K506" s="27">
        <v>202102005</v>
      </c>
      <c r="L506" s="162" t="s">
        <v>157</v>
      </c>
      <c r="M506" s="162" t="s">
        <v>3965</v>
      </c>
      <c r="N506" s="162" t="s">
        <v>3966</v>
      </c>
      <c r="O506" s="162" t="s">
        <v>160</v>
      </c>
      <c r="P506" s="162" t="s">
        <v>216</v>
      </c>
      <c r="Q506" s="162" t="s">
        <v>4</v>
      </c>
      <c r="R506" s="27">
        <v>0</v>
      </c>
      <c r="S506" s="118" t="str">
        <f>_xlfn.DISPIMG("ID_B16A7073492C47F799EB61B1BAB98F3E",1)</f>
        <v>=DISPIMG("ID_B16A7073492C47F799EB61B1BAB98F3E",1)</v>
      </c>
      <c r="T506" s="115" t="s">
        <v>3967</v>
      </c>
      <c r="U506" s="127">
        <v>506</v>
      </c>
    </row>
    <row r="507" s="3" customFormat="1" customHeight="1" spans="1:21">
      <c r="A507" s="144">
        <v>44365.4388194444</v>
      </c>
      <c r="B507" s="27" t="s">
        <v>3968</v>
      </c>
      <c r="C507" s="27" t="s">
        <v>3969</v>
      </c>
      <c r="D507" s="162" t="s">
        <v>3970</v>
      </c>
      <c r="E507" s="162" t="s">
        <v>165</v>
      </c>
      <c r="F507" s="162" t="s">
        <v>3971</v>
      </c>
      <c r="G507" s="27">
        <v>18279298177</v>
      </c>
      <c r="H507" s="162" t="s">
        <v>3972</v>
      </c>
      <c r="I507" s="162" t="s">
        <v>156</v>
      </c>
      <c r="J507" s="162" t="s">
        <v>13</v>
      </c>
      <c r="K507" s="27">
        <v>202102003</v>
      </c>
      <c r="L507" s="162" t="s">
        <v>157</v>
      </c>
      <c r="M507" s="162" t="s">
        <v>233</v>
      </c>
      <c r="N507" s="162" t="s">
        <v>3973</v>
      </c>
      <c r="O507" s="162" t="s">
        <v>160</v>
      </c>
      <c r="P507" s="162" t="s">
        <v>161</v>
      </c>
      <c r="Q507" s="162" t="s">
        <v>25</v>
      </c>
      <c r="R507" s="162" t="s">
        <v>3974</v>
      </c>
      <c r="S507" s="118" t="str">
        <f>_xlfn.DISPIMG("ID_B1F0BA2C377444B08B7692E1B53E42C5",1)</f>
        <v>=DISPIMG("ID_B1F0BA2C377444B08B7692E1B53E42C5",1)</v>
      </c>
      <c r="T507" s="115" t="s">
        <v>3975</v>
      </c>
      <c r="U507" s="127">
        <v>507</v>
      </c>
    </row>
    <row r="508" s="3" customFormat="1" customHeight="1" spans="1:21">
      <c r="A508" s="144">
        <v>44365.4410416667</v>
      </c>
      <c r="B508" s="27" t="s">
        <v>3976</v>
      </c>
      <c r="C508" s="27" t="s">
        <v>3977</v>
      </c>
      <c r="D508" s="162" t="s">
        <v>3978</v>
      </c>
      <c r="E508" s="162" t="s">
        <v>165</v>
      </c>
      <c r="F508" s="162" t="s">
        <v>3979</v>
      </c>
      <c r="G508" s="27">
        <v>15070298026</v>
      </c>
      <c r="H508" s="162" t="s">
        <v>3980</v>
      </c>
      <c r="I508" s="162" t="s">
        <v>268</v>
      </c>
      <c r="J508" s="162" t="s">
        <v>20</v>
      </c>
      <c r="K508" s="27">
        <v>202101004</v>
      </c>
      <c r="L508" s="162" t="s">
        <v>157</v>
      </c>
      <c r="M508" s="162" t="s">
        <v>178</v>
      </c>
      <c r="N508" s="162" t="s">
        <v>270</v>
      </c>
      <c r="O508" s="162" t="s">
        <v>170</v>
      </c>
      <c r="P508" s="162" t="s">
        <v>261</v>
      </c>
      <c r="Q508" s="162" t="s">
        <v>20</v>
      </c>
      <c r="R508" s="27">
        <v>0</v>
      </c>
      <c r="S508" s="118" t="str">
        <f>_xlfn.DISPIMG("ID_41FDB18DF8F04859BBDC981BC12AE5F4",1)</f>
        <v>=DISPIMG("ID_41FDB18DF8F04859BBDC981BC12AE5F4",1)</v>
      </c>
      <c r="T508" s="115" t="s">
        <v>3981</v>
      </c>
      <c r="U508" s="127">
        <v>508</v>
      </c>
    </row>
    <row r="509" s="3" customFormat="1" customHeight="1" spans="1:21">
      <c r="A509" s="144">
        <v>44365.5994212963</v>
      </c>
      <c r="B509" s="27" t="s">
        <v>3982</v>
      </c>
      <c r="C509" s="27" t="s">
        <v>3983</v>
      </c>
      <c r="D509" s="162" t="s">
        <v>3983</v>
      </c>
      <c r="E509" s="162" t="s">
        <v>165</v>
      </c>
      <c r="F509" s="162" t="s">
        <v>3984</v>
      </c>
      <c r="G509" s="27">
        <v>15818583027</v>
      </c>
      <c r="H509" s="162" t="s">
        <v>3985</v>
      </c>
      <c r="I509" s="162" t="s">
        <v>156</v>
      </c>
      <c r="J509" s="162" t="s">
        <v>13</v>
      </c>
      <c r="K509" s="27">
        <v>202101003</v>
      </c>
      <c r="L509" s="162" t="s">
        <v>157</v>
      </c>
      <c r="M509" s="162" t="s">
        <v>158</v>
      </c>
      <c r="N509" s="162" t="s">
        <v>298</v>
      </c>
      <c r="O509" s="162" t="s">
        <v>160</v>
      </c>
      <c r="P509" s="162" t="s">
        <v>587</v>
      </c>
      <c r="Q509" s="162" t="s">
        <v>3986</v>
      </c>
      <c r="R509" s="162" t="s">
        <v>3987</v>
      </c>
      <c r="S509" s="118" t="str">
        <f>_xlfn.DISPIMG("ID_FF960F7406E14486AD9AB0EFE51B3C2E",1)</f>
        <v>=DISPIMG("ID_FF960F7406E14486AD9AB0EFE51B3C2E",1)</v>
      </c>
      <c r="T509" s="115" t="s">
        <v>3988</v>
      </c>
      <c r="U509" s="127">
        <v>509</v>
      </c>
    </row>
    <row r="510" s="3" customFormat="1" customHeight="1" spans="1:21">
      <c r="A510" s="144">
        <v>44365.4540393519</v>
      </c>
      <c r="B510" s="27" t="s">
        <v>3989</v>
      </c>
      <c r="C510" s="27" t="s">
        <v>3990</v>
      </c>
      <c r="D510" s="162" t="s">
        <v>3991</v>
      </c>
      <c r="E510" s="162" t="s">
        <v>165</v>
      </c>
      <c r="F510" s="162" t="s">
        <v>3992</v>
      </c>
      <c r="G510" s="27">
        <v>15779276924</v>
      </c>
      <c r="H510" s="162" t="s">
        <v>3993</v>
      </c>
      <c r="I510" s="162" t="s">
        <v>156</v>
      </c>
      <c r="J510" s="162" t="s">
        <v>13</v>
      </c>
      <c r="K510" s="27">
        <v>202102003</v>
      </c>
      <c r="L510" s="162" t="s">
        <v>157</v>
      </c>
      <c r="M510" s="162" t="s">
        <v>158</v>
      </c>
      <c r="N510" s="162" t="s">
        <v>298</v>
      </c>
      <c r="O510" s="162" t="s">
        <v>160</v>
      </c>
      <c r="P510" s="162" t="s">
        <v>171</v>
      </c>
      <c r="Q510" s="162" t="s">
        <v>1692</v>
      </c>
      <c r="R510" s="162" t="s">
        <v>3994</v>
      </c>
      <c r="S510" s="118" t="str">
        <f>_xlfn.DISPIMG("ID_78A88502741143D5850B496E71BE5DA0",1)</f>
        <v>=DISPIMG("ID_78A88502741143D5850B496E71BE5DA0",1)</v>
      </c>
      <c r="T510" s="115" t="s">
        <v>3995</v>
      </c>
      <c r="U510" s="127">
        <v>510</v>
      </c>
    </row>
    <row r="511" s="3" customFormat="1" customHeight="1" spans="1:21">
      <c r="A511" s="144">
        <v>44365.4558564815</v>
      </c>
      <c r="B511" s="27" t="s">
        <v>3996</v>
      </c>
      <c r="C511" s="27" t="s">
        <v>3997</v>
      </c>
      <c r="D511" s="162" t="s">
        <v>3998</v>
      </c>
      <c r="E511" s="162" t="s">
        <v>165</v>
      </c>
      <c r="F511" s="162" t="s">
        <v>3999</v>
      </c>
      <c r="G511" s="27">
        <v>13426625013</v>
      </c>
      <c r="H511" s="162" t="s">
        <v>4000</v>
      </c>
      <c r="I511" s="162" t="s">
        <v>156</v>
      </c>
      <c r="J511" s="162" t="s">
        <v>3</v>
      </c>
      <c r="K511" s="27">
        <v>202101009</v>
      </c>
      <c r="L511" s="162" t="s">
        <v>157</v>
      </c>
      <c r="M511" s="162" t="s">
        <v>507</v>
      </c>
      <c r="N511" s="162" t="s">
        <v>4001</v>
      </c>
      <c r="O511" s="162" t="s">
        <v>170</v>
      </c>
      <c r="P511" s="162" t="s">
        <v>541</v>
      </c>
      <c r="Q511" s="162" t="s">
        <v>1425</v>
      </c>
      <c r="R511" s="162" t="s">
        <v>4002</v>
      </c>
      <c r="S511" s="118" t="str">
        <f>_xlfn.DISPIMG("ID_8B0AF6F7619941E4B32785C8E970DA4D",1)</f>
        <v>=DISPIMG("ID_8B0AF6F7619941E4B32785C8E970DA4D",1)</v>
      </c>
      <c r="T511" s="115" t="s">
        <v>4003</v>
      </c>
      <c r="U511" s="127">
        <v>511</v>
      </c>
    </row>
    <row r="512" s="3" customFormat="1" customHeight="1" spans="1:21">
      <c r="A512" s="144">
        <v>44365.4693055556</v>
      </c>
      <c r="B512" s="27" t="s">
        <v>4004</v>
      </c>
      <c r="C512" s="27" t="s">
        <v>4005</v>
      </c>
      <c r="D512" s="162" t="s">
        <v>4006</v>
      </c>
      <c r="E512" s="162" t="s">
        <v>165</v>
      </c>
      <c r="F512" s="162" t="s">
        <v>4007</v>
      </c>
      <c r="G512" s="27">
        <v>15979112724</v>
      </c>
      <c r="H512" s="162" t="s">
        <v>4008</v>
      </c>
      <c r="I512" s="162" t="s">
        <v>297</v>
      </c>
      <c r="J512" s="162" t="s">
        <v>25</v>
      </c>
      <c r="K512" s="27">
        <v>202101008</v>
      </c>
      <c r="L512" s="162" t="s">
        <v>157</v>
      </c>
      <c r="M512" s="162" t="s">
        <v>3070</v>
      </c>
      <c r="N512" s="162" t="s">
        <v>179</v>
      </c>
      <c r="O512" s="162" t="s">
        <v>170</v>
      </c>
      <c r="P512" s="162" t="s">
        <v>306</v>
      </c>
      <c r="Q512" s="162" t="s">
        <v>1692</v>
      </c>
      <c r="R512" s="162" t="s">
        <v>4009</v>
      </c>
      <c r="S512" s="118" t="str">
        <f>_xlfn.DISPIMG("ID_410BA329CDB34577BE3D2E13C6D8589F",1)</f>
        <v>=DISPIMG("ID_410BA329CDB34577BE3D2E13C6D8589F",1)</v>
      </c>
      <c r="T512" s="115" t="s">
        <v>4010</v>
      </c>
      <c r="U512" s="127">
        <v>512</v>
      </c>
    </row>
    <row r="513" s="3" customFormat="1" customHeight="1" spans="1:21">
      <c r="A513" s="144">
        <v>44365.4752662037</v>
      </c>
      <c r="B513" s="27" t="s">
        <v>4011</v>
      </c>
      <c r="C513" s="27" t="s">
        <v>4012</v>
      </c>
      <c r="D513" s="162" t="s">
        <v>4013</v>
      </c>
      <c r="E513" s="162" t="s">
        <v>165</v>
      </c>
      <c r="F513" s="162" t="s">
        <v>4014</v>
      </c>
      <c r="G513" s="27">
        <v>18870236365</v>
      </c>
      <c r="H513" s="162" t="s">
        <v>4015</v>
      </c>
      <c r="I513" s="162" t="s">
        <v>156</v>
      </c>
      <c r="J513" s="162" t="s">
        <v>13</v>
      </c>
      <c r="K513" s="27">
        <v>202102003</v>
      </c>
      <c r="L513" s="162" t="s">
        <v>279</v>
      </c>
      <c r="M513" s="162" t="s">
        <v>158</v>
      </c>
      <c r="N513" s="162" t="s">
        <v>223</v>
      </c>
      <c r="O513" s="162" t="s">
        <v>170</v>
      </c>
      <c r="P513" s="162" t="s">
        <v>306</v>
      </c>
      <c r="Q513" s="162" t="s">
        <v>4016</v>
      </c>
      <c r="R513" s="162" t="s">
        <v>4017</v>
      </c>
      <c r="S513" s="118" t="str">
        <f>_xlfn.DISPIMG("ID_4B6C2F7765194334A42FC9F1088827FE",1)</f>
        <v>=DISPIMG("ID_4B6C2F7765194334A42FC9F1088827FE",1)</v>
      </c>
      <c r="T513" s="115" t="s">
        <v>4018</v>
      </c>
      <c r="U513" s="127">
        <v>513</v>
      </c>
    </row>
    <row r="514" s="3" customFormat="1" customHeight="1" spans="1:21">
      <c r="A514" s="144">
        <v>44365.4757986111</v>
      </c>
      <c r="B514" s="27" t="s">
        <v>4019</v>
      </c>
      <c r="C514" s="27" t="s">
        <v>4020</v>
      </c>
      <c r="D514" s="162" t="s">
        <v>4021</v>
      </c>
      <c r="E514" s="162" t="s">
        <v>165</v>
      </c>
      <c r="F514" s="162" t="s">
        <v>4022</v>
      </c>
      <c r="G514" s="27">
        <v>15870639139</v>
      </c>
      <c r="H514" s="162" t="s">
        <v>4023</v>
      </c>
      <c r="I514" s="162" t="s">
        <v>156</v>
      </c>
      <c r="J514" s="162" t="s">
        <v>13</v>
      </c>
      <c r="K514" s="27">
        <v>202102003</v>
      </c>
      <c r="L514" s="162" t="s">
        <v>157</v>
      </c>
      <c r="M514" s="162" t="s">
        <v>1413</v>
      </c>
      <c r="N514" s="162" t="s">
        <v>1122</v>
      </c>
      <c r="O514" s="162" t="s">
        <v>160</v>
      </c>
      <c r="P514" s="162" t="s">
        <v>235</v>
      </c>
      <c r="Q514" s="162" t="s">
        <v>487</v>
      </c>
      <c r="R514" s="162" t="s">
        <v>4024</v>
      </c>
      <c r="S514" s="118" t="str">
        <f>_xlfn.DISPIMG("ID_678965A481D64CEABA15E59CA2B84698",1)</f>
        <v>=DISPIMG("ID_678965A481D64CEABA15E59CA2B84698",1)</v>
      </c>
      <c r="T514" s="115" t="s">
        <v>4025</v>
      </c>
      <c r="U514" s="127">
        <v>514</v>
      </c>
    </row>
    <row r="515" s="3" customFormat="1" customHeight="1" spans="1:21">
      <c r="A515" s="144">
        <v>44365.4825</v>
      </c>
      <c r="B515" s="27" t="s">
        <v>4026</v>
      </c>
      <c r="C515" s="27" t="s">
        <v>4027</v>
      </c>
      <c r="D515" s="162" t="s">
        <v>4028</v>
      </c>
      <c r="E515" s="162" t="s">
        <v>165</v>
      </c>
      <c r="F515" s="162" t="s">
        <v>4029</v>
      </c>
      <c r="G515" s="27">
        <v>13820505031</v>
      </c>
      <c r="H515" s="162" t="s">
        <v>4030</v>
      </c>
      <c r="I515" s="162" t="s">
        <v>384</v>
      </c>
      <c r="J515" s="162" t="s">
        <v>23</v>
      </c>
      <c r="K515" s="27">
        <v>202101025</v>
      </c>
      <c r="L515" s="162" t="s">
        <v>157</v>
      </c>
      <c r="M515" s="162" t="s">
        <v>3737</v>
      </c>
      <c r="N515" s="162" t="s">
        <v>1616</v>
      </c>
      <c r="O515" s="162" t="s">
        <v>170</v>
      </c>
      <c r="P515" s="162" t="s">
        <v>235</v>
      </c>
      <c r="Q515" s="162" t="s">
        <v>4031</v>
      </c>
      <c r="R515" s="162" t="s">
        <v>4032</v>
      </c>
      <c r="S515" s="118" t="str">
        <f>_xlfn.DISPIMG("ID_4D845800D3864A2B99D106DDD9FD3F5D",1)</f>
        <v>=DISPIMG("ID_4D845800D3864A2B99D106DDD9FD3F5D",1)</v>
      </c>
      <c r="T515" s="115" t="s">
        <v>4033</v>
      </c>
      <c r="U515" s="127">
        <v>515</v>
      </c>
    </row>
    <row r="516" s="3" customFormat="1" customHeight="1" spans="1:21">
      <c r="A516" s="144">
        <v>44365.4972453704</v>
      </c>
      <c r="B516" s="27" t="s">
        <v>4034</v>
      </c>
      <c r="C516" s="27" t="s">
        <v>4035</v>
      </c>
      <c r="D516" s="162" t="s">
        <v>4036</v>
      </c>
      <c r="E516" s="162" t="s">
        <v>165</v>
      </c>
      <c r="F516" s="162" t="s">
        <v>4037</v>
      </c>
      <c r="G516" s="27">
        <v>13755593629</v>
      </c>
      <c r="H516" s="162" t="s">
        <v>4038</v>
      </c>
      <c r="I516" s="162" t="s">
        <v>156</v>
      </c>
      <c r="J516" s="162" t="s">
        <v>14</v>
      </c>
      <c r="K516" s="27">
        <v>202102001</v>
      </c>
      <c r="L516" s="162" t="s">
        <v>279</v>
      </c>
      <c r="M516" s="162" t="s">
        <v>1545</v>
      </c>
      <c r="N516" s="162" t="s">
        <v>348</v>
      </c>
      <c r="O516" s="162" t="s">
        <v>170</v>
      </c>
      <c r="P516" s="162" t="s">
        <v>216</v>
      </c>
      <c r="Q516" s="162" t="s">
        <v>14</v>
      </c>
      <c r="R516" s="162" t="s">
        <v>4039</v>
      </c>
      <c r="S516" s="118" t="str">
        <f>_xlfn.DISPIMG("ID_25A2772C2A4349D4AAD4F2B8F942612C",1)</f>
        <v>=DISPIMG("ID_25A2772C2A4349D4AAD4F2B8F942612C",1)</v>
      </c>
      <c r="T516" s="115" t="s">
        <v>4040</v>
      </c>
      <c r="U516" s="127">
        <v>516</v>
      </c>
    </row>
    <row r="517" s="3" customFormat="1" customHeight="1" spans="1:21">
      <c r="A517" s="144">
        <v>44365.5048726852</v>
      </c>
      <c r="B517" s="27" t="s">
        <v>4041</v>
      </c>
      <c r="C517" s="27" t="s">
        <v>4042</v>
      </c>
      <c r="D517" s="162" t="s">
        <v>4043</v>
      </c>
      <c r="E517" s="162" t="s">
        <v>165</v>
      </c>
      <c r="F517" s="162" t="s">
        <v>4044</v>
      </c>
      <c r="G517" s="27">
        <v>18046771974</v>
      </c>
      <c r="H517" s="162" t="s">
        <v>4045</v>
      </c>
      <c r="I517" s="162" t="s">
        <v>156</v>
      </c>
      <c r="J517" s="162" t="s">
        <v>8</v>
      </c>
      <c r="K517" s="27">
        <v>202102002</v>
      </c>
      <c r="L517" s="162" t="s">
        <v>157</v>
      </c>
      <c r="M517" s="162" t="s">
        <v>1368</v>
      </c>
      <c r="N517" s="162" t="s">
        <v>4046</v>
      </c>
      <c r="O517" s="162" t="s">
        <v>170</v>
      </c>
      <c r="P517" s="162" t="s">
        <v>281</v>
      </c>
      <c r="Q517" s="162" t="s">
        <v>20</v>
      </c>
      <c r="R517" s="162" t="s">
        <v>4047</v>
      </c>
      <c r="S517" s="118" t="str">
        <f>_xlfn.DISPIMG("ID_5DC4628448F54176A5FF91EC25B128F5",1)</f>
        <v>=DISPIMG("ID_5DC4628448F54176A5FF91EC25B128F5",1)</v>
      </c>
      <c r="T517" s="115" t="s">
        <v>4048</v>
      </c>
      <c r="U517" s="127">
        <v>517</v>
      </c>
    </row>
    <row r="518" s="3" customFormat="1" customHeight="1" spans="1:21">
      <c r="A518" s="144">
        <v>44365.508587963</v>
      </c>
      <c r="B518" s="27" t="s">
        <v>4049</v>
      </c>
      <c r="C518" s="27" t="s">
        <v>4050</v>
      </c>
      <c r="D518" s="162" t="s">
        <v>4051</v>
      </c>
      <c r="E518" s="162" t="s">
        <v>153</v>
      </c>
      <c r="F518" s="162" t="s">
        <v>4052</v>
      </c>
      <c r="G518" s="27">
        <v>15170932237</v>
      </c>
      <c r="H518" s="162" t="s">
        <v>1456</v>
      </c>
      <c r="I518" s="162" t="s">
        <v>384</v>
      </c>
      <c r="J518" s="162" t="s">
        <v>23</v>
      </c>
      <c r="K518" s="27">
        <v>202101025</v>
      </c>
      <c r="L518" s="162" t="s">
        <v>157</v>
      </c>
      <c r="M518" s="162" t="s">
        <v>269</v>
      </c>
      <c r="N518" s="162" t="s">
        <v>1147</v>
      </c>
      <c r="O518" s="162" t="s">
        <v>170</v>
      </c>
      <c r="P518" s="162" t="s">
        <v>235</v>
      </c>
      <c r="Q518" s="162" t="s">
        <v>4053</v>
      </c>
      <c r="R518" s="162" t="s">
        <v>4054</v>
      </c>
      <c r="S518" s="118" t="str">
        <f>_xlfn.DISPIMG("ID_D924765B597248FDA57FB5DFF006BD17",1)</f>
        <v>=DISPIMG("ID_D924765B597248FDA57FB5DFF006BD17",1)</v>
      </c>
      <c r="T518" s="115" t="s">
        <v>4055</v>
      </c>
      <c r="U518" s="127">
        <v>518</v>
      </c>
    </row>
    <row r="519" s="3" customFormat="1" customHeight="1" spans="1:21">
      <c r="A519" s="144">
        <v>44365.5197106482</v>
      </c>
      <c r="B519" s="27" t="s">
        <v>4056</v>
      </c>
      <c r="C519" s="27" t="s">
        <v>4057</v>
      </c>
      <c r="D519" s="162" t="s">
        <v>4058</v>
      </c>
      <c r="E519" s="162" t="s">
        <v>165</v>
      </c>
      <c r="F519" s="162" t="s">
        <v>4059</v>
      </c>
      <c r="G519" s="27">
        <v>15679268911</v>
      </c>
      <c r="H519" s="162" t="s">
        <v>4060</v>
      </c>
      <c r="I519" s="162" t="s">
        <v>156</v>
      </c>
      <c r="J519" s="162" t="s">
        <v>6</v>
      </c>
      <c r="K519" s="27">
        <v>202102022</v>
      </c>
      <c r="L519" s="162" t="s">
        <v>157</v>
      </c>
      <c r="M519" s="162" t="s">
        <v>3054</v>
      </c>
      <c r="N519" s="162" t="s">
        <v>404</v>
      </c>
      <c r="O519" s="162" t="s">
        <v>160</v>
      </c>
      <c r="P519" s="162" t="s">
        <v>261</v>
      </c>
      <c r="Q519" s="162" t="s">
        <v>4061</v>
      </c>
      <c r="R519" s="27">
        <v>0</v>
      </c>
      <c r="S519" s="118" t="str">
        <f>_xlfn.DISPIMG("ID_9ECCE1798899427AA809C16B6659E359",1)</f>
        <v>=DISPIMG("ID_9ECCE1798899427AA809C16B6659E359",1)</v>
      </c>
      <c r="T519" s="115" t="s">
        <v>4062</v>
      </c>
      <c r="U519" s="127">
        <v>519</v>
      </c>
    </row>
    <row r="520" s="3" customFormat="1" customHeight="1" spans="1:21">
      <c r="A520" s="144">
        <v>44365.521875</v>
      </c>
      <c r="B520" s="27" t="s">
        <v>4063</v>
      </c>
      <c r="C520" s="27" t="s">
        <v>4064</v>
      </c>
      <c r="D520" s="162" t="s">
        <v>4065</v>
      </c>
      <c r="E520" s="162" t="s">
        <v>165</v>
      </c>
      <c r="F520" s="162" t="s">
        <v>4066</v>
      </c>
      <c r="G520" s="27">
        <v>15797987795</v>
      </c>
      <c r="H520" s="162" t="s">
        <v>4067</v>
      </c>
      <c r="I520" s="162" t="s">
        <v>506</v>
      </c>
      <c r="J520" s="162" t="s">
        <v>13</v>
      </c>
      <c r="K520" s="27">
        <v>202102016</v>
      </c>
      <c r="L520" s="162" t="s">
        <v>279</v>
      </c>
      <c r="M520" s="162" t="s">
        <v>158</v>
      </c>
      <c r="N520" s="162" t="s">
        <v>223</v>
      </c>
      <c r="O520" s="162" t="s">
        <v>170</v>
      </c>
      <c r="P520" s="162" t="s">
        <v>368</v>
      </c>
      <c r="Q520" s="162" t="s">
        <v>4068</v>
      </c>
      <c r="R520" s="162" t="s">
        <v>4069</v>
      </c>
      <c r="S520" s="118" t="str">
        <f>_xlfn.DISPIMG("ID_699B420D06BD4D209FB40A52E07C758F",1)</f>
        <v>=DISPIMG("ID_699B420D06BD4D209FB40A52E07C758F",1)</v>
      </c>
      <c r="T520" s="115" t="s">
        <v>4070</v>
      </c>
      <c r="U520" s="127">
        <v>520</v>
      </c>
    </row>
    <row r="521" s="3" customFormat="1" customHeight="1" spans="1:21">
      <c r="A521" s="144">
        <v>44365.5241666667</v>
      </c>
      <c r="B521" s="27" t="s">
        <v>4071</v>
      </c>
      <c r="C521" s="27" t="s">
        <v>4072</v>
      </c>
      <c r="D521" s="162" t="s">
        <v>4073</v>
      </c>
      <c r="E521" s="162" t="s">
        <v>165</v>
      </c>
      <c r="F521" s="162" t="s">
        <v>4074</v>
      </c>
      <c r="G521" s="27">
        <v>18379233389</v>
      </c>
      <c r="H521" s="162" t="s">
        <v>4075</v>
      </c>
      <c r="I521" s="162" t="s">
        <v>297</v>
      </c>
      <c r="J521" s="162" t="s">
        <v>25</v>
      </c>
      <c r="K521" s="27">
        <v>202101008</v>
      </c>
      <c r="L521" s="162" t="s">
        <v>157</v>
      </c>
      <c r="M521" s="162" t="s">
        <v>4076</v>
      </c>
      <c r="N521" s="162" t="s">
        <v>179</v>
      </c>
      <c r="O521" s="162" t="s">
        <v>160</v>
      </c>
      <c r="P521" s="162" t="s">
        <v>919</v>
      </c>
      <c r="Q521" s="162" t="s">
        <v>4077</v>
      </c>
      <c r="R521" s="162" t="s">
        <v>4078</v>
      </c>
      <c r="S521" s="118" t="str">
        <f>_xlfn.DISPIMG("ID_5240EB7A8E6D4B1A8B52378BBD0117F8",1)</f>
        <v>=DISPIMG("ID_5240EB7A8E6D4B1A8B52378BBD0117F8",1)</v>
      </c>
      <c r="T521" s="115" t="s">
        <v>4079</v>
      </c>
      <c r="U521" s="127">
        <v>521</v>
      </c>
    </row>
    <row r="522" s="3" customFormat="1" customHeight="1" spans="1:21">
      <c r="A522" s="144">
        <v>44365.5333333333</v>
      </c>
      <c r="B522" s="27" t="s">
        <v>4080</v>
      </c>
      <c r="C522" s="27" t="s">
        <v>4081</v>
      </c>
      <c r="D522" s="162" t="s">
        <v>4082</v>
      </c>
      <c r="E522" s="162" t="s">
        <v>165</v>
      </c>
      <c r="F522" s="162" t="s">
        <v>4083</v>
      </c>
      <c r="G522" s="27">
        <v>17352963741</v>
      </c>
      <c r="H522" s="162" t="s">
        <v>2158</v>
      </c>
      <c r="I522" s="162" t="s">
        <v>506</v>
      </c>
      <c r="J522" s="162" t="s">
        <v>14</v>
      </c>
      <c r="K522" s="27">
        <v>202102014</v>
      </c>
      <c r="L522" s="162" t="s">
        <v>157</v>
      </c>
      <c r="M522" s="162" t="s">
        <v>178</v>
      </c>
      <c r="N522" s="162" t="s">
        <v>348</v>
      </c>
      <c r="O522" s="162" t="s">
        <v>170</v>
      </c>
      <c r="P522" s="162" t="s">
        <v>548</v>
      </c>
      <c r="Q522" s="162" t="s">
        <v>4084</v>
      </c>
      <c r="R522" s="162" t="s">
        <v>4085</v>
      </c>
      <c r="S522" s="118" t="str">
        <f>_xlfn.DISPIMG("ID_C5311387C2FF404D8FA717D4979E175B",1)</f>
        <v>=DISPIMG("ID_C5311387C2FF404D8FA717D4979E175B",1)</v>
      </c>
      <c r="T522" s="115" t="s">
        <v>4086</v>
      </c>
      <c r="U522" s="127">
        <v>522</v>
      </c>
    </row>
    <row r="523" s="3" customFormat="1" customHeight="1" spans="1:21">
      <c r="A523" s="144">
        <v>44365.5359606482</v>
      </c>
      <c r="B523" s="27" t="s">
        <v>4087</v>
      </c>
      <c r="C523" s="27" t="s">
        <v>4088</v>
      </c>
      <c r="D523" s="162" t="s">
        <v>4089</v>
      </c>
      <c r="E523" s="162" t="s">
        <v>165</v>
      </c>
      <c r="F523" s="162" t="s">
        <v>4090</v>
      </c>
      <c r="G523" s="27">
        <v>15979951702</v>
      </c>
      <c r="H523" s="162" t="s">
        <v>4091</v>
      </c>
      <c r="I523" s="162" t="s">
        <v>156</v>
      </c>
      <c r="J523" s="162" t="s">
        <v>8</v>
      </c>
      <c r="K523" s="27">
        <v>202102002</v>
      </c>
      <c r="L523" s="162" t="s">
        <v>157</v>
      </c>
      <c r="M523" s="162" t="s">
        <v>385</v>
      </c>
      <c r="N523" s="162" t="s">
        <v>270</v>
      </c>
      <c r="O523" s="162" t="s">
        <v>170</v>
      </c>
      <c r="P523" s="162" t="s">
        <v>161</v>
      </c>
      <c r="Q523" s="162" t="s">
        <v>20</v>
      </c>
      <c r="R523" s="162" t="s">
        <v>4092</v>
      </c>
      <c r="S523" s="118" t="str">
        <f>_xlfn.DISPIMG("ID_9B43E41106094708AAB8E2C3D51BAF21",1)</f>
        <v>=DISPIMG("ID_9B43E41106094708AAB8E2C3D51BAF21",1)</v>
      </c>
      <c r="T523" s="115" t="s">
        <v>4093</v>
      </c>
      <c r="U523" s="127">
        <v>523</v>
      </c>
    </row>
    <row r="524" s="3" customFormat="1" customHeight="1" spans="1:21">
      <c r="A524" s="144">
        <v>44365.5397106481</v>
      </c>
      <c r="B524" s="27" t="s">
        <v>4094</v>
      </c>
      <c r="C524" s="27" t="s">
        <v>4095</v>
      </c>
      <c r="D524" s="162" t="s">
        <v>4096</v>
      </c>
      <c r="E524" s="162" t="s">
        <v>165</v>
      </c>
      <c r="F524" s="162" t="s">
        <v>4097</v>
      </c>
      <c r="G524" s="27">
        <v>18279205166</v>
      </c>
      <c r="H524" s="162" t="s">
        <v>4098</v>
      </c>
      <c r="I524" s="162" t="s">
        <v>506</v>
      </c>
      <c r="J524" s="162" t="s">
        <v>13</v>
      </c>
      <c r="K524" s="27">
        <v>202102016</v>
      </c>
      <c r="L524" s="162" t="s">
        <v>157</v>
      </c>
      <c r="M524" s="162" t="s">
        <v>1121</v>
      </c>
      <c r="N524" s="162" t="s">
        <v>179</v>
      </c>
      <c r="O524" s="162" t="s">
        <v>160</v>
      </c>
      <c r="P524" s="162" t="s">
        <v>199</v>
      </c>
      <c r="Q524" s="162" t="s">
        <v>13</v>
      </c>
      <c r="R524" s="162" t="s">
        <v>4099</v>
      </c>
      <c r="S524" s="118" t="str">
        <f>_xlfn.DISPIMG("ID_AF2EA5B71B5B4904B17F83B386FDD8B5",1)</f>
        <v>=DISPIMG("ID_AF2EA5B71B5B4904B17F83B386FDD8B5",1)</v>
      </c>
      <c r="T524" s="115" t="s">
        <v>4100</v>
      </c>
      <c r="U524" s="127">
        <v>524</v>
      </c>
    </row>
    <row r="525" s="3" customFormat="1" customHeight="1" spans="1:21">
      <c r="A525" s="144">
        <v>44365.5442824074</v>
      </c>
      <c r="B525" s="27" t="s">
        <v>4101</v>
      </c>
      <c r="C525" s="27" t="s">
        <v>4102</v>
      </c>
      <c r="D525" s="162" t="s">
        <v>4103</v>
      </c>
      <c r="E525" s="162" t="s">
        <v>165</v>
      </c>
      <c r="F525" s="162" t="s">
        <v>4104</v>
      </c>
      <c r="G525" s="27">
        <v>15270173371</v>
      </c>
      <c r="H525" s="162" t="s">
        <v>4105</v>
      </c>
      <c r="I525" s="162" t="s">
        <v>384</v>
      </c>
      <c r="J525" s="162" t="s">
        <v>14</v>
      </c>
      <c r="K525" s="27">
        <v>202102001</v>
      </c>
      <c r="L525" s="162" t="s">
        <v>157</v>
      </c>
      <c r="M525" s="162" t="s">
        <v>233</v>
      </c>
      <c r="N525" s="162" t="s">
        <v>454</v>
      </c>
      <c r="O525" s="162" t="s">
        <v>170</v>
      </c>
      <c r="P525" s="162" t="s">
        <v>4106</v>
      </c>
      <c r="Q525" s="162" t="s">
        <v>14</v>
      </c>
      <c r="R525" s="162" t="s">
        <v>4107</v>
      </c>
      <c r="S525" s="118" t="str">
        <f>_xlfn.DISPIMG("ID_EDE9A315C64A4BE2AC2F986557EA53FC",1)</f>
        <v>=DISPIMG("ID_EDE9A315C64A4BE2AC2F986557EA53FC",1)</v>
      </c>
      <c r="T525" s="115" t="s">
        <v>4108</v>
      </c>
      <c r="U525" s="127">
        <v>525</v>
      </c>
    </row>
    <row r="526" s="3" customFormat="1" customHeight="1" spans="1:21">
      <c r="A526" s="144">
        <v>44365.5556944444</v>
      </c>
      <c r="B526" s="27" t="s">
        <v>4109</v>
      </c>
      <c r="C526" s="27" t="s">
        <v>4110</v>
      </c>
      <c r="D526" s="162" t="s">
        <v>4111</v>
      </c>
      <c r="E526" s="162" t="s">
        <v>153</v>
      </c>
      <c r="F526" s="162" t="s">
        <v>4112</v>
      </c>
      <c r="G526" s="27">
        <v>15155149842</v>
      </c>
      <c r="H526" s="162" t="s">
        <v>4113</v>
      </c>
      <c r="I526" s="162" t="s">
        <v>268</v>
      </c>
      <c r="J526" s="162" t="s">
        <v>16</v>
      </c>
      <c r="K526" s="27">
        <v>202101011</v>
      </c>
      <c r="L526" s="162" t="s">
        <v>705</v>
      </c>
      <c r="M526" s="162" t="s">
        <v>4114</v>
      </c>
      <c r="N526" s="162" t="s">
        <v>4115</v>
      </c>
      <c r="O526" s="162" t="s">
        <v>160</v>
      </c>
      <c r="P526" s="162" t="s">
        <v>161</v>
      </c>
      <c r="Q526" s="162" t="s">
        <v>16</v>
      </c>
      <c r="R526" s="162" t="s">
        <v>4116</v>
      </c>
      <c r="S526" s="118" t="str">
        <f>_xlfn.DISPIMG("ID_AB3A7CA2D44F41A18DEECB4F4C161234",1)</f>
        <v>=DISPIMG("ID_AB3A7CA2D44F41A18DEECB4F4C161234",1)</v>
      </c>
      <c r="T526" s="115" t="s">
        <v>4117</v>
      </c>
      <c r="U526" s="127">
        <v>526</v>
      </c>
    </row>
    <row r="527" s="3" customFormat="1" customHeight="1" spans="1:21">
      <c r="A527" s="144">
        <v>44365.5559953704</v>
      </c>
      <c r="B527" s="27" t="s">
        <v>4118</v>
      </c>
      <c r="C527" s="27" t="s">
        <v>4119</v>
      </c>
      <c r="D527" s="162" t="s">
        <v>4120</v>
      </c>
      <c r="E527" s="162" t="s">
        <v>153</v>
      </c>
      <c r="F527" s="162" t="s">
        <v>4121</v>
      </c>
      <c r="G527" s="27">
        <v>15070281790</v>
      </c>
      <c r="H527" s="162" t="s">
        <v>4122</v>
      </c>
      <c r="I527" s="162" t="s">
        <v>506</v>
      </c>
      <c r="J527" s="162" t="s">
        <v>13</v>
      </c>
      <c r="K527" s="27">
        <v>202102016</v>
      </c>
      <c r="L527" s="162" t="s">
        <v>157</v>
      </c>
      <c r="M527" s="162" t="s">
        <v>269</v>
      </c>
      <c r="N527" s="162" t="s">
        <v>179</v>
      </c>
      <c r="O527" s="162" t="s">
        <v>170</v>
      </c>
      <c r="P527" s="162" t="s">
        <v>3039</v>
      </c>
      <c r="Q527" s="162" t="s">
        <v>307</v>
      </c>
      <c r="R527" s="162" t="s">
        <v>4123</v>
      </c>
      <c r="S527" s="118" t="str">
        <f>_xlfn.DISPIMG("ID_E27C6548F4194D02B9DC397724E0FA4F",1)</f>
        <v>=DISPIMG("ID_E27C6548F4194D02B9DC397724E0FA4F",1)</v>
      </c>
      <c r="T527" s="115" t="s">
        <v>4124</v>
      </c>
      <c r="U527" s="127">
        <v>527</v>
      </c>
    </row>
    <row r="528" s="3" customFormat="1" customHeight="1" spans="1:21">
      <c r="A528" s="144">
        <v>44365.5564351852</v>
      </c>
      <c r="B528" s="27" t="s">
        <v>4125</v>
      </c>
      <c r="C528" s="27" t="s">
        <v>4126</v>
      </c>
      <c r="D528" s="162" t="s">
        <v>4127</v>
      </c>
      <c r="E528" s="162" t="s">
        <v>165</v>
      </c>
      <c r="F528" s="162" t="s">
        <v>4128</v>
      </c>
      <c r="G528" s="27">
        <v>18779230962</v>
      </c>
      <c r="H528" s="162" t="s">
        <v>4129</v>
      </c>
      <c r="I528" s="162" t="s">
        <v>268</v>
      </c>
      <c r="J528" s="162" t="s">
        <v>26</v>
      </c>
      <c r="K528" s="27">
        <v>202101001</v>
      </c>
      <c r="L528" s="162" t="s">
        <v>157</v>
      </c>
      <c r="M528" s="162" t="s">
        <v>233</v>
      </c>
      <c r="N528" s="162" t="s">
        <v>454</v>
      </c>
      <c r="O528" s="162" t="s">
        <v>170</v>
      </c>
      <c r="P528" s="162" t="s">
        <v>252</v>
      </c>
      <c r="Q528" s="162" t="s">
        <v>26</v>
      </c>
      <c r="R528" s="162" t="s">
        <v>4130</v>
      </c>
      <c r="S528" s="118" t="str">
        <f>_xlfn.DISPIMG("ID_135AA7394FE044C981CB1DCD13A764A0",1)</f>
        <v>=DISPIMG("ID_135AA7394FE044C981CB1DCD13A764A0",1)</v>
      </c>
      <c r="T528" s="115" t="s">
        <v>4131</v>
      </c>
      <c r="U528" s="127">
        <v>528</v>
      </c>
    </row>
    <row r="529" s="3" customFormat="1" customHeight="1" spans="1:21">
      <c r="A529" s="144">
        <v>44365.5636226852</v>
      </c>
      <c r="B529" s="27" t="s">
        <v>4132</v>
      </c>
      <c r="C529" s="27" t="s">
        <v>4133</v>
      </c>
      <c r="D529" s="162" t="s">
        <v>4134</v>
      </c>
      <c r="E529" s="162" t="s">
        <v>165</v>
      </c>
      <c r="F529" s="162" t="s">
        <v>4135</v>
      </c>
      <c r="G529" s="27">
        <v>15207926555</v>
      </c>
      <c r="H529" s="162" t="s">
        <v>4136</v>
      </c>
      <c r="I529" s="162" t="s">
        <v>156</v>
      </c>
      <c r="J529" s="162" t="s">
        <v>12</v>
      </c>
      <c r="K529" s="27">
        <v>202102010</v>
      </c>
      <c r="L529" s="162" t="s">
        <v>157</v>
      </c>
      <c r="M529" s="162" t="s">
        <v>4137</v>
      </c>
      <c r="N529" s="162" t="s">
        <v>1442</v>
      </c>
      <c r="O529" s="162" t="s">
        <v>160</v>
      </c>
      <c r="P529" s="162" t="s">
        <v>368</v>
      </c>
      <c r="Q529" s="162" t="s">
        <v>4138</v>
      </c>
      <c r="R529" s="27">
        <v>0</v>
      </c>
      <c r="S529" s="118" t="str">
        <f>_xlfn.DISPIMG("ID_911EFC838815489D872B9030D6735741",1)</f>
        <v>=DISPIMG("ID_911EFC838815489D872B9030D6735741",1)</v>
      </c>
      <c r="T529" s="115" t="s">
        <v>4139</v>
      </c>
      <c r="U529" s="127">
        <v>529</v>
      </c>
    </row>
    <row r="530" s="3" customFormat="1" customHeight="1" spans="1:21">
      <c r="A530" s="144">
        <v>44365.5666087963</v>
      </c>
      <c r="B530" s="27" t="s">
        <v>4140</v>
      </c>
      <c r="C530" s="27" t="s">
        <v>4141</v>
      </c>
      <c r="D530" s="162" t="s">
        <v>4142</v>
      </c>
      <c r="E530" s="162" t="s">
        <v>153</v>
      </c>
      <c r="F530" s="162" t="s">
        <v>4143</v>
      </c>
      <c r="G530" s="27">
        <v>13330123354</v>
      </c>
      <c r="H530" s="162" t="s">
        <v>4144</v>
      </c>
      <c r="I530" s="162" t="s">
        <v>297</v>
      </c>
      <c r="J530" s="162" t="s">
        <v>30</v>
      </c>
      <c r="K530" s="27">
        <v>202101032</v>
      </c>
      <c r="L530" s="162" t="s">
        <v>705</v>
      </c>
      <c r="M530" s="162" t="s">
        <v>4145</v>
      </c>
      <c r="N530" s="162" t="s">
        <v>4146</v>
      </c>
      <c r="O530" s="162" t="s">
        <v>160</v>
      </c>
      <c r="P530" s="162" t="s">
        <v>235</v>
      </c>
      <c r="Q530" s="162" t="s">
        <v>4147</v>
      </c>
      <c r="R530" s="162" t="s">
        <v>4148</v>
      </c>
      <c r="S530" s="118" t="str">
        <f>_xlfn.DISPIMG("ID_28A32B60C96343E48DA79AC0817DB8B2",1)</f>
        <v>=DISPIMG("ID_28A32B60C96343E48DA79AC0817DB8B2",1)</v>
      </c>
      <c r="T530" s="115" t="s">
        <v>4149</v>
      </c>
      <c r="U530" s="127">
        <v>530</v>
      </c>
    </row>
    <row r="531" s="3" customFormat="1" hidden="1" customHeight="1" spans="1:21">
      <c r="A531" s="144">
        <v>44365.5707060185</v>
      </c>
      <c r="B531" s="27" t="s">
        <v>4150</v>
      </c>
      <c r="C531" s="27" t="s">
        <v>4151</v>
      </c>
      <c r="D531" s="162" t="s">
        <v>4152</v>
      </c>
      <c r="E531" s="162" t="s">
        <v>165</v>
      </c>
      <c r="F531" s="162" t="s">
        <v>4153</v>
      </c>
      <c r="G531" s="27">
        <v>13979229512</v>
      </c>
      <c r="H531" s="162" t="s">
        <v>4154</v>
      </c>
      <c r="I531" s="162" t="s">
        <v>156</v>
      </c>
      <c r="J531" s="162" t="s">
        <v>24</v>
      </c>
      <c r="K531" s="27">
        <v>202102010</v>
      </c>
      <c r="L531" s="162" t="s">
        <v>157</v>
      </c>
      <c r="M531" s="162" t="s">
        <v>4155</v>
      </c>
      <c r="N531" s="162" t="s">
        <v>445</v>
      </c>
      <c r="O531" s="162" t="s">
        <v>170</v>
      </c>
      <c r="P531" s="162" t="s">
        <v>199</v>
      </c>
      <c r="Q531" s="162" t="s">
        <v>4156</v>
      </c>
      <c r="R531" s="162" t="s">
        <v>4157</v>
      </c>
      <c r="S531" s="118" t="str">
        <f>_xlfn.DISPIMG("ID_7BA4E5E144144DF79E326679F08F6F4B",1)</f>
        <v>=DISPIMG("ID_7BA4E5E144144DF79E326679F08F6F4B",1)</v>
      </c>
      <c r="T531" s="115" t="s">
        <v>4158</v>
      </c>
      <c r="U531" s="127">
        <v>531</v>
      </c>
    </row>
    <row r="532" s="3" customFormat="1" customHeight="1" spans="1:21">
      <c r="A532" s="144">
        <v>44365.5872453704</v>
      </c>
      <c r="B532" s="27" t="s">
        <v>4159</v>
      </c>
      <c r="C532" s="27" t="s">
        <v>4160</v>
      </c>
      <c r="D532" s="162" t="s">
        <v>4161</v>
      </c>
      <c r="E532" s="162" t="s">
        <v>165</v>
      </c>
      <c r="F532" s="162" t="s">
        <v>4162</v>
      </c>
      <c r="G532" s="27">
        <v>15999192756</v>
      </c>
      <c r="H532" s="162" t="s">
        <v>4163</v>
      </c>
      <c r="I532" s="162" t="s">
        <v>297</v>
      </c>
      <c r="J532" s="162" t="s">
        <v>20</v>
      </c>
      <c r="K532" s="27">
        <v>202101006</v>
      </c>
      <c r="L532" s="162" t="s">
        <v>157</v>
      </c>
      <c r="M532" s="162" t="s">
        <v>4164</v>
      </c>
      <c r="N532" s="162" t="s">
        <v>4165</v>
      </c>
      <c r="O532" s="162" t="s">
        <v>160</v>
      </c>
      <c r="P532" s="162" t="s">
        <v>1089</v>
      </c>
      <c r="Q532" s="162" t="s">
        <v>20</v>
      </c>
      <c r="R532" s="162" t="s">
        <v>4166</v>
      </c>
      <c r="S532" s="118" t="str">
        <f>_xlfn.DISPIMG("ID_0FB1CC236BB0441E8D7B28856D597318",1)</f>
        <v>=DISPIMG("ID_0FB1CC236BB0441E8D7B28856D597318",1)</v>
      </c>
      <c r="T532" s="115" t="s">
        <v>4167</v>
      </c>
      <c r="U532" s="127">
        <v>532</v>
      </c>
    </row>
    <row r="533" s="3" customFormat="1" customHeight="1" spans="1:21">
      <c r="A533" s="144">
        <v>44365.6009375</v>
      </c>
      <c r="B533" s="27" t="s">
        <v>4168</v>
      </c>
      <c r="C533" s="27" t="s">
        <v>3392</v>
      </c>
      <c r="D533" s="162" t="s">
        <v>4169</v>
      </c>
      <c r="E533" s="162" t="s">
        <v>165</v>
      </c>
      <c r="F533" s="162" t="s">
        <v>4170</v>
      </c>
      <c r="G533" s="27">
        <v>13970241382</v>
      </c>
      <c r="H533" s="162" t="s">
        <v>4171</v>
      </c>
      <c r="I533" s="162" t="s">
        <v>156</v>
      </c>
      <c r="J533" s="162" t="s">
        <v>13</v>
      </c>
      <c r="K533" s="27">
        <v>202102003</v>
      </c>
      <c r="L533" s="162" t="s">
        <v>157</v>
      </c>
      <c r="M533" s="162" t="s">
        <v>233</v>
      </c>
      <c r="N533" s="162" t="s">
        <v>4172</v>
      </c>
      <c r="O533" s="162" t="s">
        <v>170</v>
      </c>
      <c r="P533" s="162" t="s">
        <v>161</v>
      </c>
      <c r="Q533" s="162" t="s">
        <v>4173</v>
      </c>
      <c r="R533" s="27">
        <v>0</v>
      </c>
      <c r="S533" s="118" t="str">
        <f>_xlfn.DISPIMG("ID_5B6CA2E5A2044344BC4069C94E27DF22",1)</f>
        <v>=DISPIMG("ID_5B6CA2E5A2044344BC4069C94E27DF22",1)</v>
      </c>
      <c r="T533" s="115" t="s">
        <v>4174</v>
      </c>
      <c r="U533" s="127">
        <v>533</v>
      </c>
    </row>
    <row r="534" s="3" customFormat="1" customHeight="1" spans="1:21">
      <c r="A534" s="144">
        <v>44365.6129050926</v>
      </c>
      <c r="B534" s="27" t="s">
        <v>4175</v>
      </c>
      <c r="C534" s="27" t="s">
        <v>4176</v>
      </c>
      <c r="D534" s="162" t="s">
        <v>4177</v>
      </c>
      <c r="E534" s="162" t="s">
        <v>165</v>
      </c>
      <c r="F534" s="162" t="s">
        <v>4178</v>
      </c>
      <c r="G534" s="27">
        <v>18759251284</v>
      </c>
      <c r="H534" s="162" t="s">
        <v>4179</v>
      </c>
      <c r="I534" s="162" t="s">
        <v>156</v>
      </c>
      <c r="J534" s="162" t="s">
        <v>14</v>
      </c>
      <c r="K534" s="27">
        <v>202102001</v>
      </c>
      <c r="L534" s="162" t="s">
        <v>157</v>
      </c>
      <c r="M534" s="162" t="s">
        <v>2363</v>
      </c>
      <c r="N534" s="162" t="s">
        <v>454</v>
      </c>
      <c r="O534" s="162" t="s">
        <v>170</v>
      </c>
      <c r="P534" s="162" t="s">
        <v>455</v>
      </c>
      <c r="Q534" s="162" t="s">
        <v>26</v>
      </c>
      <c r="R534" s="162" t="s">
        <v>4180</v>
      </c>
      <c r="S534" s="118" t="str">
        <f>_xlfn.DISPIMG("ID_E9338F1098B64D83A2AE0E9576D18B92",1)</f>
        <v>=DISPIMG("ID_E9338F1098B64D83A2AE0E9576D18B92",1)</v>
      </c>
      <c r="T534" s="115" t="s">
        <v>4181</v>
      </c>
      <c r="U534" s="127">
        <v>534</v>
      </c>
    </row>
    <row r="535" s="3" customFormat="1" customHeight="1" spans="1:21">
      <c r="A535" s="144">
        <v>44365.6175810185</v>
      </c>
      <c r="B535" s="27" t="s">
        <v>4182</v>
      </c>
      <c r="C535" s="27" t="s">
        <v>4183</v>
      </c>
      <c r="D535" s="162" t="s">
        <v>4184</v>
      </c>
      <c r="E535" s="162" t="s">
        <v>153</v>
      </c>
      <c r="F535" s="162" t="s">
        <v>4185</v>
      </c>
      <c r="G535" s="27">
        <v>15779857764</v>
      </c>
      <c r="H535" s="162" t="s">
        <v>4186</v>
      </c>
      <c r="I535" s="162" t="s">
        <v>384</v>
      </c>
      <c r="J535" s="162" t="s">
        <v>16</v>
      </c>
      <c r="K535" s="27">
        <v>202101012</v>
      </c>
      <c r="L535" s="162" t="s">
        <v>157</v>
      </c>
      <c r="M535" s="162" t="s">
        <v>507</v>
      </c>
      <c r="N535" s="162" t="s">
        <v>977</v>
      </c>
      <c r="O535" s="162" t="s">
        <v>170</v>
      </c>
      <c r="P535" s="162" t="s">
        <v>281</v>
      </c>
      <c r="Q535" s="162" t="s">
        <v>16</v>
      </c>
      <c r="R535" s="162" t="s">
        <v>4187</v>
      </c>
      <c r="S535" s="118" t="str">
        <f>_xlfn.DISPIMG("ID_CB7789B563324522805F1ED9D1BFD221",1)</f>
        <v>=DISPIMG("ID_CB7789B563324522805F1ED9D1BFD221",1)</v>
      </c>
      <c r="T535" s="115" t="s">
        <v>4188</v>
      </c>
      <c r="U535" s="127">
        <v>535</v>
      </c>
    </row>
    <row r="536" s="3" customFormat="1" customHeight="1" spans="1:21">
      <c r="A536" s="144">
        <v>44365.6276967593</v>
      </c>
      <c r="B536" s="27" t="s">
        <v>4189</v>
      </c>
      <c r="C536" s="27" t="s">
        <v>4190</v>
      </c>
      <c r="D536" s="162" t="s">
        <v>4191</v>
      </c>
      <c r="E536" s="162" t="s">
        <v>153</v>
      </c>
      <c r="F536" s="162" t="s">
        <v>4192</v>
      </c>
      <c r="G536" s="27">
        <v>15979988511</v>
      </c>
      <c r="H536" s="162" t="s">
        <v>4193</v>
      </c>
      <c r="I536" s="162" t="s">
        <v>156</v>
      </c>
      <c r="J536" s="162" t="s">
        <v>8</v>
      </c>
      <c r="K536" s="27">
        <v>202102002</v>
      </c>
      <c r="L536" s="162" t="s">
        <v>157</v>
      </c>
      <c r="M536" s="162" t="s">
        <v>789</v>
      </c>
      <c r="N536" s="162" t="s">
        <v>270</v>
      </c>
      <c r="O536" s="162" t="s">
        <v>160</v>
      </c>
      <c r="P536" s="162" t="s">
        <v>180</v>
      </c>
      <c r="Q536" s="162" t="s">
        <v>8</v>
      </c>
      <c r="R536" s="162" t="s">
        <v>4194</v>
      </c>
      <c r="S536" s="118" t="str">
        <f>_xlfn.DISPIMG("ID_0D01E0F1A35045CF8FA47A6F17C3312E",1)</f>
        <v>=DISPIMG("ID_0D01E0F1A35045CF8FA47A6F17C3312E",1)</v>
      </c>
      <c r="T536" s="115" t="s">
        <v>4195</v>
      </c>
      <c r="U536" s="127">
        <v>536</v>
      </c>
    </row>
    <row r="537" s="3" customFormat="1" customHeight="1" spans="1:21">
      <c r="A537" s="144">
        <v>44365.6461574074</v>
      </c>
      <c r="B537" s="27" t="s">
        <v>4196</v>
      </c>
      <c r="C537" s="27" t="s">
        <v>4197</v>
      </c>
      <c r="D537" s="162" t="s">
        <v>4198</v>
      </c>
      <c r="E537" s="162" t="s">
        <v>165</v>
      </c>
      <c r="F537" s="162" t="s">
        <v>4199</v>
      </c>
      <c r="G537" s="27">
        <v>18160796883</v>
      </c>
      <c r="H537" s="162" t="s">
        <v>4200</v>
      </c>
      <c r="I537" s="162" t="s">
        <v>156</v>
      </c>
      <c r="J537" s="162" t="s">
        <v>12</v>
      </c>
      <c r="K537" s="27">
        <v>202102010</v>
      </c>
      <c r="L537" s="162" t="s">
        <v>157</v>
      </c>
      <c r="M537" s="162" t="s">
        <v>4201</v>
      </c>
      <c r="N537" s="162" t="s">
        <v>445</v>
      </c>
      <c r="O537" s="162" t="s">
        <v>170</v>
      </c>
      <c r="P537" s="162" t="s">
        <v>199</v>
      </c>
      <c r="Q537" s="162" t="s">
        <v>359</v>
      </c>
      <c r="R537" s="162" t="s">
        <v>4202</v>
      </c>
      <c r="S537" s="118" t="str">
        <f>_xlfn.DISPIMG("ID_85E134BF0AB1468FAAB0CB1A9F9C4F34",1)</f>
        <v>=DISPIMG("ID_85E134BF0AB1468FAAB0CB1A9F9C4F34",1)</v>
      </c>
      <c r="T537" s="115" t="s">
        <v>4203</v>
      </c>
      <c r="U537" s="127">
        <v>537</v>
      </c>
    </row>
    <row r="538" s="3" customFormat="1" customHeight="1" spans="1:21">
      <c r="A538" s="144">
        <v>44365.6506134259</v>
      </c>
      <c r="B538" s="27" t="s">
        <v>4204</v>
      </c>
      <c r="C538" s="27" t="s">
        <v>4205</v>
      </c>
      <c r="D538" s="162" t="s">
        <v>4206</v>
      </c>
      <c r="E538" s="162" t="s">
        <v>153</v>
      </c>
      <c r="F538" s="162" t="s">
        <v>4207</v>
      </c>
      <c r="G538" s="27">
        <v>19942126864</v>
      </c>
      <c r="H538" s="162" t="s">
        <v>4208</v>
      </c>
      <c r="I538" s="162" t="s">
        <v>506</v>
      </c>
      <c r="J538" s="162" t="s">
        <v>13</v>
      </c>
      <c r="K538" s="27">
        <v>202101016</v>
      </c>
      <c r="L538" s="162" t="s">
        <v>157</v>
      </c>
      <c r="M538" s="162" t="s">
        <v>4209</v>
      </c>
      <c r="N538" s="162" t="s">
        <v>179</v>
      </c>
      <c r="O538" s="162" t="s">
        <v>160</v>
      </c>
      <c r="P538" s="162" t="s">
        <v>396</v>
      </c>
      <c r="Q538" s="162" t="s">
        <v>25</v>
      </c>
      <c r="R538" s="162" t="s">
        <v>4210</v>
      </c>
      <c r="S538" s="118" t="str">
        <f>_xlfn.DISPIMG("ID_7372970AEB0B4E9DBEDB39C293267296",1)</f>
        <v>=DISPIMG("ID_7372970AEB0B4E9DBEDB39C293267296",1)</v>
      </c>
      <c r="T538" s="115" t="s">
        <v>4211</v>
      </c>
      <c r="U538" s="127">
        <v>538</v>
      </c>
    </row>
    <row r="539" s="3" customFormat="1" customHeight="1" spans="1:21">
      <c r="A539" s="144">
        <v>44365.6539351852</v>
      </c>
      <c r="B539" s="27" t="s">
        <v>4212</v>
      </c>
      <c r="C539" s="27" t="s">
        <v>4213</v>
      </c>
      <c r="D539" s="162" t="s">
        <v>4214</v>
      </c>
      <c r="E539" s="162" t="s">
        <v>165</v>
      </c>
      <c r="F539" s="162" t="s">
        <v>4215</v>
      </c>
      <c r="G539" s="27">
        <v>19979263918</v>
      </c>
      <c r="H539" s="162" t="s">
        <v>4216</v>
      </c>
      <c r="I539" s="162" t="s">
        <v>156</v>
      </c>
      <c r="J539" s="162" t="s">
        <v>14</v>
      </c>
      <c r="K539" s="27">
        <v>202102001</v>
      </c>
      <c r="L539" s="162" t="s">
        <v>157</v>
      </c>
      <c r="M539" s="162" t="s">
        <v>412</v>
      </c>
      <c r="N539" s="162" t="s">
        <v>4217</v>
      </c>
      <c r="O539" s="162" t="s">
        <v>160</v>
      </c>
      <c r="P539" s="162" t="s">
        <v>180</v>
      </c>
      <c r="Q539" s="162" t="s">
        <v>26</v>
      </c>
      <c r="R539" s="162" t="s">
        <v>4218</v>
      </c>
      <c r="S539" s="118" t="str">
        <f>_xlfn.DISPIMG("ID_458825B7ED724C7B8EAA7308C4517BC8",1)</f>
        <v>=DISPIMG("ID_458825B7ED724C7B8EAA7308C4517BC8",1)</v>
      </c>
      <c r="T539" s="115" t="s">
        <v>4219</v>
      </c>
      <c r="U539" s="127">
        <v>539</v>
      </c>
    </row>
    <row r="540" s="3" customFormat="1" customHeight="1" spans="1:21">
      <c r="A540" s="144">
        <v>44365.6652199074</v>
      </c>
      <c r="B540" s="27" t="s">
        <v>4220</v>
      </c>
      <c r="C540" s="27" t="s">
        <v>4221</v>
      </c>
      <c r="D540" s="162" t="s">
        <v>4222</v>
      </c>
      <c r="E540" s="162" t="s">
        <v>165</v>
      </c>
      <c r="F540" s="162" t="s">
        <v>4223</v>
      </c>
      <c r="G540" s="27">
        <v>18170013045</v>
      </c>
      <c r="H540" s="162" t="s">
        <v>4224</v>
      </c>
      <c r="I540" s="162" t="s">
        <v>268</v>
      </c>
      <c r="J540" s="162" t="s">
        <v>16</v>
      </c>
      <c r="K540" s="27">
        <v>202101011</v>
      </c>
      <c r="L540" s="162" t="s">
        <v>157</v>
      </c>
      <c r="M540" s="162" t="s">
        <v>385</v>
      </c>
      <c r="N540" s="162" t="s">
        <v>4225</v>
      </c>
      <c r="O540" s="162" t="s">
        <v>170</v>
      </c>
      <c r="P540" s="162" t="s">
        <v>224</v>
      </c>
      <c r="Q540" s="162" t="s">
        <v>16</v>
      </c>
      <c r="R540" s="162" t="s">
        <v>4226</v>
      </c>
      <c r="S540" s="118" t="str">
        <f>_xlfn.DISPIMG("ID_6A583EA485744871AED4CEE0D95D9DC4",1)</f>
        <v>=DISPIMG("ID_6A583EA485744871AED4CEE0D95D9DC4",1)</v>
      </c>
      <c r="T540" s="115" t="s">
        <v>4227</v>
      </c>
      <c r="U540" s="127">
        <v>540</v>
      </c>
    </row>
    <row r="541" s="3" customFormat="1" customHeight="1" spans="1:21">
      <c r="A541" s="144">
        <v>44365.6659606481</v>
      </c>
      <c r="B541" s="27" t="s">
        <v>4228</v>
      </c>
      <c r="C541" s="27" t="s">
        <v>4229</v>
      </c>
      <c r="D541" s="162" t="s">
        <v>4230</v>
      </c>
      <c r="E541" s="162" t="s">
        <v>165</v>
      </c>
      <c r="F541" s="162" t="s">
        <v>4231</v>
      </c>
      <c r="G541" s="27">
        <v>15797679627</v>
      </c>
      <c r="H541" s="162" t="s">
        <v>4232</v>
      </c>
      <c r="I541" s="162" t="s">
        <v>156</v>
      </c>
      <c r="J541" s="162" t="s">
        <v>8</v>
      </c>
      <c r="K541" s="27">
        <v>202102002</v>
      </c>
      <c r="L541" s="162" t="s">
        <v>157</v>
      </c>
      <c r="M541" s="162" t="s">
        <v>876</v>
      </c>
      <c r="N541" s="162" t="s">
        <v>1204</v>
      </c>
      <c r="O541" s="162" t="s">
        <v>160</v>
      </c>
      <c r="P541" s="162" t="s">
        <v>171</v>
      </c>
      <c r="Q541" s="162" t="s">
        <v>4233</v>
      </c>
      <c r="R541" s="27">
        <v>0</v>
      </c>
      <c r="S541" s="118" t="str">
        <f>_xlfn.DISPIMG("ID_866D1667729041288352BAC0C5E9F611",1)</f>
        <v>=DISPIMG("ID_866D1667729041288352BAC0C5E9F611",1)</v>
      </c>
      <c r="T541" s="115" t="s">
        <v>4234</v>
      </c>
      <c r="U541" s="127">
        <v>541</v>
      </c>
    </row>
    <row r="542" s="3" customFormat="1" customHeight="1" spans="1:21">
      <c r="A542" s="144">
        <v>44365.6701851852</v>
      </c>
      <c r="B542" s="27" t="s">
        <v>4235</v>
      </c>
      <c r="C542" s="27" t="s">
        <v>4236</v>
      </c>
      <c r="D542" s="162" t="s">
        <v>4237</v>
      </c>
      <c r="E542" s="162" t="s">
        <v>165</v>
      </c>
      <c r="F542" s="162" t="s">
        <v>4238</v>
      </c>
      <c r="G542" s="27">
        <v>15170274665</v>
      </c>
      <c r="H542" s="162" t="s">
        <v>4239</v>
      </c>
      <c r="I542" s="162" t="s">
        <v>278</v>
      </c>
      <c r="J542" s="162" t="s">
        <v>28</v>
      </c>
      <c r="K542" s="27">
        <v>202103001</v>
      </c>
      <c r="L542" s="162" t="s">
        <v>585</v>
      </c>
      <c r="M542" s="162" t="s">
        <v>367</v>
      </c>
      <c r="N542" s="162" t="s">
        <v>280</v>
      </c>
      <c r="O542" s="162" t="s">
        <v>170</v>
      </c>
      <c r="P542" s="162" t="s">
        <v>368</v>
      </c>
      <c r="Q542" s="162" t="s">
        <v>376</v>
      </c>
      <c r="R542" s="162" t="s">
        <v>4240</v>
      </c>
      <c r="S542" s="118" t="str">
        <f>_xlfn.DISPIMG("ID_7116E6EB313E4CDBB6AEC2C13A4D6810",1)</f>
        <v>=DISPIMG("ID_7116E6EB313E4CDBB6AEC2C13A4D6810",1)</v>
      </c>
      <c r="T542" s="115" t="s">
        <v>4241</v>
      </c>
      <c r="U542" s="127">
        <v>542</v>
      </c>
    </row>
    <row r="543" s="3" customFormat="1" customHeight="1" spans="1:21">
      <c r="A543" s="144">
        <v>44365.6705324074</v>
      </c>
      <c r="B543" s="27" t="s">
        <v>4242</v>
      </c>
      <c r="C543" s="27" t="s">
        <v>4243</v>
      </c>
      <c r="D543" s="162" t="s">
        <v>4244</v>
      </c>
      <c r="E543" s="162" t="s">
        <v>165</v>
      </c>
      <c r="F543" s="162" t="s">
        <v>4245</v>
      </c>
      <c r="G543" s="27">
        <v>18296230426</v>
      </c>
      <c r="H543" s="162" t="s">
        <v>4246</v>
      </c>
      <c r="I543" s="162" t="s">
        <v>156</v>
      </c>
      <c r="J543" s="162" t="s">
        <v>13</v>
      </c>
      <c r="K543" s="27">
        <v>202102003</v>
      </c>
      <c r="L543" s="162" t="s">
        <v>157</v>
      </c>
      <c r="M543" s="162" t="s">
        <v>646</v>
      </c>
      <c r="N543" s="162" t="s">
        <v>179</v>
      </c>
      <c r="O543" s="162" t="s">
        <v>160</v>
      </c>
      <c r="P543" s="162" t="s">
        <v>180</v>
      </c>
      <c r="Q543" s="162" t="s">
        <v>25</v>
      </c>
      <c r="R543" s="162" t="s">
        <v>4247</v>
      </c>
      <c r="S543" s="118" t="str">
        <f>_xlfn.DISPIMG("ID_36DA19808F4346CB8F6359485B7E0248",1)</f>
        <v>=DISPIMG("ID_36DA19808F4346CB8F6359485B7E0248",1)</v>
      </c>
      <c r="T543" s="115" t="s">
        <v>4248</v>
      </c>
      <c r="U543" s="127">
        <v>543</v>
      </c>
    </row>
    <row r="544" s="3" customFormat="1" customHeight="1" spans="1:21">
      <c r="A544" s="144">
        <v>44365.6740625</v>
      </c>
      <c r="B544" s="27" t="s">
        <v>4249</v>
      </c>
      <c r="C544" s="27" t="s">
        <v>4250</v>
      </c>
      <c r="D544" s="162" t="s">
        <v>4251</v>
      </c>
      <c r="E544" s="162" t="s">
        <v>153</v>
      </c>
      <c r="F544" s="162" t="s">
        <v>4252</v>
      </c>
      <c r="G544" s="27">
        <v>13340012018</v>
      </c>
      <c r="H544" s="162" t="s">
        <v>4253</v>
      </c>
      <c r="I544" s="162" t="s">
        <v>268</v>
      </c>
      <c r="J544" s="162" t="s">
        <v>16</v>
      </c>
      <c r="K544" s="27">
        <v>202101011</v>
      </c>
      <c r="L544" s="162" t="s">
        <v>705</v>
      </c>
      <c r="M544" s="162" t="s">
        <v>233</v>
      </c>
      <c r="N544" s="162" t="s">
        <v>4254</v>
      </c>
      <c r="O544" s="162" t="s">
        <v>160</v>
      </c>
      <c r="P544" s="162" t="s">
        <v>455</v>
      </c>
      <c r="Q544" s="162" t="s">
        <v>16</v>
      </c>
      <c r="R544" s="162" t="s">
        <v>4255</v>
      </c>
      <c r="S544" s="118" t="str">
        <f>_xlfn.DISPIMG("ID_7B994A5EE1894E46909466AD8B994299",1)</f>
        <v>=DISPIMG("ID_7B994A5EE1894E46909466AD8B994299",1)</v>
      </c>
      <c r="T544" s="115" t="s">
        <v>4256</v>
      </c>
      <c r="U544" s="127">
        <v>544</v>
      </c>
    </row>
    <row r="545" s="3" customFormat="1" customHeight="1" spans="1:21">
      <c r="A545" s="144">
        <v>44365.6827430556</v>
      </c>
      <c r="B545" s="27" t="s">
        <v>4257</v>
      </c>
      <c r="C545" s="27" t="s">
        <v>4258</v>
      </c>
      <c r="D545" s="162" t="s">
        <v>4259</v>
      </c>
      <c r="E545" s="162" t="s">
        <v>165</v>
      </c>
      <c r="F545" s="162" t="s">
        <v>4260</v>
      </c>
      <c r="G545" s="27">
        <v>15270817874</v>
      </c>
      <c r="H545" s="162" t="s">
        <v>4261</v>
      </c>
      <c r="I545" s="162" t="s">
        <v>278</v>
      </c>
      <c r="J545" s="162" t="s">
        <v>28</v>
      </c>
      <c r="K545" s="27">
        <v>202103001</v>
      </c>
      <c r="L545" s="162" t="s">
        <v>279</v>
      </c>
      <c r="M545" s="162" t="s">
        <v>339</v>
      </c>
      <c r="N545" s="162" t="s">
        <v>280</v>
      </c>
      <c r="O545" s="162" t="s">
        <v>170</v>
      </c>
      <c r="P545" s="162" t="s">
        <v>368</v>
      </c>
      <c r="Q545" s="162" t="s">
        <v>4262</v>
      </c>
      <c r="R545" s="162" t="s">
        <v>4263</v>
      </c>
      <c r="S545" s="118" t="str">
        <f>_xlfn.DISPIMG("ID_7ED866D6DEDB4511B970FE38712BEDF5",1)</f>
        <v>=DISPIMG("ID_7ED866D6DEDB4511B970FE38712BEDF5",1)</v>
      </c>
      <c r="T545" s="115" t="s">
        <v>4264</v>
      </c>
      <c r="U545" s="127">
        <v>545</v>
      </c>
    </row>
    <row r="546" s="3" customFormat="1" customHeight="1" spans="1:21">
      <c r="A546" s="144">
        <v>44365.6892939815</v>
      </c>
      <c r="B546" s="27" t="s">
        <v>4265</v>
      </c>
      <c r="C546" s="27" t="s">
        <v>4266</v>
      </c>
      <c r="D546" s="162" t="s">
        <v>4267</v>
      </c>
      <c r="E546" s="162" t="s">
        <v>165</v>
      </c>
      <c r="F546" s="162" t="s">
        <v>4268</v>
      </c>
      <c r="G546" s="27">
        <v>15979953990</v>
      </c>
      <c r="H546" s="162" t="s">
        <v>4269</v>
      </c>
      <c r="I546" s="162" t="s">
        <v>156</v>
      </c>
      <c r="J546" s="162" t="s">
        <v>4</v>
      </c>
      <c r="K546" s="27">
        <v>202102005</v>
      </c>
      <c r="L546" s="162" t="s">
        <v>279</v>
      </c>
      <c r="M546" s="162" t="s">
        <v>269</v>
      </c>
      <c r="N546" s="162" t="s">
        <v>1088</v>
      </c>
      <c r="O546" s="162" t="s">
        <v>170</v>
      </c>
      <c r="P546" s="162" t="s">
        <v>235</v>
      </c>
      <c r="Q546" s="162" t="s">
        <v>4</v>
      </c>
      <c r="R546" s="27">
        <v>0</v>
      </c>
      <c r="S546" s="118" t="str">
        <f>_xlfn.DISPIMG("ID_6B663AA29D5341758E4C0EAB0E013B9E",1)</f>
        <v>=DISPIMG("ID_6B663AA29D5341758E4C0EAB0E013B9E",1)</v>
      </c>
      <c r="T546" s="115" t="s">
        <v>4270</v>
      </c>
      <c r="U546" s="127">
        <v>546</v>
      </c>
    </row>
    <row r="547" customHeight="1" spans="1:21">
      <c r="A547" s="144">
        <v>44365.6913425926</v>
      </c>
      <c r="B547" s="27" t="s">
        <v>4271</v>
      </c>
      <c r="C547" s="27" t="s">
        <v>4272</v>
      </c>
      <c r="D547" s="162" t="s">
        <v>4273</v>
      </c>
      <c r="E547" s="162" t="s">
        <v>165</v>
      </c>
      <c r="F547" s="162" t="s">
        <v>4274</v>
      </c>
      <c r="G547" s="27">
        <v>18317912297</v>
      </c>
      <c r="H547" s="162" t="s">
        <v>4275</v>
      </c>
      <c r="I547" s="162" t="s">
        <v>156</v>
      </c>
      <c r="J547" s="162" t="s">
        <v>13</v>
      </c>
      <c r="K547" s="27">
        <v>202102003</v>
      </c>
      <c r="L547" s="162" t="s">
        <v>157</v>
      </c>
      <c r="M547" s="162" t="s">
        <v>1513</v>
      </c>
      <c r="N547" s="162" t="s">
        <v>1331</v>
      </c>
      <c r="O547" s="162" t="s">
        <v>160</v>
      </c>
      <c r="P547" s="162" t="s">
        <v>368</v>
      </c>
      <c r="Q547" s="162" t="s">
        <v>13</v>
      </c>
      <c r="R547" s="162" t="s">
        <v>4276</v>
      </c>
      <c r="S547" s="118" t="str">
        <f>_xlfn.DISPIMG("ID_BFA48D3AEAE641428A104A2BB93F50F8",1)</f>
        <v>=DISPIMG("ID_BFA48D3AEAE641428A104A2BB93F50F8",1)</v>
      </c>
      <c r="T547" s="115" t="s">
        <v>4277</v>
      </c>
      <c r="U547" s="127">
        <v>547</v>
      </c>
    </row>
    <row r="548" customHeight="1" spans="1:21">
      <c r="A548" s="144">
        <v>44365.6914583333</v>
      </c>
      <c r="B548" s="27" t="s">
        <v>4278</v>
      </c>
      <c r="C548" s="27" t="s">
        <v>4279</v>
      </c>
      <c r="D548" s="162" t="s">
        <v>4280</v>
      </c>
      <c r="E548" s="162" t="s">
        <v>165</v>
      </c>
      <c r="F548" s="162" t="s">
        <v>4281</v>
      </c>
      <c r="G548" s="27">
        <v>15949551660</v>
      </c>
      <c r="H548" s="162" t="s">
        <v>4282</v>
      </c>
      <c r="I548" s="162" t="s">
        <v>156</v>
      </c>
      <c r="J548" s="162" t="s">
        <v>13</v>
      </c>
      <c r="K548" s="27">
        <v>202102003</v>
      </c>
      <c r="L548" s="162" t="s">
        <v>157</v>
      </c>
      <c r="M548" s="162" t="s">
        <v>158</v>
      </c>
      <c r="N548" s="162" t="s">
        <v>298</v>
      </c>
      <c r="O548" s="162" t="s">
        <v>160</v>
      </c>
      <c r="P548" s="162" t="s">
        <v>252</v>
      </c>
      <c r="Q548" s="162" t="s">
        <v>13</v>
      </c>
      <c r="R548" s="162" t="s">
        <v>4283</v>
      </c>
      <c r="S548" s="118" t="str">
        <f>_xlfn.DISPIMG("ID_0A7C024448EB4671A840FBA92AB35983",1)</f>
        <v>=DISPIMG("ID_0A7C024448EB4671A840FBA92AB35983",1)</v>
      </c>
      <c r="T548" s="115" t="s">
        <v>4284</v>
      </c>
      <c r="U548" s="127">
        <v>548</v>
      </c>
    </row>
    <row r="549" customHeight="1" spans="1:21">
      <c r="A549" s="144">
        <v>44365.6980671296</v>
      </c>
      <c r="B549" s="27" t="s">
        <v>4285</v>
      </c>
      <c r="C549" s="27" t="s">
        <v>4286</v>
      </c>
      <c r="D549" s="162" t="s">
        <v>4287</v>
      </c>
      <c r="E549" s="162" t="s">
        <v>165</v>
      </c>
      <c r="F549" s="162" t="s">
        <v>4288</v>
      </c>
      <c r="G549" s="27">
        <v>15067121965</v>
      </c>
      <c r="H549" s="162" t="s">
        <v>4289</v>
      </c>
      <c r="I549" s="162" t="s">
        <v>156</v>
      </c>
      <c r="J549" s="162" t="s">
        <v>13</v>
      </c>
      <c r="K549" s="27">
        <v>202102003</v>
      </c>
      <c r="L549" s="162" t="s">
        <v>279</v>
      </c>
      <c r="M549" s="162" t="s">
        <v>4290</v>
      </c>
      <c r="N549" s="162" t="s">
        <v>4291</v>
      </c>
      <c r="O549" s="162" t="s">
        <v>170</v>
      </c>
      <c r="P549" s="162" t="s">
        <v>224</v>
      </c>
      <c r="Q549" s="162" t="s">
        <v>1398</v>
      </c>
      <c r="R549" s="27">
        <v>0</v>
      </c>
      <c r="S549" s="118" t="str">
        <f>_xlfn.DISPIMG("ID_722A9A1419ED4209B5078EB200B4615A",1)</f>
        <v>=DISPIMG("ID_722A9A1419ED4209B5078EB200B4615A",1)</v>
      </c>
      <c r="T549" s="115" t="s">
        <v>4292</v>
      </c>
      <c r="U549" s="127">
        <v>549</v>
      </c>
    </row>
    <row r="550" customHeight="1" spans="1:21">
      <c r="A550" s="144">
        <v>44365.6997106482</v>
      </c>
      <c r="B550" s="27" t="s">
        <v>4293</v>
      </c>
      <c r="C550" s="27" t="s">
        <v>4294</v>
      </c>
      <c r="D550" s="162" t="s">
        <v>4295</v>
      </c>
      <c r="E550" s="162" t="s">
        <v>165</v>
      </c>
      <c r="F550" s="162" t="s">
        <v>4296</v>
      </c>
      <c r="G550" s="27">
        <v>18174018729</v>
      </c>
      <c r="H550" s="162" t="s">
        <v>4297</v>
      </c>
      <c r="I550" s="162" t="s">
        <v>156</v>
      </c>
      <c r="J550" s="162" t="s">
        <v>13</v>
      </c>
      <c r="K550" s="27">
        <v>202102003</v>
      </c>
      <c r="L550" s="162" t="s">
        <v>157</v>
      </c>
      <c r="M550" s="162" t="s">
        <v>3054</v>
      </c>
      <c r="N550" s="162" t="s">
        <v>4298</v>
      </c>
      <c r="O550" s="162" t="s">
        <v>160</v>
      </c>
      <c r="P550" s="162" t="s">
        <v>261</v>
      </c>
      <c r="Q550" s="162" t="s">
        <v>13</v>
      </c>
      <c r="R550" s="27">
        <v>0</v>
      </c>
      <c r="S550" s="118" t="str">
        <f>_xlfn.DISPIMG("ID_AB63EA744ECF442183CACE9AA5A6EA85",1)</f>
        <v>=DISPIMG("ID_AB63EA744ECF442183CACE9AA5A6EA85",1)</v>
      </c>
      <c r="T550" s="115" t="s">
        <v>4299</v>
      </c>
      <c r="U550" s="127">
        <v>550</v>
      </c>
    </row>
    <row r="551" customHeight="1" spans="1:21">
      <c r="A551" s="144">
        <v>44365.7015625</v>
      </c>
      <c r="B551" s="27" t="s">
        <v>4300</v>
      </c>
      <c r="C551" s="27" t="s">
        <v>4301</v>
      </c>
      <c r="D551" s="162" t="s">
        <v>4302</v>
      </c>
      <c r="E551" s="162" t="s">
        <v>165</v>
      </c>
      <c r="F551" s="162" t="s">
        <v>4303</v>
      </c>
      <c r="G551" s="27">
        <v>15279209806</v>
      </c>
      <c r="H551" s="162" t="s">
        <v>357</v>
      </c>
      <c r="I551" s="162" t="s">
        <v>506</v>
      </c>
      <c r="J551" s="162" t="s">
        <v>13</v>
      </c>
      <c r="K551" s="27">
        <v>202102016</v>
      </c>
      <c r="L551" s="162" t="s">
        <v>279</v>
      </c>
      <c r="M551" s="162" t="s">
        <v>168</v>
      </c>
      <c r="N551" s="162" t="s">
        <v>223</v>
      </c>
      <c r="O551" s="162" t="s">
        <v>170</v>
      </c>
      <c r="P551" s="162" t="s">
        <v>577</v>
      </c>
      <c r="Q551" s="162" t="s">
        <v>487</v>
      </c>
      <c r="R551" s="162" t="s">
        <v>4304</v>
      </c>
      <c r="S551" s="118" t="str">
        <f>_xlfn.DISPIMG("ID_2F1FB7C94C004C5BAD8EEBBBB9C7D0C9",1)</f>
        <v>=DISPIMG("ID_2F1FB7C94C004C5BAD8EEBBBB9C7D0C9",1)</v>
      </c>
      <c r="T551" s="115" t="s">
        <v>4305</v>
      </c>
      <c r="U551" s="127">
        <v>551</v>
      </c>
    </row>
    <row r="552" customHeight="1" spans="1:21">
      <c r="A552" s="144">
        <v>44365.7037615741</v>
      </c>
      <c r="B552" s="27" t="s">
        <v>4306</v>
      </c>
      <c r="C552" s="27" t="s">
        <v>4307</v>
      </c>
      <c r="D552" s="162" t="s">
        <v>4308</v>
      </c>
      <c r="E552" s="162" t="s">
        <v>165</v>
      </c>
      <c r="F552" s="162" t="s">
        <v>4309</v>
      </c>
      <c r="G552" s="27">
        <v>17770159034</v>
      </c>
      <c r="H552" s="162" t="s">
        <v>2503</v>
      </c>
      <c r="I552" s="162" t="s">
        <v>156</v>
      </c>
      <c r="J552" s="162" t="s">
        <v>14</v>
      </c>
      <c r="K552" s="27">
        <v>202102001</v>
      </c>
      <c r="L552" s="162" t="s">
        <v>279</v>
      </c>
      <c r="M552" s="162" t="s">
        <v>1237</v>
      </c>
      <c r="N552" s="162" t="s">
        <v>348</v>
      </c>
      <c r="O552" s="162" t="s">
        <v>170</v>
      </c>
      <c r="P552" s="162" t="s">
        <v>180</v>
      </c>
      <c r="Q552" s="162" t="s">
        <v>2395</v>
      </c>
      <c r="R552" s="162" t="s">
        <v>4310</v>
      </c>
      <c r="S552" s="118" t="str">
        <f>_xlfn.DISPIMG("ID_E6307ECF32B442B8A8FC80EADAF6E26D",1)</f>
        <v>=DISPIMG("ID_E6307ECF32B442B8A8FC80EADAF6E26D",1)</v>
      </c>
      <c r="T552" s="115" t="s">
        <v>4311</v>
      </c>
      <c r="U552" s="127">
        <v>552</v>
      </c>
    </row>
  </sheetData>
  <sheetProtection formatCells="0" insertHyperlinks="0" autoFilter="0"/>
  <autoFilter ref="A1:S552">
    <filterColumn colId="9">
      <filters>
        <filter val="初中音乐"/>
        <filter val="初中化学"/>
        <filter val="初中地理"/>
        <filter val="高中化学"/>
        <filter val="初中美术"/>
        <filter val="高中美术"/>
        <filter val="初中历史"/>
        <filter val="高中历史"/>
        <filter val="初中物理"/>
        <filter val="高中物理"/>
        <filter val="初中语文"/>
        <filter val="高中语文"/>
        <filter val="初中生物"/>
        <filter val="高中生物"/>
        <filter val="中专汽车运用与维修"/>
        <filter val="初中信息技术"/>
        <filter val="初中体育"/>
        <filter val="高中体育"/>
        <filter val="初中数学"/>
        <filter val="高中数学"/>
        <filter val="初中政治"/>
        <filter val="高中政治"/>
        <filter val="高中信息技术"/>
        <filter val="中专电子商务"/>
        <filter val="幼儿园教师"/>
        <filter val="中专医学检验"/>
        <filter val="初中英语"/>
        <filter val="高中英语"/>
      </filters>
    </filterColumn>
    <extLst/>
  </autoFilter>
  <hyperlinks>
    <hyperlink ref="C440" r:id="rId1" display="Dr.Lu"/>
  </hyperlink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537"/>
  <sheetViews>
    <sheetView workbookViewId="0">
      <pane xSplit="4" ySplit="1" topLeftCell="E2" activePane="bottomRight" state="frozen"/>
      <selection/>
      <selection pane="topRight"/>
      <selection pane="bottomLeft"/>
      <selection pane="bottomRight" activeCell="J515" sqref="J515"/>
    </sheetView>
  </sheetViews>
  <sheetFormatPr defaultColWidth="8.7962962962963" defaultRowHeight="60" customHeight="1"/>
  <cols>
    <col min="1" max="1" width="1.5" style="3" customWidth="1"/>
    <col min="2" max="3" width="2" style="3" customWidth="1"/>
    <col min="4" max="6" width="8.7962962962963" style="3" customWidth="1"/>
    <col min="7" max="7" width="12.6296296296296" style="3" customWidth="1"/>
    <col min="8" max="8" width="15.25" style="3" customWidth="1"/>
    <col min="9" max="10" width="8.7962962962963" style="3" customWidth="1"/>
    <col min="11" max="11" width="10.3796296296296" style="3" customWidth="1"/>
    <col min="12" max="17" width="8.7962962962963" style="3" customWidth="1"/>
    <col min="18" max="18" width="10.3796296296296" style="3" customWidth="1"/>
    <col min="19" max="19" width="11.6296296296296" style="3" customWidth="1"/>
    <col min="20" max="20" width="12.1296296296296" style="3" customWidth="1"/>
    <col min="21" max="21" width="8" style="3" customWidth="1"/>
    <col min="22" max="16384" width="8.7962962962963" style="3" customWidth="1"/>
  </cols>
  <sheetData>
    <row r="1" s="2" customFormat="1" ht="50" customHeight="1" spans="1:21">
      <c r="A1" s="115" t="s">
        <v>130</v>
      </c>
      <c r="B1" s="115" t="s">
        <v>131</v>
      </c>
      <c r="C1" s="115" t="s">
        <v>132</v>
      </c>
      <c r="D1" s="115" t="s">
        <v>133</v>
      </c>
      <c r="E1" s="115" t="s">
        <v>134</v>
      </c>
      <c r="F1" s="115" t="s">
        <v>135</v>
      </c>
      <c r="G1" s="115" t="s">
        <v>136</v>
      </c>
      <c r="H1" s="115" t="s">
        <v>137</v>
      </c>
      <c r="I1" s="115" t="s">
        <v>138</v>
      </c>
      <c r="J1" s="115" t="s">
        <v>1</v>
      </c>
      <c r="K1" s="115" t="s">
        <v>139</v>
      </c>
      <c r="L1" s="115" t="s">
        <v>140</v>
      </c>
      <c r="M1" s="115" t="s">
        <v>141</v>
      </c>
      <c r="N1" s="115" t="s">
        <v>142</v>
      </c>
      <c r="O1" s="115" t="s">
        <v>143</v>
      </c>
      <c r="P1" s="115" t="s">
        <v>144</v>
      </c>
      <c r="Q1" s="115" t="s">
        <v>145</v>
      </c>
      <c r="R1" s="115" t="s">
        <v>146</v>
      </c>
      <c r="S1" s="115" t="s">
        <v>147</v>
      </c>
      <c r="T1" s="115" t="s">
        <v>148</v>
      </c>
      <c r="U1" s="115" t="s">
        <v>149</v>
      </c>
    </row>
    <row r="2" s="3" customFormat="1" customHeight="1" spans="1:21">
      <c r="A2" s="144">
        <v>44357.3763541667</v>
      </c>
      <c r="B2" s="27" t="s">
        <v>150</v>
      </c>
      <c r="C2" s="27" t="s">
        <v>151</v>
      </c>
      <c r="D2" s="162" t="s">
        <v>152</v>
      </c>
      <c r="E2" s="162" t="s">
        <v>153</v>
      </c>
      <c r="F2" s="162" t="s">
        <v>154</v>
      </c>
      <c r="G2" s="27">
        <v>18807023240</v>
      </c>
      <c r="H2" s="162" t="s">
        <v>155</v>
      </c>
      <c r="I2" s="162" t="s">
        <v>156</v>
      </c>
      <c r="J2" s="162" t="s">
        <v>10</v>
      </c>
      <c r="K2" s="27">
        <v>202102004</v>
      </c>
      <c r="L2" s="162" t="s">
        <v>157</v>
      </c>
      <c r="M2" s="162" t="s">
        <v>158</v>
      </c>
      <c r="N2" s="162" t="s">
        <v>159</v>
      </c>
      <c r="O2" s="162" t="s">
        <v>160</v>
      </c>
      <c r="P2" s="162" t="s">
        <v>161</v>
      </c>
      <c r="Q2" s="162" t="s">
        <v>10</v>
      </c>
      <c r="R2" s="27">
        <v>0</v>
      </c>
      <c r="S2" s="118" t="str">
        <f>_xlfn.DISPIMG("ID_1BBFB8252D30496F95F71593A2B76AF5",1)</f>
        <v>=DISPIMG("ID_1BBFB8252D30496F95F71593A2B76AF5",1)</v>
      </c>
      <c r="T2" s="115" t="s">
        <v>162</v>
      </c>
      <c r="U2" s="27">
        <v>2</v>
      </c>
    </row>
    <row r="3" s="3" customFormat="1" customHeight="1" spans="1:21">
      <c r="A3" s="144">
        <v>44357.3784837963</v>
      </c>
      <c r="B3" s="27" t="s">
        <v>163</v>
      </c>
      <c r="C3" s="27" t="s">
        <v>164</v>
      </c>
      <c r="D3" s="162" t="s">
        <v>164</v>
      </c>
      <c r="E3" s="162" t="s">
        <v>165</v>
      </c>
      <c r="F3" s="162" t="s">
        <v>166</v>
      </c>
      <c r="G3" s="27">
        <v>15879299279</v>
      </c>
      <c r="H3" s="162" t="s">
        <v>167</v>
      </c>
      <c r="I3" s="162" t="s">
        <v>156</v>
      </c>
      <c r="J3" s="162" t="s">
        <v>4</v>
      </c>
      <c r="K3" s="27">
        <v>202102005</v>
      </c>
      <c r="L3" s="162" t="s">
        <v>157</v>
      </c>
      <c r="M3" s="162" t="s">
        <v>168</v>
      </c>
      <c r="N3" s="162" t="s">
        <v>169</v>
      </c>
      <c r="O3" s="162" t="s">
        <v>170</v>
      </c>
      <c r="P3" s="162" t="s">
        <v>171</v>
      </c>
      <c r="Q3" s="162" t="s">
        <v>4</v>
      </c>
      <c r="R3" s="27">
        <v>0</v>
      </c>
      <c r="S3" s="118" t="str">
        <f>_xlfn.DISPIMG("ID_7D4B330FD7544FC19CF8CAA4A42A6F11",1)</f>
        <v>=DISPIMG("ID_7D4B330FD7544FC19CF8CAA4A42A6F11",1)</v>
      </c>
      <c r="T3" s="115" t="s">
        <v>172</v>
      </c>
      <c r="U3" s="27">
        <v>3</v>
      </c>
    </row>
    <row r="4" s="3" customFormat="1" customHeight="1" spans="1:21">
      <c r="A4" s="144">
        <v>44357.3857986111</v>
      </c>
      <c r="B4" s="27" t="s">
        <v>173</v>
      </c>
      <c r="C4" s="27" t="s">
        <v>174</v>
      </c>
      <c r="D4" s="162" t="s">
        <v>175</v>
      </c>
      <c r="E4" s="162" t="s">
        <v>165</v>
      </c>
      <c r="F4" s="162" t="s">
        <v>176</v>
      </c>
      <c r="G4" s="27">
        <v>18046603817</v>
      </c>
      <c r="H4" s="162" t="s">
        <v>177</v>
      </c>
      <c r="I4" s="162" t="s">
        <v>156</v>
      </c>
      <c r="J4" s="162" t="s">
        <v>14</v>
      </c>
      <c r="K4" s="27">
        <v>202102001</v>
      </c>
      <c r="L4" s="162" t="s">
        <v>157</v>
      </c>
      <c r="M4" s="162" t="s">
        <v>178</v>
      </c>
      <c r="N4" s="162" t="s">
        <v>179</v>
      </c>
      <c r="O4" s="162" t="s">
        <v>170</v>
      </c>
      <c r="P4" s="162" t="s">
        <v>180</v>
      </c>
      <c r="Q4" s="162" t="s">
        <v>14</v>
      </c>
      <c r="R4" s="27">
        <v>0</v>
      </c>
      <c r="S4" s="118" t="str">
        <f>_xlfn.DISPIMG("ID_BD43028E6BB24443B06241FE37DC179A",1)</f>
        <v>=DISPIMG("ID_BD43028E6BB24443B06241FE37DC179A",1)</v>
      </c>
      <c r="T4" s="115" t="s">
        <v>181</v>
      </c>
      <c r="U4" s="27">
        <v>4</v>
      </c>
    </row>
    <row r="5" s="3" customFormat="1" customHeight="1" spans="1:21">
      <c r="A5" s="144">
        <v>44357.3861111111</v>
      </c>
      <c r="B5" s="27" t="s">
        <v>182</v>
      </c>
      <c r="C5" s="27" t="s">
        <v>183</v>
      </c>
      <c r="D5" s="162" t="s">
        <v>184</v>
      </c>
      <c r="E5" s="162" t="s">
        <v>153</v>
      </c>
      <c r="F5" s="162" t="s">
        <v>185</v>
      </c>
      <c r="G5" s="27">
        <v>18038082134</v>
      </c>
      <c r="H5" s="162" t="s">
        <v>186</v>
      </c>
      <c r="I5" s="162" t="s">
        <v>156</v>
      </c>
      <c r="J5" s="162" t="s">
        <v>6</v>
      </c>
      <c r="K5" s="27">
        <v>202102012</v>
      </c>
      <c r="L5" s="162" t="s">
        <v>157</v>
      </c>
      <c r="M5" s="162" t="s">
        <v>187</v>
      </c>
      <c r="N5" s="162" t="s">
        <v>188</v>
      </c>
      <c r="O5" s="162" t="s">
        <v>160</v>
      </c>
      <c r="P5" s="162" t="s">
        <v>189</v>
      </c>
      <c r="Q5" s="162" t="s">
        <v>190</v>
      </c>
      <c r="R5" s="27">
        <v>0</v>
      </c>
      <c r="S5" s="118" t="str">
        <f>_xlfn.DISPIMG("ID_F9EC90828AC344EC8EE9AB75C1318672",1)</f>
        <v>=DISPIMG("ID_F9EC90828AC344EC8EE9AB75C1318672",1)</v>
      </c>
      <c r="T5" s="115" t="s">
        <v>191</v>
      </c>
      <c r="U5" s="27">
        <v>5</v>
      </c>
    </row>
    <row r="6" s="3" customFormat="1" customHeight="1" spans="1:21">
      <c r="A6" s="144">
        <v>44365.6294791667</v>
      </c>
      <c r="B6" s="27" t="s">
        <v>192</v>
      </c>
      <c r="C6" s="27" t="s">
        <v>193</v>
      </c>
      <c r="D6" s="162" t="s">
        <v>194</v>
      </c>
      <c r="E6" s="162" t="s">
        <v>165</v>
      </c>
      <c r="F6" s="162" t="s">
        <v>195</v>
      </c>
      <c r="G6" s="27">
        <v>15079132548</v>
      </c>
      <c r="H6" s="162" t="s">
        <v>196</v>
      </c>
      <c r="I6" s="162" t="s">
        <v>156</v>
      </c>
      <c r="J6" s="162" t="s">
        <v>13</v>
      </c>
      <c r="K6" s="27">
        <v>202102003</v>
      </c>
      <c r="L6" s="162" t="s">
        <v>157</v>
      </c>
      <c r="M6" s="162" t="s">
        <v>197</v>
      </c>
      <c r="N6" s="162" t="s">
        <v>198</v>
      </c>
      <c r="O6" s="162" t="s">
        <v>160</v>
      </c>
      <c r="P6" s="162" t="s">
        <v>199</v>
      </c>
      <c r="Q6" s="162" t="s">
        <v>13</v>
      </c>
      <c r="R6" s="27">
        <v>0</v>
      </c>
      <c r="S6" s="118" t="str">
        <f>_xlfn.DISPIMG("ID_07DCBF9A6CCC43E7BDA66377D7B2A516",1)</f>
        <v>=DISPIMG("ID_07DCBF9A6CCC43E7BDA66377D7B2A516",1)</v>
      </c>
      <c r="T6" s="115" t="s">
        <v>200</v>
      </c>
      <c r="U6" s="27">
        <v>6</v>
      </c>
    </row>
    <row r="7" s="3" customFormat="1" customHeight="1" spans="1:21">
      <c r="A7" s="144">
        <v>44359.084375</v>
      </c>
      <c r="B7" s="27" t="s">
        <v>201</v>
      </c>
      <c r="C7" s="27" t="s">
        <v>202</v>
      </c>
      <c r="D7" s="162" t="s">
        <v>203</v>
      </c>
      <c r="E7" s="162" t="s">
        <v>165</v>
      </c>
      <c r="F7" s="162" t="s">
        <v>204</v>
      </c>
      <c r="G7" s="27">
        <v>18451114131</v>
      </c>
      <c r="H7" s="162" t="s">
        <v>205</v>
      </c>
      <c r="I7" s="162" t="s">
        <v>156</v>
      </c>
      <c r="J7" s="162" t="s">
        <v>6</v>
      </c>
      <c r="K7" s="27">
        <v>202102012</v>
      </c>
      <c r="L7" s="162" t="s">
        <v>157</v>
      </c>
      <c r="M7" s="162" t="s">
        <v>206</v>
      </c>
      <c r="N7" s="162" t="s">
        <v>207</v>
      </c>
      <c r="O7" s="162" t="s">
        <v>160</v>
      </c>
      <c r="P7" s="162" t="s">
        <v>199</v>
      </c>
      <c r="Q7" s="162" t="s">
        <v>6</v>
      </c>
      <c r="R7" s="162" t="s">
        <v>208</v>
      </c>
      <c r="S7" s="118" t="str">
        <f>_xlfn.DISPIMG("ID_F7457C8055E845839E12BBC94DC0151A",1)</f>
        <v>=DISPIMG("ID_F7457C8055E845839E12BBC94DC0151A",1)</v>
      </c>
      <c r="T7" s="115" t="s">
        <v>209</v>
      </c>
      <c r="U7" s="27">
        <v>7</v>
      </c>
    </row>
    <row r="8" s="3" customFormat="1" customHeight="1" spans="1:21">
      <c r="A8" s="144">
        <v>44357.3974768519</v>
      </c>
      <c r="B8" s="27" t="s">
        <v>210</v>
      </c>
      <c r="C8" s="27" t="s">
        <v>211</v>
      </c>
      <c r="D8" s="162" t="s">
        <v>212</v>
      </c>
      <c r="E8" s="162" t="s">
        <v>165</v>
      </c>
      <c r="F8" s="162" t="s">
        <v>213</v>
      </c>
      <c r="G8" s="27">
        <v>13197911998</v>
      </c>
      <c r="H8" s="162" t="s">
        <v>214</v>
      </c>
      <c r="I8" s="162" t="s">
        <v>156</v>
      </c>
      <c r="J8" s="162" t="s">
        <v>15</v>
      </c>
      <c r="K8" s="27">
        <v>202102007</v>
      </c>
      <c r="L8" s="162" t="s">
        <v>157</v>
      </c>
      <c r="M8" s="162" t="s">
        <v>178</v>
      </c>
      <c r="N8" s="162" t="s">
        <v>215</v>
      </c>
      <c r="O8" s="162" t="s">
        <v>170</v>
      </c>
      <c r="P8" s="162" t="s">
        <v>216</v>
      </c>
      <c r="Q8" s="162" t="s">
        <v>15</v>
      </c>
      <c r="R8" s="27">
        <v>0</v>
      </c>
      <c r="S8" s="118" t="str">
        <f>_xlfn.DISPIMG("ID_A8B2B34FEB1F4C29AD364FF328B946F1",1)</f>
        <v>=DISPIMG("ID_A8B2B34FEB1F4C29AD364FF328B946F1",1)</v>
      </c>
      <c r="T8" s="115" t="s">
        <v>217</v>
      </c>
      <c r="U8" s="27">
        <v>8</v>
      </c>
    </row>
    <row r="9" s="3" customFormat="1" customHeight="1" spans="1:21">
      <c r="A9" s="144">
        <v>44357.4103703704</v>
      </c>
      <c r="B9" s="27" t="s">
        <v>218</v>
      </c>
      <c r="C9" s="27" t="s">
        <v>219</v>
      </c>
      <c r="D9" s="162" t="s">
        <v>220</v>
      </c>
      <c r="E9" s="162" t="s">
        <v>165</v>
      </c>
      <c r="F9" s="162" t="s">
        <v>221</v>
      </c>
      <c r="G9" s="27">
        <v>13330102770</v>
      </c>
      <c r="H9" s="162" t="s">
        <v>222</v>
      </c>
      <c r="I9" s="162" t="s">
        <v>156</v>
      </c>
      <c r="J9" s="162" t="s">
        <v>13</v>
      </c>
      <c r="K9" s="27">
        <v>202102003</v>
      </c>
      <c r="L9" s="162" t="s">
        <v>157</v>
      </c>
      <c r="M9" s="162" t="s">
        <v>178</v>
      </c>
      <c r="N9" s="162" t="s">
        <v>223</v>
      </c>
      <c r="O9" s="162" t="s">
        <v>170</v>
      </c>
      <c r="P9" s="162" t="s">
        <v>224</v>
      </c>
      <c r="Q9" s="162" t="s">
        <v>225</v>
      </c>
      <c r="R9" s="162" t="s">
        <v>226</v>
      </c>
      <c r="S9" s="118" t="str">
        <f>_xlfn.DISPIMG("ID_331C6355B784470AAD84DC8B9EBD3F4C",1)</f>
        <v>=DISPIMG("ID_331C6355B784470AAD84DC8B9EBD3F4C",1)</v>
      </c>
      <c r="T9" s="115" t="s">
        <v>227</v>
      </c>
      <c r="U9" s="27">
        <v>9</v>
      </c>
    </row>
    <row r="10" s="3" customFormat="1" customHeight="1" spans="1:21">
      <c r="A10" s="144">
        <v>44357.4106134259</v>
      </c>
      <c r="B10" s="27" t="s">
        <v>228</v>
      </c>
      <c r="C10" s="27" t="s">
        <v>229</v>
      </c>
      <c r="D10" s="162" t="s">
        <v>230</v>
      </c>
      <c r="E10" s="162" t="s">
        <v>165</v>
      </c>
      <c r="F10" s="162" t="s">
        <v>231</v>
      </c>
      <c r="G10" s="27">
        <v>18317923585</v>
      </c>
      <c r="H10" s="162" t="s">
        <v>232</v>
      </c>
      <c r="I10" s="162" t="s">
        <v>156</v>
      </c>
      <c r="J10" s="162" t="s">
        <v>13</v>
      </c>
      <c r="K10" s="27">
        <v>202102003</v>
      </c>
      <c r="L10" s="162" t="s">
        <v>157</v>
      </c>
      <c r="M10" s="162" t="s">
        <v>233</v>
      </c>
      <c r="N10" s="162" t="s">
        <v>234</v>
      </c>
      <c r="O10" s="162" t="s">
        <v>170</v>
      </c>
      <c r="P10" s="162" t="s">
        <v>235</v>
      </c>
      <c r="Q10" s="162" t="s">
        <v>13</v>
      </c>
      <c r="R10" s="162" t="s">
        <v>236</v>
      </c>
      <c r="S10" s="118" t="str">
        <f>_xlfn.DISPIMG("ID_5F2C40BDD5324AC2917B018DDF4B26D9",1)</f>
        <v>=DISPIMG("ID_5F2C40BDD5324AC2917B018DDF4B26D9",1)</v>
      </c>
      <c r="T10" s="115" t="s">
        <v>237</v>
      </c>
      <c r="U10" s="27">
        <v>10</v>
      </c>
    </row>
    <row r="11" s="3" customFormat="1" customHeight="1" spans="1:21">
      <c r="A11" s="144">
        <v>44357.4128125</v>
      </c>
      <c r="B11" s="27" t="s">
        <v>238</v>
      </c>
      <c r="C11" s="27" t="s">
        <v>219</v>
      </c>
      <c r="D11" s="162" t="s">
        <v>239</v>
      </c>
      <c r="E11" s="162" t="s">
        <v>165</v>
      </c>
      <c r="F11" s="162" t="s">
        <v>240</v>
      </c>
      <c r="G11" s="27">
        <v>13697988167</v>
      </c>
      <c r="H11" s="162" t="s">
        <v>241</v>
      </c>
      <c r="I11" s="162" t="s">
        <v>156</v>
      </c>
      <c r="J11" s="162" t="s">
        <v>5</v>
      </c>
      <c r="K11" s="27">
        <v>202102008</v>
      </c>
      <c r="L11" s="162" t="s">
        <v>157</v>
      </c>
      <c r="M11" s="162" t="s">
        <v>242</v>
      </c>
      <c r="N11" s="162" t="s">
        <v>243</v>
      </c>
      <c r="O11" s="162" t="s">
        <v>160</v>
      </c>
      <c r="P11" s="162" t="s">
        <v>161</v>
      </c>
      <c r="Q11" s="162" t="s">
        <v>5</v>
      </c>
      <c r="R11" s="27">
        <v>0</v>
      </c>
      <c r="S11" s="118" t="str">
        <f>_xlfn.DISPIMG("ID_9CBFB21D3F5B4658948522EF0C2AECE4",1)</f>
        <v>=DISPIMG("ID_9CBFB21D3F5B4658948522EF0C2AECE4",1)</v>
      </c>
      <c r="T11" s="115" t="s">
        <v>244</v>
      </c>
      <c r="U11" s="27">
        <v>11</v>
      </c>
    </row>
    <row r="12" s="3" customFormat="1" customHeight="1" spans="1:21">
      <c r="A12" s="144">
        <v>44357.4143402778</v>
      </c>
      <c r="B12" s="27" t="s">
        <v>245</v>
      </c>
      <c r="C12" s="27" t="s">
        <v>246</v>
      </c>
      <c r="D12" s="162" t="s">
        <v>247</v>
      </c>
      <c r="E12" s="162" t="s">
        <v>165</v>
      </c>
      <c r="F12" s="162" t="s">
        <v>248</v>
      </c>
      <c r="G12" s="27">
        <v>18194294670</v>
      </c>
      <c r="H12" s="162" t="s">
        <v>249</v>
      </c>
      <c r="I12" s="162" t="s">
        <v>156</v>
      </c>
      <c r="J12" s="162" t="s">
        <v>6</v>
      </c>
      <c r="K12" s="27">
        <v>202102012</v>
      </c>
      <c r="L12" s="162" t="s">
        <v>157</v>
      </c>
      <c r="M12" s="162" t="s">
        <v>250</v>
      </c>
      <c r="N12" s="162" t="s">
        <v>251</v>
      </c>
      <c r="O12" s="162" t="s">
        <v>160</v>
      </c>
      <c r="P12" s="162" t="s">
        <v>252</v>
      </c>
      <c r="Q12" s="162" t="s">
        <v>253</v>
      </c>
      <c r="R12" s="162" t="s">
        <v>254</v>
      </c>
      <c r="S12" s="118" t="str">
        <f>_xlfn.DISPIMG("ID_75E1D16F2E6F48168F32947A4DF07EC3",1)</f>
        <v>=DISPIMG("ID_75E1D16F2E6F48168F32947A4DF07EC3",1)</v>
      </c>
      <c r="T12" s="115" t="s">
        <v>255</v>
      </c>
      <c r="U12" s="27">
        <v>12</v>
      </c>
    </row>
    <row r="13" s="3" customFormat="1" customHeight="1" spans="1:21">
      <c r="A13" s="144">
        <v>44357.4282986111</v>
      </c>
      <c r="B13" s="27" t="s">
        <v>256</v>
      </c>
      <c r="C13" s="27" t="s">
        <v>257</v>
      </c>
      <c r="D13" s="162" t="s">
        <v>258</v>
      </c>
      <c r="E13" s="162" t="s">
        <v>165</v>
      </c>
      <c r="F13" s="162" t="s">
        <v>259</v>
      </c>
      <c r="G13" s="27">
        <v>15079252433</v>
      </c>
      <c r="H13" s="162" t="s">
        <v>260</v>
      </c>
      <c r="I13" s="162" t="s">
        <v>156</v>
      </c>
      <c r="J13" s="162" t="s">
        <v>13</v>
      </c>
      <c r="K13" s="27">
        <v>202102003</v>
      </c>
      <c r="L13" s="162" t="s">
        <v>157</v>
      </c>
      <c r="M13" s="162" t="s">
        <v>158</v>
      </c>
      <c r="N13" s="162" t="s">
        <v>179</v>
      </c>
      <c r="O13" s="162" t="s">
        <v>170</v>
      </c>
      <c r="P13" s="162" t="s">
        <v>261</v>
      </c>
      <c r="Q13" s="162" t="s">
        <v>13</v>
      </c>
      <c r="R13" s="27">
        <v>0</v>
      </c>
      <c r="S13" s="118" t="str">
        <f>_xlfn.DISPIMG("ID_6612D67BD9E1456A9FAE3B7BC6ABC79B",1)</f>
        <v>=DISPIMG("ID_6612D67BD9E1456A9FAE3B7BC6ABC79B",1)</v>
      </c>
      <c r="T13" s="115" t="s">
        <v>262</v>
      </c>
      <c r="U13" s="27">
        <v>13</v>
      </c>
    </row>
    <row r="14" s="3" customFormat="1" customHeight="1" spans="1:21">
      <c r="A14" s="144">
        <v>44364.8046064815</v>
      </c>
      <c r="B14" s="27" t="s">
        <v>263</v>
      </c>
      <c r="C14" s="27" t="s">
        <v>264</v>
      </c>
      <c r="D14" s="162" t="s">
        <v>265</v>
      </c>
      <c r="E14" s="162" t="s">
        <v>153</v>
      </c>
      <c r="F14" s="162" t="s">
        <v>266</v>
      </c>
      <c r="G14" s="27">
        <v>15720975163</v>
      </c>
      <c r="H14" s="162" t="s">
        <v>267</v>
      </c>
      <c r="I14" s="162" t="s">
        <v>268</v>
      </c>
      <c r="J14" s="162" t="s">
        <v>20</v>
      </c>
      <c r="K14" s="27">
        <v>202101004</v>
      </c>
      <c r="L14" s="162" t="s">
        <v>157</v>
      </c>
      <c r="M14" s="162" t="s">
        <v>269</v>
      </c>
      <c r="N14" s="162" t="s">
        <v>270</v>
      </c>
      <c r="O14" s="162" t="s">
        <v>170</v>
      </c>
      <c r="P14" s="162" t="s">
        <v>261</v>
      </c>
      <c r="Q14" s="162" t="s">
        <v>20</v>
      </c>
      <c r="R14" s="162" t="s">
        <v>271</v>
      </c>
      <c r="S14" s="118" t="str">
        <f>_xlfn.DISPIMG("ID_E6B64D542CF24756B648DE72B52C0790",1)</f>
        <v>=DISPIMG("ID_E6B64D542CF24756B648DE72B52C0790",1)</v>
      </c>
      <c r="T14" s="115" t="s">
        <v>272</v>
      </c>
      <c r="U14" s="27">
        <v>14</v>
      </c>
    </row>
    <row r="15" s="3" customFormat="1" customHeight="1" spans="1:21">
      <c r="A15" s="144">
        <v>44357.431712963</v>
      </c>
      <c r="B15" s="27" t="s">
        <v>273</v>
      </c>
      <c r="C15" s="27" t="s">
        <v>274</v>
      </c>
      <c r="D15" s="162" t="s">
        <v>275</v>
      </c>
      <c r="E15" s="162" t="s">
        <v>165</v>
      </c>
      <c r="F15" s="162" t="s">
        <v>276</v>
      </c>
      <c r="G15" s="27">
        <v>15180601470</v>
      </c>
      <c r="H15" s="162" t="s">
        <v>277</v>
      </c>
      <c r="I15" s="162" t="s">
        <v>278</v>
      </c>
      <c r="J15" s="162" t="s">
        <v>28</v>
      </c>
      <c r="K15" s="27">
        <v>202103001</v>
      </c>
      <c r="L15" s="162" t="s">
        <v>279</v>
      </c>
      <c r="M15" s="162" t="s">
        <v>233</v>
      </c>
      <c r="N15" s="162" t="s">
        <v>280</v>
      </c>
      <c r="O15" s="162" t="s">
        <v>170</v>
      </c>
      <c r="P15" s="162" t="s">
        <v>281</v>
      </c>
      <c r="Q15" s="162" t="s">
        <v>280</v>
      </c>
      <c r="R15" s="162" t="s">
        <v>282</v>
      </c>
      <c r="S15" s="118" t="str">
        <f>_xlfn.DISPIMG("ID_B65C52FC26C14A83A9F7B47ADDC75EF7",1)</f>
        <v>=DISPIMG("ID_B65C52FC26C14A83A9F7B47ADDC75EF7",1)</v>
      </c>
      <c r="T15" s="115" t="s">
        <v>283</v>
      </c>
      <c r="U15" s="27">
        <v>15</v>
      </c>
    </row>
    <row r="16" s="3" customFormat="1" customHeight="1" spans="1:21">
      <c r="A16" s="144">
        <v>44357.4322453704</v>
      </c>
      <c r="B16" s="27" t="s">
        <v>284</v>
      </c>
      <c r="C16" s="27" t="s">
        <v>285</v>
      </c>
      <c r="D16" s="162" t="s">
        <v>286</v>
      </c>
      <c r="E16" s="162" t="s">
        <v>153</v>
      </c>
      <c r="F16" s="162" t="s">
        <v>287</v>
      </c>
      <c r="G16" s="27">
        <v>18755672832</v>
      </c>
      <c r="H16" s="162" t="s">
        <v>288</v>
      </c>
      <c r="I16" s="162" t="s">
        <v>156</v>
      </c>
      <c r="J16" s="162" t="s">
        <v>5</v>
      </c>
      <c r="K16" s="27">
        <v>202102008</v>
      </c>
      <c r="L16" s="162" t="s">
        <v>157</v>
      </c>
      <c r="M16" s="162" t="s">
        <v>289</v>
      </c>
      <c r="N16" s="162" t="s">
        <v>290</v>
      </c>
      <c r="O16" s="162" t="s">
        <v>170</v>
      </c>
      <c r="P16" s="162" t="s">
        <v>261</v>
      </c>
      <c r="Q16" s="162" t="s">
        <v>5</v>
      </c>
      <c r="R16" s="27">
        <v>0</v>
      </c>
      <c r="S16" s="118" t="str">
        <f>_xlfn.DISPIMG("ID_5BB4AA0F377240A584934BCE0D4B941B",1)</f>
        <v>=DISPIMG("ID_5BB4AA0F377240A584934BCE0D4B941B",1)</v>
      </c>
      <c r="T16" s="115" t="s">
        <v>291</v>
      </c>
      <c r="U16" s="27">
        <v>16</v>
      </c>
    </row>
    <row r="17" s="3" customFormat="1" customHeight="1" spans="1:21">
      <c r="A17" s="144">
        <v>44357.4330787037</v>
      </c>
      <c r="B17" s="27" t="s">
        <v>292</v>
      </c>
      <c r="C17" s="27" t="s">
        <v>293</v>
      </c>
      <c r="D17" s="162" t="s">
        <v>294</v>
      </c>
      <c r="E17" s="162" t="s">
        <v>165</v>
      </c>
      <c r="F17" s="162" t="s">
        <v>295</v>
      </c>
      <c r="G17" s="27">
        <v>18214938323</v>
      </c>
      <c r="H17" s="162" t="s">
        <v>296</v>
      </c>
      <c r="I17" s="162" t="s">
        <v>297</v>
      </c>
      <c r="J17" s="162" t="s">
        <v>25</v>
      </c>
      <c r="K17" s="27">
        <v>202101008</v>
      </c>
      <c r="L17" s="162" t="s">
        <v>157</v>
      </c>
      <c r="M17" s="162" t="s">
        <v>178</v>
      </c>
      <c r="N17" s="162" t="s">
        <v>298</v>
      </c>
      <c r="O17" s="162" t="s">
        <v>160</v>
      </c>
      <c r="P17" s="162" t="s">
        <v>261</v>
      </c>
      <c r="Q17" s="162" t="s">
        <v>25</v>
      </c>
      <c r="R17" s="27">
        <v>0</v>
      </c>
      <c r="S17" s="118" t="str">
        <f>_xlfn.DISPIMG("ID_60CDE70AF1564D1B99D89BFC637EF6FF",1)</f>
        <v>=DISPIMG("ID_60CDE70AF1564D1B99D89BFC637EF6FF",1)</v>
      </c>
      <c r="T17" s="115" t="s">
        <v>299</v>
      </c>
      <c r="U17" s="27">
        <v>17</v>
      </c>
    </row>
    <row r="18" s="3" customFormat="1" customHeight="1" spans="1:21">
      <c r="A18" s="144">
        <v>44357.4354513889</v>
      </c>
      <c r="B18" s="27" t="s">
        <v>300</v>
      </c>
      <c r="C18" s="27" t="s">
        <v>301</v>
      </c>
      <c r="D18" s="162" t="s">
        <v>302</v>
      </c>
      <c r="E18" s="162" t="s">
        <v>165</v>
      </c>
      <c r="F18" s="162" t="s">
        <v>303</v>
      </c>
      <c r="G18" s="27">
        <v>18270729426</v>
      </c>
      <c r="H18" s="162" t="s">
        <v>304</v>
      </c>
      <c r="I18" s="162" t="s">
        <v>156</v>
      </c>
      <c r="J18" s="162" t="s">
        <v>13</v>
      </c>
      <c r="K18" s="27">
        <v>202102003</v>
      </c>
      <c r="L18" s="162" t="s">
        <v>157</v>
      </c>
      <c r="M18" s="162" t="s">
        <v>305</v>
      </c>
      <c r="N18" s="162" t="s">
        <v>179</v>
      </c>
      <c r="O18" s="162" t="s">
        <v>170</v>
      </c>
      <c r="P18" s="162" t="s">
        <v>306</v>
      </c>
      <c r="Q18" s="162" t="s">
        <v>307</v>
      </c>
      <c r="R18" s="162" t="s">
        <v>308</v>
      </c>
      <c r="S18" s="118" t="str">
        <f>_xlfn.DISPIMG("ID_BFA65A737AA14FBDAE88EFBDD5E2990B",1)</f>
        <v>=DISPIMG("ID_BFA65A737AA14FBDAE88EFBDD5E2990B",1)</v>
      </c>
      <c r="T18" s="115" t="s">
        <v>309</v>
      </c>
      <c r="U18" s="27">
        <v>18</v>
      </c>
    </row>
    <row r="19" s="3" customFormat="1" customHeight="1" spans="1:21">
      <c r="A19" s="144">
        <v>44358.440150463</v>
      </c>
      <c r="B19" s="27" t="s">
        <v>310</v>
      </c>
      <c r="C19" s="27" t="s">
        <v>311</v>
      </c>
      <c r="D19" s="162" t="s">
        <v>312</v>
      </c>
      <c r="E19" s="162" t="s">
        <v>165</v>
      </c>
      <c r="F19" s="162" t="s">
        <v>313</v>
      </c>
      <c r="G19" s="27">
        <v>13479263942</v>
      </c>
      <c r="H19" s="162" t="s">
        <v>314</v>
      </c>
      <c r="I19" s="162" t="s">
        <v>297</v>
      </c>
      <c r="J19" s="162" t="s">
        <v>25</v>
      </c>
      <c r="K19" s="27">
        <v>202101008</v>
      </c>
      <c r="L19" s="162" t="s">
        <v>157</v>
      </c>
      <c r="M19" s="162" t="s">
        <v>158</v>
      </c>
      <c r="N19" s="162" t="s">
        <v>223</v>
      </c>
      <c r="O19" s="162" t="s">
        <v>170</v>
      </c>
      <c r="P19" s="162" t="s">
        <v>306</v>
      </c>
      <c r="Q19" s="162" t="s">
        <v>315</v>
      </c>
      <c r="R19" s="162" t="s">
        <v>316</v>
      </c>
      <c r="S19" s="118" t="str">
        <f>_xlfn.DISPIMG("ID_70953AC2E42945A88FA3E573D09D6D1B",1)</f>
        <v>=DISPIMG("ID_70953AC2E42945A88FA3E573D09D6D1B",1)</v>
      </c>
      <c r="T19" s="115" t="s">
        <v>317</v>
      </c>
      <c r="U19" s="27">
        <v>19</v>
      </c>
    </row>
    <row r="20" s="3" customFormat="1" customHeight="1" spans="1:21">
      <c r="A20" s="144">
        <v>44357.4402546296</v>
      </c>
      <c r="B20" s="27" t="s">
        <v>318</v>
      </c>
      <c r="C20" s="27" t="s">
        <v>319</v>
      </c>
      <c r="D20" s="162" t="s">
        <v>319</v>
      </c>
      <c r="E20" s="162" t="s">
        <v>165</v>
      </c>
      <c r="F20" s="162" t="s">
        <v>320</v>
      </c>
      <c r="G20" s="27">
        <v>18679938518</v>
      </c>
      <c r="H20" s="162" t="s">
        <v>321</v>
      </c>
      <c r="I20" s="162" t="s">
        <v>156</v>
      </c>
      <c r="J20" s="162" t="s">
        <v>6</v>
      </c>
      <c r="K20" s="27">
        <v>202102012</v>
      </c>
      <c r="L20" s="162" t="s">
        <v>157</v>
      </c>
      <c r="M20" s="162" t="s">
        <v>322</v>
      </c>
      <c r="N20" s="162" t="s">
        <v>323</v>
      </c>
      <c r="O20" s="162" t="s">
        <v>170</v>
      </c>
      <c r="P20" s="162" t="s">
        <v>180</v>
      </c>
      <c r="Q20" s="162" t="s">
        <v>324</v>
      </c>
      <c r="R20" s="162" t="s">
        <v>325</v>
      </c>
      <c r="S20" s="118" t="str">
        <f>_xlfn.DISPIMG("ID_7D94F98EB3D041FA910044FDF5DF1027",1)</f>
        <v>=DISPIMG("ID_7D94F98EB3D041FA910044FDF5DF1027",1)</v>
      </c>
      <c r="T20" s="115" t="s">
        <v>326</v>
      </c>
      <c r="U20" s="27">
        <v>20</v>
      </c>
    </row>
    <row r="21" s="3" customFormat="1" customHeight="1" spans="1:21">
      <c r="A21" s="144">
        <v>44357.4448958333</v>
      </c>
      <c r="B21" s="27" t="s">
        <v>327</v>
      </c>
      <c r="C21" s="27" t="s">
        <v>328</v>
      </c>
      <c r="D21" s="162" t="s">
        <v>329</v>
      </c>
      <c r="E21" s="162" t="s">
        <v>165</v>
      </c>
      <c r="F21" s="162" t="s">
        <v>330</v>
      </c>
      <c r="G21" s="27">
        <v>13635987780</v>
      </c>
      <c r="H21" s="162" t="s">
        <v>331</v>
      </c>
      <c r="I21" s="162" t="s">
        <v>156</v>
      </c>
      <c r="J21" s="162" t="s">
        <v>3</v>
      </c>
      <c r="K21" s="27">
        <v>202102009</v>
      </c>
      <c r="L21" s="162" t="s">
        <v>157</v>
      </c>
      <c r="M21" s="162" t="s">
        <v>332</v>
      </c>
      <c r="N21" s="162" t="s">
        <v>333</v>
      </c>
      <c r="O21" s="162" t="s">
        <v>160</v>
      </c>
      <c r="P21" s="162" t="s">
        <v>199</v>
      </c>
      <c r="Q21" s="162" t="s">
        <v>3</v>
      </c>
      <c r="R21" s="27">
        <v>0</v>
      </c>
      <c r="S21" s="118" t="str">
        <f>_xlfn.DISPIMG("ID_66E2A8C103C040BCBC4789F49E6E9C74",1)</f>
        <v>=DISPIMG("ID_66E2A8C103C040BCBC4789F49E6E9C74",1)</v>
      </c>
      <c r="T21" s="115" t="s">
        <v>334</v>
      </c>
      <c r="U21" s="27">
        <v>21</v>
      </c>
    </row>
    <row r="22" s="3" customFormat="1" customHeight="1" spans="1:21">
      <c r="A22" s="144">
        <v>44357.4480902778</v>
      </c>
      <c r="B22" s="27" t="s">
        <v>335</v>
      </c>
      <c r="C22" s="27" t="s">
        <v>336</v>
      </c>
      <c r="D22" s="162" t="s">
        <v>336</v>
      </c>
      <c r="E22" s="162" t="s">
        <v>165</v>
      </c>
      <c r="F22" s="162" t="s">
        <v>337</v>
      </c>
      <c r="G22" s="27">
        <v>18397927213</v>
      </c>
      <c r="H22" s="162" t="s">
        <v>338</v>
      </c>
      <c r="I22" s="162" t="s">
        <v>278</v>
      </c>
      <c r="J22" s="162" t="s">
        <v>28</v>
      </c>
      <c r="K22" s="27">
        <v>202103001</v>
      </c>
      <c r="L22" s="162" t="s">
        <v>279</v>
      </c>
      <c r="M22" s="162" t="s">
        <v>339</v>
      </c>
      <c r="N22" s="162" t="s">
        <v>280</v>
      </c>
      <c r="O22" s="162" t="s">
        <v>170</v>
      </c>
      <c r="P22" s="162" t="s">
        <v>180</v>
      </c>
      <c r="Q22" s="162" t="s">
        <v>340</v>
      </c>
      <c r="R22" s="162" t="s">
        <v>341</v>
      </c>
      <c r="S22" s="118" t="str">
        <f>_xlfn.DISPIMG("ID_FA546082303144F6A5FD61F335F92D18",1)</f>
        <v>=DISPIMG("ID_FA546082303144F6A5FD61F335F92D18",1)</v>
      </c>
      <c r="T22" s="115" t="s">
        <v>342</v>
      </c>
      <c r="U22" s="27">
        <v>22</v>
      </c>
    </row>
    <row r="23" s="3" customFormat="1" customHeight="1" spans="1:21">
      <c r="A23" s="144">
        <v>44357.4487615741</v>
      </c>
      <c r="B23" s="27" t="s">
        <v>343</v>
      </c>
      <c r="C23" s="27" t="s">
        <v>344</v>
      </c>
      <c r="D23" s="162" t="s">
        <v>345</v>
      </c>
      <c r="E23" s="162" t="s">
        <v>165</v>
      </c>
      <c r="F23" s="162" t="s">
        <v>346</v>
      </c>
      <c r="G23" s="27">
        <v>15179246525</v>
      </c>
      <c r="H23" s="162" t="s">
        <v>347</v>
      </c>
      <c r="I23" s="162" t="s">
        <v>156</v>
      </c>
      <c r="J23" s="162" t="s">
        <v>14</v>
      </c>
      <c r="K23" s="27">
        <v>202102001</v>
      </c>
      <c r="L23" s="162" t="s">
        <v>279</v>
      </c>
      <c r="M23" s="162" t="s">
        <v>158</v>
      </c>
      <c r="N23" s="162" t="s">
        <v>348</v>
      </c>
      <c r="O23" s="162" t="s">
        <v>170</v>
      </c>
      <c r="P23" s="162" t="s">
        <v>349</v>
      </c>
      <c r="Q23" s="162" t="s">
        <v>350</v>
      </c>
      <c r="R23" s="162" t="s">
        <v>351</v>
      </c>
      <c r="S23" s="118" t="str">
        <f>_xlfn.DISPIMG("ID_0FE66397D3464536A23D26C93FD62495",1)</f>
        <v>=DISPIMG("ID_0FE66397D3464536A23D26C93FD62495",1)</v>
      </c>
      <c r="T23" s="115" t="s">
        <v>352</v>
      </c>
      <c r="U23" s="27">
        <v>23</v>
      </c>
    </row>
    <row r="24" s="3" customFormat="1" customHeight="1" spans="1:21">
      <c r="A24" s="144">
        <v>44357.4490162037</v>
      </c>
      <c r="B24" s="27" t="s">
        <v>353</v>
      </c>
      <c r="C24" s="27" t="s">
        <v>354</v>
      </c>
      <c r="D24" s="162" t="s">
        <v>355</v>
      </c>
      <c r="E24" s="162" t="s">
        <v>165</v>
      </c>
      <c r="F24" s="162" t="s">
        <v>356</v>
      </c>
      <c r="G24" s="27">
        <v>18311315751</v>
      </c>
      <c r="H24" s="162" t="s">
        <v>357</v>
      </c>
      <c r="I24" s="162" t="s">
        <v>156</v>
      </c>
      <c r="J24" s="162" t="s">
        <v>13</v>
      </c>
      <c r="K24" s="27">
        <v>202102003</v>
      </c>
      <c r="L24" s="162" t="s">
        <v>157</v>
      </c>
      <c r="M24" s="162" t="s">
        <v>358</v>
      </c>
      <c r="N24" s="162" t="s">
        <v>179</v>
      </c>
      <c r="O24" s="162" t="s">
        <v>160</v>
      </c>
      <c r="P24" s="162" t="s">
        <v>306</v>
      </c>
      <c r="Q24" s="162" t="s">
        <v>359</v>
      </c>
      <c r="R24" s="162" t="s">
        <v>360</v>
      </c>
      <c r="S24" s="118" t="str">
        <f>_xlfn.DISPIMG("ID_FD9EEFBCD596495DACB8A95ACD5E222F",1)</f>
        <v>=DISPIMG("ID_FD9EEFBCD596495DACB8A95ACD5E222F",1)</v>
      </c>
      <c r="T24" s="115" t="s">
        <v>361</v>
      </c>
      <c r="U24" s="27">
        <v>24</v>
      </c>
    </row>
    <row r="25" s="3" customFormat="1" customHeight="1" spans="1:21">
      <c r="A25" s="144">
        <v>44357.4544675926</v>
      </c>
      <c r="B25" s="27" t="s">
        <v>362</v>
      </c>
      <c r="C25" s="27" t="s">
        <v>363</v>
      </c>
      <c r="D25" s="162" t="s">
        <v>364</v>
      </c>
      <c r="E25" s="162" t="s">
        <v>153</v>
      </c>
      <c r="F25" s="162" t="s">
        <v>365</v>
      </c>
      <c r="G25" s="27">
        <v>15879225309</v>
      </c>
      <c r="H25" s="162" t="s">
        <v>366</v>
      </c>
      <c r="I25" s="162" t="s">
        <v>156</v>
      </c>
      <c r="J25" s="162" t="s">
        <v>14</v>
      </c>
      <c r="K25" s="27">
        <v>202102001</v>
      </c>
      <c r="L25" s="162" t="s">
        <v>157</v>
      </c>
      <c r="M25" s="162" t="s">
        <v>367</v>
      </c>
      <c r="N25" s="162" t="s">
        <v>348</v>
      </c>
      <c r="O25" s="162" t="s">
        <v>170</v>
      </c>
      <c r="P25" s="162" t="s">
        <v>368</v>
      </c>
      <c r="Q25" s="162" t="s">
        <v>14</v>
      </c>
      <c r="R25" s="162" t="s">
        <v>369</v>
      </c>
      <c r="S25" s="118" t="str">
        <f>_xlfn.DISPIMG("ID_08B1C5991BF641D590EC606BAB378CA1",1)</f>
        <v>=DISPIMG("ID_08B1C5991BF641D590EC606BAB378CA1",1)</v>
      </c>
      <c r="T25" s="115" t="s">
        <v>370</v>
      </c>
      <c r="U25" s="27">
        <v>25</v>
      </c>
    </row>
    <row r="26" s="3" customFormat="1" customHeight="1" spans="1:21">
      <c r="A26" s="144">
        <v>44357.4574652778</v>
      </c>
      <c r="B26" s="27" t="s">
        <v>371</v>
      </c>
      <c r="C26" s="27" t="s">
        <v>372</v>
      </c>
      <c r="D26" s="162" t="s">
        <v>373</v>
      </c>
      <c r="E26" s="162" t="s">
        <v>165</v>
      </c>
      <c r="F26" s="162" t="s">
        <v>374</v>
      </c>
      <c r="G26" s="27">
        <v>15170964571</v>
      </c>
      <c r="H26" s="162" t="s">
        <v>375</v>
      </c>
      <c r="I26" s="162" t="s">
        <v>278</v>
      </c>
      <c r="J26" s="162" t="s">
        <v>28</v>
      </c>
      <c r="K26" s="27">
        <v>202103001</v>
      </c>
      <c r="L26" s="162" t="s">
        <v>279</v>
      </c>
      <c r="M26" s="162" t="s">
        <v>367</v>
      </c>
      <c r="N26" s="162" t="s">
        <v>280</v>
      </c>
      <c r="O26" s="162" t="s">
        <v>170</v>
      </c>
      <c r="P26" s="162" t="s">
        <v>224</v>
      </c>
      <c r="Q26" s="162" t="s">
        <v>376</v>
      </c>
      <c r="R26" s="162" t="s">
        <v>377</v>
      </c>
      <c r="S26" s="118" t="str">
        <f>_xlfn.DISPIMG("ID_C8327FEC732A4CC39200F90994F97069",1)</f>
        <v>=DISPIMG("ID_C8327FEC732A4CC39200F90994F97069",1)</v>
      </c>
      <c r="T26" s="115" t="s">
        <v>378</v>
      </c>
      <c r="U26" s="27">
        <v>26</v>
      </c>
    </row>
    <row r="27" s="3" customFormat="1" customHeight="1" spans="1:21">
      <c r="A27" s="144">
        <v>44357.4609143519</v>
      </c>
      <c r="B27" s="27" t="s">
        <v>379</v>
      </c>
      <c r="C27" s="27" t="s">
        <v>380</v>
      </c>
      <c r="D27" s="162" t="s">
        <v>381</v>
      </c>
      <c r="E27" s="162" t="s">
        <v>165</v>
      </c>
      <c r="F27" s="162" t="s">
        <v>382</v>
      </c>
      <c r="G27" s="27">
        <v>15180106412</v>
      </c>
      <c r="H27" s="162" t="s">
        <v>383</v>
      </c>
      <c r="I27" s="162" t="s">
        <v>384</v>
      </c>
      <c r="J27" s="162" t="s">
        <v>25</v>
      </c>
      <c r="K27" s="27">
        <v>202101007</v>
      </c>
      <c r="L27" s="162" t="s">
        <v>157</v>
      </c>
      <c r="M27" s="162" t="s">
        <v>385</v>
      </c>
      <c r="N27" s="162" t="s">
        <v>386</v>
      </c>
      <c r="O27" s="162" t="s">
        <v>170</v>
      </c>
      <c r="P27" s="162" t="s">
        <v>216</v>
      </c>
      <c r="Q27" s="162" t="s">
        <v>25</v>
      </c>
      <c r="R27" s="162" t="s">
        <v>387</v>
      </c>
      <c r="S27" s="118" t="str">
        <f>_xlfn.DISPIMG("ID_66D69597049F4F76B0A0201065CACE75",1)</f>
        <v>=DISPIMG("ID_66D69597049F4F76B0A0201065CACE75",1)</v>
      </c>
      <c r="T27" s="115" t="s">
        <v>388</v>
      </c>
      <c r="U27" s="27">
        <v>27</v>
      </c>
    </row>
    <row r="28" s="3" customFormat="1" customHeight="1" spans="1:21">
      <c r="A28" s="144">
        <v>44357.4618055556</v>
      </c>
      <c r="B28" s="27" t="s">
        <v>389</v>
      </c>
      <c r="C28" s="27" t="s">
        <v>390</v>
      </c>
      <c r="D28" s="162" t="s">
        <v>391</v>
      </c>
      <c r="E28" s="162" t="s">
        <v>165</v>
      </c>
      <c r="F28" s="162" t="s">
        <v>392</v>
      </c>
      <c r="G28" s="27">
        <v>17620119411</v>
      </c>
      <c r="H28" s="162" t="s">
        <v>393</v>
      </c>
      <c r="I28" s="162" t="s">
        <v>156</v>
      </c>
      <c r="J28" s="162" t="s">
        <v>15</v>
      </c>
      <c r="K28" s="27">
        <v>202102007</v>
      </c>
      <c r="L28" s="162" t="s">
        <v>157</v>
      </c>
      <c r="M28" s="162" t="s">
        <v>394</v>
      </c>
      <c r="N28" s="162" t="s">
        <v>395</v>
      </c>
      <c r="O28" s="162" t="s">
        <v>160</v>
      </c>
      <c r="P28" s="162" t="s">
        <v>396</v>
      </c>
      <c r="Q28" s="162" t="s">
        <v>15</v>
      </c>
      <c r="R28" s="27">
        <v>0</v>
      </c>
      <c r="S28" s="118" t="str">
        <f>_xlfn.DISPIMG("ID_EBB3EDBB16514C57957D178C829CE459",1)</f>
        <v>=DISPIMG("ID_EBB3EDBB16514C57957D178C829CE459",1)</v>
      </c>
      <c r="T28" s="115" t="s">
        <v>397</v>
      </c>
      <c r="U28" s="27">
        <v>28</v>
      </c>
    </row>
    <row r="29" s="3" customFormat="1" customHeight="1" spans="1:21">
      <c r="A29" s="144">
        <v>44357.4618634259</v>
      </c>
      <c r="B29" s="27" t="s">
        <v>398</v>
      </c>
      <c r="C29" s="27" t="s">
        <v>399</v>
      </c>
      <c r="D29" s="162" t="s">
        <v>400</v>
      </c>
      <c r="E29" s="162" t="s">
        <v>165</v>
      </c>
      <c r="F29" s="162" t="s">
        <v>401</v>
      </c>
      <c r="G29" s="27">
        <v>18279242907</v>
      </c>
      <c r="H29" s="162" t="s">
        <v>402</v>
      </c>
      <c r="I29" s="162" t="s">
        <v>156</v>
      </c>
      <c r="J29" s="162" t="s">
        <v>6</v>
      </c>
      <c r="K29" s="27">
        <v>202102012</v>
      </c>
      <c r="L29" s="162" t="s">
        <v>157</v>
      </c>
      <c r="M29" s="162" t="s">
        <v>403</v>
      </c>
      <c r="N29" s="162" t="s">
        <v>404</v>
      </c>
      <c r="O29" s="162" t="s">
        <v>160</v>
      </c>
      <c r="P29" s="162" t="s">
        <v>252</v>
      </c>
      <c r="Q29" s="162" t="s">
        <v>6</v>
      </c>
      <c r="R29" s="162" t="s">
        <v>405</v>
      </c>
      <c r="S29" s="118" t="str">
        <f>_xlfn.DISPIMG("ID_CF4959AF4AC44C8391DB8D257F1D8B87",1)</f>
        <v>=DISPIMG("ID_CF4959AF4AC44C8391DB8D257F1D8B87",1)</v>
      </c>
      <c r="T29" s="115" t="s">
        <v>406</v>
      </c>
      <c r="U29" s="27">
        <v>29</v>
      </c>
    </row>
    <row r="30" s="3" customFormat="1" customHeight="1" spans="1:21">
      <c r="A30" s="144">
        <v>44357.4638773148</v>
      </c>
      <c r="B30" s="27" t="s">
        <v>407</v>
      </c>
      <c r="C30" s="27" t="s">
        <v>408</v>
      </c>
      <c r="D30" s="162" t="s">
        <v>409</v>
      </c>
      <c r="E30" s="162" t="s">
        <v>153</v>
      </c>
      <c r="F30" s="162" t="s">
        <v>410</v>
      </c>
      <c r="G30" s="27">
        <v>13177702893</v>
      </c>
      <c r="H30" s="162" t="s">
        <v>411</v>
      </c>
      <c r="I30" s="162" t="s">
        <v>156</v>
      </c>
      <c r="J30" s="162" t="s">
        <v>6</v>
      </c>
      <c r="K30" s="27">
        <v>202102012</v>
      </c>
      <c r="L30" s="162" t="s">
        <v>157</v>
      </c>
      <c r="M30" s="162" t="s">
        <v>412</v>
      </c>
      <c r="N30" s="162" t="s">
        <v>323</v>
      </c>
      <c r="O30" s="162" t="s">
        <v>170</v>
      </c>
      <c r="P30" s="162" t="s">
        <v>252</v>
      </c>
      <c r="Q30" s="162" t="s">
        <v>413</v>
      </c>
      <c r="R30" s="162" t="s">
        <v>414</v>
      </c>
      <c r="S30" s="118" t="str">
        <f>_xlfn.DISPIMG("ID_C929C0A6F3B54FF18F2B98BE28643203",1)</f>
        <v>=DISPIMG("ID_C929C0A6F3B54FF18F2B98BE28643203",1)</v>
      </c>
      <c r="T30" s="115" t="s">
        <v>415</v>
      </c>
      <c r="U30" s="27">
        <v>30</v>
      </c>
    </row>
    <row r="31" s="3" customFormat="1" customHeight="1" spans="1:21">
      <c r="A31" s="144">
        <v>44357.4645833333</v>
      </c>
      <c r="B31" s="27" t="s">
        <v>416</v>
      </c>
      <c r="C31" s="27" t="s">
        <v>417</v>
      </c>
      <c r="D31" s="162" t="s">
        <v>418</v>
      </c>
      <c r="E31" s="162" t="s">
        <v>165</v>
      </c>
      <c r="F31" s="162" t="s">
        <v>419</v>
      </c>
      <c r="G31" s="27">
        <v>13870260927</v>
      </c>
      <c r="H31" s="162" t="s">
        <v>420</v>
      </c>
      <c r="I31" s="162" t="s">
        <v>278</v>
      </c>
      <c r="J31" s="162" t="s">
        <v>28</v>
      </c>
      <c r="K31" s="27">
        <v>202103001</v>
      </c>
      <c r="L31" s="162" t="s">
        <v>279</v>
      </c>
      <c r="M31" s="162" t="s">
        <v>367</v>
      </c>
      <c r="N31" s="162" t="s">
        <v>280</v>
      </c>
      <c r="O31" s="162" t="s">
        <v>170</v>
      </c>
      <c r="P31" s="162" t="s">
        <v>224</v>
      </c>
      <c r="Q31" s="162" t="s">
        <v>28</v>
      </c>
      <c r="R31" s="162" t="s">
        <v>421</v>
      </c>
      <c r="S31" s="118" t="str">
        <f>_xlfn.DISPIMG("ID_37FC201A56874EEA918314432BBE8D22",1)</f>
        <v>=DISPIMG("ID_37FC201A56874EEA918314432BBE8D22",1)</v>
      </c>
      <c r="T31" s="115" t="s">
        <v>422</v>
      </c>
      <c r="U31" s="27">
        <v>31</v>
      </c>
    </row>
    <row r="32" s="3" customFormat="1" customHeight="1" spans="1:21">
      <c r="A32" s="144">
        <v>44357.4694791667</v>
      </c>
      <c r="B32" s="27" t="s">
        <v>423</v>
      </c>
      <c r="C32" s="27" t="s">
        <v>424</v>
      </c>
      <c r="D32" s="162" t="s">
        <v>425</v>
      </c>
      <c r="E32" s="162" t="s">
        <v>165</v>
      </c>
      <c r="F32" s="162" t="s">
        <v>426</v>
      </c>
      <c r="G32" s="27">
        <v>18720147865</v>
      </c>
      <c r="H32" s="162" t="s">
        <v>427</v>
      </c>
      <c r="I32" s="162" t="s">
        <v>297</v>
      </c>
      <c r="J32" s="162" t="s">
        <v>29</v>
      </c>
      <c r="K32" s="27">
        <v>202101008</v>
      </c>
      <c r="L32" s="162" t="s">
        <v>157</v>
      </c>
      <c r="M32" s="162" t="s">
        <v>428</v>
      </c>
      <c r="N32" s="162" t="s">
        <v>429</v>
      </c>
      <c r="O32" s="162" t="s">
        <v>160</v>
      </c>
      <c r="P32" s="162" t="s">
        <v>235</v>
      </c>
      <c r="Q32" s="162" t="s">
        <v>430</v>
      </c>
      <c r="R32" s="27">
        <v>0</v>
      </c>
      <c r="S32" s="118" t="str">
        <f>_xlfn.DISPIMG("ID_9C21E529A1D946A49AECBF1B4E991CC9",1)</f>
        <v>=DISPIMG("ID_9C21E529A1D946A49AECBF1B4E991CC9",1)</v>
      </c>
      <c r="T32" s="115" t="s">
        <v>431</v>
      </c>
      <c r="U32" s="27">
        <v>32</v>
      </c>
    </row>
    <row r="33" s="3" customFormat="1" customHeight="1" spans="1:21">
      <c r="A33" s="144">
        <v>44357.4702199074</v>
      </c>
      <c r="B33" s="27" t="s">
        <v>432</v>
      </c>
      <c r="C33" s="27" t="s">
        <v>433</v>
      </c>
      <c r="D33" s="162" t="s">
        <v>434</v>
      </c>
      <c r="E33" s="162" t="s">
        <v>165</v>
      </c>
      <c r="F33" s="162" t="s">
        <v>435</v>
      </c>
      <c r="G33" s="27">
        <v>18707020389</v>
      </c>
      <c r="H33" s="162" t="s">
        <v>436</v>
      </c>
      <c r="I33" s="162" t="s">
        <v>156</v>
      </c>
      <c r="J33" s="162" t="s">
        <v>13</v>
      </c>
      <c r="K33" s="27">
        <v>202102003</v>
      </c>
      <c r="L33" s="162" t="s">
        <v>157</v>
      </c>
      <c r="M33" s="162" t="s">
        <v>437</v>
      </c>
      <c r="N33" s="162" t="s">
        <v>179</v>
      </c>
      <c r="O33" s="162" t="s">
        <v>160</v>
      </c>
      <c r="P33" s="162" t="s">
        <v>161</v>
      </c>
      <c r="Q33" s="162" t="s">
        <v>13</v>
      </c>
      <c r="R33" s="162" t="s">
        <v>438</v>
      </c>
      <c r="S33" s="118" t="str">
        <f>_xlfn.DISPIMG("ID_A9E5DA8466964C2D98F0B0FFCCE562D8",1)</f>
        <v>=DISPIMG("ID_A9E5DA8466964C2D98F0B0FFCCE562D8",1)</v>
      </c>
      <c r="T33" s="115" t="s">
        <v>439</v>
      </c>
      <c r="U33" s="27">
        <v>33</v>
      </c>
    </row>
    <row r="34" s="3" customFormat="1" customHeight="1" spans="1:21">
      <c r="A34" s="144">
        <v>44357.4710069444</v>
      </c>
      <c r="B34" s="27" t="s">
        <v>440</v>
      </c>
      <c r="C34" s="27" t="s">
        <v>408</v>
      </c>
      <c r="D34" s="162" t="s">
        <v>441</v>
      </c>
      <c r="E34" s="162" t="s">
        <v>165</v>
      </c>
      <c r="F34" s="162" t="s">
        <v>442</v>
      </c>
      <c r="G34" s="27">
        <v>15172397471</v>
      </c>
      <c r="H34" s="162" t="s">
        <v>443</v>
      </c>
      <c r="I34" s="162" t="s">
        <v>156</v>
      </c>
      <c r="J34" s="162" t="s">
        <v>12</v>
      </c>
      <c r="K34" s="27">
        <v>202102010</v>
      </c>
      <c r="L34" s="162" t="s">
        <v>157</v>
      </c>
      <c r="M34" s="162" t="s">
        <v>444</v>
      </c>
      <c r="N34" s="162" t="s">
        <v>445</v>
      </c>
      <c r="O34" s="162" t="s">
        <v>160</v>
      </c>
      <c r="P34" s="162" t="s">
        <v>252</v>
      </c>
      <c r="Q34" s="162" t="s">
        <v>446</v>
      </c>
      <c r="R34" s="162" t="s">
        <v>447</v>
      </c>
      <c r="S34" s="118" t="str">
        <f>_xlfn.DISPIMG("ID_8FDFD8CDACA94911BFEF3051E2235221",1)</f>
        <v>=DISPIMG("ID_8FDFD8CDACA94911BFEF3051E2235221",1)</v>
      </c>
      <c r="T34" s="115" t="s">
        <v>448</v>
      </c>
      <c r="U34" s="27">
        <v>34</v>
      </c>
    </row>
    <row r="35" s="3" customFormat="1" customHeight="1" spans="1:21">
      <c r="A35" s="144">
        <v>44357.4720138889</v>
      </c>
      <c r="B35" s="27" t="s">
        <v>449</v>
      </c>
      <c r="C35" s="27" t="s">
        <v>450</v>
      </c>
      <c r="D35" s="162" t="s">
        <v>451</v>
      </c>
      <c r="E35" s="162" t="s">
        <v>165</v>
      </c>
      <c r="F35" s="162" t="s">
        <v>452</v>
      </c>
      <c r="G35" s="27">
        <v>15870856801</v>
      </c>
      <c r="H35" s="162" t="s">
        <v>453</v>
      </c>
      <c r="I35" s="162" t="s">
        <v>156</v>
      </c>
      <c r="J35" s="162" t="s">
        <v>14</v>
      </c>
      <c r="K35" s="27">
        <v>202102001</v>
      </c>
      <c r="L35" s="162" t="s">
        <v>157</v>
      </c>
      <c r="M35" s="162" t="s">
        <v>158</v>
      </c>
      <c r="N35" s="162" t="s">
        <v>454</v>
      </c>
      <c r="O35" s="162" t="s">
        <v>170</v>
      </c>
      <c r="P35" s="162" t="s">
        <v>455</v>
      </c>
      <c r="Q35" s="162" t="s">
        <v>14</v>
      </c>
      <c r="R35" s="27">
        <v>0</v>
      </c>
      <c r="S35" s="118" t="str">
        <f>_xlfn.DISPIMG("ID_B55181394FEF4B858E10F092AB43BFBB",1)</f>
        <v>=DISPIMG("ID_B55181394FEF4B858E10F092AB43BFBB",1)</v>
      </c>
      <c r="T35" s="115" t="s">
        <v>456</v>
      </c>
      <c r="U35" s="27">
        <v>35</v>
      </c>
    </row>
    <row r="36" s="3" customFormat="1" customHeight="1" spans="1:21">
      <c r="A36" s="144">
        <v>44357.4762268519</v>
      </c>
      <c r="B36" s="27" t="s">
        <v>457</v>
      </c>
      <c r="C36" s="27" t="s">
        <v>458</v>
      </c>
      <c r="D36" s="162" t="s">
        <v>459</v>
      </c>
      <c r="E36" s="162" t="s">
        <v>153</v>
      </c>
      <c r="F36" s="162" t="s">
        <v>460</v>
      </c>
      <c r="G36" s="27">
        <v>13265072773</v>
      </c>
      <c r="H36" s="162" t="s">
        <v>461</v>
      </c>
      <c r="I36" s="162" t="s">
        <v>156</v>
      </c>
      <c r="J36" s="162" t="s">
        <v>9</v>
      </c>
      <c r="K36" s="27">
        <v>202102011</v>
      </c>
      <c r="L36" s="162" t="s">
        <v>157</v>
      </c>
      <c r="M36" s="162" t="s">
        <v>462</v>
      </c>
      <c r="N36" s="162" t="s">
        <v>463</v>
      </c>
      <c r="O36" s="162" t="s">
        <v>160</v>
      </c>
      <c r="P36" s="162" t="s">
        <v>161</v>
      </c>
      <c r="Q36" s="162" t="s">
        <v>464</v>
      </c>
      <c r="R36" s="27">
        <v>0</v>
      </c>
      <c r="S36" s="118" t="str">
        <f>_xlfn.DISPIMG("ID_DCCAD4E9E505474E946107D340C03662",1)</f>
        <v>=DISPIMG("ID_DCCAD4E9E505474E946107D340C03662",1)</v>
      </c>
      <c r="T36" s="115" t="s">
        <v>465</v>
      </c>
      <c r="U36" s="27">
        <v>36</v>
      </c>
    </row>
    <row r="37" s="3" customFormat="1" customHeight="1" spans="1:21">
      <c r="A37" s="144">
        <v>44357.4823842593</v>
      </c>
      <c r="B37" s="27" t="s">
        <v>466</v>
      </c>
      <c r="C37" s="27" t="s">
        <v>467</v>
      </c>
      <c r="D37" s="162" t="s">
        <v>468</v>
      </c>
      <c r="E37" s="162" t="s">
        <v>165</v>
      </c>
      <c r="F37" s="162" t="s">
        <v>469</v>
      </c>
      <c r="G37" s="27">
        <v>18146761825</v>
      </c>
      <c r="H37" s="162" t="s">
        <v>470</v>
      </c>
      <c r="I37" s="162" t="s">
        <v>156</v>
      </c>
      <c r="J37" s="162" t="s">
        <v>9</v>
      </c>
      <c r="K37" s="27">
        <v>202101011</v>
      </c>
      <c r="L37" s="162" t="s">
        <v>157</v>
      </c>
      <c r="M37" s="162" t="s">
        <v>471</v>
      </c>
      <c r="N37" s="162" t="s">
        <v>472</v>
      </c>
      <c r="O37" s="162" t="s">
        <v>160</v>
      </c>
      <c r="P37" s="162" t="s">
        <v>261</v>
      </c>
      <c r="Q37" s="162" t="s">
        <v>473</v>
      </c>
      <c r="R37" s="162" t="s">
        <v>474</v>
      </c>
      <c r="S37" s="118" t="str">
        <f>_xlfn.DISPIMG("ID_1D525F375CC54BBBB3EFFDF9EC99FC2F",1)</f>
        <v>=DISPIMG("ID_1D525F375CC54BBBB3EFFDF9EC99FC2F",1)</v>
      </c>
      <c r="T37" s="115" t="s">
        <v>475</v>
      </c>
      <c r="U37" s="27">
        <v>37</v>
      </c>
    </row>
    <row r="38" s="3" customFormat="1" customHeight="1" spans="1:21">
      <c r="A38" s="144">
        <v>44357.4840277778</v>
      </c>
      <c r="B38" s="27" t="s">
        <v>476</v>
      </c>
      <c r="C38" s="27" t="s">
        <v>477</v>
      </c>
      <c r="D38" s="162" t="s">
        <v>477</v>
      </c>
      <c r="E38" s="162" t="s">
        <v>165</v>
      </c>
      <c r="F38" s="162" t="s">
        <v>478</v>
      </c>
      <c r="G38" s="27">
        <v>18770282894</v>
      </c>
      <c r="H38" s="162" t="s">
        <v>479</v>
      </c>
      <c r="I38" s="162" t="s">
        <v>278</v>
      </c>
      <c r="J38" s="162" t="s">
        <v>28</v>
      </c>
      <c r="K38" s="27">
        <v>202103001</v>
      </c>
      <c r="L38" s="162" t="s">
        <v>279</v>
      </c>
      <c r="M38" s="162" t="s">
        <v>367</v>
      </c>
      <c r="N38" s="162" t="s">
        <v>280</v>
      </c>
      <c r="O38" s="162" t="s">
        <v>170</v>
      </c>
      <c r="P38" s="162" t="s">
        <v>216</v>
      </c>
      <c r="Q38" s="162" t="s">
        <v>340</v>
      </c>
      <c r="R38" s="162" t="s">
        <v>480</v>
      </c>
      <c r="S38" s="118" t="str">
        <f>_xlfn.DISPIMG("ID_CA960935E07F423087EFDE1A92D5AFE3",1)</f>
        <v>=DISPIMG("ID_CA960935E07F423087EFDE1A92D5AFE3",1)</v>
      </c>
      <c r="T38" s="115" t="s">
        <v>481</v>
      </c>
      <c r="U38" s="27">
        <v>38</v>
      </c>
    </row>
    <row r="39" s="3" customFormat="1" customHeight="1" spans="1:21">
      <c r="A39" s="144">
        <v>44357.4853935185</v>
      </c>
      <c r="B39" s="27" t="s">
        <v>482</v>
      </c>
      <c r="C39" s="27" t="s">
        <v>483</v>
      </c>
      <c r="D39" s="162" t="s">
        <v>484</v>
      </c>
      <c r="E39" s="162" t="s">
        <v>165</v>
      </c>
      <c r="F39" s="162" t="s">
        <v>485</v>
      </c>
      <c r="G39" s="27">
        <v>15079175289</v>
      </c>
      <c r="H39" s="162" t="s">
        <v>486</v>
      </c>
      <c r="I39" s="162" t="s">
        <v>156</v>
      </c>
      <c r="J39" s="162" t="s">
        <v>13</v>
      </c>
      <c r="K39" s="27">
        <v>202102003</v>
      </c>
      <c r="L39" s="162" t="s">
        <v>279</v>
      </c>
      <c r="M39" s="162" t="s">
        <v>178</v>
      </c>
      <c r="N39" s="162" t="s">
        <v>223</v>
      </c>
      <c r="O39" s="162" t="s">
        <v>170</v>
      </c>
      <c r="P39" s="162" t="s">
        <v>180</v>
      </c>
      <c r="Q39" s="162" t="s">
        <v>487</v>
      </c>
      <c r="R39" s="162" t="s">
        <v>488</v>
      </c>
      <c r="S39" s="118" t="str">
        <f>_xlfn.DISPIMG("ID_090E35C53BC1424DB22E97EDD7B66993",1)</f>
        <v>=DISPIMG("ID_090E35C53BC1424DB22E97EDD7B66993",1)</v>
      </c>
      <c r="T39" s="115" t="s">
        <v>489</v>
      </c>
      <c r="U39" s="27">
        <v>39</v>
      </c>
    </row>
    <row r="40" s="3" customFormat="1" customHeight="1" spans="1:21">
      <c r="A40" s="144">
        <v>44357.5022916667</v>
      </c>
      <c r="B40" s="27" t="s">
        <v>492</v>
      </c>
      <c r="C40" s="27" t="s">
        <v>493</v>
      </c>
      <c r="D40" s="162" t="s">
        <v>494</v>
      </c>
      <c r="E40" s="162" t="s">
        <v>165</v>
      </c>
      <c r="F40" s="162" t="s">
        <v>495</v>
      </c>
      <c r="G40" s="27">
        <v>13662204471</v>
      </c>
      <c r="H40" s="162" t="s">
        <v>496</v>
      </c>
      <c r="I40" s="162" t="s">
        <v>156</v>
      </c>
      <c r="J40" s="162" t="s">
        <v>8</v>
      </c>
      <c r="K40" s="27">
        <v>202102002</v>
      </c>
      <c r="L40" s="162" t="s">
        <v>279</v>
      </c>
      <c r="M40" s="162" t="s">
        <v>158</v>
      </c>
      <c r="N40" s="162" t="s">
        <v>497</v>
      </c>
      <c r="O40" s="162" t="s">
        <v>170</v>
      </c>
      <c r="P40" s="162" t="s">
        <v>180</v>
      </c>
      <c r="Q40" s="162" t="s">
        <v>498</v>
      </c>
      <c r="R40" s="162" t="s">
        <v>499</v>
      </c>
      <c r="S40" s="118" t="str">
        <f>_xlfn.DISPIMG("ID_83DE97F5DD9E4626804875394FE0FC9C",1)</f>
        <v>=DISPIMG("ID_83DE97F5DD9E4626804875394FE0FC9C",1)</v>
      </c>
      <c r="T40" s="115" t="s">
        <v>500</v>
      </c>
      <c r="U40" s="27">
        <v>41</v>
      </c>
    </row>
    <row r="41" s="3" customFormat="1" customHeight="1" spans="1:21">
      <c r="A41" s="144">
        <v>44357.5072222222</v>
      </c>
      <c r="B41" s="27" t="s">
        <v>501</v>
      </c>
      <c r="C41" s="27" t="s">
        <v>502</v>
      </c>
      <c r="D41" s="162" t="s">
        <v>503</v>
      </c>
      <c r="E41" s="162" t="s">
        <v>165</v>
      </c>
      <c r="F41" s="162" t="s">
        <v>504</v>
      </c>
      <c r="G41" s="27">
        <v>18279271412</v>
      </c>
      <c r="H41" s="162" t="s">
        <v>505</v>
      </c>
      <c r="I41" s="162" t="s">
        <v>506</v>
      </c>
      <c r="J41" s="162" t="s">
        <v>13</v>
      </c>
      <c r="K41" s="27">
        <v>202102016</v>
      </c>
      <c r="L41" s="162" t="s">
        <v>157</v>
      </c>
      <c r="M41" s="162" t="s">
        <v>507</v>
      </c>
      <c r="N41" s="162" t="s">
        <v>298</v>
      </c>
      <c r="O41" s="162" t="s">
        <v>160</v>
      </c>
      <c r="P41" s="162" t="s">
        <v>252</v>
      </c>
      <c r="Q41" s="162" t="s">
        <v>13</v>
      </c>
      <c r="R41" s="162" t="s">
        <v>508</v>
      </c>
      <c r="S41" s="118" t="str">
        <f>_xlfn.DISPIMG("ID_40FEE490C2E64411A9F9A70FED108C60",1)</f>
        <v>=DISPIMG("ID_40FEE490C2E64411A9F9A70FED108C60",1)</v>
      </c>
      <c r="T41" s="115" t="s">
        <v>509</v>
      </c>
      <c r="U41" s="27">
        <v>42</v>
      </c>
    </row>
    <row r="42" s="3" customFormat="1" customHeight="1" spans="1:21">
      <c r="A42" s="144">
        <v>44357.5091550926</v>
      </c>
      <c r="B42" s="27" t="s">
        <v>510</v>
      </c>
      <c r="C42" s="27" t="s">
        <v>511</v>
      </c>
      <c r="D42" s="162" t="s">
        <v>512</v>
      </c>
      <c r="E42" s="162" t="s">
        <v>165</v>
      </c>
      <c r="F42" s="162" t="s">
        <v>513</v>
      </c>
      <c r="G42" s="27">
        <v>15007008219</v>
      </c>
      <c r="H42" s="162" t="s">
        <v>514</v>
      </c>
      <c r="I42" s="162" t="s">
        <v>278</v>
      </c>
      <c r="J42" s="162" t="s">
        <v>28</v>
      </c>
      <c r="K42" s="27">
        <v>202103001</v>
      </c>
      <c r="L42" s="162" t="s">
        <v>279</v>
      </c>
      <c r="M42" s="162" t="s">
        <v>515</v>
      </c>
      <c r="N42" s="162" t="s">
        <v>280</v>
      </c>
      <c r="O42" s="162" t="s">
        <v>170</v>
      </c>
      <c r="P42" s="162" t="s">
        <v>516</v>
      </c>
      <c r="Q42" s="162" t="s">
        <v>517</v>
      </c>
      <c r="R42" s="162" t="s">
        <v>518</v>
      </c>
      <c r="S42" s="118" t="str">
        <f>_xlfn.DISPIMG("ID_07A071EC50BE4110A9ABC6B339CCBE2D",1)</f>
        <v>=DISPIMG("ID_07A071EC50BE4110A9ABC6B339CCBE2D",1)</v>
      </c>
      <c r="T42" s="115" t="s">
        <v>519</v>
      </c>
      <c r="U42" s="27">
        <v>43</v>
      </c>
    </row>
    <row r="43" s="3" customFormat="1" customHeight="1" spans="1:21">
      <c r="A43" s="144">
        <v>44357.5199537037</v>
      </c>
      <c r="B43" s="27" t="s">
        <v>520</v>
      </c>
      <c r="C43" s="27" t="s">
        <v>521</v>
      </c>
      <c r="D43" s="162" t="s">
        <v>522</v>
      </c>
      <c r="E43" s="162" t="s">
        <v>165</v>
      </c>
      <c r="F43" s="162" t="s">
        <v>523</v>
      </c>
      <c r="G43" s="27">
        <v>18779278905</v>
      </c>
      <c r="H43" s="162" t="s">
        <v>524</v>
      </c>
      <c r="I43" s="162" t="s">
        <v>268</v>
      </c>
      <c r="J43" s="162" t="s">
        <v>20</v>
      </c>
      <c r="K43" s="27">
        <v>202101004</v>
      </c>
      <c r="L43" s="162" t="s">
        <v>157</v>
      </c>
      <c r="M43" s="162" t="s">
        <v>233</v>
      </c>
      <c r="N43" s="162" t="s">
        <v>525</v>
      </c>
      <c r="O43" s="162" t="s">
        <v>170</v>
      </c>
      <c r="P43" s="162" t="s">
        <v>161</v>
      </c>
      <c r="Q43" s="162" t="s">
        <v>20</v>
      </c>
      <c r="R43" s="27">
        <v>0</v>
      </c>
      <c r="S43" s="118" t="str">
        <f>_xlfn.DISPIMG("ID_71DE12F1CD59449693F0263DC215D27B",1)</f>
        <v>=DISPIMG("ID_71DE12F1CD59449693F0263DC215D27B",1)</v>
      </c>
      <c r="T43" s="115" t="s">
        <v>526</v>
      </c>
      <c r="U43" s="27">
        <v>44</v>
      </c>
    </row>
    <row r="44" s="3" customFormat="1" customHeight="1" spans="1:21">
      <c r="A44" s="144">
        <v>44357.5212268519</v>
      </c>
      <c r="B44" s="27" t="s">
        <v>527</v>
      </c>
      <c r="C44" s="27" t="s">
        <v>528</v>
      </c>
      <c r="D44" s="162" t="s">
        <v>529</v>
      </c>
      <c r="E44" s="162" t="s">
        <v>165</v>
      </c>
      <c r="F44" s="162" t="s">
        <v>530</v>
      </c>
      <c r="G44" s="27">
        <v>13870852168</v>
      </c>
      <c r="H44" s="162" t="s">
        <v>531</v>
      </c>
      <c r="I44" s="162" t="s">
        <v>156</v>
      </c>
      <c r="J44" s="162" t="s">
        <v>14</v>
      </c>
      <c r="K44" s="27">
        <v>202102001</v>
      </c>
      <c r="L44" s="162" t="s">
        <v>157</v>
      </c>
      <c r="M44" s="162" t="s">
        <v>532</v>
      </c>
      <c r="N44" s="162" t="s">
        <v>533</v>
      </c>
      <c r="O44" s="162" t="s">
        <v>160</v>
      </c>
      <c r="P44" s="162" t="s">
        <v>516</v>
      </c>
      <c r="Q44" s="162" t="s">
        <v>14</v>
      </c>
      <c r="R44" s="27">
        <v>0</v>
      </c>
      <c r="S44" s="118" t="str">
        <f>_xlfn.DISPIMG("ID_DE54808A64424090BF3B2071C574D915",1)</f>
        <v>=DISPIMG("ID_DE54808A64424090BF3B2071C574D915",1)</v>
      </c>
      <c r="T44" s="115" t="s">
        <v>534</v>
      </c>
      <c r="U44" s="27">
        <v>45</v>
      </c>
    </row>
    <row r="45" s="3" customFormat="1" customHeight="1" spans="1:21">
      <c r="A45" s="144">
        <v>44357.522662037</v>
      </c>
      <c r="B45" s="27" t="s">
        <v>535</v>
      </c>
      <c r="C45" s="27" t="s">
        <v>536</v>
      </c>
      <c r="D45" s="162" t="s">
        <v>537</v>
      </c>
      <c r="E45" s="162" t="s">
        <v>165</v>
      </c>
      <c r="F45" s="162" t="s">
        <v>538</v>
      </c>
      <c r="G45" s="27">
        <v>18720218990</v>
      </c>
      <c r="H45" s="162" t="s">
        <v>539</v>
      </c>
      <c r="I45" s="162" t="s">
        <v>156</v>
      </c>
      <c r="J45" s="162" t="s">
        <v>13</v>
      </c>
      <c r="K45" s="27">
        <v>202102003</v>
      </c>
      <c r="L45" s="162" t="s">
        <v>157</v>
      </c>
      <c r="M45" s="162" t="s">
        <v>540</v>
      </c>
      <c r="N45" s="162" t="s">
        <v>179</v>
      </c>
      <c r="O45" s="162" t="s">
        <v>160</v>
      </c>
      <c r="P45" s="162" t="s">
        <v>541</v>
      </c>
      <c r="Q45" s="162" t="s">
        <v>25</v>
      </c>
      <c r="R45" s="27">
        <v>0</v>
      </c>
      <c r="S45" s="118" t="str">
        <f>_xlfn.DISPIMG("ID_9605826B48E04C21832E1CDFB6E0AF15",1)</f>
        <v>=DISPIMG("ID_9605826B48E04C21832E1CDFB6E0AF15",1)</v>
      </c>
      <c r="T45" s="115" t="s">
        <v>542</v>
      </c>
      <c r="U45" s="27">
        <v>46</v>
      </c>
    </row>
    <row r="46" s="3" customFormat="1" customHeight="1" spans="1:21">
      <c r="A46" s="144">
        <v>44357.5260648148</v>
      </c>
      <c r="B46" s="27" t="s">
        <v>543</v>
      </c>
      <c r="C46" s="27" t="s">
        <v>544</v>
      </c>
      <c r="D46" s="162" t="s">
        <v>545</v>
      </c>
      <c r="E46" s="162" t="s">
        <v>165</v>
      </c>
      <c r="F46" s="162" t="s">
        <v>546</v>
      </c>
      <c r="G46" s="27">
        <v>13282964470</v>
      </c>
      <c r="H46" s="162" t="s">
        <v>547</v>
      </c>
      <c r="I46" s="162" t="s">
        <v>384</v>
      </c>
      <c r="J46" s="162" t="s">
        <v>25</v>
      </c>
      <c r="K46" s="27">
        <v>202101007</v>
      </c>
      <c r="L46" s="162" t="s">
        <v>157</v>
      </c>
      <c r="M46" s="162" t="s">
        <v>158</v>
      </c>
      <c r="N46" s="162" t="s">
        <v>223</v>
      </c>
      <c r="O46" s="162" t="s">
        <v>170</v>
      </c>
      <c r="P46" s="162" t="s">
        <v>548</v>
      </c>
      <c r="Q46" s="162" t="s">
        <v>549</v>
      </c>
      <c r="R46" s="162" t="s">
        <v>550</v>
      </c>
      <c r="S46" s="118" t="str">
        <f>_xlfn.DISPIMG("ID_815DB3FDB9924FE5A27318CA3E9A763D",1)</f>
        <v>=DISPIMG("ID_815DB3FDB9924FE5A27318CA3E9A763D",1)</v>
      </c>
      <c r="T46" s="115" t="s">
        <v>551</v>
      </c>
      <c r="U46" s="27">
        <v>47</v>
      </c>
    </row>
    <row r="47" s="3" customFormat="1" customHeight="1" spans="1:21">
      <c r="A47" s="144">
        <v>44357.5314699074</v>
      </c>
      <c r="B47" s="27" t="s">
        <v>552</v>
      </c>
      <c r="C47" s="27" t="s">
        <v>553</v>
      </c>
      <c r="D47" s="162" t="s">
        <v>554</v>
      </c>
      <c r="E47" s="162" t="s">
        <v>165</v>
      </c>
      <c r="F47" s="162" t="s">
        <v>555</v>
      </c>
      <c r="G47" s="27">
        <v>15508941977</v>
      </c>
      <c r="H47" s="162" t="s">
        <v>556</v>
      </c>
      <c r="I47" s="162" t="s">
        <v>384</v>
      </c>
      <c r="J47" s="162" t="s">
        <v>25</v>
      </c>
      <c r="K47" s="27">
        <v>202101007</v>
      </c>
      <c r="L47" s="162" t="s">
        <v>157</v>
      </c>
      <c r="M47" s="162" t="s">
        <v>557</v>
      </c>
      <c r="N47" s="162" t="s">
        <v>558</v>
      </c>
      <c r="O47" s="162" t="s">
        <v>170</v>
      </c>
      <c r="P47" s="162" t="s">
        <v>559</v>
      </c>
      <c r="Q47" s="162" t="s">
        <v>560</v>
      </c>
      <c r="R47" s="162" t="s">
        <v>561</v>
      </c>
      <c r="S47" s="118" t="str">
        <f>_xlfn.DISPIMG("ID_ED037D5B8E7D49BEA8FD0DBFF3A4827B",1)</f>
        <v>=DISPIMG("ID_ED037D5B8E7D49BEA8FD0DBFF3A4827B",1)</v>
      </c>
      <c r="T47" s="115" t="s">
        <v>562</v>
      </c>
      <c r="U47" s="27">
        <v>48</v>
      </c>
    </row>
    <row r="48" s="3" customFormat="1" customHeight="1" spans="1:21">
      <c r="A48" s="144">
        <v>44357.5417592593</v>
      </c>
      <c r="B48" s="27" t="s">
        <v>563</v>
      </c>
      <c r="C48" s="27" t="s">
        <v>564</v>
      </c>
      <c r="D48" s="162" t="s">
        <v>565</v>
      </c>
      <c r="E48" s="162" t="s">
        <v>165</v>
      </c>
      <c r="F48" s="162" t="s">
        <v>566</v>
      </c>
      <c r="G48" s="27">
        <v>13184588975</v>
      </c>
      <c r="H48" s="162" t="s">
        <v>567</v>
      </c>
      <c r="I48" s="162" t="s">
        <v>156</v>
      </c>
      <c r="J48" s="162" t="s">
        <v>8</v>
      </c>
      <c r="K48" s="27">
        <v>202102002</v>
      </c>
      <c r="L48" s="162" t="s">
        <v>279</v>
      </c>
      <c r="M48" s="162" t="s">
        <v>178</v>
      </c>
      <c r="N48" s="162" t="s">
        <v>497</v>
      </c>
      <c r="O48" s="162" t="s">
        <v>170</v>
      </c>
      <c r="P48" s="162" t="s">
        <v>368</v>
      </c>
      <c r="Q48" s="162" t="s">
        <v>568</v>
      </c>
      <c r="R48" s="162" t="s">
        <v>569</v>
      </c>
      <c r="S48" s="118" t="str">
        <f>_xlfn.DISPIMG("ID_937169E203CF4CFF91192737B547BFCD",1)</f>
        <v>=DISPIMG("ID_937169E203CF4CFF91192737B547BFCD",1)</v>
      </c>
      <c r="T48" s="115" t="s">
        <v>570</v>
      </c>
      <c r="U48" s="27">
        <v>49</v>
      </c>
    </row>
    <row r="49" s="3" customFormat="1" customHeight="1" spans="1:21">
      <c r="A49" s="144">
        <v>44357.5467939815</v>
      </c>
      <c r="B49" s="27" t="s">
        <v>571</v>
      </c>
      <c r="C49" s="27" t="s">
        <v>572</v>
      </c>
      <c r="D49" s="162" t="s">
        <v>573</v>
      </c>
      <c r="E49" s="162" t="s">
        <v>165</v>
      </c>
      <c r="F49" s="162" t="s">
        <v>574</v>
      </c>
      <c r="G49" s="27">
        <v>13387029092</v>
      </c>
      <c r="H49" s="162" t="s">
        <v>575</v>
      </c>
      <c r="I49" s="162" t="s">
        <v>278</v>
      </c>
      <c r="J49" s="162" t="s">
        <v>28</v>
      </c>
      <c r="K49" s="27">
        <v>202103001</v>
      </c>
      <c r="L49" s="162" t="s">
        <v>279</v>
      </c>
      <c r="M49" s="162" t="s">
        <v>576</v>
      </c>
      <c r="N49" s="162" t="s">
        <v>280</v>
      </c>
      <c r="O49" s="162" t="s">
        <v>170</v>
      </c>
      <c r="P49" s="162" t="s">
        <v>577</v>
      </c>
      <c r="Q49" s="162" t="s">
        <v>280</v>
      </c>
      <c r="R49" s="162" t="s">
        <v>578</v>
      </c>
      <c r="S49" s="118" t="str">
        <f>_xlfn.DISPIMG("ID_82D3A4866E584D37A328F1F75C226980",1)</f>
        <v>=DISPIMG("ID_82D3A4866E584D37A328F1F75C226980",1)</v>
      </c>
      <c r="T49" s="115" t="s">
        <v>579</v>
      </c>
      <c r="U49" s="27">
        <v>50</v>
      </c>
    </row>
    <row r="50" s="4" customFormat="1" customHeight="1" spans="1:21">
      <c r="A50" s="145">
        <v>44362.8841435185</v>
      </c>
      <c r="B50" s="22" t="s">
        <v>580</v>
      </c>
      <c r="C50" s="22" t="s">
        <v>581</v>
      </c>
      <c r="D50" s="164" t="s">
        <v>582</v>
      </c>
      <c r="E50" s="164" t="s">
        <v>165</v>
      </c>
      <c r="F50" s="164" t="s">
        <v>583</v>
      </c>
      <c r="G50" s="22">
        <v>18879297924</v>
      </c>
      <c r="H50" s="164" t="s">
        <v>584</v>
      </c>
      <c r="I50" s="164" t="s">
        <v>278</v>
      </c>
      <c r="J50" s="164" t="s">
        <v>28</v>
      </c>
      <c r="K50" s="22">
        <v>202103001</v>
      </c>
      <c r="L50" s="164" t="s">
        <v>585</v>
      </c>
      <c r="M50" s="164" t="s">
        <v>367</v>
      </c>
      <c r="N50" s="164" t="s">
        <v>586</v>
      </c>
      <c r="O50" s="164" t="s">
        <v>170</v>
      </c>
      <c r="P50" s="164" t="s">
        <v>587</v>
      </c>
      <c r="Q50" s="164" t="s">
        <v>588</v>
      </c>
      <c r="R50" s="164" t="s">
        <v>589</v>
      </c>
      <c r="S50" s="23" t="str">
        <f>_xlfn.DISPIMG("ID_6DA92F60F38D4176A8885E139DCAD5AE",1)</f>
        <v>=DISPIMG("ID_6DA92F60F38D4176A8885E139DCAD5AE",1)</v>
      </c>
      <c r="T50" s="103" t="s">
        <v>590</v>
      </c>
      <c r="U50" s="27">
        <v>51</v>
      </c>
    </row>
    <row r="51" s="3" customFormat="1" customHeight="1" spans="1:21">
      <c r="A51" s="144">
        <v>44357.5543865741</v>
      </c>
      <c r="B51" s="27" t="s">
        <v>591</v>
      </c>
      <c r="C51" s="27" t="s">
        <v>572</v>
      </c>
      <c r="D51" s="162" t="s">
        <v>592</v>
      </c>
      <c r="E51" s="162" t="s">
        <v>165</v>
      </c>
      <c r="F51" s="162" t="s">
        <v>593</v>
      </c>
      <c r="G51" s="27">
        <v>13177706682</v>
      </c>
      <c r="H51" s="162" t="s">
        <v>594</v>
      </c>
      <c r="I51" s="162" t="s">
        <v>278</v>
      </c>
      <c r="J51" s="162" t="s">
        <v>28</v>
      </c>
      <c r="K51" s="27">
        <v>202103001</v>
      </c>
      <c r="L51" s="162" t="s">
        <v>279</v>
      </c>
      <c r="M51" s="162" t="s">
        <v>595</v>
      </c>
      <c r="N51" s="162" t="s">
        <v>280</v>
      </c>
      <c r="O51" s="162" t="s">
        <v>170</v>
      </c>
      <c r="P51" s="162" t="s">
        <v>281</v>
      </c>
      <c r="Q51" s="162" t="s">
        <v>28</v>
      </c>
      <c r="R51" s="162" t="s">
        <v>596</v>
      </c>
      <c r="S51" s="118" t="str">
        <f>_xlfn.DISPIMG("ID_4A2B45245E6541EDAAF502188C295214",1)</f>
        <v>=DISPIMG("ID_4A2B45245E6541EDAAF502188C295214",1)</v>
      </c>
      <c r="T51" s="115" t="s">
        <v>597</v>
      </c>
      <c r="U51" s="27">
        <v>52</v>
      </c>
    </row>
    <row r="52" s="3" customFormat="1" customHeight="1" spans="1:21">
      <c r="A52" s="144">
        <v>44357.5545833333</v>
      </c>
      <c r="B52" s="27" t="s">
        <v>598</v>
      </c>
      <c r="C52" s="27" t="s">
        <v>599</v>
      </c>
      <c r="D52" s="162" t="s">
        <v>600</v>
      </c>
      <c r="E52" s="162" t="s">
        <v>165</v>
      </c>
      <c r="F52" s="162" t="s">
        <v>601</v>
      </c>
      <c r="G52" s="27">
        <v>18170238971</v>
      </c>
      <c r="H52" s="162" t="s">
        <v>602</v>
      </c>
      <c r="I52" s="162" t="s">
        <v>506</v>
      </c>
      <c r="J52" s="162" t="s">
        <v>13</v>
      </c>
      <c r="K52" s="27">
        <v>202102016</v>
      </c>
      <c r="L52" s="162" t="s">
        <v>157</v>
      </c>
      <c r="M52" s="162" t="s">
        <v>603</v>
      </c>
      <c r="N52" s="162" t="s">
        <v>179</v>
      </c>
      <c r="O52" s="162" t="s">
        <v>160</v>
      </c>
      <c r="P52" s="162" t="s">
        <v>216</v>
      </c>
      <c r="Q52" s="162" t="s">
        <v>13</v>
      </c>
      <c r="R52" s="162" t="s">
        <v>604</v>
      </c>
      <c r="S52" s="118" t="str">
        <f>_xlfn.DISPIMG("ID_274A21E15DE94C9DB65D865C0AE50BA3",1)</f>
        <v>=DISPIMG("ID_274A21E15DE94C9DB65D865C0AE50BA3",1)</v>
      </c>
      <c r="T52" s="115" t="s">
        <v>605</v>
      </c>
      <c r="U52" s="27">
        <v>53</v>
      </c>
    </row>
    <row r="53" s="3" customFormat="1" customHeight="1" spans="1:21">
      <c r="A53" s="144">
        <v>44357.5605324074</v>
      </c>
      <c r="B53" s="27" t="s">
        <v>606</v>
      </c>
      <c r="C53" s="27" t="s">
        <v>607</v>
      </c>
      <c r="D53" s="162" t="s">
        <v>608</v>
      </c>
      <c r="E53" s="162" t="s">
        <v>165</v>
      </c>
      <c r="F53" s="162" t="s">
        <v>609</v>
      </c>
      <c r="G53" s="27">
        <v>18779299502</v>
      </c>
      <c r="H53" s="162" t="s">
        <v>610</v>
      </c>
      <c r="I53" s="162" t="s">
        <v>156</v>
      </c>
      <c r="J53" s="162" t="s">
        <v>13</v>
      </c>
      <c r="K53" s="27">
        <v>202102003</v>
      </c>
      <c r="L53" s="162" t="s">
        <v>157</v>
      </c>
      <c r="M53" s="162" t="s">
        <v>611</v>
      </c>
      <c r="N53" s="162" t="s">
        <v>179</v>
      </c>
      <c r="O53" s="162" t="s">
        <v>160</v>
      </c>
      <c r="P53" s="162" t="s">
        <v>261</v>
      </c>
      <c r="Q53" s="162" t="s">
        <v>13</v>
      </c>
      <c r="R53" s="27">
        <v>0</v>
      </c>
      <c r="S53" s="118" t="str">
        <f>_xlfn.DISPIMG("ID_AED44616ADF34083BED4818BEE7F954D",1)</f>
        <v>=DISPIMG("ID_AED44616ADF34083BED4818BEE7F954D",1)</v>
      </c>
      <c r="T53" s="115" t="s">
        <v>612</v>
      </c>
      <c r="U53" s="27">
        <v>54</v>
      </c>
    </row>
    <row r="54" s="3" customFormat="1" customHeight="1" spans="1:21">
      <c r="A54" s="144">
        <v>44357.5615972222</v>
      </c>
      <c r="B54" s="27" t="s">
        <v>613</v>
      </c>
      <c r="C54" s="27" t="s">
        <v>572</v>
      </c>
      <c r="D54" s="162" t="s">
        <v>614</v>
      </c>
      <c r="E54" s="162" t="s">
        <v>165</v>
      </c>
      <c r="F54" s="162" t="s">
        <v>615</v>
      </c>
      <c r="G54" s="27">
        <v>13755265925</v>
      </c>
      <c r="H54" s="162" t="s">
        <v>616</v>
      </c>
      <c r="I54" s="162" t="s">
        <v>278</v>
      </c>
      <c r="J54" s="162" t="s">
        <v>28</v>
      </c>
      <c r="K54" s="27">
        <v>202103001</v>
      </c>
      <c r="L54" s="162" t="s">
        <v>585</v>
      </c>
      <c r="M54" s="162" t="s">
        <v>595</v>
      </c>
      <c r="N54" s="162" t="s">
        <v>280</v>
      </c>
      <c r="O54" s="162" t="s">
        <v>170</v>
      </c>
      <c r="P54" s="162" t="s">
        <v>281</v>
      </c>
      <c r="Q54" s="162" t="s">
        <v>28</v>
      </c>
      <c r="R54" s="162" t="s">
        <v>617</v>
      </c>
      <c r="S54" s="118" t="str">
        <f>_xlfn.DISPIMG("ID_85355BEE288D4456A9F8FBBF22F43B44",1)</f>
        <v>=DISPIMG("ID_85355BEE288D4456A9F8FBBF22F43B44",1)</v>
      </c>
      <c r="T54" s="115" t="s">
        <v>618</v>
      </c>
      <c r="U54" s="27">
        <v>55</v>
      </c>
    </row>
    <row r="55" s="3" customFormat="1" customHeight="1" spans="1:21">
      <c r="A55" s="144">
        <v>44357.5669097222</v>
      </c>
      <c r="B55" s="27" t="s">
        <v>619</v>
      </c>
      <c r="C55" s="27" t="s">
        <v>572</v>
      </c>
      <c r="D55" s="162" t="s">
        <v>620</v>
      </c>
      <c r="E55" s="162" t="s">
        <v>165</v>
      </c>
      <c r="F55" s="162" t="s">
        <v>621</v>
      </c>
      <c r="G55" s="27">
        <v>18370123772</v>
      </c>
      <c r="H55" s="162" t="s">
        <v>622</v>
      </c>
      <c r="I55" s="162" t="s">
        <v>278</v>
      </c>
      <c r="J55" s="162" t="s">
        <v>28</v>
      </c>
      <c r="K55" s="27">
        <v>202103001</v>
      </c>
      <c r="L55" s="162" t="s">
        <v>585</v>
      </c>
      <c r="M55" s="162" t="s">
        <v>595</v>
      </c>
      <c r="N55" s="162" t="s">
        <v>280</v>
      </c>
      <c r="O55" s="162" t="s">
        <v>170</v>
      </c>
      <c r="P55" s="162" t="s">
        <v>368</v>
      </c>
      <c r="Q55" s="162" t="s">
        <v>28</v>
      </c>
      <c r="R55" s="162" t="s">
        <v>623</v>
      </c>
      <c r="S55" s="118" t="str">
        <f>_xlfn.DISPIMG("ID_109F9871D9934FD3B362EB8D2EAFD060",1)</f>
        <v>=DISPIMG("ID_109F9871D9934FD3B362EB8D2EAFD060",1)</v>
      </c>
      <c r="T55" s="115" t="s">
        <v>624</v>
      </c>
      <c r="U55" s="27">
        <v>56</v>
      </c>
    </row>
    <row r="56" s="3" customFormat="1" customHeight="1" spans="1:21">
      <c r="A56" s="144">
        <v>44357.5681481482</v>
      </c>
      <c r="B56" s="27" t="s">
        <v>625</v>
      </c>
      <c r="C56" s="27" t="s">
        <v>626</v>
      </c>
      <c r="D56" s="162" t="s">
        <v>627</v>
      </c>
      <c r="E56" s="162" t="s">
        <v>165</v>
      </c>
      <c r="F56" s="162" t="s">
        <v>628</v>
      </c>
      <c r="G56" s="27">
        <v>18162269962</v>
      </c>
      <c r="H56" s="162" t="s">
        <v>629</v>
      </c>
      <c r="I56" s="162" t="s">
        <v>156</v>
      </c>
      <c r="J56" s="162" t="s">
        <v>6</v>
      </c>
      <c r="K56" s="27">
        <v>202102012</v>
      </c>
      <c r="L56" s="162" t="s">
        <v>157</v>
      </c>
      <c r="M56" s="162" t="s">
        <v>630</v>
      </c>
      <c r="N56" s="162" t="s">
        <v>207</v>
      </c>
      <c r="O56" s="162" t="s">
        <v>160</v>
      </c>
      <c r="P56" s="162" t="s">
        <v>541</v>
      </c>
      <c r="Q56" s="162" t="s">
        <v>18</v>
      </c>
      <c r="R56" s="162" t="s">
        <v>631</v>
      </c>
      <c r="S56" s="118" t="str">
        <f>_xlfn.DISPIMG("ID_50ADA4D0B38B42B786E2DD18C78CCC60",1)</f>
        <v>=DISPIMG("ID_50ADA4D0B38B42B786E2DD18C78CCC60",1)</v>
      </c>
      <c r="T56" s="115" t="s">
        <v>632</v>
      </c>
      <c r="U56" s="27">
        <v>57</v>
      </c>
    </row>
    <row r="57" s="3" customFormat="1" customHeight="1" spans="1:21">
      <c r="A57" s="144">
        <v>44357.5701388889</v>
      </c>
      <c r="B57" s="27" t="s">
        <v>633</v>
      </c>
      <c r="C57" s="27" t="s">
        <v>634</v>
      </c>
      <c r="D57" s="162" t="s">
        <v>635</v>
      </c>
      <c r="E57" s="162" t="s">
        <v>165</v>
      </c>
      <c r="F57" s="162" t="s">
        <v>636</v>
      </c>
      <c r="G57" s="27">
        <v>15070232391</v>
      </c>
      <c r="H57" s="162" t="s">
        <v>637</v>
      </c>
      <c r="I57" s="162" t="s">
        <v>156</v>
      </c>
      <c r="J57" s="162" t="s">
        <v>14</v>
      </c>
      <c r="K57" s="27">
        <v>202102001</v>
      </c>
      <c r="L57" s="162" t="s">
        <v>279</v>
      </c>
      <c r="M57" s="162" t="s">
        <v>158</v>
      </c>
      <c r="N57" s="162" t="s">
        <v>348</v>
      </c>
      <c r="O57" s="162" t="s">
        <v>170</v>
      </c>
      <c r="P57" s="162" t="s">
        <v>548</v>
      </c>
      <c r="Q57" s="162" t="s">
        <v>638</v>
      </c>
      <c r="R57" s="162" t="s">
        <v>639</v>
      </c>
      <c r="S57" s="118" t="str">
        <f>_xlfn.DISPIMG("ID_89E406E2AE894B018BFF7E7198130BCA",1)</f>
        <v>=DISPIMG("ID_89E406E2AE894B018BFF7E7198130BCA",1)</v>
      </c>
      <c r="T57" s="115" t="s">
        <v>640</v>
      </c>
      <c r="U57" s="27">
        <v>58</v>
      </c>
    </row>
    <row r="58" s="3" customFormat="1" customHeight="1" spans="1:21">
      <c r="A58" s="144">
        <v>44357.5761342593</v>
      </c>
      <c r="B58" s="27" t="s">
        <v>641</v>
      </c>
      <c r="C58" s="27" t="s">
        <v>642</v>
      </c>
      <c r="D58" s="162" t="s">
        <v>643</v>
      </c>
      <c r="E58" s="162" t="s">
        <v>165</v>
      </c>
      <c r="F58" s="162" t="s">
        <v>644</v>
      </c>
      <c r="G58" s="27">
        <v>17808826021</v>
      </c>
      <c r="H58" s="162" t="s">
        <v>645</v>
      </c>
      <c r="I58" s="162" t="s">
        <v>156</v>
      </c>
      <c r="J58" s="162" t="s">
        <v>14</v>
      </c>
      <c r="K58" s="27">
        <v>202102001</v>
      </c>
      <c r="L58" s="162" t="s">
        <v>157</v>
      </c>
      <c r="M58" s="162" t="s">
        <v>646</v>
      </c>
      <c r="N58" s="162" t="s">
        <v>454</v>
      </c>
      <c r="O58" s="162" t="s">
        <v>160</v>
      </c>
      <c r="P58" s="162" t="s">
        <v>224</v>
      </c>
      <c r="Q58" s="162" t="s">
        <v>14</v>
      </c>
      <c r="R58" s="162" t="s">
        <v>647</v>
      </c>
      <c r="S58" s="118" t="str">
        <f>_xlfn.DISPIMG("ID_905C387E694F4B30B6CB8B8291B01F38",1)</f>
        <v>=DISPIMG("ID_905C387E694F4B30B6CB8B8291B01F38",1)</v>
      </c>
      <c r="T58" s="115" t="s">
        <v>648</v>
      </c>
      <c r="U58" s="27">
        <v>59</v>
      </c>
    </row>
    <row r="59" s="3" customFormat="1" customHeight="1" spans="1:21">
      <c r="A59" s="144">
        <v>44357.5943634259</v>
      </c>
      <c r="B59" s="27" t="s">
        <v>649</v>
      </c>
      <c r="C59" s="27" t="s">
        <v>650</v>
      </c>
      <c r="D59" s="162" t="s">
        <v>651</v>
      </c>
      <c r="E59" s="162" t="s">
        <v>165</v>
      </c>
      <c r="F59" s="162" t="s">
        <v>652</v>
      </c>
      <c r="G59" s="27">
        <v>13677913381</v>
      </c>
      <c r="H59" s="162" t="s">
        <v>653</v>
      </c>
      <c r="I59" s="162" t="s">
        <v>156</v>
      </c>
      <c r="J59" s="162" t="s">
        <v>14</v>
      </c>
      <c r="K59" s="27">
        <v>202102001</v>
      </c>
      <c r="L59" s="162" t="s">
        <v>279</v>
      </c>
      <c r="M59" s="162" t="s">
        <v>339</v>
      </c>
      <c r="N59" s="162" t="s">
        <v>348</v>
      </c>
      <c r="O59" s="162" t="s">
        <v>170</v>
      </c>
      <c r="P59" s="162" t="s">
        <v>171</v>
      </c>
      <c r="Q59" s="162" t="s">
        <v>654</v>
      </c>
      <c r="R59" s="162" t="s">
        <v>655</v>
      </c>
      <c r="S59" s="118" t="str">
        <f>_xlfn.DISPIMG("ID_F245B8B6D20E4BBA8409FA8C63902E06",1)</f>
        <v>=DISPIMG("ID_F245B8B6D20E4BBA8409FA8C63902E06",1)</v>
      </c>
      <c r="T59" s="115" t="s">
        <v>656</v>
      </c>
      <c r="U59" s="27">
        <v>60</v>
      </c>
    </row>
    <row r="60" s="3" customFormat="1" customHeight="1" spans="1:21">
      <c r="A60" s="144">
        <v>44364.8195023148</v>
      </c>
      <c r="B60" s="27" t="s">
        <v>657</v>
      </c>
      <c r="C60" s="27" t="s">
        <v>658</v>
      </c>
      <c r="D60" s="162" t="s">
        <v>659</v>
      </c>
      <c r="E60" s="162" t="s">
        <v>165</v>
      </c>
      <c r="F60" s="162" t="s">
        <v>660</v>
      </c>
      <c r="G60" s="27">
        <v>18370120304</v>
      </c>
      <c r="H60" s="162" t="s">
        <v>661</v>
      </c>
      <c r="I60" s="162" t="s">
        <v>278</v>
      </c>
      <c r="J60" s="162" t="s">
        <v>28</v>
      </c>
      <c r="K60" s="27">
        <v>202103001</v>
      </c>
      <c r="L60" s="162" t="s">
        <v>279</v>
      </c>
      <c r="M60" s="162" t="s">
        <v>662</v>
      </c>
      <c r="N60" s="162" t="s">
        <v>280</v>
      </c>
      <c r="O60" s="162" t="s">
        <v>170</v>
      </c>
      <c r="P60" s="162" t="s">
        <v>368</v>
      </c>
      <c r="Q60" s="162" t="s">
        <v>663</v>
      </c>
      <c r="R60" s="162" t="s">
        <v>664</v>
      </c>
      <c r="S60" s="118" t="str">
        <f>_xlfn.DISPIMG("ID_4AE3C77D21184B118F491A1655043931",1)</f>
        <v>=DISPIMG("ID_4AE3C77D21184B118F491A1655043931",1)</v>
      </c>
      <c r="T60" s="115" t="s">
        <v>665</v>
      </c>
      <c r="U60" s="27">
        <v>61</v>
      </c>
    </row>
    <row r="61" s="3" customFormat="1" customHeight="1" spans="1:21">
      <c r="A61" s="144">
        <v>44357.5904166667</v>
      </c>
      <c r="B61" s="27" t="s">
        <v>666</v>
      </c>
      <c r="C61" s="27" t="s">
        <v>667</v>
      </c>
      <c r="D61" s="162" t="s">
        <v>668</v>
      </c>
      <c r="E61" s="162" t="s">
        <v>165</v>
      </c>
      <c r="F61" s="162" t="s">
        <v>669</v>
      </c>
      <c r="G61" s="27">
        <v>19970219155</v>
      </c>
      <c r="H61" s="162" t="s">
        <v>670</v>
      </c>
      <c r="I61" s="162" t="s">
        <v>156</v>
      </c>
      <c r="J61" s="162" t="s">
        <v>8</v>
      </c>
      <c r="K61" s="27">
        <v>202102002</v>
      </c>
      <c r="L61" s="162" t="s">
        <v>279</v>
      </c>
      <c r="M61" s="162" t="s">
        <v>671</v>
      </c>
      <c r="N61" s="162" t="s">
        <v>672</v>
      </c>
      <c r="O61" s="162" t="s">
        <v>160</v>
      </c>
      <c r="P61" s="162" t="s">
        <v>673</v>
      </c>
      <c r="Q61" s="162" t="s">
        <v>674</v>
      </c>
      <c r="R61" s="162" t="s">
        <v>675</v>
      </c>
      <c r="S61" s="118" t="str">
        <f>_xlfn.DISPIMG("ID_350951056247403B99D5F5C96BCE4CA8",1)</f>
        <v>=DISPIMG("ID_350951056247403B99D5F5C96BCE4CA8",1)</v>
      </c>
      <c r="T61" s="115" t="s">
        <v>676</v>
      </c>
      <c r="U61" s="27">
        <v>62</v>
      </c>
    </row>
    <row r="62" s="3" customFormat="1" customHeight="1" spans="1:21">
      <c r="A62" s="144">
        <v>44357.5981134259</v>
      </c>
      <c r="B62" s="27" t="s">
        <v>677</v>
      </c>
      <c r="C62" s="27" t="s">
        <v>678</v>
      </c>
      <c r="D62" s="162" t="s">
        <v>679</v>
      </c>
      <c r="E62" s="162" t="s">
        <v>165</v>
      </c>
      <c r="F62" s="162" t="s">
        <v>680</v>
      </c>
      <c r="G62" s="27">
        <v>15079252278</v>
      </c>
      <c r="H62" s="162" t="s">
        <v>681</v>
      </c>
      <c r="I62" s="162" t="s">
        <v>384</v>
      </c>
      <c r="J62" s="162" t="s">
        <v>21</v>
      </c>
      <c r="K62" s="27">
        <v>202101023</v>
      </c>
      <c r="L62" s="162" t="s">
        <v>157</v>
      </c>
      <c r="M62" s="162" t="s">
        <v>233</v>
      </c>
      <c r="N62" s="162" t="s">
        <v>682</v>
      </c>
      <c r="O62" s="162" t="s">
        <v>170</v>
      </c>
      <c r="P62" s="162" t="s">
        <v>261</v>
      </c>
      <c r="Q62" s="162" t="s">
        <v>683</v>
      </c>
      <c r="R62" s="27">
        <v>0</v>
      </c>
      <c r="S62" s="118" t="str">
        <f>_xlfn.DISPIMG("ID_6F0A1E5B97CE4F0C8967B602A8189E7F",1)</f>
        <v>=DISPIMG("ID_6F0A1E5B97CE4F0C8967B602A8189E7F",1)</v>
      </c>
      <c r="T62" s="115" t="s">
        <v>684</v>
      </c>
      <c r="U62" s="27">
        <v>63</v>
      </c>
    </row>
    <row r="63" s="3" customFormat="1" customHeight="1" spans="1:21">
      <c r="A63" s="144">
        <v>44357.5988773148</v>
      </c>
      <c r="B63" s="27" t="s">
        <v>685</v>
      </c>
      <c r="C63" s="27" t="s">
        <v>686</v>
      </c>
      <c r="D63" s="162" t="s">
        <v>687</v>
      </c>
      <c r="E63" s="162" t="s">
        <v>153</v>
      </c>
      <c r="F63" s="162" t="s">
        <v>688</v>
      </c>
      <c r="G63" s="27">
        <v>18370106328</v>
      </c>
      <c r="H63" s="162" t="s">
        <v>514</v>
      </c>
      <c r="I63" s="162" t="s">
        <v>156</v>
      </c>
      <c r="J63" s="162" t="s">
        <v>14</v>
      </c>
      <c r="K63" s="27">
        <v>202102001</v>
      </c>
      <c r="L63" s="162" t="s">
        <v>279</v>
      </c>
      <c r="M63" s="162" t="s">
        <v>158</v>
      </c>
      <c r="N63" s="162" t="s">
        <v>348</v>
      </c>
      <c r="O63" s="162" t="s">
        <v>170</v>
      </c>
      <c r="P63" s="162" t="s">
        <v>281</v>
      </c>
      <c r="Q63" s="162" t="s">
        <v>689</v>
      </c>
      <c r="R63" s="162" t="s">
        <v>690</v>
      </c>
      <c r="S63" s="118" t="str">
        <f>_xlfn.DISPIMG("ID_54204C01855F423A99B7E1E3FD940E61",1)</f>
        <v>=DISPIMG("ID_54204C01855F423A99B7E1E3FD940E61",1)</v>
      </c>
      <c r="T63" s="115" t="s">
        <v>691</v>
      </c>
      <c r="U63" s="27">
        <v>64</v>
      </c>
    </row>
    <row r="64" s="3" customFormat="1" customHeight="1" spans="1:21">
      <c r="A64" s="144">
        <v>44357.6061342593</v>
      </c>
      <c r="B64" s="27" t="s">
        <v>692</v>
      </c>
      <c r="C64" s="27" t="s">
        <v>693</v>
      </c>
      <c r="D64" s="162" t="s">
        <v>694</v>
      </c>
      <c r="E64" s="162" t="s">
        <v>165</v>
      </c>
      <c r="F64" s="162" t="s">
        <v>695</v>
      </c>
      <c r="G64" s="27">
        <v>15779270127</v>
      </c>
      <c r="H64" s="162" t="s">
        <v>696</v>
      </c>
      <c r="I64" s="162" t="s">
        <v>278</v>
      </c>
      <c r="J64" s="162" t="s">
        <v>28</v>
      </c>
      <c r="K64" s="27">
        <v>202103001</v>
      </c>
      <c r="L64" s="162" t="s">
        <v>279</v>
      </c>
      <c r="M64" s="162" t="s">
        <v>697</v>
      </c>
      <c r="N64" s="162" t="s">
        <v>280</v>
      </c>
      <c r="O64" s="162" t="s">
        <v>160</v>
      </c>
      <c r="P64" s="162" t="s">
        <v>180</v>
      </c>
      <c r="Q64" s="162" t="s">
        <v>28</v>
      </c>
      <c r="R64" s="162" t="s">
        <v>698</v>
      </c>
      <c r="S64" s="118" t="str">
        <f>_xlfn.DISPIMG("ID_E6AFBB076E18415F8E4E8CB1E3BFC1A0",1)</f>
        <v>=DISPIMG("ID_E6AFBB076E18415F8E4E8CB1E3BFC1A0",1)</v>
      </c>
      <c r="T64" s="115" t="s">
        <v>699</v>
      </c>
      <c r="U64" s="27">
        <v>65</v>
      </c>
    </row>
    <row r="65" s="3" customFormat="1" customHeight="1" spans="1:21">
      <c r="A65" s="144">
        <v>44357.657662037</v>
      </c>
      <c r="B65" s="27" t="s">
        <v>700</v>
      </c>
      <c r="C65" s="27" t="s">
        <v>701</v>
      </c>
      <c r="D65" s="162" t="s">
        <v>702</v>
      </c>
      <c r="E65" s="162" t="s">
        <v>165</v>
      </c>
      <c r="F65" s="162" t="s">
        <v>703</v>
      </c>
      <c r="G65" s="27">
        <v>18720956827</v>
      </c>
      <c r="H65" s="162" t="s">
        <v>704</v>
      </c>
      <c r="I65" s="162" t="s">
        <v>384</v>
      </c>
      <c r="J65" s="162" t="s">
        <v>26</v>
      </c>
      <c r="K65" s="27">
        <v>202101002</v>
      </c>
      <c r="L65" s="162" t="s">
        <v>705</v>
      </c>
      <c r="M65" s="162" t="s">
        <v>233</v>
      </c>
      <c r="N65" s="162" t="s">
        <v>706</v>
      </c>
      <c r="O65" s="162" t="s">
        <v>170</v>
      </c>
      <c r="P65" s="162" t="s">
        <v>161</v>
      </c>
      <c r="Q65" s="162" t="s">
        <v>707</v>
      </c>
      <c r="R65" s="162" t="s">
        <v>708</v>
      </c>
      <c r="S65" s="118" t="str">
        <f>_xlfn.DISPIMG("ID_0553F27943C1489A99AB032B2AD0761A",1)</f>
        <v>=DISPIMG("ID_0553F27943C1489A99AB032B2AD0761A",1)</v>
      </c>
      <c r="T65" s="115" t="s">
        <v>709</v>
      </c>
      <c r="U65" s="27">
        <v>66</v>
      </c>
    </row>
    <row r="66" s="3" customFormat="1" customHeight="1" spans="1:21">
      <c r="A66" s="144">
        <v>44357.6209722222</v>
      </c>
      <c r="B66" s="27" t="s">
        <v>710</v>
      </c>
      <c r="C66" s="27" t="s">
        <v>711</v>
      </c>
      <c r="D66" s="162" t="s">
        <v>712</v>
      </c>
      <c r="E66" s="162" t="s">
        <v>165</v>
      </c>
      <c r="F66" s="162" t="s">
        <v>713</v>
      </c>
      <c r="G66" s="27">
        <v>18379282600</v>
      </c>
      <c r="H66" s="162" t="s">
        <v>714</v>
      </c>
      <c r="I66" s="162" t="s">
        <v>278</v>
      </c>
      <c r="J66" s="162" t="s">
        <v>28</v>
      </c>
      <c r="K66" s="27">
        <v>202103001</v>
      </c>
      <c r="L66" s="162" t="s">
        <v>279</v>
      </c>
      <c r="M66" s="162" t="s">
        <v>168</v>
      </c>
      <c r="N66" s="162" t="s">
        <v>280</v>
      </c>
      <c r="O66" s="162" t="s">
        <v>170</v>
      </c>
      <c r="P66" s="162" t="s">
        <v>199</v>
      </c>
      <c r="Q66" s="162" t="s">
        <v>715</v>
      </c>
      <c r="R66" s="162" t="s">
        <v>716</v>
      </c>
      <c r="S66" s="118" t="str">
        <f>_xlfn.DISPIMG("ID_CF0B9D1514D24BCEBECEF1FC59445AFE",1)</f>
        <v>=DISPIMG("ID_CF0B9D1514D24BCEBECEF1FC59445AFE",1)</v>
      </c>
      <c r="T66" s="115" t="s">
        <v>717</v>
      </c>
      <c r="U66" s="27">
        <v>67</v>
      </c>
    </row>
    <row r="67" s="3" customFormat="1" customHeight="1" spans="1:21">
      <c r="A67" s="144">
        <v>44357.6212152778</v>
      </c>
      <c r="B67" s="27" t="s">
        <v>718</v>
      </c>
      <c r="C67" s="27" t="s">
        <v>719</v>
      </c>
      <c r="D67" s="162" t="s">
        <v>720</v>
      </c>
      <c r="E67" s="162" t="s">
        <v>165</v>
      </c>
      <c r="F67" s="162" t="s">
        <v>721</v>
      </c>
      <c r="G67" s="27">
        <v>18070248182</v>
      </c>
      <c r="H67" s="162" t="s">
        <v>722</v>
      </c>
      <c r="I67" s="162" t="s">
        <v>384</v>
      </c>
      <c r="J67" s="162" t="s">
        <v>25</v>
      </c>
      <c r="K67" s="27">
        <v>202101007</v>
      </c>
      <c r="L67" s="162" t="s">
        <v>157</v>
      </c>
      <c r="M67" s="162" t="s">
        <v>723</v>
      </c>
      <c r="N67" s="162" t="s">
        <v>223</v>
      </c>
      <c r="O67" s="162" t="s">
        <v>170</v>
      </c>
      <c r="P67" s="162" t="s">
        <v>252</v>
      </c>
      <c r="Q67" s="162" t="s">
        <v>724</v>
      </c>
      <c r="R67" s="162" t="s">
        <v>725</v>
      </c>
      <c r="S67" s="118" t="str">
        <f>_xlfn.DISPIMG("ID_18752421A8044E9999D06F0B98A5B3A9",1)</f>
        <v>=DISPIMG("ID_18752421A8044E9999D06F0B98A5B3A9",1)</v>
      </c>
      <c r="T67" s="115" t="s">
        <v>726</v>
      </c>
      <c r="U67" s="27">
        <v>68</v>
      </c>
    </row>
    <row r="68" s="3" customFormat="1" customHeight="1" spans="1:21">
      <c r="A68" s="144">
        <v>44357.771412037</v>
      </c>
      <c r="B68" s="27" t="s">
        <v>727</v>
      </c>
      <c r="C68" s="27" t="s">
        <v>728</v>
      </c>
      <c r="D68" s="162" t="s">
        <v>729</v>
      </c>
      <c r="E68" s="162" t="s">
        <v>165</v>
      </c>
      <c r="F68" s="162" t="s">
        <v>730</v>
      </c>
      <c r="G68" s="27">
        <v>18270279001</v>
      </c>
      <c r="H68" s="162" t="s">
        <v>731</v>
      </c>
      <c r="I68" s="162" t="s">
        <v>278</v>
      </c>
      <c r="J68" s="162" t="s">
        <v>28</v>
      </c>
      <c r="K68" s="27">
        <v>202103001</v>
      </c>
      <c r="L68" s="162" t="s">
        <v>279</v>
      </c>
      <c r="M68" s="162" t="s">
        <v>732</v>
      </c>
      <c r="N68" s="162" t="s">
        <v>280</v>
      </c>
      <c r="O68" s="162" t="s">
        <v>170</v>
      </c>
      <c r="P68" s="162" t="s">
        <v>733</v>
      </c>
      <c r="Q68" s="162" t="s">
        <v>517</v>
      </c>
      <c r="R68" s="162" t="s">
        <v>734</v>
      </c>
      <c r="S68" s="118" t="str">
        <f>_xlfn.DISPIMG("ID_9786F64DF5E04D0EBFF7257960884627",1)</f>
        <v>=DISPIMG("ID_9786F64DF5E04D0EBFF7257960884627",1)</v>
      </c>
      <c r="T68" s="115" t="s">
        <v>735</v>
      </c>
      <c r="U68" s="27">
        <v>69</v>
      </c>
    </row>
    <row r="69" s="5" customFormat="1" customHeight="1" spans="1:21">
      <c r="A69" s="146">
        <v>44363.4802662037</v>
      </c>
      <c r="B69" s="116" t="s">
        <v>736</v>
      </c>
      <c r="C69" s="116" t="s">
        <v>737</v>
      </c>
      <c r="D69" s="165" t="s">
        <v>738</v>
      </c>
      <c r="E69" s="165" t="s">
        <v>165</v>
      </c>
      <c r="F69" s="165" t="s">
        <v>739</v>
      </c>
      <c r="G69" s="116">
        <v>15279225160</v>
      </c>
      <c r="H69" s="165" t="s">
        <v>740</v>
      </c>
      <c r="I69" s="165" t="s">
        <v>156</v>
      </c>
      <c r="J69" s="165" t="s">
        <v>14</v>
      </c>
      <c r="K69" s="116">
        <v>202102001</v>
      </c>
      <c r="L69" s="165" t="s">
        <v>279</v>
      </c>
      <c r="M69" s="165" t="s">
        <v>576</v>
      </c>
      <c r="N69" s="165" t="s">
        <v>348</v>
      </c>
      <c r="O69" s="165" t="s">
        <v>170</v>
      </c>
      <c r="P69" s="165" t="s">
        <v>224</v>
      </c>
      <c r="Q69" s="165" t="s">
        <v>741</v>
      </c>
      <c r="R69" s="165" t="s">
        <v>742</v>
      </c>
      <c r="S69" s="119" t="str">
        <f>_xlfn.DISPIMG("ID_05F523224C924653A8F56CD5737A4E8C",1)</f>
        <v>=DISPIMG("ID_05F523224C924653A8F56CD5737A4E8C",1)</v>
      </c>
      <c r="T69" s="120" t="s">
        <v>743</v>
      </c>
      <c r="U69" s="27">
        <v>70</v>
      </c>
    </row>
    <row r="70" s="3" customFormat="1" customHeight="1" spans="1:21">
      <c r="A70" s="144">
        <v>44357.6346527778</v>
      </c>
      <c r="B70" s="27" t="s">
        <v>744</v>
      </c>
      <c r="C70" s="27" t="s">
        <v>745</v>
      </c>
      <c r="D70" s="162" t="s">
        <v>746</v>
      </c>
      <c r="E70" s="162" t="s">
        <v>165</v>
      </c>
      <c r="F70" s="162" t="s">
        <v>747</v>
      </c>
      <c r="G70" s="27">
        <v>15641592275</v>
      </c>
      <c r="H70" s="162" t="s">
        <v>748</v>
      </c>
      <c r="I70" s="162" t="s">
        <v>156</v>
      </c>
      <c r="J70" s="162" t="s">
        <v>6</v>
      </c>
      <c r="K70" s="27">
        <v>202102012</v>
      </c>
      <c r="L70" s="162" t="s">
        <v>157</v>
      </c>
      <c r="M70" s="162" t="s">
        <v>749</v>
      </c>
      <c r="N70" s="162" t="s">
        <v>750</v>
      </c>
      <c r="O70" s="162" t="s">
        <v>160</v>
      </c>
      <c r="P70" s="162" t="s">
        <v>252</v>
      </c>
      <c r="Q70" s="162" t="s">
        <v>6</v>
      </c>
      <c r="R70" s="27">
        <v>0</v>
      </c>
      <c r="S70" s="118" t="str">
        <f>_xlfn.DISPIMG("ID_7B1FBC3D2E8F42D28CA9AC35B8C2D010",1)</f>
        <v>=DISPIMG("ID_7B1FBC3D2E8F42D28CA9AC35B8C2D010",1)</v>
      </c>
      <c r="T70" s="115" t="s">
        <v>751</v>
      </c>
      <c r="U70" s="27">
        <v>71</v>
      </c>
    </row>
    <row r="71" s="3" customFormat="1" customHeight="1" spans="1:21">
      <c r="A71" s="144">
        <v>44357.6363310185</v>
      </c>
      <c r="B71" s="27" t="s">
        <v>752</v>
      </c>
      <c r="C71" s="27" t="s">
        <v>753</v>
      </c>
      <c r="D71" s="162" t="s">
        <v>754</v>
      </c>
      <c r="E71" s="162" t="s">
        <v>165</v>
      </c>
      <c r="F71" s="162" t="s">
        <v>755</v>
      </c>
      <c r="G71" s="27">
        <v>18679201139</v>
      </c>
      <c r="H71" s="162" t="s">
        <v>756</v>
      </c>
      <c r="I71" s="162" t="s">
        <v>278</v>
      </c>
      <c r="J71" s="162" t="s">
        <v>28</v>
      </c>
      <c r="K71" s="27">
        <v>202103001</v>
      </c>
      <c r="L71" s="162" t="s">
        <v>585</v>
      </c>
      <c r="M71" s="162" t="s">
        <v>576</v>
      </c>
      <c r="N71" s="162" t="s">
        <v>757</v>
      </c>
      <c r="O71" s="162" t="s">
        <v>170</v>
      </c>
      <c r="P71" s="162" t="s">
        <v>224</v>
      </c>
      <c r="Q71" s="162" t="s">
        <v>376</v>
      </c>
      <c r="R71" s="162" t="s">
        <v>758</v>
      </c>
      <c r="S71" s="118" t="str">
        <f>_xlfn.DISPIMG("ID_7BB67F893C7640E3B6FEA6424D027990",1)</f>
        <v>=DISPIMG("ID_7BB67F893C7640E3B6FEA6424D027990",1)</v>
      </c>
      <c r="T71" s="115" t="s">
        <v>759</v>
      </c>
      <c r="U71" s="27">
        <v>72</v>
      </c>
    </row>
    <row r="72" s="3" customFormat="1" customHeight="1" spans="1:21">
      <c r="A72" s="144">
        <v>44357.6364699074</v>
      </c>
      <c r="B72" s="27" t="s">
        <v>760</v>
      </c>
      <c r="C72" s="27" t="s">
        <v>761</v>
      </c>
      <c r="D72" s="162" t="s">
        <v>762</v>
      </c>
      <c r="E72" s="162" t="s">
        <v>165</v>
      </c>
      <c r="F72" s="162" t="s">
        <v>763</v>
      </c>
      <c r="G72" s="27">
        <v>13697921659</v>
      </c>
      <c r="H72" s="162" t="s">
        <v>764</v>
      </c>
      <c r="I72" s="162" t="s">
        <v>278</v>
      </c>
      <c r="J72" s="162" t="s">
        <v>28</v>
      </c>
      <c r="K72" s="27">
        <v>202103001</v>
      </c>
      <c r="L72" s="162" t="s">
        <v>279</v>
      </c>
      <c r="M72" s="162" t="s">
        <v>765</v>
      </c>
      <c r="N72" s="162" t="s">
        <v>280</v>
      </c>
      <c r="O72" s="162" t="s">
        <v>170</v>
      </c>
      <c r="P72" s="162" t="s">
        <v>235</v>
      </c>
      <c r="Q72" s="162" t="s">
        <v>340</v>
      </c>
      <c r="R72" s="162" t="s">
        <v>766</v>
      </c>
      <c r="S72" s="118" t="str">
        <f>_xlfn.DISPIMG("ID_4E1CCA66E504445CA5B7AB8D0FB70FB1",1)</f>
        <v>=DISPIMG("ID_4E1CCA66E504445CA5B7AB8D0FB70FB1",1)</v>
      </c>
      <c r="T72" s="115" t="s">
        <v>767</v>
      </c>
      <c r="U72" s="27">
        <v>73</v>
      </c>
    </row>
    <row r="73" s="3" customFormat="1" customHeight="1" spans="1:21">
      <c r="A73" s="144">
        <v>44357.6374884259</v>
      </c>
      <c r="B73" s="27" t="s">
        <v>768</v>
      </c>
      <c r="C73" s="27" t="s">
        <v>769</v>
      </c>
      <c r="D73" s="162" t="s">
        <v>770</v>
      </c>
      <c r="E73" s="162" t="s">
        <v>165</v>
      </c>
      <c r="F73" s="162" t="s">
        <v>771</v>
      </c>
      <c r="G73" s="27">
        <v>13360075847</v>
      </c>
      <c r="H73" s="162" t="s">
        <v>772</v>
      </c>
      <c r="I73" s="162" t="s">
        <v>156</v>
      </c>
      <c r="J73" s="162" t="s">
        <v>6</v>
      </c>
      <c r="K73" s="27">
        <v>202102012</v>
      </c>
      <c r="L73" s="162" t="s">
        <v>157</v>
      </c>
      <c r="M73" s="162" t="s">
        <v>773</v>
      </c>
      <c r="N73" s="162" t="s">
        <v>188</v>
      </c>
      <c r="O73" s="162" t="s">
        <v>160</v>
      </c>
      <c r="P73" s="162" t="s">
        <v>516</v>
      </c>
      <c r="Q73" s="162" t="s">
        <v>774</v>
      </c>
      <c r="R73" s="162" t="s">
        <v>775</v>
      </c>
      <c r="S73" s="118" t="str">
        <f>_xlfn.DISPIMG("ID_F0D9772787374E2C95921274F505EDAD",1)</f>
        <v>=DISPIMG("ID_F0D9772787374E2C95921274F505EDAD",1)</v>
      </c>
      <c r="T73" s="115" t="s">
        <v>776</v>
      </c>
      <c r="U73" s="27">
        <v>74</v>
      </c>
    </row>
    <row r="74" s="3" customFormat="1" customHeight="1" spans="1:21">
      <c r="A74" s="144">
        <v>44357.6619097222</v>
      </c>
      <c r="B74" s="27" t="s">
        <v>777</v>
      </c>
      <c r="C74" s="27" t="s">
        <v>778</v>
      </c>
      <c r="D74" s="162" t="s">
        <v>779</v>
      </c>
      <c r="E74" s="162" t="s">
        <v>165</v>
      </c>
      <c r="F74" s="162" t="s">
        <v>780</v>
      </c>
      <c r="G74" s="27">
        <v>18379173946</v>
      </c>
      <c r="H74" s="162" t="s">
        <v>781</v>
      </c>
      <c r="I74" s="162" t="s">
        <v>506</v>
      </c>
      <c r="J74" s="162" t="s">
        <v>8</v>
      </c>
      <c r="K74" s="27">
        <v>202102015</v>
      </c>
      <c r="L74" s="162" t="s">
        <v>279</v>
      </c>
      <c r="M74" s="162" t="s">
        <v>662</v>
      </c>
      <c r="N74" s="162" t="s">
        <v>497</v>
      </c>
      <c r="O74" s="162" t="s">
        <v>170</v>
      </c>
      <c r="P74" s="162" t="s">
        <v>171</v>
      </c>
      <c r="Q74" s="162" t="s">
        <v>568</v>
      </c>
      <c r="R74" s="162" t="s">
        <v>782</v>
      </c>
      <c r="S74" s="118" t="str">
        <f>_xlfn.DISPIMG("ID_F2E1FDE086E6423DAF30A93C1D5DA4A4",1)</f>
        <v>=DISPIMG("ID_F2E1FDE086E6423DAF30A93C1D5DA4A4",1)</v>
      </c>
      <c r="T74" s="115" t="s">
        <v>783</v>
      </c>
      <c r="U74" s="27">
        <v>75</v>
      </c>
    </row>
    <row r="75" s="3" customFormat="1" customHeight="1" spans="1:21">
      <c r="A75" s="144">
        <v>44357.6637268519</v>
      </c>
      <c r="B75" s="27" t="s">
        <v>784</v>
      </c>
      <c r="C75" s="27" t="s">
        <v>785</v>
      </c>
      <c r="D75" s="162" t="s">
        <v>786</v>
      </c>
      <c r="E75" s="162" t="s">
        <v>165</v>
      </c>
      <c r="F75" s="162" t="s">
        <v>787</v>
      </c>
      <c r="G75" s="27">
        <v>15870883510</v>
      </c>
      <c r="H75" s="162" t="s">
        <v>788</v>
      </c>
      <c r="I75" s="162" t="s">
        <v>384</v>
      </c>
      <c r="J75" s="162" t="s">
        <v>25</v>
      </c>
      <c r="K75" s="27">
        <v>202101007</v>
      </c>
      <c r="L75" s="162" t="s">
        <v>705</v>
      </c>
      <c r="M75" s="162" t="s">
        <v>789</v>
      </c>
      <c r="N75" s="162" t="s">
        <v>790</v>
      </c>
      <c r="O75" s="162" t="s">
        <v>160</v>
      </c>
      <c r="P75" s="162" t="s">
        <v>455</v>
      </c>
      <c r="Q75" s="162" t="s">
        <v>307</v>
      </c>
      <c r="R75" s="162" t="s">
        <v>791</v>
      </c>
      <c r="S75" s="118" t="str">
        <f>_xlfn.DISPIMG("ID_81CFC0148DBF4084ADB804B82E5E7200",1)</f>
        <v>=DISPIMG("ID_81CFC0148DBF4084ADB804B82E5E7200",1)</v>
      </c>
      <c r="T75" s="115" t="s">
        <v>792</v>
      </c>
      <c r="U75" s="27">
        <v>76</v>
      </c>
    </row>
    <row r="76" s="3" customFormat="1" customHeight="1" spans="1:21">
      <c r="A76" s="144">
        <v>44357.6859953704</v>
      </c>
      <c r="B76" s="27" t="s">
        <v>793</v>
      </c>
      <c r="C76" s="27" t="s">
        <v>794</v>
      </c>
      <c r="D76" s="162" t="s">
        <v>794</v>
      </c>
      <c r="E76" s="162" t="s">
        <v>165</v>
      </c>
      <c r="F76" s="162" t="s">
        <v>795</v>
      </c>
      <c r="G76" s="27">
        <v>18707021672</v>
      </c>
      <c r="H76" s="162" t="s">
        <v>796</v>
      </c>
      <c r="I76" s="162" t="s">
        <v>278</v>
      </c>
      <c r="J76" s="162" t="s">
        <v>28</v>
      </c>
      <c r="K76" s="27">
        <v>202103001</v>
      </c>
      <c r="L76" s="162" t="s">
        <v>279</v>
      </c>
      <c r="M76" s="162" t="s">
        <v>367</v>
      </c>
      <c r="N76" s="162" t="s">
        <v>280</v>
      </c>
      <c r="O76" s="162" t="s">
        <v>170</v>
      </c>
      <c r="P76" s="162" t="s">
        <v>306</v>
      </c>
      <c r="Q76" s="162" t="s">
        <v>376</v>
      </c>
      <c r="R76" s="162" t="s">
        <v>797</v>
      </c>
      <c r="S76" s="118" t="str">
        <f>_xlfn.DISPIMG("ID_639B898E1B304FC0A6FA0E13C551BEC4",1)</f>
        <v>=DISPIMG("ID_639B898E1B304FC0A6FA0E13C551BEC4",1)</v>
      </c>
      <c r="T76" s="115" t="s">
        <v>798</v>
      </c>
      <c r="U76" s="27">
        <v>77</v>
      </c>
    </row>
    <row r="77" s="3" customFormat="1" customHeight="1" spans="1:21">
      <c r="A77" s="144">
        <v>44357.6919328704</v>
      </c>
      <c r="B77" s="27" t="s">
        <v>799</v>
      </c>
      <c r="C77" s="27" t="s">
        <v>800</v>
      </c>
      <c r="D77" s="162" t="s">
        <v>801</v>
      </c>
      <c r="E77" s="162" t="s">
        <v>165</v>
      </c>
      <c r="F77" s="162" t="s">
        <v>802</v>
      </c>
      <c r="G77" s="27">
        <v>13698021995</v>
      </c>
      <c r="H77" s="162" t="s">
        <v>803</v>
      </c>
      <c r="I77" s="162" t="s">
        <v>278</v>
      </c>
      <c r="J77" s="162" t="s">
        <v>28</v>
      </c>
      <c r="K77" s="27">
        <v>202103001</v>
      </c>
      <c r="L77" s="162" t="s">
        <v>585</v>
      </c>
      <c r="M77" s="162" t="s">
        <v>804</v>
      </c>
      <c r="N77" s="162" t="s">
        <v>280</v>
      </c>
      <c r="O77" s="162" t="s">
        <v>170</v>
      </c>
      <c r="P77" s="162" t="s">
        <v>805</v>
      </c>
      <c r="Q77" s="162" t="s">
        <v>376</v>
      </c>
      <c r="R77" s="162" t="s">
        <v>806</v>
      </c>
      <c r="S77" s="118" t="str">
        <f>_xlfn.DISPIMG("ID_AEB241E66C41495DBC633E36C32A72C8",1)</f>
        <v>=DISPIMG("ID_AEB241E66C41495DBC633E36C32A72C8",1)</v>
      </c>
      <c r="T77" s="115" t="s">
        <v>807</v>
      </c>
      <c r="U77" s="27">
        <v>78</v>
      </c>
    </row>
    <row r="78" s="3" customFormat="1" customHeight="1" spans="1:21">
      <c r="A78" s="144">
        <v>44357.6961921296</v>
      </c>
      <c r="B78" s="27" t="s">
        <v>808</v>
      </c>
      <c r="C78" s="27" t="s">
        <v>809</v>
      </c>
      <c r="D78" s="162" t="s">
        <v>810</v>
      </c>
      <c r="E78" s="162" t="s">
        <v>165</v>
      </c>
      <c r="F78" s="162" t="s">
        <v>811</v>
      </c>
      <c r="G78" s="27">
        <v>13767213363</v>
      </c>
      <c r="H78" s="162" t="s">
        <v>812</v>
      </c>
      <c r="I78" s="162" t="s">
        <v>156</v>
      </c>
      <c r="J78" s="162" t="s">
        <v>8</v>
      </c>
      <c r="K78" s="27">
        <v>202102002</v>
      </c>
      <c r="L78" s="162" t="s">
        <v>157</v>
      </c>
      <c r="M78" s="162" t="s">
        <v>158</v>
      </c>
      <c r="N78" s="162" t="s">
        <v>813</v>
      </c>
      <c r="O78" s="162" t="s">
        <v>160</v>
      </c>
      <c r="P78" s="162" t="s">
        <v>161</v>
      </c>
      <c r="Q78" s="162" t="s">
        <v>8</v>
      </c>
      <c r="R78" s="27">
        <v>0</v>
      </c>
      <c r="S78" s="118" t="str">
        <f>_xlfn.DISPIMG("ID_5528F9D8BCB3449AB737B926D9AAB949",1)</f>
        <v>=DISPIMG("ID_5528F9D8BCB3449AB737B926D9AAB949",1)</v>
      </c>
      <c r="T78" s="115" t="s">
        <v>814</v>
      </c>
      <c r="U78" s="27">
        <v>79</v>
      </c>
    </row>
    <row r="79" s="3" customFormat="1" customHeight="1" spans="1:21">
      <c r="A79" s="144">
        <v>44357.6997569444</v>
      </c>
      <c r="B79" s="27" t="s">
        <v>815</v>
      </c>
      <c r="C79" s="27" t="s">
        <v>816</v>
      </c>
      <c r="D79" s="162" t="s">
        <v>817</v>
      </c>
      <c r="E79" s="162" t="s">
        <v>165</v>
      </c>
      <c r="F79" s="162" t="s">
        <v>818</v>
      </c>
      <c r="G79" s="27">
        <v>15270286273</v>
      </c>
      <c r="H79" s="162" t="s">
        <v>819</v>
      </c>
      <c r="I79" s="162" t="s">
        <v>297</v>
      </c>
      <c r="J79" s="162" t="s">
        <v>26</v>
      </c>
      <c r="K79" s="27">
        <v>202101003</v>
      </c>
      <c r="L79" s="162" t="s">
        <v>157</v>
      </c>
      <c r="M79" s="162" t="s">
        <v>820</v>
      </c>
      <c r="N79" s="162" t="s">
        <v>454</v>
      </c>
      <c r="O79" s="162" t="s">
        <v>160</v>
      </c>
      <c r="P79" s="162" t="s">
        <v>252</v>
      </c>
      <c r="Q79" s="162" t="s">
        <v>26</v>
      </c>
      <c r="R79" s="27">
        <v>0</v>
      </c>
      <c r="S79" s="118" t="str">
        <f>_xlfn.DISPIMG("ID_D94148DE170D425EB66AE2DFFF655A13",1)</f>
        <v>=DISPIMG("ID_D94148DE170D425EB66AE2DFFF655A13",1)</v>
      </c>
      <c r="T79" s="115" t="s">
        <v>821</v>
      </c>
      <c r="U79" s="27">
        <v>80</v>
      </c>
    </row>
    <row r="80" s="3" customFormat="1" customHeight="1" spans="1:21">
      <c r="A80" s="144">
        <v>44357.702337963</v>
      </c>
      <c r="B80" s="27" t="s">
        <v>822</v>
      </c>
      <c r="C80" s="27" t="s">
        <v>823</v>
      </c>
      <c r="D80" s="162" t="s">
        <v>824</v>
      </c>
      <c r="E80" s="162" t="s">
        <v>165</v>
      </c>
      <c r="F80" s="162" t="s">
        <v>825</v>
      </c>
      <c r="G80" s="27">
        <v>18870036528</v>
      </c>
      <c r="H80" s="162" t="s">
        <v>826</v>
      </c>
      <c r="I80" s="162" t="s">
        <v>297</v>
      </c>
      <c r="J80" s="162" t="s">
        <v>25</v>
      </c>
      <c r="K80" s="27">
        <v>202101008</v>
      </c>
      <c r="L80" s="162" t="s">
        <v>157</v>
      </c>
      <c r="M80" s="162" t="s">
        <v>827</v>
      </c>
      <c r="N80" s="162" t="s">
        <v>828</v>
      </c>
      <c r="O80" s="162" t="s">
        <v>170</v>
      </c>
      <c r="P80" s="162" t="s">
        <v>396</v>
      </c>
      <c r="Q80" s="162" t="s">
        <v>25</v>
      </c>
      <c r="R80" s="162" t="s">
        <v>829</v>
      </c>
      <c r="S80" s="118" t="str">
        <f>_xlfn.DISPIMG("ID_8A1A22938F334E1D900FC8311DB2BE9A",1)</f>
        <v>=DISPIMG("ID_8A1A22938F334E1D900FC8311DB2BE9A",1)</v>
      </c>
      <c r="T80" s="115" t="s">
        <v>830</v>
      </c>
      <c r="U80" s="27">
        <v>81</v>
      </c>
    </row>
    <row r="81" s="3" customFormat="1" customHeight="1" spans="1:21">
      <c r="A81" s="144">
        <v>44357.7046759259</v>
      </c>
      <c r="B81" s="27" t="s">
        <v>831</v>
      </c>
      <c r="C81" s="27" t="s">
        <v>832</v>
      </c>
      <c r="D81" s="162" t="s">
        <v>833</v>
      </c>
      <c r="E81" s="162" t="s">
        <v>165</v>
      </c>
      <c r="F81" s="162" t="s">
        <v>834</v>
      </c>
      <c r="G81" s="27">
        <v>13517923087</v>
      </c>
      <c r="H81" s="162" t="s">
        <v>835</v>
      </c>
      <c r="I81" s="162" t="s">
        <v>156</v>
      </c>
      <c r="J81" s="162" t="s">
        <v>13</v>
      </c>
      <c r="K81" s="27">
        <v>202102003</v>
      </c>
      <c r="L81" s="162" t="s">
        <v>279</v>
      </c>
      <c r="M81" s="162" t="s">
        <v>339</v>
      </c>
      <c r="N81" s="162" t="s">
        <v>223</v>
      </c>
      <c r="O81" s="162" t="s">
        <v>170</v>
      </c>
      <c r="P81" s="162" t="s">
        <v>224</v>
      </c>
      <c r="Q81" s="162" t="s">
        <v>13</v>
      </c>
      <c r="R81" s="162" t="s">
        <v>836</v>
      </c>
      <c r="S81" s="118" t="str">
        <f>_xlfn.DISPIMG("ID_89C7FFEC948F45D4B7C91F290C37CCB6",1)</f>
        <v>=DISPIMG("ID_89C7FFEC948F45D4B7C91F290C37CCB6",1)</v>
      </c>
      <c r="T81" s="115" t="s">
        <v>837</v>
      </c>
      <c r="U81" s="27">
        <v>82</v>
      </c>
    </row>
    <row r="82" s="3" customFormat="1" customHeight="1" spans="1:21">
      <c r="A82" s="144">
        <v>44357.7088657407</v>
      </c>
      <c r="B82" s="27" t="s">
        <v>838</v>
      </c>
      <c r="C82" s="27" t="s">
        <v>839</v>
      </c>
      <c r="D82" s="162" t="s">
        <v>840</v>
      </c>
      <c r="E82" s="162" t="s">
        <v>165</v>
      </c>
      <c r="F82" s="162" t="s">
        <v>841</v>
      </c>
      <c r="G82" s="27">
        <v>15059878679</v>
      </c>
      <c r="H82" s="162" t="s">
        <v>842</v>
      </c>
      <c r="I82" s="162" t="s">
        <v>278</v>
      </c>
      <c r="J82" s="162" t="s">
        <v>28</v>
      </c>
      <c r="K82" s="27">
        <v>202103001</v>
      </c>
      <c r="L82" s="162" t="s">
        <v>279</v>
      </c>
      <c r="M82" s="162" t="s">
        <v>339</v>
      </c>
      <c r="N82" s="162" t="s">
        <v>280</v>
      </c>
      <c r="O82" s="162" t="s">
        <v>170</v>
      </c>
      <c r="P82" s="162" t="s">
        <v>843</v>
      </c>
      <c r="Q82" s="162" t="s">
        <v>376</v>
      </c>
      <c r="R82" s="162" t="s">
        <v>844</v>
      </c>
      <c r="S82" s="118" t="str">
        <f>_xlfn.DISPIMG("ID_424B9BE152D1418A818313627A199A3A",1)</f>
        <v>=DISPIMG("ID_424B9BE152D1418A818313627A199A3A",1)</v>
      </c>
      <c r="T82" s="115" t="s">
        <v>845</v>
      </c>
      <c r="U82" s="27">
        <v>83</v>
      </c>
    </row>
    <row r="83" s="3" customFormat="1" customHeight="1" spans="1:21">
      <c r="A83" s="144">
        <v>44357.7108217593</v>
      </c>
      <c r="B83" s="27" t="s">
        <v>846</v>
      </c>
      <c r="C83" s="27" t="s">
        <v>847</v>
      </c>
      <c r="D83" s="162" t="s">
        <v>848</v>
      </c>
      <c r="E83" s="162" t="s">
        <v>165</v>
      </c>
      <c r="F83" s="162" t="s">
        <v>849</v>
      </c>
      <c r="G83" s="27">
        <v>18379626219</v>
      </c>
      <c r="H83" s="162" t="s">
        <v>850</v>
      </c>
      <c r="I83" s="162" t="s">
        <v>278</v>
      </c>
      <c r="J83" s="162" t="s">
        <v>28</v>
      </c>
      <c r="K83" s="27">
        <v>202103001</v>
      </c>
      <c r="L83" s="162" t="s">
        <v>279</v>
      </c>
      <c r="M83" s="162" t="s">
        <v>851</v>
      </c>
      <c r="N83" s="162" t="s">
        <v>280</v>
      </c>
      <c r="O83" s="162" t="s">
        <v>170</v>
      </c>
      <c r="P83" s="162" t="s">
        <v>235</v>
      </c>
      <c r="Q83" s="162" t="s">
        <v>340</v>
      </c>
      <c r="R83" s="162" t="s">
        <v>852</v>
      </c>
      <c r="S83" s="118" t="str">
        <f>_xlfn.DISPIMG("ID_42372BFB4B414C38BA1598FF5C930944",1)</f>
        <v>=DISPIMG("ID_42372BFB4B414C38BA1598FF5C930944",1)</v>
      </c>
      <c r="T83" s="115" t="s">
        <v>853</v>
      </c>
      <c r="U83" s="27">
        <v>84</v>
      </c>
    </row>
    <row r="84" s="3" customFormat="1" customHeight="1" spans="1:21">
      <c r="A84" s="144">
        <v>44357.7247222222</v>
      </c>
      <c r="B84" s="27" t="s">
        <v>854</v>
      </c>
      <c r="C84" s="27" t="s">
        <v>855</v>
      </c>
      <c r="D84" s="162" t="s">
        <v>856</v>
      </c>
      <c r="E84" s="162" t="s">
        <v>165</v>
      </c>
      <c r="F84" s="162" t="s">
        <v>857</v>
      </c>
      <c r="G84" s="27">
        <v>18296159294</v>
      </c>
      <c r="H84" s="162" t="s">
        <v>858</v>
      </c>
      <c r="I84" s="162" t="s">
        <v>156</v>
      </c>
      <c r="J84" s="162" t="s">
        <v>15</v>
      </c>
      <c r="K84" s="27">
        <v>202102007</v>
      </c>
      <c r="L84" s="162" t="s">
        <v>279</v>
      </c>
      <c r="M84" s="162" t="s">
        <v>178</v>
      </c>
      <c r="N84" s="162" t="s">
        <v>215</v>
      </c>
      <c r="O84" s="162" t="s">
        <v>170</v>
      </c>
      <c r="P84" s="162" t="s">
        <v>216</v>
      </c>
      <c r="Q84" s="162" t="s">
        <v>859</v>
      </c>
      <c r="R84" s="162" t="s">
        <v>860</v>
      </c>
      <c r="S84" s="118" t="str">
        <f>_xlfn.DISPIMG("ID_D74EFBEA1A81482A857D7A1473663067",1)</f>
        <v>=DISPIMG("ID_D74EFBEA1A81482A857D7A1473663067",1)</v>
      </c>
      <c r="T84" s="115" t="s">
        <v>861</v>
      </c>
      <c r="U84" s="27">
        <v>85</v>
      </c>
    </row>
    <row r="85" s="3" customFormat="1" customHeight="1" spans="1:21">
      <c r="A85" s="144">
        <v>44357.736087963</v>
      </c>
      <c r="B85" s="27" t="s">
        <v>862</v>
      </c>
      <c r="C85" s="27" t="s">
        <v>863</v>
      </c>
      <c r="D85" s="162" t="s">
        <v>864</v>
      </c>
      <c r="E85" s="162" t="s">
        <v>165</v>
      </c>
      <c r="F85" s="162" t="s">
        <v>865</v>
      </c>
      <c r="G85" s="27">
        <v>18958190827</v>
      </c>
      <c r="H85" s="162" t="s">
        <v>866</v>
      </c>
      <c r="I85" s="162" t="s">
        <v>156</v>
      </c>
      <c r="J85" s="162" t="s">
        <v>8</v>
      </c>
      <c r="K85" s="27">
        <v>202102002</v>
      </c>
      <c r="L85" s="162" t="s">
        <v>157</v>
      </c>
      <c r="M85" s="162" t="s">
        <v>867</v>
      </c>
      <c r="N85" s="162" t="s">
        <v>868</v>
      </c>
      <c r="O85" s="162" t="s">
        <v>160</v>
      </c>
      <c r="P85" s="162" t="s">
        <v>548</v>
      </c>
      <c r="Q85" s="162" t="s">
        <v>8</v>
      </c>
      <c r="R85" s="162" t="s">
        <v>869</v>
      </c>
      <c r="S85" s="118" t="str">
        <f>_xlfn.DISPIMG("ID_019B47D80B6342B48EC2873E3CE82AE8",1)</f>
        <v>=DISPIMG("ID_019B47D80B6342B48EC2873E3CE82AE8",1)</v>
      </c>
      <c r="T85" s="115" t="s">
        <v>870</v>
      </c>
      <c r="U85" s="27">
        <v>86</v>
      </c>
    </row>
    <row r="86" s="3" customFormat="1" customHeight="1" spans="1:21">
      <c r="A86" s="144">
        <v>44357.7403356481</v>
      </c>
      <c r="B86" s="27" t="s">
        <v>871</v>
      </c>
      <c r="C86" s="27" t="s">
        <v>872</v>
      </c>
      <c r="D86" s="162" t="s">
        <v>873</v>
      </c>
      <c r="E86" s="162" t="s">
        <v>165</v>
      </c>
      <c r="F86" s="162" t="s">
        <v>874</v>
      </c>
      <c r="G86" s="27">
        <v>15070424036</v>
      </c>
      <c r="H86" s="162" t="s">
        <v>875</v>
      </c>
      <c r="I86" s="162" t="s">
        <v>278</v>
      </c>
      <c r="J86" s="162" t="s">
        <v>28</v>
      </c>
      <c r="K86" s="27">
        <v>202103001</v>
      </c>
      <c r="L86" s="162" t="s">
        <v>279</v>
      </c>
      <c r="M86" s="162" t="s">
        <v>876</v>
      </c>
      <c r="N86" s="162" t="s">
        <v>280</v>
      </c>
      <c r="O86" s="162" t="s">
        <v>170</v>
      </c>
      <c r="P86" s="162" t="s">
        <v>180</v>
      </c>
      <c r="Q86" s="162" t="s">
        <v>517</v>
      </c>
      <c r="R86" s="162" t="s">
        <v>877</v>
      </c>
      <c r="S86" s="118" t="str">
        <f>_xlfn.DISPIMG("ID_FA24C7A6F2FA44B892B9DF563FC4E960",1)</f>
        <v>=DISPIMG("ID_FA24C7A6F2FA44B892B9DF563FC4E960",1)</v>
      </c>
      <c r="T86" s="115" t="s">
        <v>878</v>
      </c>
      <c r="U86" s="27">
        <v>87</v>
      </c>
    </row>
    <row r="87" s="5" customFormat="1" customHeight="1" spans="1:21">
      <c r="A87" s="146">
        <v>44357.7473611111</v>
      </c>
      <c r="B87" s="116" t="s">
        <v>879</v>
      </c>
      <c r="C87" s="116" t="s">
        <v>880</v>
      </c>
      <c r="D87" s="165" t="s">
        <v>881</v>
      </c>
      <c r="E87" s="165" t="s">
        <v>165</v>
      </c>
      <c r="F87" s="165" t="s">
        <v>882</v>
      </c>
      <c r="G87" s="116">
        <v>15279260286</v>
      </c>
      <c r="H87" s="165" t="s">
        <v>883</v>
      </c>
      <c r="I87" s="165" t="s">
        <v>278</v>
      </c>
      <c r="J87" s="165" t="s">
        <v>28</v>
      </c>
      <c r="K87" s="116">
        <v>202103001</v>
      </c>
      <c r="L87" s="165" t="s">
        <v>279</v>
      </c>
      <c r="M87" s="165" t="s">
        <v>884</v>
      </c>
      <c r="N87" s="165" t="s">
        <v>223</v>
      </c>
      <c r="O87" s="165" t="s">
        <v>170</v>
      </c>
      <c r="P87" s="165" t="s">
        <v>733</v>
      </c>
      <c r="Q87" s="165" t="s">
        <v>885</v>
      </c>
      <c r="R87" s="165" t="s">
        <v>886</v>
      </c>
      <c r="S87" s="119" t="str">
        <f>_xlfn.DISPIMG("ID_79374B2C837849A79ABAFBB6FF76D11C",1)</f>
        <v>=DISPIMG("ID_79374B2C837849A79ABAFBB6FF76D11C",1)</v>
      </c>
      <c r="T87" s="120" t="s">
        <v>887</v>
      </c>
      <c r="U87" s="27">
        <v>88</v>
      </c>
    </row>
    <row r="88" s="3" customFormat="1" customHeight="1" spans="1:21">
      <c r="A88" s="144">
        <v>44357.7574884259</v>
      </c>
      <c r="B88" s="27" t="s">
        <v>888</v>
      </c>
      <c r="C88" s="27" t="s">
        <v>889</v>
      </c>
      <c r="D88" s="162" t="s">
        <v>890</v>
      </c>
      <c r="E88" s="162" t="s">
        <v>165</v>
      </c>
      <c r="F88" s="162" t="s">
        <v>891</v>
      </c>
      <c r="G88" s="27">
        <v>15270271332</v>
      </c>
      <c r="H88" s="162" t="s">
        <v>892</v>
      </c>
      <c r="I88" s="162" t="s">
        <v>278</v>
      </c>
      <c r="J88" s="162" t="s">
        <v>28</v>
      </c>
      <c r="K88" s="27">
        <v>202103001</v>
      </c>
      <c r="L88" s="162" t="s">
        <v>279</v>
      </c>
      <c r="M88" s="162" t="s">
        <v>765</v>
      </c>
      <c r="N88" s="162" t="s">
        <v>893</v>
      </c>
      <c r="O88" s="162" t="s">
        <v>170</v>
      </c>
      <c r="P88" s="162" t="s">
        <v>161</v>
      </c>
      <c r="Q88" s="162" t="s">
        <v>340</v>
      </c>
      <c r="R88" s="162" t="s">
        <v>894</v>
      </c>
      <c r="S88" s="118" t="str">
        <f>_xlfn.DISPIMG("ID_85B3DA5A290A4196889B653600FB42ED",1)</f>
        <v>=DISPIMG("ID_85B3DA5A290A4196889B653600FB42ED",1)</v>
      </c>
      <c r="T88" s="115" t="s">
        <v>895</v>
      </c>
      <c r="U88" s="27">
        <v>89</v>
      </c>
    </row>
    <row r="89" s="3" customFormat="1" customHeight="1" spans="1:21">
      <c r="A89" s="144">
        <v>44357.7690972222</v>
      </c>
      <c r="B89" s="27" t="s">
        <v>896</v>
      </c>
      <c r="C89" s="27" t="s">
        <v>897</v>
      </c>
      <c r="D89" s="162" t="s">
        <v>898</v>
      </c>
      <c r="E89" s="162" t="s">
        <v>165</v>
      </c>
      <c r="F89" s="162" t="s">
        <v>899</v>
      </c>
      <c r="G89" s="27">
        <v>18970287322</v>
      </c>
      <c r="H89" s="162" t="s">
        <v>900</v>
      </c>
      <c r="I89" s="162" t="s">
        <v>268</v>
      </c>
      <c r="J89" s="162" t="s">
        <v>26</v>
      </c>
      <c r="K89" s="27">
        <v>202101001</v>
      </c>
      <c r="L89" s="162" t="s">
        <v>157</v>
      </c>
      <c r="M89" s="162" t="s">
        <v>901</v>
      </c>
      <c r="N89" s="162" t="s">
        <v>454</v>
      </c>
      <c r="O89" s="162" t="s">
        <v>170</v>
      </c>
      <c r="P89" s="162" t="s">
        <v>235</v>
      </c>
      <c r="Q89" s="162" t="s">
        <v>26</v>
      </c>
      <c r="R89" s="162" t="s">
        <v>902</v>
      </c>
      <c r="S89" s="118" t="str">
        <f>_xlfn.DISPIMG("ID_1BFE84DC97BC469ABB3506659F95FD8E",1)</f>
        <v>=DISPIMG("ID_1BFE84DC97BC469ABB3506659F95FD8E",1)</v>
      </c>
      <c r="T89" s="115" t="s">
        <v>903</v>
      </c>
      <c r="U89" s="27">
        <v>90</v>
      </c>
    </row>
    <row r="90" s="3" customFormat="1" customHeight="1" spans="1:21">
      <c r="A90" s="144">
        <v>44357.7768865741</v>
      </c>
      <c r="B90" s="27" t="s">
        <v>904</v>
      </c>
      <c r="C90" s="27" t="s">
        <v>905</v>
      </c>
      <c r="D90" s="162" t="s">
        <v>906</v>
      </c>
      <c r="E90" s="162" t="s">
        <v>165</v>
      </c>
      <c r="F90" s="162" t="s">
        <v>907</v>
      </c>
      <c r="G90" s="27">
        <v>18872969481</v>
      </c>
      <c r="H90" s="162" t="s">
        <v>908</v>
      </c>
      <c r="I90" s="162" t="s">
        <v>156</v>
      </c>
      <c r="J90" s="162" t="s">
        <v>12</v>
      </c>
      <c r="K90" s="27">
        <v>202102010</v>
      </c>
      <c r="L90" s="162" t="s">
        <v>157</v>
      </c>
      <c r="M90" s="162" t="s">
        <v>909</v>
      </c>
      <c r="N90" s="162" t="s">
        <v>445</v>
      </c>
      <c r="O90" s="162" t="s">
        <v>170</v>
      </c>
      <c r="P90" s="162" t="s">
        <v>910</v>
      </c>
      <c r="Q90" s="162" t="s">
        <v>911</v>
      </c>
      <c r="R90" s="162" t="s">
        <v>912</v>
      </c>
      <c r="S90" s="118" t="str">
        <f>_xlfn.DISPIMG("ID_5478E78BEF25454AA0569457DA503AEE",1)</f>
        <v>=DISPIMG("ID_5478E78BEF25454AA0569457DA503AEE",1)</v>
      </c>
      <c r="T90" s="115" t="s">
        <v>913</v>
      </c>
      <c r="U90" s="27">
        <v>91</v>
      </c>
    </row>
    <row r="91" s="3" customFormat="1" customHeight="1" spans="1:21">
      <c r="A91" s="144">
        <v>44357.7771064815</v>
      </c>
      <c r="B91" s="27" t="s">
        <v>914</v>
      </c>
      <c r="C91" s="27" t="s">
        <v>915</v>
      </c>
      <c r="D91" s="162" t="s">
        <v>916</v>
      </c>
      <c r="E91" s="162" t="s">
        <v>165</v>
      </c>
      <c r="F91" s="162" t="s">
        <v>917</v>
      </c>
      <c r="G91" s="27">
        <v>15070951954</v>
      </c>
      <c r="H91" s="162" t="s">
        <v>918</v>
      </c>
      <c r="I91" s="162" t="s">
        <v>156</v>
      </c>
      <c r="J91" s="162" t="s">
        <v>14</v>
      </c>
      <c r="K91" s="27">
        <v>202102001</v>
      </c>
      <c r="L91" s="162" t="s">
        <v>157</v>
      </c>
      <c r="M91" s="162" t="s">
        <v>233</v>
      </c>
      <c r="N91" s="162" t="s">
        <v>454</v>
      </c>
      <c r="O91" s="162" t="s">
        <v>160</v>
      </c>
      <c r="P91" s="162" t="s">
        <v>919</v>
      </c>
      <c r="Q91" s="162" t="s">
        <v>14</v>
      </c>
      <c r="R91" s="162" t="s">
        <v>920</v>
      </c>
      <c r="S91" s="118" t="str">
        <f>_xlfn.DISPIMG("ID_ADE94A403A29454787C6186CC5AA20B8",1)</f>
        <v>=DISPIMG("ID_ADE94A403A29454787C6186CC5AA20B8",1)</v>
      </c>
      <c r="T91" s="115" t="s">
        <v>921</v>
      </c>
      <c r="U91" s="27">
        <v>92</v>
      </c>
    </row>
    <row r="92" s="3" customFormat="1" customHeight="1" spans="1:21">
      <c r="A92" s="144">
        <v>44357.7883564815</v>
      </c>
      <c r="B92" s="27" t="s">
        <v>922</v>
      </c>
      <c r="C92" s="27" t="s">
        <v>923</v>
      </c>
      <c r="D92" s="162" t="s">
        <v>924</v>
      </c>
      <c r="E92" s="162" t="s">
        <v>165</v>
      </c>
      <c r="F92" s="162" t="s">
        <v>925</v>
      </c>
      <c r="G92" s="27">
        <v>13979203425</v>
      </c>
      <c r="H92" s="162" t="s">
        <v>926</v>
      </c>
      <c r="I92" s="162" t="s">
        <v>278</v>
      </c>
      <c r="J92" s="162" t="s">
        <v>28</v>
      </c>
      <c r="K92" s="27">
        <v>202103001</v>
      </c>
      <c r="L92" s="162" t="s">
        <v>585</v>
      </c>
      <c r="M92" s="162" t="s">
        <v>927</v>
      </c>
      <c r="N92" s="162" t="s">
        <v>928</v>
      </c>
      <c r="O92" s="162" t="s">
        <v>170</v>
      </c>
      <c r="P92" s="162" t="s">
        <v>349</v>
      </c>
      <c r="Q92" s="162" t="s">
        <v>376</v>
      </c>
      <c r="R92" s="162" t="s">
        <v>929</v>
      </c>
      <c r="S92" s="118" t="str">
        <f>_xlfn.DISPIMG("ID_8862CF8F67E94F49BA25AF43C58A74CB",1)</f>
        <v>=DISPIMG("ID_8862CF8F67E94F49BA25AF43C58A74CB",1)</v>
      </c>
      <c r="T92" s="115" t="s">
        <v>930</v>
      </c>
      <c r="U92" s="27">
        <v>93</v>
      </c>
    </row>
    <row r="93" s="3" customFormat="1" customHeight="1" spans="1:21">
      <c r="A93" s="144">
        <v>44357.789224537</v>
      </c>
      <c r="B93" s="27" t="s">
        <v>931</v>
      </c>
      <c r="C93" s="27" t="s">
        <v>932</v>
      </c>
      <c r="D93" s="162" t="s">
        <v>932</v>
      </c>
      <c r="E93" s="162" t="s">
        <v>165</v>
      </c>
      <c r="F93" s="162" t="s">
        <v>933</v>
      </c>
      <c r="G93" s="27">
        <v>15373854743</v>
      </c>
      <c r="H93" s="162" t="s">
        <v>934</v>
      </c>
      <c r="I93" s="162" t="s">
        <v>268</v>
      </c>
      <c r="J93" s="162" t="s">
        <v>26</v>
      </c>
      <c r="K93" s="27">
        <v>202101001</v>
      </c>
      <c r="L93" s="162" t="s">
        <v>157</v>
      </c>
      <c r="M93" s="162" t="s">
        <v>935</v>
      </c>
      <c r="N93" s="162" t="s">
        <v>936</v>
      </c>
      <c r="O93" s="162" t="s">
        <v>170</v>
      </c>
      <c r="P93" s="162" t="s">
        <v>252</v>
      </c>
      <c r="Q93" s="162" t="s">
        <v>26</v>
      </c>
      <c r="R93" s="162" t="s">
        <v>937</v>
      </c>
      <c r="S93" s="118" t="str">
        <f>_xlfn.DISPIMG("ID_B0F72DE4E87649C28924E4AA265BAF06",1)</f>
        <v>=DISPIMG("ID_B0F72DE4E87649C28924E4AA265BAF06",1)</v>
      </c>
      <c r="T93" s="115" t="s">
        <v>938</v>
      </c>
      <c r="U93" s="27">
        <v>94</v>
      </c>
    </row>
    <row r="94" s="3" customFormat="1" customHeight="1" spans="1:21">
      <c r="A94" s="144">
        <v>44357.803275463</v>
      </c>
      <c r="B94" s="27" t="s">
        <v>939</v>
      </c>
      <c r="C94" s="27" t="s">
        <v>940</v>
      </c>
      <c r="D94" s="162" t="s">
        <v>941</v>
      </c>
      <c r="E94" s="162" t="s">
        <v>165</v>
      </c>
      <c r="F94" s="162" t="s">
        <v>942</v>
      </c>
      <c r="G94" s="27">
        <v>18379646602</v>
      </c>
      <c r="H94" s="162" t="s">
        <v>943</v>
      </c>
      <c r="I94" s="162" t="s">
        <v>156</v>
      </c>
      <c r="J94" s="162" t="s">
        <v>8</v>
      </c>
      <c r="K94" s="27">
        <v>202102002</v>
      </c>
      <c r="L94" s="162" t="s">
        <v>157</v>
      </c>
      <c r="M94" s="162" t="s">
        <v>269</v>
      </c>
      <c r="N94" s="162" t="s">
        <v>944</v>
      </c>
      <c r="O94" s="162" t="s">
        <v>170</v>
      </c>
      <c r="P94" s="162" t="s">
        <v>261</v>
      </c>
      <c r="Q94" s="162" t="s">
        <v>945</v>
      </c>
      <c r="R94" s="27">
        <v>0</v>
      </c>
      <c r="S94" s="118" t="str">
        <f>_xlfn.DISPIMG("ID_BCCBED5385A54C5D88278A56BF2ABF99",1)</f>
        <v>=DISPIMG("ID_BCCBED5385A54C5D88278A56BF2ABF99",1)</v>
      </c>
      <c r="T94" s="115" t="s">
        <v>946</v>
      </c>
      <c r="U94" s="27">
        <v>95</v>
      </c>
    </row>
    <row r="95" s="3" customFormat="1" customHeight="1" spans="1:21">
      <c r="A95" s="144">
        <v>44357.8059143519</v>
      </c>
      <c r="B95" s="27" t="s">
        <v>947</v>
      </c>
      <c r="C95" s="27" t="s">
        <v>948</v>
      </c>
      <c r="D95" s="162" t="s">
        <v>949</v>
      </c>
      <c r="E95" s="162" t="s">
        <v>165</v>
      </c>
      <c r="F95" s="162" t="s">
        <v>950</v>
      </c>
      <c r="G95" s="27">
        <v>15720934889</v>
      </c>
      <c r="H95" s="162" t="s">
        <v>951</v>
      </c>
      <c r="I95" s="162" t="s">
        <v>384</v>
      </c>
      <c r="J95" s="162" t="s">
        <v>25</v>
      </c>
      <c r="K95" s="27">
        <v>202101007</v>
      </c>
      <c r="L95" s="162" t="s">
        <v>157</v>
      </c>
      <c r="M95" s="162" t="s">
        <v>269</v>
      </c>
      <c r="N95" s="162" t="s">
        <v>179</v>
      </c>
      <c r="O95" s="162" t="s">
        <v>170</v>
      </c>
      <c r="P95" s="162" t="s">
        <v>171</v>
      </c>
      <c r="Q95" s="162" t="s">
        <v>952</v>
      </c>
      <c r="R95" s="162" t="s">
        <v>953</v>
      </c>
      <c r="S95" s="118" t="str">
        <f>_xlfn.DISPIMG("ID_7778BC47A591458DA9EA33FB1000B681",1)</f>
        <v>=DISPIMG("ID_7778BC47A591458DA9EA33FB1000B681",1)</v>
      </c>
      <c r="T95" s="115" t="s">
        <v>954</v>
      </c>
      <c r="U95" s="27">
        <v>96</v>
      </c>
    </row>
    <row r="96" s="3" customFormat="1" customHeight="1" spans="1:21">
      <c r="A96" s="144">
        <v>44357.8081944444</v>
      </c>
      <c r="B96" s="27" t="s">
        <v>955</v>
      </c>
      <c r="C96" s="27" t="s">
        <v>956</v>
      </c>
      <c r="D96" s="162" t="s">
        <v>957</v>
      </c>
      <c r="E96" s="162" t="s">
        <v>165</v>
      </c>
      <c r="F96" s="162" t="s">
        <v>958</v>
      </c>
      <c r="G96" s="27">
        <v>15579232085</v>
      </c>
      <c r="H96" s="162" t="s">
        <v>959</v>
      </c>
      <c r="I96" s="162" t="s">
        <v>278</v>
      </c>
      <c r="J96" s="162" t="s">
        <v>28</v>
      </c>
      <c r="K96" s="27">
        <v>202103001</v>
      </c>
      <c r="L96" s="162" t="s">
        <v>279</v>
      </c>
      <c r="M96" s="162" t="s">
        <v>367</v>
      </c>
      <c r="N96" s="162" t="s">
        <v>960</v>
      </c>
      <c r="O96" s="162" t="s">
        <v>160</v>
      </c>
      <c r="P96" s="162" t="s">
        <v>261</v>
      </c>
      <c r="Q96" s="162" t="s">
        <v>961</v>
      </c>
      <c r="R96" s="27">
        <v>0</v>
      </c>
      <c r="S96" s="118" t="str">
        <f>_xlfn.DISPIMG("ID_4CCFD0700027401988C293FD5FDA33FE",1)</f>
        <v>=DISPIMG("ID_4CCFD0700027401988C293FD5FDA33FE",1)</v>
      </c>
      <c r="T96" s="115" t="s">
        <v>962</v>
      </c>
      <c r="U96" s="27">
        <v>97</v>
      </c>
    </row>
    <row r="97" s="3" customFormat="1" customHeight="1" spans="1:21">
      <c r="A97" s="144">
        <v>44357.8116898148</v>
      </c>
      <c r="B97" s="27" t="s">
        <v>963</v>
      </c>
      <c r="C97" s="27" t="s">
        <v>964</v>
      </c>
      <c r="D97" s="162" t="s">
        <v>965</v>
      </c>
      <c r="E97" s="162" t="s">
        <v>165</v>
      </c>
      <c r="F97" s="162" t="s">
        <v>966</v>
      </c>
      <c r="G97" s="27">
        <v>18379223080</v>
      </c>
      <c r="H97" s="162" t="s">
        <v>967</v>
      </c>
      <c r="I97" s="162" t="s">
        <v>156</v>
      </c>
      <c r="J97" s="162" t="s">
        <v>3</v>
      </c>
      <c r="K97" s="27">
        <v>202102009</v>
      </c>
      <c r="L97" s="162" t="s">
        <v>157</v>
      </c>
      <c r="M97" s="162" t="s">
        <v>158</v>
      </c>
      <c r="N97" s="162" t="s">
        <v>968</v>
      </c>
      <c r="O97" s="162" t="s">
        <v>160</v>
      </c>
      <c r="P97" s="162" t="s">
        <v>368</v>
      </c>
      <c r="Q97" s="162" t="s">
        <v>969</v>
      </c>
      <c r="R97" s="162" t="s">
        <v>970</v>
      </c>
      <c r="S97" s="118" t="str">
        <f>_xlfn.DISPIMG("ID_25A1371DB5D24E7E87AED819AD313075",1)</f>
        <v>=DISPIMG("ID_25A1371DB5D24E7E87AED819AD313075",1)</v>
      </c>
      <c r="T97" s="115" t="s">
        <v>971</v>
      </c>
      <c r="U97" s="27">
        <v>98</v>
      </c>
    </row>
    <row r="98" s="3" customFormat="1" customHeight="1" spans="1:21">
      <c r="A98" s="144">
        <v>44357.8124305556</v>
      </c>
      <c r="B98" s="27" t="s">
        <v>972</v>
      </c>
      <c r="C98" s="27" t="s">
        <v>973</v>
      </c>
      <c r="D98" s="162" t="s">
        <v>974</v>
      </c>
      <c r="E98" s="162" t="s">
        <v>153</v>
      </c>
      <c r="F98" s="162" t="s">
        <v>975</v>
      </c>
      <c r="G98" s="27">
        <v>14796380079</v>
      </c>
      <c r="H98" s="162" t="s">
        <v>976</v>
      </c>
      <c r="I98" s="162" t="s">
        <v>268</v>
      </c>
      <c r="J98" s="162" t="s">
        <v>16</v>
      </c>
      <c r="K98" s="27">
        <v>202101011</v>
      </c>
      <c r="L98" s="162" t="s">
        <v>157</v>
      </c>
      <c r="M98" s="162" t="s">
        <v>233</v>
      </c>
      <c r="N98" s="162" t="s">
        <v>977</v>
      </c>
      <c r="O98" s="162" t="s">
        <v>170</v>
      </c>
      <c r="P98" s="162" t="s">
        <v>235</v>
      </c>
      <c r="Q98" s="162" t="s">
        <v>978</v>
      </c>
      <c r="R98" s="162" t="s">
        <v>979</v>
      </c>
      <c r="S98" s="118" t="str">
        <f>_xlfn.DISPIMG("ID_9AC6BD34E9E244F89B50B29F8EA156DD",1)</f>
        <v>=DISPIMG("ID_9AC6BD34E9E244F89B50B29F8EA156DD",1)</v>
      </c>
      <c r="T98" s="115" t="s">
        <v>980</v>
      </c>
      <c r="U98" s="27">
        <v>99</v>
      </c>
    </row>
    <row r="99" s="4" customFormat="1" customHeight="1" spans="1:21">
      <c r="A99" s="145">
        <v>44363.4416550926</v>
      </c>
      <c r="B99" s="22" t="s">
        <v>981</v>
      </c>
      <c r="C99" s="22" t="s">
        <v>982</v>
      </c>
      <c r="D99" s="164" t="s">
        <v>983</v>
      </c>
      <c r="E99" s="164" t="s">
        <v>165</v>
      </c>
      <c r="F99" s="164" t="s">
        <v>984</v>
      </c>
      <c r="G99" s="22">
        <v>18170988745</v>
      </c>
      <c r="H99" s="164" t="s">
        <v>985</v>
      </c>
      <c r="I99" s="164" t="s">
        <v>156</v>
      </c>
      <c r="J99" s="164" t="s">
        <v>8</v>
      </c>
      <c r="K99" s="22">
        <v>202102002</v>
      </c>
      <c r="L99" s="164" t="s">
        <v>157</v>
      </c>
      <c r="M99" s="164" t="s">
        <v>986</v>
      </c>
      <c r="N99" s="164" t="s">
        <v>987</v>
      </c>
      <c r="O99" s="164" t="s">
        <v>160</v>
      </c>
      <c r="P99" s="164" t="s">
        <v>988</v>
      </c>
      <c r="Q99" s="164" t="s">
        <v>989</v>
      </c>
      <c r="R99" s="164" t="s">
        <v>990</v>
      </c>
      <c r="S99" s="23" t="str">
        <f>_xlfn.DISPIMG("ID_21AE3772EA6B45FAA68CF356346534B7",1)</f>
        <v>=DISPIMG("ID_21AE3772EA6B45FAA68CF356346534B7",1)</v>
      </c>
      <c r="T99" s="103" t="s">
        <v>991</v>
      </c>
      <c r="U99" s="27">
        <v>100</v>
      </c>
    </row>
    <row r="100" s="3" customFormat="1" customHeight="1" spans="1:21">
      <c r="A100" s="144">
        <v>44357.825625</v>
      </c>
      <c r="B100" s="27" t="s">
        <v>992</v>
      </c>
      <c r="C100" s="27" t="s">
        <v>993</v>
      </c>
      <c r="D100" s="162" t="s">
        <v>994</v>
      </c>
      <c r="E100" s="162" t="s">
        <v>165</v>
      </c>
      <c r="F100" s="162" t="s">
        <v>995</v>
      </c>
      <c r="G100" s="27">
        <v>15079132554</v>
      </c>
      <c r="H100" s="162" t="s">
        <v>996</v>
      </c>
      <c r="I100" s="162" t="s">
        <v>156</v>
      </c>
      <c r="J100" s="162" t="s">
        <v>13</v>
      </c>
      <c r="K100" s="27">
        <v>202102003</v>
      </c>
      <c r="L100" s="162" t="s">
        <v>157</v>
      </c>
      <c r="M100" s="162" t="s">
        <v>197</v>
      </c>
      <c r="N100" s="162" t="s">
        <v>179</v>
      </c>
      <c r="O100" s="162" t="s">
        <v>160</v>
      </c>
      <c r="P100" s="162" t="s">
        <v>180</v>
      </c>
      <c r="Q100" s="162" t="s">
        <v>997</v>
      </c>
      <c r="R100" s="162" t="s">
        <v>998</v>
      </c>
      <c r="S100" s="118" t="str">
        <f>_xlfn.DISPIMG("ID_10318FA0EB2E4E7ABCD18627E825B2DF",1)</f>
        <v>=DISPIMG("ID_10318FA0EB2E4E7ABCD18627E825B2DF",1)</v>
      </c>
      <c r="T100" s="115" t="s">
        <v>999</v>
      </c>
      <c r="U100" s="27">
        <v>101</v>
      </c>
    </row>
    <row r="101" s="3" customFormat="1" customHeight="1" spans="1:21">
      <c r="A101" s="144">
        <v>44357.8256828704</v>
      </c>
      <c r="B101" s="27" t="s">
        <v>1000</v>
      </c>
      <c r="C101" s="27" t="s">
        <v>1001</v>
      </c>
      <c r="D101" s="162" t="s">
        <v>1002</v>
      </c>
      <c r="E101" s="162" t="s">
        <v>165</v>
      </c>
      <c r="F101" s="162" t="s">
        <v>1003</v>
      </c>
      <c r="G101" s="27">
        <v>16607008286</v>
      </c>
      <c r="H101" s="162" t="s">
        <v>1004</v>
      </c>
      <c r="I101" s="162" t="s">
        <v>156</v>
      </c>
      <c r="J101" s="162" t="s">
        <v>8</v>
      </c>
      <c r="K101" s="27">
        <v>202102002</v>
      </c>
      <c r="L101" s="162" t="s">
        <v>157</v>
      </c>
      <c r="M101" s="162" t="s">
        <v>233</v>
      </c>
      <c r="N101" s="162" t="s">
        <v>1005</v>
      </c>
      <c r="O101" s="162" t="s">
        <v>170</v>
      </c>
      <c r="P101" s="162" t="s">
        <v>180</v>
      </c>
      <c r="Q101" s="162" t="s">
        <v>8</v>
      </c>
      <c r="R101" s="162" t="s">
        <v>1006</v>
      </c>
      <c r="S101" s="118" t="str">
        <f>_xlfn.DISPIMG("ID_AB18BB501DAF4CA0AB480E453554BF60",1)</f>
        <v>=DISPIMG("ID_AB18BB501DAF4CA0AB480E453554BF60",1)</v>
      </c>
      <c r="T101" s="115" t="s">
        <v>1007</v>
      </c>
      <c r="U101" s="27">
        <v>102</v>
      </c>
    </row>
    <row r="102" s="3" customFormat="1" customHeight="1" spans="1:21">
      <c r="A102" s="144">
        <v>44357.8274074074</v>
      </c>
      <c r="B102" s="27" t="s">
        <v>1008</v>
      </c>
      <c r="C102" s="27" t="s">
        <v>1009</v>
      </c>
      <c r="D102" s="162" t="s">
        <v>1010</v>
      </c>
      <c r="E102" s="162" t="s">
        <v>165</v>
      </c>
      <c r="F102" s="162" t="s">
        <v>1011</v>
      </c>
      <c r="G102" s="27">
        <v>13065115241</v>
      </c>
      <c r="H102" s="162" t="s">
        <v>1012</v>
      </c>
      <c r="I102" s="162" t="s">
        <v>278</v>
      </c>
      <c r="J102" s="162" t="s">
        <v>28</v>
      </c>
      <c r="K102" s="27">
        <v>202103001</v>
      </c>
      <c r="L102" s="162" t="s">
        <v>279</v>
      </c>
      <c r="M102" s="162" t="s">
        <v>662</v>
      </c>
      <c r="N102" s="162" t="s">
        <v>280</v>
      </c>
      <c r="O102" s="162" t="s">
        <v>170</v>
      </c>
      <c r="P102" s="162" t="s">
        <v>161</v>
      </c>
      <c r="Q102" s="162" t="s">
        <v>1013</v>
      </c>
      <c r="R102" s="162" t="s">
        <v>1014</v>
      </c>
      <c r="S102" s="118" t="str">
        <f>_xlfn.DISPIMG("ID_723B44C496604BFA92AC4D10BD64E9FC",1)</f>
        <v>=DISPIMG("ID_723B44C496604BFA92AC4D10BD64E9FC",1)</v>
      </c>
      <c r="T102" s="115" t="s">
        <v>1015</v>
      </c>
      <c r="U102" s="27">
        <v>103</v>
      </c>
    </row>
    <row r="103" s="3" customFormat="1" customHeight="1" spans="1:21">
      <c r="A103" s="144">
        <v>44357.834537037</v>
      </c>
      <c r="B103" s="27" t="s">
        <v>1016</v>
      </c>
      <c r="C103" s="27" t="s">
        <v>1017</v>
      </c>
      <c r="D103" s="162" t="s">
        <v>1018</v>
      </c>
      <c r="E103" s="162" t="s">
        <v>165</v>
      </c>
      <c r="F103" s="162" t="s">
        <v>1019</v>
      </c>
      <c r="G103" s="27">
        <v>18270832760</v>
      </c>
      <c r="H103" s="162" t="s">
        <v>1020</v>
      </c>
      <c r="I103" s="162" t="s">
        <v>156</v>
      </c>
      <c r="J103" s="162" t="s">
        <v>13</v>
      </c>
      <c r="K103" s="27">
        <v>202102003</v>
      </c>
      <c r="L103" s="162" t="s">
        <v>157</v>
      </c>
      <c r="M103" s="162" t="s">
        <v>827</v>
      </c>
      <c r="N103" s="162" t="s">
        <v>1021</v>
      </c>
      <c r="O103" s="162" t="s">
        <v>160</v>
      </c>
      <c r="P103" s="162" t="s">
        <v>281</v>
      </c>
      <c r="Q103" s="162" t="s">
        <v>1022</v>
      </c>
      <c r="R103" s="162" t="s">
        <v>1023</v>
      </c>
      <c r="S103" s="118" t="str">
        <f>_xlfn.DISPIMG("ID_8ABFE7CB3D4544BB889DAF8FFFAF27BC",1)</f>
        <v>=DISPIMG("ID_8ABFE7CB3D4544BB889DAF8FFFAF27BC",1)</v>
      </c>
      <c r="T103" s="115" t="s">
        <v>1024</v>
      </c>
      <c r="U103" s="27">
        <v>104</v>
      </c>
    </row>
    <row r="104" s="3" customFormat="1" customHeight="1" spans="1:21">
      <c r="A104" s="144">
        <v>44357.8357175926</v>
      </c>
      <c r="B104" s="27" t="s">
        <v>1025</v>
      </c>
      <c r="C104" s="27" t="s">
        <v>1026</v>
      </c>
      <c r="D104" s="162" t="s">
        <v>1027</v>
      </c>
      <c r="E104" s="162" t="s">
        <v>165</v>
      </c>
      <c r="F104" s="162" t="s">
        <v>1028</v>
      </c>
      <c r="G104" s="27">
        <v>15579180298</v>
      </c>
      <c r="H104" s="162" t="s">
        <v>1029</v>
      </c>
      <c r="I104" s="162" t="s">
        <v>278</v>
      </c>
      <c r="J104" s="162" t="s">
        <v>28</v>
      </c>
      <c r="K104" s="27">
        <v>202103001</v>
      </c>
      <c r="L104" s="162" t="s">
        <v>279</v>
      </c>
      <c r="M104" s="162" t="s">
        <v>662</v>
      </c>
      <c r="N104" s="162" t="s">
        <v>280</v>
      </c>
      <c r="O104" s="162" t="s">
        <v>170</v>
      </c>
      <c r="P104" s="162" t="s">
        <v>161</v>
      </c>
      <c r="Q104" s="162" t="s">
        <v>376</v>
      </c>
      <c r="R104" s="162" t="s">
        <v>1030</v>
      </c>
      <c r="S104" s="118" t="str">
        <f>_xlfn.DISPIMG("ID_1619E0FF3AE04637958459633AD8C1B8",1)</f>
        <v>=DISPIMG("ID_1619E0FF3AE04637958459633AD8C1B8",1)</v>
      </c>
      <c r="T104" s="115" t="s">
        <v>1031</v>
      </c>
      <c r="U104" s="27">
        <v>105</v>
      </c>
    </row>
    <row r="105" s="3" customFormat="1" customHeight="1" spans="1:21">
      <c r="A105" s="144">
        <v>44357.8365740741</v>
      </c>
      <c r="B105" s="27" t="s">
        <v>1032</v>
      </c>
      <c r="C105" s="27" t="s">
        <v>1033</v>
      </c>
      <c r="D105" s="162" t="s">
        <v>1034</v>
      </c>
      <c r="E105" s="162" t="s">
        <v>165</v>
      </c>
      <c r="F105" s="162" t="s">
        <v>1035</v>
      </c>
      <c r="G105" s="27">
        <v>18270651805</v>
      </c>
      <c r="H105" s="162" t="s">
        <v>1036</v>
      </c>
      <c r="I105" s="162" t="s">
        <v>156</v>
      </c>
      <c r="J105" s="162" t="s">
        <v>12</v>
      </c>
      <c r="K105" s="27">
        <v>202102010</v>
      </c>
      <c r="L105" s="162" t="s">
        <v>157</v>
      </c>
      <c r="M105" s="162" t="s">
        <v>178</v>
      </c>
      <c r="N105" s="162" t="s">
        <v>1037</v>
      </c>
      <c r="O105" s="162" t="s">
        <v>170</v>
      </c>
      <c r="P105" s="162" t="s">
        <v>161</v>
      </c>
      <c r="Q105" s="162" t="s">
        <v>1038</v>
      </c>
      <c r="R105" s="162" t="s">
        <v>1039</v>
      </c>
      <c r="S105" s="118" t="str">
        <f>_xlfn.DISPIMG("ID_0FA5FFDB4D0442D5AB7C6CB6A0A51E2D",1)</f>
        <v>=DISPIMG("ID_0FA5FFDB4D0442D5AB7C6CB6A0A51E2D",1)</v>
      </c>
      <c r="T105" s="115" t="s">
        <v>1040</v>
      </c>
      <c r="U105" s="27">
        <v>106</v>
      </c>
    </row>
    <row r="106" s="3" customFormat="1" customHeight="1" spans="1:21">
      <c r="A106" s="144">
        <v>44357.8391782407</v>
      </c>
      <c r="B106" s="27" t="s">
        <v>1041</v>
      </c>
      <c r="C106" s="27" t="s">
        <v>1042</v>
      </c>
      <c r="D106" s="162" t="s">
        <v>1043</v>
      </c>
      <c r="E106" s="162" t="s">
        <v>165</v>
      </c>
      <c r="F106" s="162" t="s">
        <v>1044</v>
      </c>
      <c r="G106" s="27">
        <v>13257081497</v>
      </c>
      <c r="H106" s="162" t="s">
        <v>1045</v>
      </c>
      <c r="I106" s="162" t="s">
        <v>278</v>
      </c>
      <c r="J106" s="162" t="s">
        <v>28</v>
      </c>
      <c r="K106" s="27">
        <v>202103001</v>
      </c>
      <c r="L106" s="162" t="s">
        <v>279</v>
      </c>
      <c r="M106" s="162" t="s">
        <v>515</v>
      </c>
      <c r="N106" s="162" t="s">
        <v>280</v>
      </c>
      <c r="O106" s="162" t="s">
        <v>170</v>
      </c>
      <c r="P106" s="162" t="s">
        <v>216</v>
      </c>
      <c r="Q106" s="162" t="s">
        <v>28</v>
      </c>
      <c r="R106" s="162" t="s">
        <v>1046</v>
      </c>
      <c r="S106" s="118" t="str">
        <f>_xlfn.DISPIMG("ID_95C77A057E51453F847E60BE7A6D3C93",1)</f>
        <v>=DISPIMG("ID_95C77A057E51453F847E60BE7A6D3C93",1)</v>
      </c>
      <c r="T106" s="115" t="s">
        <v>1047</v>
      </c>
      <c r="U106" s="27">
        <v>107</v>
      </c>
    </row>
    <row r="107" s="3" customFormat="1" customHeight="1" spans="1:21">
      <c r="A107" s="144">
        <v>44357.842025463</v>
      </c>
      <c r="B107" s="27" t="s">
        <v>1048</v>
      </c>
      <c r="C107" s="27" t="s">
        <v>1049</v>
      </c>
      <c r="D107" s="162" t="s">
        <v>1050</v>
      </c>
      <c r="E107" s="162" t="s">
        <v>165</v>
      </c>
      <c r="F107" s="162" t="s">
        <v>1051</v>
      </c>
      <c r="G107" s="27">
        <v>15180471768</v>
      </c>
      <c r="H107" s="162" t="s">
        <v>812</v>
      </c>
      <c r="I107" s="162" t="s">
        <v>384</v>
      </c>
      <c r="J107" s="162" t="s">
        <v>20</v>
      </c>
      <c r="K107" s="27">
        <v>202101005</v>
      </c>
      <c r="L107" s="162" t="s">
        <v>157</v>
      </c>
      <c r="M107" s="162" t="s">
        <v>178</v>
      </c>
      <c r="N107" s="162" t="s">
        <v>270</v>
      </c>
      <c r="O107" s="162" t="s">
        <v>170</v>
      </c>
      <c r="P107" s="162" t="s">
        <v>261</v>
      </c>
      <c r="Q107" s="162" t="s">
        <v>20</v>
      </c>
      <c r="R107" s="27">
        <v>0</v>
      </c>
      <c r="S107" s="118" t="str">
        <f>_xlfn.DISPIMG("ID_296B75901486490E98D040532231AC8D",1)</f>
        <v>=DISPIMG("ID_296B75901486490E98D040532231AC8D",1)</v>
      </c>
      <c r="T107" s="115" t="s">
        <v>1052</v>
      </c>
      <c r="U107" s="27">
        <v>108</v>
      </c>
    </row>
    <row r="108" s="3" customFormat="1" customHeight="1" spans="1:21">
      <c r="A108" s="144">
        <v>44357.8531712963</v>
      </c>
      <c r="B108" s="27" t="s">
        <v>1053</v>
      </c>
      <c r="C108" s="27" t="s">
        <v>1054</v>
      </c>
      <c r="D108" s="162" t="s">
        <v>1055</v>
      </c>
      <c r="E108" s="162" t="s">
        <v>165</v>
      </c>
      <c r="F108" s="162" t="s">
        <v>1056</v>
      </c>
      <c r="G108" s="27">
        <v>15279286807</v>
      </c>
      <c r="H108" s="162" t="s">
        <v>1057</v>
      </c>
      <c r="I108" s="162" t="s">
        <v>384</v>
      </c>
      <c r="J108" s="162" t="s">
        <v>20</v>
      </c>
      <c r="K108" s="27">
        <v>202101005</v>
      </c>
      <c r="L108" s="162" t="s">
        <v>157</v>
      </c>
      <c r="M108" s="162" t="s">
        <v>178</v>
      </c>
      <c r="N108" s="162" t="s">
        <v>270</v>
      </c>
      <c r="O108" s="162" t="s">
        <v>170</v>
      </c>
      <c r="P108" s="162" t="s">
        <v>261</v>
      </c>
      <c r="Q108" s="162" t="s">
        <v>20</v>
      </c>
      <c r="R108" s="27">
        <v>0</v>
      </c>
      <c r="S108" s="118" t="str">
        <f>_xlfn.DISPIMG("ID_1261702926BF4B91B3BBC8CF57D7C930",1)</f>
        <v>=DISPIMG("ID_1261702926BF4B91B3BBC8CF57D7C930",1)</v>
      </c>
      <c r="T108" s="115" t="s">
        <v>1058</v>
      </c>
      <c r="U108" s="27">
        <v>109</v>
      </c>
    </row>
    <row r="109" s="3" customFormat="1" customHeight="1" spans="1:21">
      <c r="A109" s="144">
        <v>44357.8570138889</v>
      </c>
      <c r="B109" s="27" t="s">
        <v>1059</v>
      </c>
      <c r="C109" s="27" t="s">
        <v>1060</v>
      </c>
      <c r="D109" s="162" t="s">
        <v>1061</v>
      </c>
      <c r="E109" s="162" t="s">
        <v>165</v>
      </c>
      <c r="F109" s="162" t="s">
        <v>1062</v>
      </c>
      <c r="G109" s="27">
        <v>18370272213</v>
      </c>
      <c r="H109" s="162" t="s">
        <v>1063</v>
      </c>
      <c r="I109" s="162" t="s">
        <v>268</v>
      </c>
      <c r="J109" s="162" t="s">
        <v>17</v>
      </c>
      <c r="K109" s="27">
        <v>202101017</v>
      </c>
      <c r="L109" s="162" t="s">
        <v>157</v>
      </c>
      <c r="M109" s="162" t="s">
        <v>269</v>
      </c>
      <c r="N109" s="162" t="s">
        <v>290</v>
      </c>
      <c r="O109" s="162" t="s">
        <v>170</v>
      </c>
      <c r="P109" s="162" t="s">
        <v>261</v>
      </c>
      <c r="Q109" s="162" t="s">
        <v>1064</v>
      </c>
      <c r="R109" s="27">
        <v>0</v>
      </c>
      <c r="S109" s="118" t="str">
        <f>_xlfn.DISPIMG("ID_9916007E0F6C44BAA2C2DFDD815EDF7E",1)</f>
        <v>=DISPIMG("ID_9916007E0F6C44BAA2C2DFDD815EDF7E",1)</v>
      </c>
      <c r="T109" s="115" t="s">
        <v>1065</v>
      </c>
      <c r="U109" s="27">
        <v>110</v>
      </c>
    </row>
    <row r="110" s="3" customFormat="1" customHeight="1" spans="1:21">
      <c r="A110" s="144">
        <v>44357.8629398148</v>
      </c>
      <c r="B110" s="27" t="s">
        <v>1074</v>
      </c>
      <c r="C110" s="27" t="s">
        <v>1075</v>
      </c>
      <c r="D110" s="162" t="s">
        <v>1076</v>
      </c>
      <c r="E110" s="162" t="s">
        <v>165</v>
      </c>
      <c r="F110" s="162" t="s">
        <v>1077</v>
      </c>
      <c r="G110" s="27">
        <v>18870203440</v>
      </c>
      <c r="H110" s="162" t="s">
        <v>1078</v>
      </c>
      <c r="I110" s="162" t="s">
        <v>156</v>
      </c>
      <c r="J110" s="162" t="s">
        <v>6</v>
      </c>
      <c r="K110" s="27">
        <v>202102012</v>
      </c>
      <c r="L110" s="162" t="s">
        <v>157</v>
      </c>
      <c r="M110" s="162" t="s">
        <v>1079</v>
      </c>
      <c r="N110" s="162" t="s">
        <v>1080</v>
      </c>
      <c r="O110" s="162" t="s">
        <v>160</v>
      </c>
      <c r="P110" s="162" t="s">
        <v>235</v>
      </c>
      <c r="Q110" s="162" t="s">
        <v>413</v>
      </c>
      <c r="R110" s="162" t="s">
        <v>1081</v>
      </c>
      <c r="S110" s="118" t="str">
        <f>_xlfn.DISPIMG("ID_78C412614C7B42A0AA2A4D942DD9F1A2",1)</f>
        <v>=DISPIMG("ID_78C412614C7B42A0AA2A4D942DD9F1A2",1)</v>
      </c>
      <c r="T110" s="115" t="s">
        <v>1082</v>
      </c>
      <c r="U110" s="27">
        <v>112</v>
      </c>
    </row>
    <row r="111" s="3" customFormat="1" customHeight="1" spans="1:21">
      <c r="A111" s="144">
        <v>44357.8675578704</v>
      </c>
      <c r="B111" s="27" t="s">
        <v>1083</v>
      </c>
      <c r="C111" s="27" t="s">
        <v>1084</v>
      </c>
      <c r="D111" s="162" t="s">
        <v>1085</v>
      </c>
      <c r="E111" s="162" t="s">
        <v>165</v>
      </c>
      <c r="F111" s="162" t="s">
        <v>1086</v>
      </c>
      <c r="G111" s="27">
        <v>15179282018</v>
      </c>
      <c r="H111" s="162" t="s">
        <v>1087</v>
      </c>
      <c r="I111" s="162" t="s">
        <v>156</v>
      </c>
      <c r="J111" s="162" t="s">
        <v>4</v>
      </c>
      <c r="K111" s="27">
        <v>202102005</v>
      </c>
      <c r="L111" s="162" t="s">
        <v>279</v>
      </c>
      <c r="M111" s="162" t="s">
        <v>158</v>
      </c>
      <c r="N111" s="162" t="s">
        <v>1088</v>
      </c>
      <c r="O111" s="162" t="s">
        <v>170</v>
      </c>
      <c r="P111" s="162" t="s">
        <v>1089</v>
      </c>
      <c r="Q111" s="162" t="s">
        <v>4</v>
      </c>
      <c r="R111" s="162" t="s">
        <v>1090</v>
      </c>
      <c r="S111" s="118" t="str">
        <f>_xlfn.DISPIMG("ID_2B72C85721DF4DA8A46A71B57C490F39",1)</f>
        <v>=DISPIMG("ID_2B72C85721DF4DA8A46A71B57C490F39",1)</v>
      </c>
      <c r="T111" s="115" t="s">
        <v>1091</v>
      </c>
      <c r="U111" s="27">
        <v>113</v>
      </c>
    </row>
    <row r="112" s="3" customFormat="1" customHeight="1" spans="1:21">
      <c r="A112" s="144">
        <v>44357.8773958333</v>
      </c>
      <c r="B112" s="27" t="s">
        <v>1092</v>
      </c>
      <c r="C112" s="27" t="s">
        <v>1093</v>
      </c>
      <c r="D112" s="162" t="s">
        <v>1094</v>
      </c>
      <c r="E112" s="162" t="s">
        <v>165</v>
      </c>
      <c r="F112" s="162" t="s">
        <v>1095</v>
      </c>
      <c r="G112" s="27">
        <v>18279284539</v>
      </c>
      <c r="H112" s="162" t="s">
        <v>1096</v>
      </c>
      <c r="I112" s="162" t="s">
        <v>278</v>
      </c>
      <c r="J112" s="162" t="s">
        <v>28</v>
      </c>
      <c r="K112" s="27">
        <v>202103001</v>
      </c>
      <c r="L112" s="162" t="s">
        <v>279</v>
      </c>
      <c r="M112" s="162" t="s">
        <v>1097</v>
      </c>
      <c r="N112" s="162" t="s">
        <v>280</v>
      </c>
      <c r="O112" s="162" t="s">
        <v>170</v>
      </c>
      <c r="P112" s="162" t="s">
        <v>455</v>
      </c>
      <c r="Q112" s="162" t="s">
        <v>1098</v>
      </c>
      <c r="R112" s="27">
        <v>0</v>
      </c>
      <c r="S112" s="118" t="str">
        <f>_xlfn.DISPIMG("ID_FAFFBB147A2A46E5B294F9119A127E5F",1)</f>
        <v>=DISPIMG("ID_FAFFBB147A2A46E5B294F9119A127E5F",1)</v>
      </c>
      <c r="T112" s="115" t="s">
        <v>1099</v>
      </c>
      <c r="U112" s="27">
        <v>114</v>
      </c>
    </row>
    <row r="113" s="3" customFormat="1" customHeight="1" spans="1:21">
      <c r="A113" s="144">
        <v>44357.8865740741</v>
      </c>
      <c r="B113" s="27" t="s">
        <v>1100</v>
      </c>
      <c r="C113" s="27" t="s">
        <v>1101</v>
      </c>
      <c r="D113" s="162" t="s">
        <v>1102</v>
      </c>
      <c r="E113" s="162" t="s">
        <v>165</v>
      </c>
      <c r="F113" s="162" t="s">
        <v>1103</v>
      </c>
      <c r="G113" s="27">
        <v>18890061239</v>
      </c>
      <c r="H113" s="162" t="s">
        <v>1104</v>
      </c>
      <c r="I113" s="162" t="s">
        <v>156</v>
      </c>
      <c r="J113" s="162" t="s">
        <v>14</v>
      </c>
      <c r="K113" s="27">
        <v>202102001</v>
      </c>
      <c r="L113" s="162" t="s">
        <v>157</v>
      </c>
      <c r="M113" s="162" t="s">
        <v>1105</v>
      </c>
      <c r="N113" s="162" t="s">
        <v>454</v>
      </c>
      <c r="O113" s="162" t="s">
        <v>160</v>
      </c>
      <c r="P113" s="162" t="s">
        <v>161</v>
      </c>
      <c r="Q113" s="162" t="s">
        <v>14</v>
      </c>
      <c r="R113" s="27">
        <v>0</v>
      </c>
      <c r="S113" s="118" t="str">
        <f>_xlfn.DISPIMG("ID_85B66E0F069149898E44BCE57E5EBF40",1)</f>
        <v>=DISPIMG("ID_85B66E0F069149898E44BCE57E5EBF40",1)</v>
      </c>
      <c r="T113" s="115" t="s">
        <v>1106</v>
      </c>
      <c r="U113" s="27">
        <v>115</v>
      </c>
    </row>
    <row r="114" s="3" customFormat="1" customHeight="1" spans="1:21">
      <c r="A114" s="144">
        <v>44357.8872916667</v>
      </c>
      <c r="B114" s="27" t="s">
        <v>1107</v>
      </c>
      <c r="C114" s="27" t="s">
        <v>1108</v>
      </c>
      <c r="D114" s="162" t="s">
        <v>1109</v>
      </c>
      <c r="E114" s="162" t="s">
        <v>165</v>
      </c>
      <c r="F114" s="162" t="s">
        <v>1110</v>
      </c>
      <c r="G114" s="27">
        <v>18770914049</v>
      </c>
      <c r="H114" s="162" t="s">
        <v>1111</v>
      </c>
      <c r="I114" s="162" t="s">
        <v>384</v>
      </c>
      <c r="J114" s="162" t="s">
        <v>13</v>
      </c>
      <c r="K114" s="27">
        <v>202102003</v>
      </c>
      <c r="L114" s="162" t="s">
        <v>157</v>
      </c>
      <c r="M114" s="162" t="s">
        <v>1112</v>
      </c>
      <c r="N114" s="162" t="s">
        <v>1113</v>
      </c>
      <c r="O114" s="162" t="s">
        <v>160</v>
      </c>
      <c r="P114" s="162" t="s">
        <v>368</v>
      </c>
      <c r="Q114" s="162" t="s">
        <v>13</v>
      </c>
      <c r="R114" s="162" t="s">
        <v>1114</v>
      </c>
      <c r="S114" s="118" t="str">
        <f>_xlfn.DISPIMG("ID_E90456CE8BF84902B589BDD1B517D38B",1)</f>
        <v>=DISPIMG("ID_E90456CE8BF84902B589BDD1B517D38B",1)</v>
      </c>
      <c r="T114" s="115" t="s">
        <v>1115</v>
      </c>
      <c r="U114" s="27">
        <v>116</v>
      </c>
    </row>
    <row r="115" s="3" customFormat="1" customHeight="1" spans="1:21">
      <c r="A115" s="144">
        <v>44357.9020138889</v>
      </c>
      <c r="B115" s="27" t="s">
        <v>1116</v>
      </c>
      <c r="C115" s="27" t="s">
        <v>1117</v>
      </c>
      <c r="D115" s="162" t="s">
        <v>1118</v>
      </c>
      <c r="E115" s="162" t="s">
        <v>165</v>
      </c>
      <c r="F115" s="162" t="s">
        <v>1119</v>
      </c>
      <c r="G115" s="27">
        <v>15170931048</v>
      </c>
      <c r="H115" s="162" t="s">
        <v>1120</v>
      </c>
      <c r="I115" s="162" t="s">
        <v>156</v>
      </c>
      <c r="J115" s="162" t="s">
        <v>13</v>
      </c>
      <c r="K115" s="27">
        <v>202102003</v>
      </c>
      <c r="L115" s="162" t="s">
        <v>157</v>
      </c>
      <c r="M115" s="162" t="s">
        <v>1121</v>
      </c>
      <c r="N115" s="162" t="s">
        <v>1122</v>
      </c>
      <c r="O115" s="162" t="s">
        <v>160</v>
      </c>
      <c r="P115" s="162" t="s">
        <v>577</v>
      </c>
      <c r="Q115" s="162" t="s">
        <v>13</v>
      </c>
      <c r="R115" s="162" t="s">
        <v>1123</v>
      </c>
      <c r="S115" s="118" t="str">
        <f>_xlfn.DISPIMG("ID_FE9003ADDBCE49A4979CC74582466077",1)</f>
        <v>=DISPIMG("ID_FE9003ADDBCE49A4979CC74582466077",1)</v>
      </c>
      <c r="T115" s="115" t="s">
        <v>1124</v>
      </c>
      <c r="U115" s="27">
        <v>117</v>
      </c>
    </row>
    <row r="116" s="5" customFormat="1" customHeight="1" spans="1:21">
      <c r="A116" s="146">
        <v>44362.8989583333</v>
      </c>
      <c r="B116" s="116" t="s">
        <v>1125</v>
      </c>
      <c r="C116" s="116" t="s">
        <v>1126</v>
      </c>
      <c r="D116" s="165" t="s">
        <v>1127</v>
      </c>
      <c r="E116" s="165" t="s">
        <v>153</v>
      </c>
      <c r="F116" s="165" t="s">
        <v>1128</v>
      </c>
      <c r="G116" s="116">
        <v>13698023687</v>
      </c>
      <c r="H116" s="165" t="s">
        <v>1129</v>
      </c>
      <c r="I116" s="165" t="s">
        <v>156</v>
      </c>
      <c r="J116" s="165" t="s">
        <v>8</v>
      </c>
      <c r="K116" s="116">
        <v>202102002</v>
      </c>
      <c r="L116" s="165" t="s">
        <v>157</v>
      </c>
      <c r="M116" s="165" t="s">
        <v>158</v>
      </c>
      <c r="N116" s="165" t="s">
        <v>270</v>
      </c>
      <c r="O116" s="165" t="s">
        <v>170</v>
      </c>
      <c r="P116" s="165" t="s">
        <v>548</v>
      </c>
      <c r="Q116" s="165" t="s">
        <v>1130</v>
      </c>
      <c r="R116" s="165" t="s">
        <v>1131</v>
      </c>
      <c r="S116" s="119" t="str">
        <f>_xlfn.DISPIMG("ID_2ABFF7AF1BF04D95953E32E5250DE953",1)</f>
        <v>=DISPIMG("ID_2ABFF7AF1BF04D95953E32E5250DE953",1)</v>
      </c>
      <c r="T116" s="120" t="s">
        <v>1132</v>
      </c>
      <c r="U116" s="27">
        <v>118</v>
      </c>
    </row>
    <row r="117" s="3" customFormat="1" customHeight="1" spans="1:21">
      <c r="A117" s="144">
        <v>44357.9164930556</v>
      </c>
      <c r="B117" s="27" t="s">
        <v>1133</v>
      </c>
      <c r="C117" s="27" t="s">
        <v>1134</v>
      </c>
      <c r="D117" s="162" t="s">
        <v>1135</v>
      </c>
      <c r="E117" s="162" t="s">
        <v>165</v>
      </c>
      <c r="F117" s="162" t="s">
        <v>1136</v>
      </c>
      <c r="G117" s="27">
        <v>13767277916</v>
      </c>
      <c r="H117" s="162" t="s">
        <v>1137</v>
      </c>
      <c r="I117" s="162" t="s">
        <v>506</v>
      </c>
      <c r="J117" s="162" t="s">
        <v>6</v>
      </c>
      <c r="K117" s="27">
        <v>202102021</v>
      </c>
      <c r="L117" s="162" t="s">
        <v>279</v>
      </c>
      <c r="M117" s="162" t="s">
        <v>158</v>
      </c>
      <c r="N117" s="162" t="s">
        <v>1138</v>
      </c>
      <c r="O117" s="162" t="s">
        <v>170</v>
      </c>
      <c r="P117" s="162" t="s">
        <v>673</v>
      </c>
      <c r="Q117" s="162" t="s">
        <v>6</v>
      </c>
      <c r="R117" s="162" t="s">
        <v>1139</v>
      </c>
      <c r="S117" s="118" t="str">
        <f>_xlfn.DISPIMG("ID_18B5B97762B948069F50AE4DD03BA465",1)</f>
        <v>=DISPIMG("ID_18B5B97762B948069F50AE4DD03BA465",1)</v>
      </c>
      <c r="T117" s="115" t="s">
        <v>1140</v>
      </c>
      <c r="U117" s="27">
        <v>119</v>
      </c>
    </row>
    <row r="118" s="3" customFormat="1" customHeight="1" spans="1:21">
      <c r="A118" s="144">
        <v>44357.9170601852</v>
      </c>
      <c r="B118" s="27" t="s">
        <v>1141</v>
      </c>
      <c r="C118" s="27" t="s">
        <v>1142</v>
      </c>
      <c r="D118" s="162" t="s">
        <v>1143</v>
      </c>
      <c r="E118" s="162" t="s">
        <v>165</v>
      </c>
      <c r="F118" s="162" t="s">
        <v>1144</v>
      </c>
      <c r="G118" s="27">
        <v>15777198130</v>
      </c>
      <c r="H118" s="162" t="s">
        <v>1145</v>
      </c>
      <c r="I118" s="162" t="s">
        <v>384</v>
      </c>
      <c r="J118" s="162" t="s">
        <v>23</v>
      </c>
      <c r="K118" s="27">
        <v>202101025</v>
      </c>
      <c r="L118" s="162" t="s">
        <v>157</v>
      </c>
      <c r="M118" s="162" t="s">
        <v>1146</v>
      </c>
      <c r="N118" s="162" t="s">
        <v>1147</v>
      </c>
      <c r="O118" s="162" t="s">
        <v>170</v>
      </c>
      <c r="P118" s="162" t="s">
        <v>455</v>
      </c>
      <c r="Q118" s="162" t="s">
        <v>1148</v>
      </c>
      <c r="R118" s="162" t="s">
        <v>1149</v>
      </c>
      <c r="S118" s="118" t="str">
        <f>_xlfn.DISPIMG("ID_0415E10C85C94C988A22FA5D4842DE09",1)</f>
        <v>=DISPIMG("ID_0415E10C85C94C988A22FA5D4842DE09",1)</v>
      </c>
      <c r="T118" s="115" t="s">
        <v>1150</v>
      </c>
      <c r="U118" s="27">
        <v>120</v>
      </c>
    </row>
    <row r="119" s="3" customFormat="1" customHeight="1" spans="1:21">
      <c r="A119" s="144">
        <v>44357.9171990741</v>
      </c>
      <c r="B119" s="27" t="s">
        <v>1151</v>
      </c>
      <c r="C119" s="27" t="s">
        <v>1152</v>
      </c>
      <c r="D119" s="162" t="s">
        <v>1153</v>
      </c>
      <c r="E119" s="162" t="s">
        <v>165</v>
      </c>
      <c r="F119" s="162" t="s">
        <v>1154</v>
      </c>
      <c r="G119" s="27">
        <v>13803552587</v>
      </c>
      <c r="H119" s="162" t="s">
        <v>1155</v>
      </c>
      <c r="I119" s="162" t="s">
        <v>156</v>
      </c>
      <c r="J119" s="162" t="s">
        <v>12</v>
      </c>
      <c r="K119" s="27">
        <v>202102010</v>
      </c>
      <c r="L119" s="162" t="s">
        <v>157</v>
      </c>
      <c r="M119" s="162" t="s">
        <v>385</v>
      </c>
      <c r="N119" s="162" t="s">
        <v>445</v>
      </c>
      <c r="O119" s="162" t="s">
        <v>160</v>
      </c>
      <c r="P119" s="162" t="s">
        <v>261</v>
      </c>
      <c r="Q119" s="162" t="s">
        <v>1156</v>
      </c>
      <c r="R119" s="162" t="s">
        <v>1157</v>
      </c>
      <c r="S119" s="118" t="str">
        <f>_xlfn.DISPIMG("ID_2A6402E44B2C4CB5B00B003CEEB85AA0",1)</f>
        <v>=DISPIMG("ID_2A6402E44B2C4CB5B00B003CEEB85AA0",1)</v>
      </c>
      <c r="T119" s="115" t="s">
        <v>1158</v>
      </c>
      <c r="U119" s="27">
        <v>121</v>
      </c>
    </row>
    <row r="120" s="3" customFormat="1" customHeight="1" spans="1:21">
      <c r="A120" s="144">
        <v>44357.9171990741</v>
      </c>
      <c r="B120" s="27" t="s">
        <v>1159</v>
      </c>
      <c r="C120" s="27" t="s">
        <v>1160</v>
      </c>
      <c r="D120" s="162" t="s">
        <v>1161</v>
      </c>
      <c r="E120" s="162" t="s">
        <v>165</v>
      </c>
      <c r="F120" s="162" t="s">
        <v>1162</v>
      </c>
      <c r="G120" s="27">
        <v>15879899835</v>
      </c>
      <c r="H120" s="162" t="s">
        <v>1163</v>
      </c>
      <c r="I120" s="162" t="s">
        <v>156</v>
      </c>
      <c r="J120" s="162" t="s">
        <v>3</v>
      </c>
      <c r="K120" s="27">
        <v>202102009</v>
      </c>
      <c r="L120" s="162" t="s">
        <v>157</v>
      </c>
      <c r="M120" s="162" t="s">
        <v>1146</v>
      </c>
      <c r="N120" s="162" t="s">
        <v>1164</v>
      </c>
      <c r="O120" s="162" t="s">
        <v>160</v>
      </c>
      <c r="P120" s="162" t="s">
        <v>252</v>
      </c>
      <c r="Q120" s="162" t="s">
        <v>3</v>
      </c>
      <c r="R120" s="27">
        <v>0</v>
      </c>
      <c r="S120" s="118" t="str">
        <f>_xlfn.DISPIMG("ID_AF5F9594083C4D63A9C12F6DBB9E6CAE",1)</f>
        <v>=DISPIMG("ID_AF5F9594083C4D63A9C12F6DBB9E6CAE",1)</v>
      </c>
      <c r="T120" s="115" t="s">
        <v>1165</v>
      </c>
      <c r="U120" s="27">
        <v>122</v>
      </c>
    </row>
    <row r="121" s="3" customFormat="1" customHeight="1" spans="1:21">
      <c r="A121" s="144">
        <v>44357.9183333333</v>
      </c>
      <c r="B121" s="27" t="s">
        <v>1166</v>
      </c>
      <c r="C121" s="27" t="s">
        <v>1167</v>
      </c>
      <c r="D121" s="162" t="s">
        <v>1167</v>
      </c>
      <c r="E121" s="162" t="s">
        <v>153</v>
      </c>
      <c r="F121" s="162" t="s">
        <v>1168</v>
      </c>
      <c r="G121" s="27">
        <v>18370130888</v>
      </c>
      <c r="H121" s="162" t="s">
        <v>1169</v>
      </c>
      <c r="I121" s="162" t="s">
        <v>156</v>
      </c>
      <c r="J121" s="162" t="s">
        <v>9</v>
      </c>
      <c r="K121" s="27">
        <v>202102011</v>
      </c>
      <c r="L121" s="162" t="s">
        <v>279</v>
      </c>
      <c r="M121" s="162" t="s">
        <v>158</v>
      </c>
      <c r="N121" s="162" t="s">
        <v>682</v>
      </c>
      <c r="O121" s="162" t="s">
        <v>170</v>
      </c>
      <c r="P121" s="162" t="s">
        <v>1170</v>
      </c>
      <c r="Q121" s="162" t="s">
        <v>1171</v>
      </c>
      <c r="R121" s="162" t="s">
        <v>1172</v>
      </c>
      <c r="S121" s="118" t="str">
        <f>_xlfn.DISPIMG("ID_A11E1242B6CE401EA988641535D09239",1)</f>
        <v>=DISPIMG("ID_A11E1242B6CE401EA988641535D09239",1)</v>
      </c>
      <c r="T121" s="115" t="s">
        <v>1173</v>
      </c>
      <c r="U121" s="27">
        <v>123</v>
      </c>
    </row>
    <row r="122" s="3" customFormat="1" customHeight="1" spans="1:21">
      <c r="A122" s="144">
        <v>44357.9284722222</v>
      </c>
      <c r="B122" s="27" t="s">
        <v>1174</v>
      </c>
      <c r="C122" s="27" t="s">
        <v>1175</v>
      </c>
      <c r="D122" s="162" t="s">
        <v>1176</v>
      </c>
      <c r="E122" s="162" t="s">
        <v>165</v>
      </c>
      <c r="F122" s="162" t="s">
        <v>1177</v>
      </c>
      <c r="G122" s="27">
        <v>13782906805</v>
      </c>
      <c r="H122" s="162" t="s">
        <v>1178</v>
      </c>
      <c r="I122" s="162" t="s">
        <v>156</v>
      </c>
      <c r="J122" s="162" t="s">
        <v>13</v>
      </c>
      <c r="K122" s="27">
        <v>202102003</v>
      </c>
      <c r="L122" s="162" t="s">
        <v>157</v>
      </c>
      <c r="M122" s="162" t="s">
        <v>1179</v>
      </c>
      <c r="N122" s="162" t="s">
        <v>298</v>
      </c>
      <c r="O122" s="162" t="s">
        <v>160</v>
      </c>
      <c r="P122" s="162" t="s">
        <v>171</v>
      </c>
      <c r="Q122" s="162" t="s">
        <v>13</v>
      </c>
      <c r="R122" s="162" t="s">
        <v>1180</v>
      </c>
      <c r="S122" s="118" t="str">
        <f>_xlfn.DISPIMG("ID_DB5AD54F043740C8B3AEB4879C927DCC",1)</f>
        <v>=DISPIMG("ID_DB5AD54F043740C8B3AEB4879C927DCC",1)</v>
      </c>
      <c r="T122" s="115" t="s">
        <v>1181</v>
      </c>
      <c r="U122" s="27">
        <v>124</v>
      </c>
    </row>
    <row r="123" s="3" customFormat="1" customHeight="1" spans="1:21">
      <c r="A123" s="144">
        <v>44357.9275231482</v>
      </c>
      <c r="B123" s="27" t="s">
        <v>1182</v>
      </c>
      <c r="C123" s="27" t="s">
        <v>1183</v>
      </c>
      <c r="D123" s="162" t="s">
        <v>1184</v>
      </c>
      <c r="E123" s="162" t="s">
        <v>165</v>
      </c>
      <c r="F123" s="162" t="s">
        <v>1185</v>
      </c>
      <c r="G123" s="27">
        <v>18379170197</v>
      </c>
      <c r="H123" s="162" t="s">
        <v>1186</v>
      </c>
      <c r="I123" s="162" t="s">
        <v>156</v>
      </c>
      <c r="J123" s="162" t="s">
        <v>13</v>
      </c>
      <c r="K123" s="27">
        <v>202102003</v>
      </c>
      <c r="L123" s="162" t="s">
        <v>157</v>
      </c>
      <c r="M123" s="162" t="s">
        <v>197</v>
      </c>
      <c r="N123" s="162" t="s">
        <v>179</v>
      </c>
      <c r="O123" s="162" t="s">
        <v>160</v>
      </c>
      <c r="P123" s="162" t="s">
        <v>577</v>
      </c>
      <c r="Q123" s="162" t="s">
        <v>1187</v>
      </c>
      <c r="R123" s="162" t="s">
        <v>1188</v>
      </c>
      <c r="S123" s="118" t="str">
        <f>_xlfn.DISPIMG("ID_CF1AB7C1F93745BDBA48E23E3B3C5BFF",1)</f>
        <v>=DISPIMG("ID_CF1AB7C1F93745BDBA48E23E3B3C5BFF",1)</v>
      </c>
      <c r="T123" s="115" t="s">
        <v>1189</v>
      </c>
      <c r="U123" s="27">
        <v>125</v>
      </c>
    </row>
    <row r="124" s="3" customFormat="1" customHeight="1" spans="1:21">
      <c r="A124" s="144">
        <v>44359.8777430556</v>
      </c>
      <c r="B124" s="27" t="s">
        <v>1190</v>
      </c>
      <c r="C124" s="27" t="s">
        <v>1191</v>
      </c>
      <c r="D124" s="162" t="s">
        <v>1192</v>
      </c>
      <c r="E124" s="162" t="s">
        <v>165</v>
      </c>
      <c r="F124" s="162" t="s">
        <v>1193</v>
      </c>
      <c r="G124" s="27">
        <v>18079223375</v>
      </c>
      <c r="H124" s="162" t="s">
        <v>1194</v>
      </c>
      <c r="I124" s="162" t="s">
        <v>156</v>
      </c>
      <c r="J124" s="162" t="s">
        <v>13</v>
      </c>
      <c r="K124" s="27">
        <v>202102003</v>
      </c>
      <c r="L124" s="162" t="s">
        <v>157</v>
      </c>
      <c r="M124" s="162" t="s">
        <v>233</v>
      </c>
      <c r="N124" s="162" t="s">
        <v>1195</v>
      </c>
      <c r="O124" s="162" t="s">
        <v>170</v>
      </c>
      <c r="P124" s="162" t="s">
        <v>587</v>
      </c>
      <c r="Q124" s="162" t="s">
        <v>13</v>
      </c>
      <c r="R124" s="162" t="s">
        <v>1196</v>
      </c>
      <c r="S124" s="118" t="str">
        <f>_xlfn.DISPIMG("ID_1776A5AD18184E18978F80ADFFF4A0AF",1)</f>
        <v>=DISPIMG("ID_1776A5AD18184E18978F80ADFFF4A0AF",1)</v>
      </c>
      <c r="T124" s="115" t="s">
        <v>1197</v>
      </c>
      <c r="U124" s="27">
        <v>126</v>
      </c>
    </row>
    <row r="125" s="3" customFormat="1" customHeight="1" spans="1:21">
      <c r="A125" s="144">
        <v>44363.9615509259</v>
      </c>
      <c r="B125" s="27" t="s">
        <v>1198</v>
      </c>
      <c r="C125" s="27" t="s">
        <v>1199</v>
      </c>
      <c r="D125" s="162" t="s">
        <v>1200</v>
      </c>
      <c r="E125" s="162" t="s">
        <v>165</v>
      </c>
      <c r="F125" s="162" t="s">
        <v>1201</v>
      </c>
      <c r="G125" s="27">
        <v>15270186776</v>
      </c>
      <c r="H125" s="162" t="s">
        <v>1202</v>
      </c>
      <c r="I125" s="162" t="s">
        <v>156</v>
      </c>
      <c r="J125" s="162" t="s">
        <v>8</v>
      </c>
      <c r="K125" s="27">
        <v>202102002</v>
      </c>
      <c r="L125" s="162" t="s">
        <v>157</v>
      </c>
      <c r="M125" s="162" t="s">
        <v>1203</v>
      </c>
      <c r="N125" s="162" t="s">
        <v>1204</v>
      </c>
      <c r="O125" s="162" t="s">
        <v>160</v>
      </c>
      <c r="P125" s="162" t="s">
        <v>1089</v>
      </c>
      <c r="Q125" s="162" t="s">
        <v>1205</v>
      </c>
      <c r="R125" s="162" t="s">
        <v>1206</v>
      </c>
      <c r="S125" s="118" t="str">
        <f>_xlfn.DISPIMG("ID_0C966700704E44E6A4C50F763206BC81",1)</f>
        <v>=DISPIMG("ID_0C966700704E44E6A4C50F763206BC81",1)</v>
      </c>
      <c r="T125" s="115" t="s">
        <v>1207</v>
      </c>
      <c r="U125" s="27">
        <v>127</v>
      </c>
    </row>
    <row r="126" s="3" customFormat="1" customHeight="1" spans="1:21">
      <c r="A126" s="144">
        <v>44357.9438425926</v>
      </c>
      <c r="B126" s="27" t="s">
        <v>1208</v>
      </c>
      <c r="C126" s="27" t="s">
        <v>1209</v>
      </c>
      <c r="D126" s="162" t="s">
        <v>1210</v>
      </c>
      <c r="E126" s="162" t="s">
        <v>165</v>
      </c>
      <c r="F126" s="162" t="s">
        <v>1211</v>
      </c>
      <c r="G126" s="27">
        <v>18279901604</v>
      </c>
      <c r="H126" s="162" t="s">
        <v>1212</v>
      </c>
      <c r="I126" s="162" t="s">
        <v>156</v>
      </c>
      <c r="J126" s="162" t="s">
        <v>13</v>
      </c>
      <c r="K126" s="27">
        <v>202102003</v>
      </c>
      <c r="L126" s="162" t="s">
        <v>157</v>
      </c>
      <c r="M126" s="162" t="s">
        <v>1213</v>
      </c>
      <c r="N126" s="162" t="s">
        <v>1214</v>
      </c>
      <c r="O126" s="162" t="s">
        <v>160</v>
      </c>
      <c r="P126" s="162" t="s">
        <v>252</v>
      </c>
      <c r="Q126" s="162" t="s">
        <v>13</v>
      </c>
      <c r="R126" s="27">
        <v>0</v>
      </c>
      <c r="S126" s="118" t="str">
        <f>_xlfn.DISPIMG("ID_FBB70D9010F74144B210C02BDB9CE6A1",1)</f>
        <v>=DISPIMG("ID_FBB70D9010F74144B210C02BDB9CE6A1",1)</v>
      </c>
      <c r="T126" s="115" t="s">
        <v>1215</v>
      </c>
      <c r="U126" s="27">
        <v>128</v>
      </c>
    </row>
    <row r="127" s="3" customFormat="1" customHeight="1" spans="1:21">
      <c r="A127" s="144">
        <v>44363.6368518519</v>
      </c>
      <c r="B127" s="27" t="s">
        <v>1216</v>
      </c>
      <c r="C127" s="27" t="s">
        <v>1217</v>
      </c>
      <c r="D127" s="162" t="s">
        <v>1218</v>
      </c>
      <c r="E127" s="162" t="s">
        <v>165</v>
      </c>
      <c r="F127" s="162" t="s">
        <v>1219</v>
      </c>
      <c r="G127" s="27">
        <v>17679241558</v>
      </c>
      <c r="H127" s="162" t="s">
        <v>1220</v>
      </c>
      <c r="I127" s="162" t="s">
        <v>278</v>
      </c>
      <c r="J127" s="162" t="s">
        <v>28</v>
      </c>
      <c r="K127" s="27">
        <v>202103001</v>
      </c>
      <c r="L127" s="162" t="s">
        <v>279</v>
      </c>
      <c r="M127" s="162" t="s">
        <v>1221</v>
      </c>
      <c r="N127" s="162" t="s">
        <v>280</v>
      </c>
      <c r="O127" s="162" t="s">
        <v>170</v>
      </c>
      <c r="P127" s="162" t="s">
        <v>161</v>
      </c>
      <c r="Q127" s="162" t="s">
        <v>1222</v>
      </c>
      <c r="R127" s="162" t="s">
        <v>1223</v>
      </c>
      <c r="S127" s="118" t="str">
        <f>_xlfn.DISPIMG("ID_9D5D5082709049DE9F85EE45C9D21765",1)</f>
        <v>=DISPIMG("ID_9D5D5082709049DE9F85EE45C9D21765",1)</v>
      </c>
      <c r="T127" s="115" t="s">
        <v>1224</v>
      </c>
      <c r="U127" s="27">
        <v>129</v>
      </c>
    </row>
    <row r="128" s="3" customFormat="1" customHeight="1" spans="1:21">
      <c r="A128" s="144">
        <v>44357.9649768519</v>
      </c>
      <c r="B128" s="27" t="s">
        <v>1225</v>
      </c>
      <c r="C128" s="27" t="s">
        <v>1226</v>
      </c>
      <c r="D128" s="162" t="s">
        <v>1227</v>
      </c>
      <c r="E128" s="162" t="s">
        <v>165</v>
      </c>
      <c r="F128" s="162" t="s">
        <v>1228</v>
      </c>
      <c r="G128" s="27">
        <v>18279868722</v>
      </c>
      <c r="H128" s="162" t="s">
        <v>1229</v>
      </c>
      <c r="I128" s="162" t="s">
        <v>156</v>
      </c>
      <c r="J128" s="162" t="s">
        <v>6</v>
      </c>
      <c r="K128" s="27">
        <v>202102012</v>
      </c>
      <c r="L128" s="162" t="s">
        <v>279</v>
      </c>
      <c r="M128" s="162" t="s">
        <v>168</v>
      </c>
      <c r="N128" s="162" t="s">
        <v>1138</v>
      </c>
      <c r="O128" s="162" t="s">
        <v>170</v>
      </c>
      <c r="P128" s="162" t="s">
        <v>368</v>
      </c>
      <c r="Q128" s="162" t="s">
        <v>498</v>
      </c>
      <c r="R128" s="162" t="s">
        <v>1230</v>
      </c>
      <c r="S128" s="118" t="str">
        <f>_xlfn.DISPIMG("ID_F7BC6213D6E44840BB6BEB26E73F83E9",1)</f>
        <v>=DISPIMG("ID_F7BC6213D6E44840BB6BEB26E73F83E9",1)</v>
      </c>
      <c r="T128" s="115" t="s">
        <v>1231</v>
      </c>
      <c r="U128" s="27">
        <v>130</v>
      </c>
    </row>
    <row r="129" s="3" customFormat="1" customHeight="1" spans="1:21">
      <c r="A129" s="144">
        <v>44358.3627662037</v>
      </c>
      <c r="B129" s="27" t="s">
        <v>1232</v>
      </c>
      <c r="C129" s="27" t="s">
        <v>1233</v>
      </c>
      <c r="D129" s="162" t="s">
        <v>1234</v>
      </c>
      <c r="E129" s="162" t="s">
        <v>165</v>
      </c>
      <c r="F129" s="162" t="s">
        <v>1235</v>
      </c>
      <c r="G129" s="27">
        <v>18870682713</v>
      </c>
      <c r="H129" s="162" t="s">
        <v>1236</v>
      </c>
      <c r="I129" s="162" t="s">
        <v>278</v>
      </c>
      <c r="J129" s="162" t="s">
        <v>28</v>
      </c>
      <c r="K129" s="27">
        <v>202103001</v>
      </c>
      <c r="L129" s="162" t="s">
        <v>279</v>
      </c>
      <c r="M129" s="162" t="s">
        <v>1237</v>
      </c>
      <c r="N129" s="162" t="s">
        <v>280</v>
      </c>
      <c r="O129" s="162" t="s">
        <v>170</v>
      </c>
      <c r="P129" s="162" t="s">
        <v>161</v>
      </c>
      <c r="Q129" s="162" t="s">
        <v>340</v>
      </c>
      <c r="R129" s="162" t="s">
        <v>1238</v>
      </c>
      <c r="S129" s="118" t="str">
        <f>_xlfn.DISPIMG("ID_BE82B2F060544F05BBDE4FAB7F0C0521",1)</f>
        <v>=DISPIMG("ID_BE82B2F060544F05BBDE4FAB7F0C0521",1)</v>
      </c>
      <c r="T129" s="115" t="s">
        <v>1239</v>
      </c>
      <c r="U129" s="27">
        <v>131</v>
      </c>
    </row>
    <row r="130" s="3" customFormat="1" customHeight="1" spans="1:21">
      <c r="A130" s="144">
        <v>44358.3719791667</v>
      </c>
      <c r="B130" s="27" t="s">
        <v>1240</v>
      </c>
      <c r="C130" s="27" t="s">
        <v>1241</v>
      </c>
      <c r="D130" s="162" t="s">
        <v>1242</v>
      </c>
      <c r="E130" s="162" t="s">
        <v>165</v>
      </c>
      <c r="F130" s="162" t="s">
        <v>1243</v>
      </c>
      <c r="G130" s="27">
        <v>18870899233</v>
      </c>
      <c r="H130" s="162" t="s">
        <v>1244</v>
      </c>
      <c r="I130" s="162" t="s">
        <v>278</v>
      </c>
      <c r="J130" s="162" t="s">
        <v>28</v>
      </c>
      <c r="K130" s="27">
        <v>202103001</v>
      </c>
      <c r="L130" s="162" t="s">
        <v>279</v>
      </c>
      <c r="M130" s="162" t="s">
        <v>1237</v>
      </c>
      <c r="N130" s="162" t="s">
        <v>280</v>
      </c>
      <c r="O130" s="162" t="s">
        <v>170</v>
      </c>
      <c r="P130" s="162" t="s">
        <v>161</v>
      </c>
      <c r="Q130" s="162" t="s">
        <v>340</v>
      </c>
      <c r="R130" s="162" t="s">
        <v>1245</v>
      </c>
      <c r="S130" s="118" t="str">
        <f>_xlfn.DISPIMG("ID_1047B30E34C949B594403C816BBC2C68",1)</f>
        <v>=DISPIMG("ID_1047B30E34C949B594403C816BBC2C68",1)</v>
      </c>
      <c r="T130" s="115" t="s">
        <v>1246</v>
      </c>
      <c r="U130" s="27">
        <v>132</v>
      </c>
    </row>
    <row r="131" s="3" customFormat="1" customHeight="1" spans="1:21">
      <c r="A131" s="144">
        <v>44358.3973842593</v>
      </c>
      <c r="B131" s="27" t="s">
        <v>1247</v>
      </c>
      <c r="C131" s="27" t="s">
        <v>1248</v>
      </c>
      <c r="D131" s="162" t="s">
        <v>1249</v>
      </c>
      <c r="E131" s="162" t="s">
        <v>153</v>
      </c>
      <c r="F131" s="162" t="s">
        <v>1250</v>
      </c>
      <c r="G131" s="27">
        <v>13687914090</v>
      </c>
      <c r="H131" s="162" t="s">
        <v>1251</v>
      </c>
      <c r="I131" s="162" t="s">
        <v>278</v>
      </c>
      <c r="J131" s="162" t="s">
        <v>28</v>
      </c>
      <c r="K131" s="27">
        <v>202103001</v>
      </c>
      <c r="L131" s="162" t="s">
        <v>279</v>
      </c>
      <c r="M131" s="162" t="s">
        <v>515</v>
      </c>
      <c r="N131" s="162" t="s">
        <v>280</v>
      </c>
      <c r="O131" s="162" t="s">
        <v>170</v>
      </c>
      <c r="P131" s="162" t="s">
        <v>541</v>
      </c>
      <c r="Q131" s="162" t="s">
        <v>376</v>
      </c>
      <c r="R131" s="27">
        <v>0</v>
      </c>
      <c r="S131" s="118" t="str">
        <f>_xlfn.DISPIMG("ID_42B7E9B54AA84CB08052198053CBAE81",1)</f>
        <v>=DISPIMG("ID_42B7E9B54AA84CB08052198053CBAE81",1)</v>
      </c>
      <c r="T131" s="115" t="s">
        <v>1252</v>
      </c>
      <c r="U131" s="27">
        <v>133</v>
      </c>
    </row>
    <row r="132" s="3" customFormat="1" customHeight="1" spans="1:21">
      <c r="A132" s="144">
        <v>44358.3814583333</v>
      </c>
      <c r="B132" s="27" t="s">
        <v>1253</v>
      </c>
      <c r="C132" s="27" t="s">
        <v>1254</v>
      </c>
      <c r="D132" s="162" t="s">
        <v>1255</v>
      </c>
      <c r="E132" s="162" t="s">
        <v>165</v>
      </c>
      <c r="F132" s="162" t="s">
        <v>1256</v>
      </c>
      <c r="G132" s="27">
        <v>18370224457</v>
      </c>
      <c r="H132" s="162" t="s">
        <v>1257</v>
      </c>
      <c r="I132" s="162" t="s">
        <v>506</v>
      </c>
      <c r="J132" s="162" t="s">
        <v>14</v>
      </c>
      <c r="K132" s="27">
        <v>202102014</v>
      </c>
      <c r="L132" s="162" t="s">
        <v>279</v>
      </c>
      <c r="M132" s="162" t="s">
        <v>1258</v>
      </c>
      <c r="N132" s="162" t="s">
        <v>348</v>
      </c>
      <c r="O132" s="162" t="s">
        <v>170</v>
      </c>
      <c r="P132" s="162" t="s">
        <v>161</v>
      </c>
      <c r="Q132" s="162" t="s">
        <v>121</v>
      </c>
      <c r="R132" s="162" t="s">
        <v>1259</v>
      </c>
      <c r="S132" s="118" t="str">
        <f>_xlfn.DISPIMG("ID_AF9D4A23BC36463DA48841C24B1BEB6F",1)</f>
        <v>=DISPIMG("ID_AF9D4A23BC36463DA48841C24B1BEB6F",1)</v>
      </c>
      <c r="T132" s="115" t="s">
        <v>1260</v>
      </c>
      <c r="U132" s="27">
        <v>134</v>
      </c>
    </row>
    <row r="133" s="3" customFormat="1" customHeight="1" spans="1:21">
      <c r="A133" s="144">
        <v>44358.3837962963</v>
      </c>
      <c r="B133" s="27" t="s">
        <v>1261</v>
      </c>
      <c r="C133" s="27" t="s">
        <v>1262</v>
      </c>
      <c r="D133" s="162" t="s">
        <v>1262</v>
      </c>
      <c r="E133" s="162" t="s">
        <v>165</v>
      </c>
      <c r="F133" s="162" t="s">
        <v>1263</v>
      </c>
      <c r="G133" s="27">
        <v>18897926715</v>
      </c>
      <c r="H133" s="162" t="s">
        <v>1264</v>
      </c>
      <c r="I133" s="162" t="s">
        <v>156</v>
      </c>
      <c r="J133" s="162" t="s">
        <v>8</v>
      </c>
      <c r="K133" s="27">
        <v>202102002</v>
      </c>
      <c r="L133" s="162" t="s">
        <v>157</v>
      </c>
      <c r="M133" s="162" t="s">
        <v>1265</v>
      </c>
      <c r="N133" s="162" t="s">
        <v>813</v>
      </c>
      <c r="O133" s="162" t="s">
        <v>160</v>
      </c>
      <c r="P133" s="162" t="s">
        <v>199</v>
      </c>
      <c r="Q133" s="162" t="s">
        <v>1266</v>
      </c>
      <c r="R133" s="27">
        <v>0</v>
      </c>
      <c r="S133" s="118" t="str">
        <f>_xlfn.DISPIMG("ID_5DC2209F39824089B70DAE46CB942DD1",1)</f>
        <v>=DISPIMG("ID_5DC2209F39824089B70DAE46CB942DD1",1)</v>
      </c>
      <c r="T133" s="115" t="s">
        <v>1267</v>
      </c>
      <c r="U133" s="27">
        <v>135</v>
      </c>
    </row>
    <row r="134" s="3" customFormat="1" customHeight="1" spans="1:21">
      <c r="A134" s="144">
        <v>44358.3886921296</v>
      </c>
      <c r="B134" s="27" t="s">
        <v>1268</v>
      </c>
      <c r="C134" s="27" t="s">
        <v>1269</v>
      </c>
      <c r="D134" s="162" t="s">
        <v>1270</v>
      </c>
      <c r="E134" s="162" t="s">
        <v>153</v>
      </c>
      <c r="F134" s="162" t="s">
        <v>1271</v>
      </c>
      <c r="G134" s="27">
        <v>18879347903</v>
      </c>
      <c r="H134" s="162" t="s">
        <v>1272</v>
      </c>
      <c r="I134" s="162" t="s">
        <v>156</v>
      </c>
      <c r="J134" s="162" t="s">
        <v>13</v>
      </c>
      <c r="K134" s="27">
        <v>202102003</v>
      </c>
      <c r="L134" s="162" t="s">
        <v>279</v>
      </c>
      <c r="M134" s="162" t="s">
        <v>1273</v>
      </c>
      <c r="N134" s="162" t="s">
        <v>223</v>
      </c>
      <c r="O134" s="162" t="s">
        <v>170</v>
      </c>
      <c r="P134" s="162" t="s">
        <v>548</v>
      </c>
      <c r="Q134" s="162" t="s">
        <v>13</v>
      </c>
      <c r="R134" s="162" t="s">
        <v>1274</v>
      </c>
      <c r="S134" s="118" t="str">
        <f>_xlfn.DISPIMG("ID_DF04DBFB481D40418B898CD7AB20784A",1)</f>
        <v>=DISPIMG("ID_DF04DBFB481D40418B898CD7AB20784A",1)</v>
      </c>
      <c r="T134" s="115" t="s">
        <v>1275</v>
      </c>
      <c r="U134" s="27">
        <v>136</v>
      </c>
    </row>
    <row r="135" s="3" customFormat="1" customHeight="1" spans="1:21">
      <c r="A135" s="144">
        <v>44358.3890972222</v>
      </c>
      <c r="B135" s="27" t="s">
        <v>1276</v>
      </c>
      <c r="C135" s="27" t="s">
        <v>1067</v>
      </c>
      <c r="D135" s="162" t="s">
        <v>1068</v>
      </c>
      <c r="E135" s="162" t="s">
        <v>165</v>
      </c>
      <c r="F135" s="162" t="s">
        <v>1069</v>
      </c>
      <c r="G135" s="27">
        <v>18279237136</v>
      </c>
      <c r="H135" s="162" t="s">
        <v>1277</v>
      </c>
      <c r="I135" s="162" t="s">
        <v>506</v>
      </c>
      <c r="J135" s="162" t="s">
        <v>6</v>
      </c>
      <c r="K135" s="27">
        <v>202102021</v>
      </c>
      <c r="L135" s="162" t="s">
        <v>157</v>
      </c>
      <c r="M135" s="162" t="s">
        <v>1071</v>
      </c>
      <c r="N135" s="162" t="s">
        <v>454</v>
      </c>
      <c r="O135" s="162" t="s">
        <v>160</v>
      </c>
      <c r="P135" s="162" t="s">
        <v>161</v>
      </c>
      <c r="Q135" s="162" t="s">
        <v>413</v>
      </c>
      <c r="R135" s="162" t="s">
        <v>1072</v>
      </c>
      <c r="S135" s="118" t="str">
        <f>_xlfn.DISPIMG("ID_4A5DEA3E498746E9A9AC483CF4ABDF91",1)</f>
        <v>=DISPIMG("ID_4A5DEA3E498746E9A9AC483CF4ABDF91",1)</v>
      </c>
      <c r="T135" s="115" t="s">
        <v>1073</v>
      </c>
      <c r="U135" s="27">
        <v>137</v>
      </c>
    </row>
    <row r="136" s="3" customFormat="1" customHeight="1" spans="1:21">
      <c r="A136" s="144">
        <v>44358.3930671296</v>
      </c>
      <c r="B136" s="27" t="s">
        <v>1278</v>
      </c>
      <c r="C136" s="27" t="s">
        <v>1279</v>
      </c>
      <c r="D136" s="162" t="s">
        <v>1280</v>
      </c>
      <c r="E136" s="162" t="s">
        <v>165</v>
      </c>
      <c r="F136" s="162" t="s">
        <v>1281</v>
      </c>
      <c r="G136" s="27">
        <v>15779415003</v>
      </c>
      <c r="H136" s="162" t="s">
        <v>1282</v>
      </c>
      <c r="I136" s="162" t="s">
        <v>278</v>
      </c>
      <c r="J136" s="162" t="s">
        <v>28</v>
      </c>
      <c r="K136" s="27">
        <v>202103001</v>
      </c>
      <c r="L136" s="162" t="s">
        <v>279</v>
      </c>
      <c r="M136" s="162" t="s">
        <v>367</v>
      </c>
      <c r="N136" s="162" t="s">
        <v>280</v>
      </c>
      <c r="O136" s="162" t="s">
        <v>170</v>
      </c>
      <c r="P136" s="162" t="s">
        <v>368</v>
      </c>
      <c r="Q136" s="162" t="s">
        <v>340</v>
      </c>
      <c r="R136" s="162" t="s">
        <v>1283</v>
      </c>
      <c r="S136" s="118" t="str">
        <f>_xlfn.DISPIMG("ID_7CFB1AF7BB454AE0866D54E1D87E03E1",1)</f>
        <v>=DISPIMG("ID_7CFB1AF7BB454AE0866D54E1D87E03E1",1)</v>
      </c>
      <c r="T136" s="115" t="s">
        <v>1284</v>
      </c>
      <c r="U136" s="27">
        <v>138</v>
      </c>
    </row>
    <row r="137" s="4" customFormat="1" customHeight="1" spans="1:21">
      <c r="A137" s="145">
        <v>44358.4026388889</v>
      </c>
      <c r="B137" s="22" t="s">
        <v>1285</v>
      </c>
      <c r="C137" s="22" t="s">
        <v>274</v>
      </c>
      <c r="D137" s="164" t="s">
        <v>1286</v>
      </c>
      <c r="E137" s="164" t="s">
        <v>165</v>
      </c>
      <c r="F137" s="164" t="s">
        <v>1287</v>
      </c>
      <c r="G137" s="22">
        <v>18296159811</v>
      </c>
      <c r="H137" s="164" t="s">
        <v>1288</v>
      </c>
      <c r="I137" s="164" t="s">
        <v>278</v>
      </c>
      <c r="J137" s="164" t="s">
        <v>28</v>
      </c>
      <c r="K137" s="22">
        <v>202103001</v>
      </c>
      <c r="L137" s="164" t="s">
        <v>279</v>
      </c>
      <c r="M137" s="164" t="s">
        <v>1289</v>
      </c>
      <c r="N137" s="164" t="s">
        <v>280</v>
      </c>
      <c r="O137" s="164" t="s">
        <v>170</v>
      </c>
      <c r="P137" s="164" t="s">
        <v>216</v>
      </c>
      <c r="Q137" s="164" t="s">
        <v>960</v>
      </c>
      <c r="R137" s="164" t="s">
        <v>1290</v>
      </c>
      <c r="S137" s="23" t="str">
        <f>_xlfn.DISPIMG("ID_FACC95E727304010BE372974F21E9256",1)</f>
        <v>=DISPIMG("ID_FACC95E727304010BE372974F21E9256",1)</v>
      </c>
      <c r="T137" s="103" t="s">
        <v>1291</v>
      </c>
      <c r="U137" s="27">
        <v>139</v>
      </c>
    </row>
    <row r="138" s="3" customFormat="1" customHeight="1" spans="1:21">
      <c r="A138" s="144">
        <v>44358.4050347222</v>
      </c>
      <c r="B138" s="27" t="s">
        <v>1292</v>
      </c>
      <c r="C138" s="27" t="s">
        <v>1293</v>
      </c>
      <c r="D138" s="162" t="s">
        <v>1294</v>
      </c>
      <c r="E138" s="162" t="s">
        <v>165</v>
      </c>
      <c r="F138" s="162" t="s">
        <v>1295</v>
      </c>
      <c r="G138" s="27">
        <v>16607139534</v>
      </c>
      <c r="H138" s="162" t="s">
        <v>1296</v>
      </c>
      <c r="I138" s="162" t="s">
        <v>384</v>
      </c>
      <c r="J138" s="162" t="s">
        <v>18</v>
      </c>
      <c r="K138" s="27">
        <v>202101024</v>
      </c>
      <c r="L138" s="162" t="s">
        <v>705</v>
      </c>
      <c r="M138" s="162" t="s">
        <v>1297</v>
      </c>
      <c r="N138" s="162" t="s">
        <v>323</v>
      </c>
      <c r="O138" s="162" t="s">
        <v>160</v>
      </c>
      <c r="P138" s="162" t="s">
        <v>455</v>
      </c>
      <c r="Q138" s="162" t="s">
        <v>18</v>
      </c>
      <c r="R138" s="162" t="s">
        <v>1298</v>
      </c>
      <c r="S138" s="118" t="str">
        <f>_xlfn.DISPIMG("ID_0467DD9C16B84F62946A6DA8763F5DB1",1)</f>
        <v>=DISPIMG("ID_0467DD9C16B84F62946A6DA8763F5DB1",1)</v>
      </c>
      <c r="T138" s="115" t="s">
        <v>1299</v>
      </c>
      <c r="U138" s="27">
        <v>140</v>
      </c>
    </row>
    <row r="139" s="3" customFormat="1" customHeight="1" spans="1:21">
      <c r="A139" s="144">
        <v>44358.4058796296</v>
      </c>
      <c r="B139" s="27" t="s">
        <v>1300</v>
      </c>
      <c r="C139" s="27" t="s">
        <v>1301</v>
      </c>
      <c r="D139" s="162" t="s">
        <v>833</v>
      </c>
      <c r="E139" s="162" t="s">
        <v>165</v>
      </c>
      <c r="F139" s="162" t="s">
        <v>1302</v>
      </c>
      <c r="G139" s="27">
        <v>15770803797</v>
      </c>
      <c r="H139" s="162" t="s">
        <v>1303</v>
      </c>
      <c r="I139" s="162" t="s">
        <v>384</v>
      </c>
      <c r="J139" s="162" t="s">
        <v>19</v>
      </c>
      <c r="K139" s="27">
        <v>202101014</v>
      </c>
      <c r="L139" s="162" t="s">
        <v>705</v>
      </c>
      <c r="M139" s="162" t="s">
        <v>1304</v>
      </c>
      <c r="N139" s="162" t="s">
        <v>1305</v>
      </c>
      <c r="O139" s="162" t="s">
        <v>160</v>
      </c>
      <c r="P139" s="162" t="s">
        <v>516</v>
      </c>
      <c r="Q139" s="162" t="s">
        <v>1306</v>
      </c>
      <c r="R139" s="162" t="s">
        <v>1307</v>
      </c>
      <c r="S139" s="118" t="str">
        <f>_xlfn.DISPIMG("ID_2E0E8C97ADBC44CDA9BEA81CC587B750",1)</f>
        <v>=DISPIMG("ID_2E0E8C97ADBC44CDA9BEA81CC587B750",1)</v>
      </c>
      <c r="T139" s="115" t="s">
        <v>1308</v>
      </c>
      <c r="U139" s="27">
        <v>141</v>
      </c>
    </row>
    <row r="140" s="3" customFormat="1" customHeight="1" spans="1:21">
      <c r="A140" s="144">
        <v>44358.415462963</v>
      </c>
      <c r="B140" s="27" t="s">
        <v>1309</v>
      </c>
      <c r="C140" s="27" t="s">
        <v>1310</v>
      </c>
      <c r="D140" s="162" t="s">
        <v>1311</v>
      </c>
      <c r="E140" s="162" t="s">
        <v>165</v>
      </c>
      <c r="F140" s="162" t="s">
        <v>1312</v>
      </c>
      <c r="G140" s="27">
        <v>13672224425</v>
      </c>
      <c r="H140" s="162" t="s">
        <v>1313</v>
      </c>
      <c r="I140" s="162" t="s">
        <v>156</v>
      </c>
      <c r="J140" s="162" t="s">
        <v>13</v>
      </c>
      <c r="K140" s="27">
        <v>202102003</v>
      </c>
      <c r="L140" s="162" t="s">
        <v>157</v>
      </c>
      <c r="M140" s="162" t="s">
        <v>697</v>
      </c>
      <c r="N140" s="162" t="s">
        <v>243</v>
      </c>
      <c r="O140" s="162" t="s">
        <v>160</v>
      </c>
      <c r="P140" s="162" t="s">
        <v>368</v>
      </c>
      <c r="Q140" s="162" t="s">
        <v>13</v>
      </c>
      <c r="R140" s="162" t="s">
        <v>1314</v>
      </c>
      <c r="S140" s="118" t="str">
        <f>_xlfn.DISPIMG("ID_7D2290FD7009470AB45B6E90DB94AE0B",1)</f>
        <v>=DISPIMG("ID_7D2290FD7009470AB45B6E90DB94AE0B",1)</v>
      </c>
      <c r="T140" s="115" t="s">
        <v>1315</v>
      </c>
      <c r="U140" s="27">
        <v>142</v>
      </c>
    </row>
    <row r="141" s="3" customFormat="1" customHeight="1" spans="1:21">
      <c r="A141" s="144">
        <v>44358.4267361111</v>
      </c>
      <c r="B141" s="27" t="s">
        <v>1316</v>
      </c>
      <c r="C141" s="27" t="s">
        <v>1317</v>
      </c>
      <c r="D141" s="162" t="s">
        <v>1318</v>
      </c>
      <c r="E141" s="162" t="s">
        <v>165</v>
      </c>
      <c r="F141" s="162" t="s">
        <v>1319</v>
      </c>
      <c r="G141" s="27">
        <v>18270633854</v>
      </c>
      <c r="H141" s="162" t="s">
        <v>1320</v>
      </c>
      <c r="I141" s="162" t="s">
        <v>156</v>
      </c>
      <c r="J141" s="162" t="s">
        <v>8</v>
      </c>
      <c r="K141" s="27">
        <v>202102002</v>
      </c>
      <c r="L141" s="162" t="s">
        <v>157</v>
      </c>
      <c r="M141" s="162" t="s">
        <v>1258</v>
      </c>
      <c r="N141" s="162" t="s">
        <v>1321</v>
      </c>
      <c r="O141" s="162" t="s">
        <v>160</v>
      </c>
      <c r="P141" s="162" t="s">
        <v>516</v>
      </c>
      <c r="Q141" s="162" t="s">
        <v>1322</v>
      </c>
      <c r="R141" s="162" t="s">
        <v>1323</v>
      </c>
      <c r="S141" s="118" t="str">
        <f>_xlfn.DISPIMG("ID_D86A3E1B243D4E47B731958FB3B82FC3",1)</f>
        <v>=DISPIMG("ID_D86A3E1B243D4E47B731958FB3B82FC3",1)</v>
      </c>
      <c r="T141" s="115" t="s">
        <v>1324</v>
      </c>
      <c r="U141" s="27">
        <v>143</v>
      </c>
    </row>
    <row r="142" s="3" customFormat="1" customHeight="1" spans="1:21">
      <c r="A142" s="144">
        <v>44358.4431828704</v>
      </c>
      <c r="B142" s="27" t="s">
        <v>1334</v>
      </c>
      <c r="C142" s="27" t="s">
        <v>1335</v>
      </c>
      <c r="D142" s="162" t="s">
        <v>1336</v>
      </c>
      <c r="E142" s="162" t="s">
        <v>165</v>
      </c>
      <c r="F142" s="162" t="s">
        <v>1337</v>
      </c>
      <c r="G142" s="27">
        <v>15827758062</v>
      </c>
      <c r="H142" s="162" t="s">
        <v>1338</v>
      </c>
      <c r="I142" s="162" t="s">
        <v>506</v>
      </c>
      <c r="J142" s="162" t="s">
        <v>6</v>
      </c>
      <c r="K142" s="27">
        <v>202102021</v>
      </c>
      <c r="L142" s="162" t="s">
        <v>157</v>
      </c>
      <c r="M142" s="162" t="s">
        <v>909</v>
      </c>
      <c r="N142" s="162" t="s">
        <v>323</v>
      </c>
      <c r="O142" s="162" t="s">
        <v>170</v>
      </c>
      <c r="P142" s="162" t="s">
        <v>235</v>
      </c>
      <c r="Q142" s="162" t="s">
        <v>1339</v>
      </c>
      <c r="R142" s="162" t="s">
        <v>1340</v>
      </c>
      <c r="S142" s="118" t="str">
        <f>_xlfn.DISPIMG("ID_59602C342648425A87CF8C12540A5579",1)</f>
        <v>=DISPIMG("ID_59602C342648425A87CF8C12540A5579",1)</v>
      </c>
      <c r="T142" s="115" t="s">
        <v>1341</v>
      </c>
      <c r="U142" s="27">
        <v>145</v>
      </c>
    </row>
    <row r="143" s="5" customFormat="1" customHeight="1" spans="1:21">
      <c r="A143" s="146">
        <v>44362.90625</v>
      </c>
      <c r="B143" s="116" t="s">
        <v>1342</v>
      </c>
      <c r="C143" s="116" t="s">
        <v>1343</v>
      </c>
      <c r="D143" s="165" t="s">
        <v>1344</v>
      </c>
      <c r="E143" s="165" t="s">
        <v>165</v>
      </c>
      <c r="F143" s="165" t="s">
        <v>1345</v>
      </c>
      <c r="G143" s="116">
        <v>15179298712</v>
      </c>
      <c r="H143" s="165" t="s">
        <v>177</v>
      </c>
      <c r="I143" s="165" t="s">
        <v>278</v>
      </c>
      <c r="J143" s="165" t="s">
        <v>28</v>
      </c>
      <c r="K143" s="116">
        <v>202103001</v>
      </c>
      <c r="L143" s="165" t="s">
        <v>279</v>
      </c>
      <c r="M143" s="165" t="s">
        <v>158</v>
      </c>
      <c r="N143" s="165" t="s">
        <v>179</v>
      </c>
      <c r="O143" s="165" t="s">
        <v>170</v>
      </c>
      <c r="P143" s="165" t="s">
        <v>1346</v>
      </c>
      <c r="Q143" s="165" t="s">
        <v>1013</v>
      </c>
      <c r="R143" s="116">
        <v>0</v>
      </c>
      <c r="S143" s="119" t="str">
        <f>_xlfn.DISPIMG("ID_249FF3C1A0EA4CE88757DD6F52651ECC",1)</f>
        <v>=DISPIMG("ID_249FF3C1A0EA4CE88757DD6F52651ECC",1)</v>
      </c>
      <c r="T143" s="120" t="s">
        <v>1347</v>
      </c>
      <c r="U143" s="27">
        <v>146</v>
      </c>
    </row>
    <row r="144" s="3" customFormat="1" customHeight="1" spans="1:21">
      <c r="A144" s="144">
        <v>44358.4567013889</v>
      </c>
      <c r="B144" s="27" t="s">
        <v>1348</v>
      </c>
      <c r="C144" s="27" t="s">
        <v>1349</v>
      </c>
      <c r="D144" s="162" t="s">
        <v>1350</v>
      </c>
      <c r="E144" s="162" t="s">
        <v>165</v>
      </c>
      <c r="F144" s="162" t="s">
        <v>1351</v>
      </c>
      <c r="G144" s="27">
        <v>13767415091</v>
      </c>
      <c r="H144" s="162" t="s">
        <v>1352</v>
      </c>
      <c r="I144" s="162" t="s">
        <v>156</v>
      </c>
      <c r="J144" s="162" t="s">
        <v>14</v>
      </c>
      <c r="K144" s="27">
        <v>202102001</v>
      </c>
      <c r="L144" s="162" t="s">
        <v>157</v>
      </c>
      <c r="M144" s="162" t="s">
        <v>827</v>
      </c>
      <c r="N144" s="162" t="s">
        <v>223</v>
      </c>
      <c r="O144" s="162" t="s">
        <v>170</v>
      </c>
      <c r="P144" s="162" t="s">
        <v>306</v>
      </c>
      <c r="Q144" s="162" t="s">
        <v>1353</v>
      </c>
      <c r="R144" s="27">
        <v>0</v>
      </c>
      <c r="S144" s="118" t="str">
        <f>_xlfn.DISPIMG("ID_7AB2E23FEFF940D9992E8955A95BEDD5",1)</f>
        <v>=DISPIMG("ID_7AB2E23FEFF940D9992E8955A95BEDD5",1)</v>
      </c>
      <c r="T144" s="115" t="s">
        <v>1354</v>
      </c>
      <c r="U144" s="27">
        <v>147</v>
      </c>
    </row>
    <row r="145" s="3" customFormat="1" customHeight="1" spans="1:21">
      <c r="A145" s="144">
        <v>44358.4587037037</v>
      </c>
      <c r="B145" s="27" t="s">
        <v>1355</v>
      </c>
      <c r="C145" s="27" t="s">
        <v>1356</v>
      </c>
      <c r="D145" s="162" t="s">
        <v>1357</v>
      </c>
      <c r="E145" s="162" t="s">
        <v>165</v>
      </c>
      <c r="F145" s="162" t="s">
        <v>1358</v>
      </c>
      <c r="G145" s="27">
        <v>19977181836</v>
      </c>
      <c r="H145" s="162" t="s">
        <v>1359</v>
      </c>
      <c r="I145" s="162" t="s">
        <v>156</v>
      </c>
      <c r="J145" s="162" t="s">
        <v>13</v>
      </c>
      <c r="K145" s="27">
        <v>202102003</v>
      </c>
      <c r="L145" s="162" t="s">
        <v>157</v>
      </c>
      <c r="M145" s="162" t="s">
        <v>1360</v>
      </c>
      <c r="N145" s="162" t="s">
        <v>223</v>
      </c>
      <c r="O145" s="162" t="s">
        <v>170</v>
      </c>
      <c r="P145" s="162" t="s">
        <v>587</v>
      </c>
      <c r="Q145" s="162" t="s">
        <v>1361</v>
      </c>
      <c r="R145" s="162" t="s">
        <v>1362</v>
      </c>
      <c r="S145" s="118" t="str">
        <f>_xlfn.DISPIMG("ID_F234455BC8F04A26B7C1140CBE7FB1F1",1)</f>
        <v>=DISPIMG("ID_F234455BC8F04A26B7C1140CBE7FB1F1",1)</v>
      </c>
      <c r="T145" s="115" t="s">
        <v>1363</v>
      </c>
      <c r="U145" s="27">
        <v>148</v>
      </c>
    </row>
    <row r="146" s="3" customFormat="1" customHeight="1" spans="1:21">
      <c r="A146" s="144">
        <v>44358.4746064815</v>
      </c>
      <c r="B146" s="27" t="s">
        <v>1364</v>
      </c>
      <c r="C146" s="27" t="s">
        <v>1365</v>
      </c>
      <c r="D146" s="162" t="s">
        <v>1365</v>
      </c>
      <c r="E146" s="162" t="s">
        <v>153</v>
      </c>
      <c r="F146" s="162" t="s">
        <v>1366</v>
      </c>
      <c r="G146" s="27">
        <v>15720964071</v>
      </c>
      <c r="H146" s="162" t="s">
        <v>1367</v>
      </c>
      <c r="I146" s="162" t="s">
        <v>268</v>
      </c>
      <c r="J146" s="162" t="s">
        <v>17</v>
      </c>
      <c r="K146" s="27">
        <v>202101017</v>
      </c>
      <c r="L146" s="162" t="s">
        <v>157</v>
      </c>
      <c r="M146" s="162" t="s">
        <v>1368</v>
      </c>
      <c r="N146" s="162" t="s">
        <v>290</v>
      </c>
      <c r="O146" s="162" t="s">
        <v>170</v>
      </c>
      <c r="P146" s="162" t="s">
        <v>455</v>
      </c>
      <c r="Q146" s="162" t="s">
        <v>1369</v>
      </c>
      <c r="R146" s="27">
        <v>0</v>
      </c>
      <c r="S146" s="118" t="str">
        <f>_xlfn.DISPIMG("ID_EB5AC667C054437CBFE2486B339F8A77",1)</f>
        <v>=DISPIMG("ID_EB5AC667C054437CBFE2486B339F8A77",1)</v>
      </c>
      <c r="T146" s="115" t="s">
        <v>1370</v>
      </c>
      <c r="U146" s="27">
        <v>149</v>
      </c>
    </row>
    <row r="147" s="3" customFormat="1" customHeight="1" spans="1:21">
      <c r="A147" s="144">
        <v>44358.5028240741</v>
      </c>
      <c r="B147" s="27" t="s">
        <v>1371</v>
      </c>
      <c r="C147" s="27" t="s">
        <v>1372</v>
      </c>
      <c r="D147" s="162" t="s">
        <v>1373</v>
      </c>
      <c r="E147" s="162" t="s">
        <v>165</v>
      </c>
      <c r="F147" s="162" t="s">
        <v>1374</v>
      </c>
      <c r="G147" s="27">
        <v>15070130599</v>
      </c>
      <c r="H147" s="162" t="s">
        <v>1375</v>
      </c>
      <c r="I147" s="162" t="s">
        <v>384</v>
      </c>
      <c r="J147" s="162" t="s">
        <v>25</v>
      </c>
      <c r="K147" s="27">
        <v>202101007</v>
      </c>
      <c r="L147" s="162" t="s">
        <v>705</v>
      </c>
      <c r="M147" s="162" t="s">
        <v>1376</v>
      </c>
      <c r="N147" s="162" t="s">
        <v>790</v>
      </c>
      <c r="O147" s="162" t="s">
        <v>160</v>
      </c>
      <c r="P147" s="162" t="s">
        <v>455</v>
      </c>
      <c r="Q147" s="162" t="s">
        <v>1156</v>
      </c>
      <c r="R147" s="27">
        <v>0</v>
      </c>
      <c r="S147" s="118" t="str">
        <f>_xlfn.DISPIMG("ID_ECF84772EBB248C2BC2BD56C2C168331",1)</f>
        <v>=DISPIMG("ID_ECF84772EBB248C2BC2BD56C2C168331",1)</v>
      </c>
      <c r="T147" s="115" t="s">
        <v>1377</v>
      </c>
      <c r="U147" s="27">
        <v>150</v>
      </c>
    </row>
    <row r="148" s="3" customFormat="1" customHeight="1" spans="1:21">
      <c r="A148" s="144">
        <v>44358.5073148148</v>
      </c>
      <c r="B148" s="27" t="s">
        <v>1378</v>
      </c>
      <c r="C148" s="27" t="s">
        <v>1379</v>
      </c>
      <c r="D148" s="162" t="s">
        <v>1380</v>
      </c>
      <c r="E148" s="162" t="s">
        <v>165</v>
      </c>
      <c r="F148" s="162" t="s">
        <v>1381</v>
      </c>
      <c r="G148" s="27">
        <v>15279288135</v>
      </c>
      <c r="H148" s="162" t="s">
        <v>1382</v>
      </c>
      <c r="I148" s="162" t="s">
        <v>156</v>
      </c>
      <c r="J148" s="162" t="s">
        <v>14</v>
      </c>
      <c r="K148" s="27">
        <v>202102001</v>
      </c>
      <c r="L148" s="162" t="s">
        <v>279</v>
      </c>
      <c r="M148" s="162" t="s">
        <v>339</v>
      </c>
      <c r="N148" s="162" t="s">
        <v>348</v>
      </c>
      <c r="O148" s="162" t="s">
        <v>170</v>
      </c>
      <c r="P148" s="162" t="s">
        <v>368</v>
      </c>
      <c r="Q148" s="162" t="s">
        <v>350</v>
      </c>
      <c r="R148" s="162" t="s">
        <v>1383</v>
      </c>
      <c r="S148" s="118" t="str">
        <f>_xlfn.DISPIMG("ID_05A4371881E64A5ABCF18AC5C0DCA23F",1)</f>
        <v>=DISPIMG("ID_05A4371881E64A5ABCF18AC5C0DCA23F",1)</v>
      </c>
      <c r="T148" s="115" t="s">
        <v>1384</v>
      </c>
      <c r="U148" s="27">
        <v>151</v>
      </c>
    </row>
    <row r="149" s="3" customFormat="1" customHeight="1" spans="1:21">
      <c r="A149" s="144">
        <v>44358.5278819444</v>
      </c>
      <c r="B149" s="27" t="s">
        <v>1385</v>
      </c>
      <c r="C149" s="27" t="s">
        <v>1386</v>
      </c>
      <c r="D149" s="162" t="s">
        <v>1387</v>
      </c>
      <c r="E149" s="162" t="s">
        <v>165</v>
      </c>
      <c r="F149" s="162" t="s">
        <v>1388</v>
      </c>
      <c r="G149" s="27">
        <v>15079175259</v>
      </c>
      <c r="H149" s="162" t="s">
        <v>1389</v>
      </c>
      <c r="I149" s="162" t="s">
        <v>156</v>
      </c>
      <c r="J149" s="162" t="s">
        <v>18</v>
      </c>
      <c r="K149" s="27">
        <v>202101012</v>
      </c>
      <c r="L149" s="162" t="s">
        <v>157</v>
      </c>
      <c r="M149" s="162" t="s">
        <v>827</v>
      </c>
      <c r="N149" s="162" t="s">
        <v>1390</v>
      </c>
      <c r="O149" s="162" t="s">
        <v>170</v>
      </c>
      <c r="P149" s="162" t="s">
        <v>261</v>
      </c>
      <c r="Q149" s="162" t="s">
        <v>18</v>
      </c>
      <c r="R149" s="27">
        <v>0</v>
      </c>
      <c r="S149" s="118" t="str">
        <f>_xlfn.DISPIMG("ID_22A5305EF7CD44458C8E85EF1B5003E3",1)</f>
        <v>=DISPIMG("ID_22A5305EF7CD44458C8E85EF1B5003E3",1)</v>
      </c>
      <c r="T149" s="115" t="s">
        <v>1391</v>
      </c>
      <c r="U149" s="27">
        <v>152</v>
      </c>
    </row>
    <row r="150" s="4" customFormat="1" customHeight="1" spans="1:21">
      <c r="A150" s="145">
        <v>44358.5727314815</v>
      </c>
      <c r="B150" s="22" t="s">
        <v>1392</v>
      </c>
      <c r="C150" s="22" t="s">
        <v>1393</v>
      </c>
      <c r="D150" s="164" t="s">
        <v>1393</v>
      </c>
      <c r="E150" s="164" t="s">
        <v>165</v>
      </c>
      <c r="F150" s="164" t="s">
        <v>1394</v>
      </c>
      <c r="G150" s="22">
        <v>18807004721</v>
      </c>
      <c r="H150" s="164" t="s">
        <v>1395</v>
      </c>
      <c r="I150" s="164" t="s">
        <v>156</v>
      </c>
      <c r="J150" s="164" t="s">
        <v>4</v>
      </c>
      <c r="K150" s="22">
        <v>202102005</v>
      </c>
      <c r="L150" s="164" t="s">
        <v>157</v>
      </c>
      <c r="M150" s="164" t="s">
        <v>1396</v>
      </c>
      <c r="N150" s="164" t="s">
        <v>1397</v>
      </c>
      <c r="O150" s="164" t="s">
        <v>160</v>
      </c>
      <c r="P150" s="164" t="s">
        <v>548</v>
      </c>
      <c r="Q150" s="164" t="s">
        <v>1398</v>
      </c>
      <c r="R150" s="164" t="s">
        <v>1399</v>
      </c>
      <c r="S150" s="23" t="str">
        <f>_xlfn.DISPIMG("ID_55E386EEE22A4F28AA3DFCB82607D0EC",1)</f>
        <v>=DISPIMG("ID_55E386EEE22A4F28AA3DFCB82607D0EC",1)</v>
      </c>
      <c r="T150" s="103" t="s">
        <v>1400</v>
      </c>
      <c r="U150" s="27">
        <v>153</v>
      </c>
    </row>
    <row r="151" s="3" customFormat="1" customHeight="1" spans="1:21">
      <c r="A151" s="144">
        <v>44358.5795833333</v>
      </c>
      <c r="B151" s="27" t="s">
        <v>1401</v>
      </c>
      <c r="C151" s="27" t="s">
        <v>1402</v>
      </c>
      <c r="D151" s="162" t="s">
        <v>1403</v>
      </c>
      <c r="E151" s="162" t="s">
        <v>153</v>
      </c>
      <c r="F151" s="162" t="s">
        <v>1404</v>
      </c>
      <c r="G151" s="27">
        <v>15779981835</v>
      </c>
      <c r="H151" s="162" t="s">
        <v>1405</v>
      </c>
      <c r="I151" s="162" t="s">
        <v>156</v>
      </c>
      <c r="J151" s="162" t="s">
        <v>9</v>
      </c>
      <c r="K151" s="27">
        <v>202102011</v>
      </c>
      <c r="L151" s="162" t="s">
        <v>157</v>
      </c>
      <c r="M151" s="162" t="s">
        <v>827</v>
      </c>
      <c r="N151" s="162" t="s">
        <v>682</v>
      </c>
      <c r="O151" s="162" t="s">
        <v>170</v>
      </c>
      <c r="P151" s="162" t="s">
        <v>261</v>
      </c>
      <c r="Q151" s="162" t="s">
        <v>1406</v>
      </c>
      <c r="R151" s="27">
        <v>0</v>
      </c>
      <c r="S151" s="118" t="str">
        <f>_xlfn.DISPIMG("ID_FA69E1E4EF8743A583B1A39075AAAF21",1)</f>
        <v>=DISPIMG("ID_FA69E1E4EF8743A583B1A39075AAAF21",1)</v>
      </c>
      <c r="T151" s="115" t="s">
        <v>1407</v>
      </c>
      <c r="U151" s="27">
        <v>154</v>
      </c>
    </row>
    <row r="152" s="3" customFormat="1" customHeight="1" spans="1:21">
      <c r="A152" s="144">
        <v>44358.5863194444</v>
      </c>
      <c r="B152" s="27" t="s">
        <v>1408</v>
      </c>
      <c r="C152" s="27" t="s">
        <v>1409</v>
      </c>
      <c r="D152" s="162" t="s">
        <v>1410</v>
      </c>
      <c r="E152" s="162" t="s">
        <v>165</v>
      </c>
      <c r="F152" s="162" t="s">
        <v>1411</v>
      </c>
      <c r="G152" s="27">
        <v>19979027323</v>
      </c>
      <c r="H152" s="162" t="s">
        <v>1412</v>
      </c>
      <c r="I152" s="162" t="s">
        <v>268</v>
      </c>
      <c r="J152" s="162" t="s">
        <v>22</v>
      </c>
      <c r="K152" s="27">
        <v>202101009</v>
      </c>
      <c r="L152" s="162" t="s">
        <v>157</v>
      </c>
      <c r="M152" s="162" t="s">
        <v>1413</v>
      </c>
      <c r="N152" s="162" t="s">
        <v>944</v>
      </c>
      <c r="O152" s="162" t="s">
        <v>170</v>
      </c>
      <c r="P152" s="162" t="s">
        <v>396</v>
      </c>
      <c r="Q152" s="162" t="s">
        <v>1414</v>
      </c>
      <c r="R152" s="162" t="s">
        <v>1415</v>
      </c>
      <c r="S152" s="118" t="str">
        <f>_xlfn.DISPIMG("ID_7AA3981AEA4B4044958F80E226B55196",1)</f>
        <v>=DISPIMG("ID_7AA3981AEA4B4044958F80E226B55196",1)</v>
      </c>
      <c r="T152" s="115" t="s">
        <v>1416</v>
      </c>
      <c r="U152" s="27">
        <v>155</v>
      </c>
    </row>
    <row r="153" s="3" customFormat="1" customHeight="1" spans="1:21">
      <c r="A153" s="144">
        <v>44358.5992708333</v>
      </c>
      <c r="B153" s="27" t="s">
        <v>1417</v>
      </c>
      <c r="C153" s="27" t="s">
        <v>1326</v>
      </c>
      <c r="D153" s="162" t="s">
        <v>1327</v>
      </c>
      <c r="E153" s="162" t="s">
        <v>165</v>
      </c>
      <c r="F153" s="162" t="s">
        <v>1328</v>
      </c>
      <c r="G153" s="27">
        <v>15870865214</v>
      </c>
      <c r="H153" s="162" t="s">
        <v>1329</v>
      </c>
      <c r="I153" s="162" t="s">
        <v>278</v>
      </c>
      <c r="J153" s="162" t="s">
        <v>28</v>
      </c>
      <c r="K153" s="27">
        <v>202103001</v>
      </c>
      <c r="L153" s="162" t="s">
        <v>279</v>
      </c>
      <c r="M153" s="162" t="s">
        <v>1330</v>
      </c>
      <c r="N153" s="162" t="s">
        <v>1331</v>
      </c>
      <c r="O153" s="162" t="s">
        <v>160</v>
      </c>
      <c r="P153" s="162" t="s">
        <v>368</v>
      </c>
      <c r="Q153" s="162" t="s">
        <v>1418</v>
      </c>
      <c r="R153" s="27">
        <v>0</v>
      </c>
      <c r="S153" s="118" t="str">
        <f>_xlfn.DISPIMG("ID_042121583D6C4BE29ACF5C4CE545F254",1)</f>
        <v>=DISPIMG("ID_042121583D6C4BE29ACF5C4CE545F254",1)</v>
      </c>
      <c r="T153" s="115" t="s">
        <v>1333</v>
      </c>
      <c r="U153" s="27">
        <v>156</v>
      </c>
    </row>
    <row r="154" s="3" customFormat="1" customHeight="1" spans="1:21">
      <c r="A154" s="144">
        <v>44358.6065625</v>
      </c>
      <c r="B154" s="27" t="s">
        <v>1419</v>
      </c>
      <c r="C154" s="27" t="s">
        <v>1420</v>
      </c>
      <c r="D154" s="162" t="s">
        <v>1421</v>
      </c>
      <c r="E154" s="162" t="s">
        <v>165</v>
      </c>
      <c r="F154" s="162" t="s">
        <v>1422</v>
      </c>
      <c r="G154" s="27">
        <v>15179266183</v>
      </c>
      <c r="H154" s="162" t="s">
        <v>1423</v>
      </c>
      <c r="I154" s="162" t="s">
        <v>156</v>
      </c>
      <c r="J154" s="162" t="s">
        <v>3</v>
      </c>
      <c r="K154" s="27">
        <v>202102009</v>
      </c>
      <c r="L154" s="162" t="s">
        <v>157</v>
      </c>
      <c r="M154" s="162" t="s">
        <v>1424</v>
      </c>
      <c r="N154" s="162" t="s">
        <v>298</v>
      </c>
      <c r="O154" s="162" t="s">
        <v>160</v>
      </c>
      <c r="P154" s="162" t="s">
        <v>252</v>
      </c>
      <c r="Q154" s="162" t="s">
        <v>1425</v>
      </c>
      <c r="R154" s="27">
        <v>0</v>
      </c>
      <c r="S154" s="118" t="str">
        <f>_xlfn.DISPIMG("ID_9A5193B60E294BCB8EBBC32356364290",1)</f>
        <v>=DISPIMG("ID_9A5193B60E294BCB8EBBC32356364290",1)</v>
      </c>
      <c r="T154" s="115" t="s">
        <v>1426</v>
      </c>
      <c r="U154" s="27">
        <v>157</v>
      </c>
    </row>
    <row r="155" s="3" customFormat="1" customHeight="1" spans="1:21">
      <c r="A155" s="144">
        <v>44358.6350810185</v>
      </c>
      <c r="B155" s="27" t="s">
        <v>1437</v>
      </c>
      <c r="C155" s="27" t="s">
        <v>1438</v>
      </c>
      <c r="D155" s="162" t="s">
        <v>1439</v>
      </c>
      <c r="E155" s="162" t="s">
        <v>165</v>
      </c>
      <c r="F155" s="162" t="s">
        <v>1440</v>
      </c>
      <c r="G155" s="27">
        <v>13687083396</v>
      </c>
      <c r="H155" s="162" t="s">
        <v>1441</v>
      </c>
      <c r="I155" s="162" t="s">
        <v>156</v>
      </c>
      <c r="J155" s="162" t="s">
        <v>12</v>
      </c>
      <c r="K155" s="27">
        <v>202102010</v>
      </c>
      <c r="L155" s="162" t="s">
        <v>157</v>
      </c>
      <c r="M155" s="162" t="s">
        <v>444</v>
      </c>
      <c r="N155" s="162" t="s">
        <v>1442</v>
      </c>
      <c r="O155" s="162" t="s">
        <v>160</v>
      </c>
      <c r="P155" s="162" t="s">
        <v>396</v>
      </c>
      <c r="Q155" s="162" t="s">
        <v>24</v>
      </c>
      <c r="R155" s="27">
        <v>0</v>
      </c>
      <c r="S155" s="118" t="str">
        <f>_xlfn.DISPIMG("ID_4F7FAD79CF244D82AC4A116B39238E93",1)</f>
        <v>=DISPIMG("ID_4F7FAD79CF244D82AC4A116B39238E93",1)</v>
      </c>
      <c r="T155" s="115" t="s">
        <v>1443</v>
      </c>
      <c r="U155" s="27">
        <v>159</v>
      </c>
    </row>
    <row r="156" s="3" customFormat="1" customHeight="1" spans="1:21">
      <c r="A156" s="144">
        <v>44358.6770486111</v>
      </c>
      <c r="B156" s="27" t="s">
        <v>1444</v>
      </c>
      <c r="C156" s="27" t="s">
        <v>1445</v>
      </c>
      <c r="D156" s="162" t="s">
        <v>1446</v>
      </c>
      <c r="E156" s="162" t="s">
        <v>165</v>
      </c>
      <c r="F156" s="162" t="s">
        <v>1447</v>
      </c>
      <c r="G156" s="27">
        <v>13970292674</v>
      </c>
      <c r="H156" s="162" t="s">
        <v>1448</v>
      </c>
      <c r="I156" s="162" t="s">
        <v>278</v>
      </c>
      <c r="J156" s="162" t="s">
        <v>28</v>
      </c>
      <c r="K156" s="27">
        <v>202103001</v>
      </c>
      <c r="L156" s="162" t="s">
        <v>585</v>
      </c>
      <c r="M156" s="162" t="s">
        <v>367</v>
      </c>
      <c r="N156" s="162" t="s">
        <v>280</v>
      </c>
      <c r="O156" s="162" t="s">
        <v>170</v>
      </c>
      <c r="P156" s="162" t="s">
        <v>306</v>
      </c>
      <c r="Q156" s="162" t="s">
        <v>1449</v>
      </c>
      <c r="R156" s="162" t="s">
        <v>1450</v>
      </c>
      <c r="S156" s="118" t="str">
        <f>_xlfn.DISPIMG("ID_C58710654847468A83F51047999B3A07",1)</f>
        <v>=DISPIMG("ID_C58710654847468A83F51047999B3A07",1)</v>
      </c>
      <c r="T156" s="115" t="s">
        <v>1451</v>
      </c>
      <c r="U156" s="27">
        <v>160</v>
      </c>
    </row>
    <row r="157" s="3" customFormat="1" customHeight="1" spans="1:21">
      <c r="A157" s="144">
        <v>44358.6832407407</v>
      </c>
      <c r="B157" s="27" t="s">
        <v>1452</v>
      </c>
      <c r="C157" s="27" t="s">
        <v>1453</v>
      </c>
      <c r="D157" s="162" t="s">
        <v>1454</v>
      </c>
      <c r="E157" s="162" t="s">
        <v>165</v>
      </c>
      <c r="F157" s="162" t="s">
        <v>1455</v>
      </c>
      <c r="G157" s="27">
        <v>15679261175</v>
      </c>
      <c r="H157" s="162" t="s">
        <v>1456</v>
      </c>
      <c r="I157" s="162" t="s">
        <v>278</v>
      </c>
      <c r="J157" s="162" t="s">
        <v>28</v>
      </c>
      <c r="K157" s="27">
        <v>202103001</v>
      </c>
      <c r="L157" s="162" t="s">
        <v>157</v>
      </c>
      <c r="M157" s="162" t="s">
        <v>1457</v>
      </c>
      <c r="N157" s="162" t="s">
        <v>280</v>
      </c>
      <c r="O157" s="162" t="s">
        <v>160</v>
      </c>
      <c r="P157" s="162" t="s">
        <v>368</v>
      </c>
      <c r="Q157" s="162" t="s">
        <v>1458</v>
      </c>
      <c r="R157" s="162" t="s">
        <v>1459</v>
      </c>
      <c r="S157" s="118" t="str">
        <f>_xlfn.DISPIMG("ID_B3F35F8B340047F693855C9AE3461262",1)</f>
        <v>=DISPIMG("ID_B3F35F8B340047F693855C9AE3461262",1)</v>
      </c>
      <c r="T157" s="115" t="s">
        <v>1460</v>
      </c>
      <c r="U157" s="27">
        <v>161</v>
      </c>
    </row>
    <row r="158" s="3" customFormat="1" customHeight="1" spans="1:21">
      <c r="A158" s="144">
        <v>44358.6847106482</v>
      </c>
      <c r="B158" s="27" t="s">
        <v>1461</v>
      </c>
      <c r="C158" s="27" t="s">
        <v>1462</v>
      </c>
      <c r="D158" s="162" t="s">
        <v>1463</v>
      </c>
      <c r="E158" s="162" t="s">
        <v>165</v>
      </c>
      <c r="F158" s="162" t="s">
        <v>1464</v>
      </c>
      <c r="G158" s="27">
        <v>18279171935</v>
      </c>
      <c r="H158" s="162" t="s">
        <v>1465</v>
      </c>
      <c r="I158" s="162" t="s">
        <v>156</v>
      </c>
      <c r="J158" s="162" t="s">
        <v>13</v>
      </c>
      <c r="K158" s="27">
        <v>202102003</v>
      </c>
      <c r="L158" s="162" t="s">
        <v>157</v>
      </c>
      <c r="M158" s="162" t="s">
        <v>1466</v>
      </c>
      <c r="N158" s="162" t="s">
        <v>179</v>
      </c>
      <c r="O158" s="162" t="s">
        <v>160</v>
      </c>
      <c r="P158" s="162" t="s">
        <v>281</v>
      </c>
      <c r="Q158" s="162" t="s">
        <v>1467</v>
      </c>
      <c r="R158" s="162" t="s">
        <v>1468</v>
      </c>
      <c r="S158" s="118" t="str">
        <f>_xlfn.DISPIMG("ID_050656778A6D494197B2CC367B7C8BBA",1)</f>
        <v>=DISPIMG("ID_050656778A6D494197B2CC367B7C8BBA",1)</v>
      </c>
      <c r="T158" s="115" t="s">
        <v>1469</v>
      </c>
      <c r="U158" s="27">
        <v>162</v>
      </c>
    </row>
    <row r="159" s="3" customFormat="1" customHeight="1" spans="1:21">
      <c r="A159" s="144">
        <v>44358.6913310185</v>
      </c>
      <c r="B159" s="27" t="s">
        <v>1470</v>
      </c>
      <c r="C159" s="27" t="s">
        <v>1471</v>
      </c>
      <c r="D159" s="162" t="s">
        <v>1471</v>
      </c>
      <c r="E159" s="162" t="s">
        <v>165</v>
      </c>
      <c r="F159" s="162" t="s">
        <v>1472</v>
      </c>
      <c r="G159" s="27">
        <v>13687036753</v>
      </c>
      <c r="H159" s="162" t="s">
        <v>1473</v>
      </c>
      <c r="I159" s="162" t="s">
        <v>156</v>
      </c>
      <c r="J159" s="162" t="s">
        <v>8</v>
      </c>
      <c r="K159" s="27">
        <v>202102002</v>
      </c>
      <c r="L159" s="162" t="s">
        <v>157</v>
      </c>
      <c r="M159" s="162" t="s">
        <v>269</v>
      </c>
      <c r="N159" s="162" t="s">
        <v>1204</v>
      </c>
      <c r="O159" s="162" t="s">
        <v>160</v>
      </c>
      <c r="P159" s="162" t="s">
        <v>171</v>
      </c>
      <c r="Q159" s="162" t="s">
        <v>20</v>
      </c>
      <c r="R159" s="162" t="s">
        <v>1474</v>
      </c>
      <c r="S159" s="118" t="str">
        <f>_xlfn.DISPIMG("ID_282C99EDDFB743068B1F4514F99C7126",1)</f>
        <v>=DISPIMG("ID_282C99EDDFB743068B1F4514F99C7126",1)</v>
      </c>
      <c r="T159" s="115" t="s">
        <v>1475</v>
      </c>
      <c r="U159" s="27">
        <v>163</v>
      </c>
    </row>
    <row r="160" s="3" customFormat="1" customHeight="1" spans="1:21">
      <c r="A160" s="144">
        <v>44358.7023032407</v>
      </c>
      <c r="B160" s="27" t="s">
        <v>1476</v>
      </c>
      <c r="C160" s="27" t="s">
        <v>1477</v>
      </c>
      <c r="D160" s="162" t="s">
        <v>1477</v>
      </c>
      <c r="E160" s="162" t="s">
        <v>153</v>
      </c>
      <c r="F160" s="162" t="s">
        <v>1478</v>
      </c>
      <c r="G160" s="27">
        <v>15779705216</v>
      </c>
      <c r="H160" s="162" t="s">
        <v>1479</v>
      </c>
      <c r="I160" s="162" t="s">
        <v>156</v>
      </c>
      <c r="J160" s="162" t="s">
        <v>13</v>
      </c>
      <c r="K160" s="27">
        <v>202102003</v>
      </c>
      <c r="L160" s="162" t="s">
        <v>157</v>
      </c>
      <c r="M160" s="162" t="s">
        <v>1480</v>
      </c>
      <c r="N160" s="162" t="s">
        <v>1481</v>
      </c>
      <c r="O160" s="162" t="s">
        <v>160</v>
      </c>
      <c r="P160" s="162" t="s">
        <v>235</v>
      </c>
      <c r="Q160" s="162" t="s">
        <v>13</v>
      </c>
      <c r="R160" s="162" t="s">
        <v>1482</v>
      </c>
      <c r="S160" s="118" t="str">
        <f>_xlfn.DISPIMG("ID_7EA9DB823A764F28A536B4FEC9EB2A2B",1)</f>
        <v>=DISPIMG("ID_7EA9DB823A764F28A536B4FEC9EB2A2B",1)</v>
      </c>
      <c r="T160" s="115" t="s">
        <v>1483</v>
      </c>
      <c r="U160" s="27">
        <v>164</v>
      </c>
    </row>
    <row r="161" s="3" customFormat="1" customHeight="1" spans="1:21">
      <c r="A161" s="144">
        <v>44358.703599537</v>
      </c>
      <c r="B161" s="27" t="s">
        <v>1484</v>
      </c>
      <c r="C161" s="27" t="s">
        <v>1485</v>
      </c>
      <c r="D161" s="162" t="s">
        <v>1486</v>
      </c>
      <c r="E161" s="162" t="s">
        <v>165</v>
      </c>
      <c r="F161" s="162" t="s">
        <v>1487</v>
      </c>
      <c r="G161" s="27">
        <v>13979859802</v>
      </c>
      <c r="H161" s="162" t="s">
        <v>1488</v>
      </c>
      <c r="I161" s="162" t="s">
        <v>156</v>
      </c>
      <c r="J161" s="162" t="s">
        <v>13</v>
      </c>
      <c r="K161" s="27">
        <v>202102003</v>
      </c>
      <c r="L161" s="162" t="s">
        <v>157</v>
      </c>
      <c r="M161" s="162" t="s">
        <v>233</v>
      </c>
      <c r="N161" s="162" t="s">
        <v>1489</v>
      </c>
      <c r="O161" s="162" t="s">
        <v>170</v>
      </c>
      <c r="P161" s="162" t="s">
        <v>1490</v>
      </c>
      <c r="Q161" s="162" t="s">
        <v>1491</v>
      </c>
      <c r="R161" s="162" t="s">
        <v>1492</v>
      </c>
      <c r="S161" s="118" t="str">
        <f>_xlfn.DISPIMG("ID_8C3008D7D3C74B79A4E1698AF4E9725F",1)</f>
        <v>=DISPIMG("ID_8C3008D7D3C74B79A4E1698AF4E9725F",1)</v>
      </c>
      <c r="T161" s="115" t="s">
        <v>1493</v>
      </c>
      <c r="U161" s="27">
        <v>165</v>
      </c>
    </row>
    <row r="162" s="3" customFormat="1" customHeight="1" spans="1:21">
      <c r="A162" s="144">
        <v>44358.7113194444</v>
      </c>
      <c r="B162" s="27" t="s">
        <v>1494</v>
      </c>
      <c r="C162" s="27" t="s">
        <v>1495</v>
      </c>
      <c r="D162" s="162" t="s">
        <v>1496</v>
      </c>
      <c r="E162" s="162" t="s">
        <v>165</v>
      </c>
      <c r="F162" s="162" t="s">
        <v>1497</v>
      </c>
      <c r="G162" s="27">
        <v>18770916920</v>
      </c>
      <c r="H162" s="162" t="s">
        <v>1498</v>
      </c>
      <c r="I162" s="162" t="s">
        <v>156</v>
      </c>
      <c r="J162" s="162" t="s">
        <v>14</v>
      </c>
      <c r="K162" s="27">
        <v>202102001</v>
      </c>
      <c r="L162" s="162" t="s">
        <v>157</v>
      </c>
      <c r="M162" s="162" t="s">
        <v>876</v>
      </c>
      <c r="N162" s="162" t="s">
        <v>1499</v>
      </c>
      <c r="O162" s="162" t="s">
        <v>160</v>
      </c>
      <c r="P162" s="162" t="s">
        <v>396</v>
      </c>
      <c r="Q162" s="162" t="s">
        <v>14</v>
      </c>
      <c r="R162" s="27">
        <v>0</v>
      </c>
      <c r="S162" s="118" t="str">
        <f>_xlfn.DISPIMG("ID_F699C2D8D57643CC8A99CF3C2C6B152A",1)</f>
        <v>=DISPIMG("ID_F699C2D8D57643CC8A99CF3C2C6B152A",1)</v>
      </c>
      <c r="T162" s="115" t="s">
        <v>1500</v>
      </c>
      <c r="U162" s="27">
        <v>166</v>
      </c>
    </row>
    <row r="163" s="3" customFormat="1" customHeight="1" spans="1:21">
      <c r="A163" s="144">
        <v>44358.7133449074</v>
      </c>
      <c r="B163" s="27" t="s">
        <v>1501</v>
      </c>
      <c r="C163" s="27" t="s">
        <v>1502</v>
      </c>
      <c r="D163" s="162" t="s">
        <v>1503</v>
      </c>
      <c r="E163" s="162" t="s">
        <v>165</v>
      </c>
      <c r="F163" s="162" t="s">
        <v>1504</v>
      </c>
      <c r="G163" s="27">
        <v>15070911038</v>
      </c>
      <c r="H163" s="162" t="s">
        <v>1505</v>
      </c>
      <c r="I163" s="162" t="s">
        <v>156</v>
      </c>
      <c r="J163" s="162" t="s">
        <v>13</v>
      </c>
      <c r="K163" s="27">
        <v>202102003</v>
      </c>
      <c r="L163" s="162" t="s">
        <v>157</v>
      </c>
      <c r="M163" s="162" t="s">
        <v>827</v>
      </c>
      <c r="N163" s="162" t="s">
        <v>223</v>
      </c>
      <c r="O163" s="162" t="s">
        <v>170</v>
      </c>
      <c r="P163" s="162" t="s">
        <v>180</v>
      </c>
      <c r="Q163" s="162" t="s">
        <v>1506</v>
      </c>
      <c r="R163" s="162" t="s">
        <v>1507</v>
      </c>
      <c r="S163" s="118" t="str">
        <f>_xlfn.DISPIMG("ID_ADCECB4C3BFF4D9FA761F0B3617DDB20",1)</f>
        <v>=DISPIMG("ID_ADCECB4C3BFF4D9FA761F0B3617DDB20",1)</v>
      </c>
      <c r="T163" s="115" t="s">
        <v>1508</v>
      </c>
      <c r="U163" s="27">
        <v>167</v>
      </c>
    </row>
    <row r="164" s="3" customFormat="1" customHeight="1" spans="1:21">
      <c r="A164" s="144">
        <v>44358.7593402778</v>
      </c>
      <c r="B164" s="27" t="s">
        <v>1509</v>
      </c>
      <c r="C164" s="27" t="s">
        <v>1510</v>
      </c>
      <c r="D164" s="162" t="s">
        <v>1511</v>
      </c>
      <c r="E164" s="162" t="s">
        <v>165</v>
      </c>
      <c r="F164" s="162" t="s">
        <v>1512</v>
      </c>
      <c r="G164" s="27">
        <v>15179159428</v>
      </c>
      <c r="H164" s="162" t="s">
        <v>892</v>
      </c>
      <c r="I164" s="162" t="s">
        <v>156</v>
      </c>
      <c r="J164" s="162" t="s">
        <v>4</v>
      </c>
      <c r="K164" s="27">
        <v>202102005</v>
      </c>
      <c r="L164" s="162" t="s">
        <v>157</v>
      </c>
      <c r="M164" s="162" t="s">
        <v>1513</v>
      </c>
      <c r="N164" s="162" t="s">
        <v>1514</v>
      </c>
      <c r="O164" s="162" t="s">
        <v>160</v>
      </c>
      <c r="P164" s="162" t="s">
        <v>396</v>
      </c>
      <c r="Q164" s="162" t="s">
        <v>1515</v>
      </c>
      <c r="R164" s="162" t="s">
        <v>1516</v>
      </c>
      <c r="S164" s="118" t="str">
        <f>_xlfn.DISPIMG("ID_0409F7F95EEA403395B315D31E8491E7",1)</f>
        <v>=DISPIMG("ID_0409F7F95EEA403395B315D31E8491E7",1)</v>
      </c>
      <c r="T164" s="115" t="s">
        <v>1517</v>
      </c>
      <c r="U164" s="27">
        <v>168</v>
      </c>
    </row>
    <row r="165" s="3" customFormat="1" customHeight="1" spans="1:21">
      <c r="A165" s="144">
        <v>44358.7666666667</v>
      </c>
      <c r="B165" s="27" t="s">
        <v>1518</v>
      </c>
      <c r="C165" s="27" t="s">
        <v>1519</v>
      </c>
      <c r="D165" s="162" t="s">
        <v>1520</v>
      </c>
      <c r="E165" s="162" t="s">
        <v>165</v>
      </c>
      <c r="F165" s="162" t="s">
        <v>1521</v>
      </c>
      <c r="G165" s="27">
        <v>18370105501</v>
      </c>
      <c r="H165" s="162" t="s">
        <v>1522</v>
      </c>
      <c r="I165" s="162" t="s">
        <v>278</v>
      </c>
      <c r="J165" s="162" t="s">
        <v>28</v>
      </c>
      <c r="K165" s="27">
        <v>202103001</v>
      </c>
      <c r="L165" s="162" t="s">
        <v>279</v>
      </c>
      <c r="M165" s="162" t="s">
        <v>1523</v>
      </c>
      <c r="N165" s="162" t="s">
        <v>280</v>
      </c>
      <c r="O165" s="162" t="s">
        <v>170</v>
      </c>
      <c r="P165" s="162" t="s">
        <v>235</v>
      </c>
      <c r="Q165" s="162" t="s">
        <v>28</v>
      </c>
      <c r="R165" s="162" t="s">
        <v>1524</v>
      </c>
      <c r="S165" s="118" t="str">
        <f>_xlfn.DISPIMG("ID_289CC567200648A4AB5780D725CC9684",1)</f>
        <v>=DISPIMG("ID_289CC567200648A4AB5780D725CC9684",1)</v>
      </c>
      <c r="T165" s="115" t="s">
        <v>1525</v>
      </c>
      <c r="U165" s="27">
        <v>169</v>
      </c>
    </row>
    <row r="166" s="3" customFormat="1" customHeight="1" spans="1:21">
      <c r="A166" s="144">
        <v>44358.7853472222</v>
      </c>
      <c r="B166" s="27" t="s">
        <v>1526</v>
      </c>
      <c r="C166" s="27" t="s">
        <v>1527</v>
      </c>
      <c r="D166" s="162" t="s">
        <v>1528</v>
      </c>
      <c r="E166" s="162" t="s">
        <v>165</v>
      </c>
      <c r="F166" s="162" t="s">
        <v>1529</v>
      </c>
      <c r="G166" s="27">
        <v>13247705960</v>
      </c>
      <c r="H166" s="162" t="s">
        <v>1530</v>
      </c>
      <c r="I166" s="162" t="s">
        <v>156</v>
      </c>
      <c r="J166" s="162" t="s">
        <v>13</v>
      </c>
      <c r="K166" s="27">
        <v>202102003</v>
      </c>
      <c r="L166" s="162" t="s">
        <v>157</v>
      </c>
      <c r="M166" s="162" t="s">
        <v>385</v>
      </c>
      <c r="N166" s="162" t="s">
        <v>179</v>
      </c>
      <c r="O166" s="162" t="s">
        <v>160</v>
      </c>
      <c r="P166" s="162" t="s">
        <v>548</v>
      </c>
      <c r="Q166" s="162" t="s">
        <v>25</v>
      </c>
      <c r="R166" s="162" t="s">
        <v>1531</v>
      </c>
      <c r="S166" s="118" t="str">
        <f>_xlfn.DISPIMG("ID_8A933BECC5A94F3D8B394A9689736C52",1)</f>
        <v>=DISPIMG("ID_8A933BECC5A94F3D8B394A9689736C52",1)</v>
      </c>
      <c r="T166" s="115" t="s">
        <v>1532</v>
      </c>
      <c r="U166" s="27">
        <v>170</v>
      </c>
    </row>
    <row r="167" s="3" customFormat="1" customHeight="1" spans="1:21">
      <c r="A167" s="144">
        <v>44358.7877546296</v>
      </c>
      <c r="B167" s="27" t="s">
        <v>1533</v>
      </c>
      <c r="C167" s="27" t="s">
        <v>1534</v>
      </c>
      <c r="D167" s="162" t="s">
        <v>1535</v>
      </c>
      <c r="E167" s="162" t="s">
        <v>165</v>
      </c>
      <c r="F167" s="162" t="s">
        <v>1536</v>
      </c>
      <c r="G167" s="27">
        <v>17779207332</v>
      </c>
      <c r="H167" s="162" t="s">
        <v>1537</v>
      </c>
      <c r="I167" s="162" t="s">
        <v>278</v>
      </c>
      <c r="J167" s="162" t="s">
        <v>28</v>
      </c>
      <c r="K167" s="27">
        <v>202103001</v>
      </c>
      <c r="L167" s="162" t="s">
        <v>279</v>
      </c>
      <c r="M167" s="162" t="s">
        <v>765</v>
      </c>
      <c r="N167" s="162" t="s">
        <v>280</v>
      </c>
      <c r="O167" s="162" t="s">
        <v>170</v>
      </c>
      <c r="P167" s="162" t="s">
        <v>235</v>
      </c>
      <c r="Q167" s="162" t="s">
        <v>517</v>
      </c>
      <c r="R167" s="162" t="s">
        <v>1538</v>
      </c>
      <c r="S167" s="118" t="str">
        <f>_xlfn.DISPIMG("ID_E53DAA599F9A40239F1135427FCA9C4F",1)</f>
        <v>=DISPIMG("ID_E53DAA599F9A40239F1135427FCA9C4F",1)</v>
      </c>
      <c r="T167" s="115" t="s">
        <v>1539</v>
      </c>
      <c r="U167" s="27">
        <v>171</v>
      </c>
    </row>
    <row r="168" s="3" customFormat="1" customHeight="1" spans="1:21">
      <c r="A168" s="144">
        <v>44358.7881597222</v>
      </c>
      <c r="B168" s="27" t="s">
        <v>1540</v>
      </c>
      <c r="C168" s="27" t="s">
        <v>1541</v>
      </c>
      <c r="D168" s="162" t="s">
        <v>1542</v>
      </c>
      <c r="E168" s="162" t="s">
        <v>153</v>
      </c>
      <c r="F168" s="162" t="s">
        <v>1543</v>
      </c>
      <c r="G168" s="27">
        <v>15270866526</v>
      </c>
      <c r="H168" s="162" t="s">
        <v>1544</v>
      </c>
      <c r="I168" s="162" t="s">
        <v>156</v>
      </c>
      <c r="J168" s="162" t="s">
        <v>14</v>
      </c>
      <c r="K168" s="27">
        <v>202102001</v>
      </c>
      <c r="L168" s="162" t="s">
        <v>157</v>
      </c>
      <c r="M168" s="162" t="s">
        <v>1545</v>
      </c>
      <c r="N168" s="162" t="s">
        <v>1546</v>
      </c>
      <c r="O168" s="162" t="s">
        <v>170</v>
      </c>
      <c r="P168" s="162" t="s">
        <v>235</v>
      </c>
      <c r="Q168" s="162" t="s">
        <v>1547</v>
      </c>
      <c r="R168" s="162" t="s">
        <v>1548</v>
      </c>
      <c r="S168" s="118" t="str">
        <f>_xlfn.DISPIMG("ID_08EA3F14C88D463E8A5342E5A111BC99",1)</f>
        <v>=DISPIMG("ID_08EA3F14C88D463E8A5342E5A111BC99",1)</v>
      </c>
      <c r="T168" s="115" t="s">
        <v>1549</v>
      </c>
      <c r="U168" s="27">
        <v>172</v>
      </c>
    </row>
    <row r="169" s="3" customFormat="1" customHeight="1" spans="1:21">
      <c r="A169" s="144">
        <v>44358.794525463</v>
      </c>
      <c r="B169" s="27" t="s">
        <v>1550</v>
      </c>
      <c r="C169" s="27" t="s">
        <v>1551</v>
      </c>
      <c r="D169" s="162" t="s">
        <v>1552</v>
      </c>
      <c r="E169" s="162" t="s">
        <v>165</v>
      </c>
      <c r="F169" s="162" t="s">
        <v>1553</v>
      </c>
      <c r="G169" s="27">
        <v>18795899857</v>
      </c>
      <c r="H169" s="162" t="s">
        <v>1554</v>
      </c>
      <c r="I169" s="162" t="s">
        <v>384</v>
      </c>
      <c r="J169" s="162" t="s">
        <v>25</v>
      </c>
      <c r="K169" s="27">
        <v>202101007</v>
      </c>
      <c r="L169" s="162" t="s">
        <v>157</v>
      </c>
      <c r="M169" s="162" t="s">
        <v>385</v>
      </c>
      <c r="N169" s="162" t="s">
        <v>828</v>
      </c>
      <c r="O169" s="162" t="s">
        <v>170</v>
      </c>
      <c r="P169" s="162" t="s">
        <v>548</v>
      </c>
      <c r="Q169" s="162" t="s">
        <v>25</v>
      </c>
      <c r="R169" s="162" t="s">
        <v>1555</v>
      </c>
      <c r="S169" s="118" t="str">
        <f>_xlfn.DISPIMG("ID_3244697DE8F74EF1A671D4FB148CF806",1)</f>
        <v>=DISPIMG("ID_3244697DE8F74EF1A671D4FB148CF806",1)</v>
      </c>
      <c r="T169" s="115" t="s">
        <v>1556</v>
      </c>
      <c r="U169" s="27">
        <v>173</v>
      </c>
    </row>
    <row r="170" s="3" customFormat="1" customHeight="1" spans="1:21">
      <c r="A170" s="144">
        <v>44358.7973032407</v>
      </c>
      <c r="B170" s="27" t="s">
        <v>1557</v>
      </c>
      <c r="C170" s="27" t="s">
        <v>1558</v>
      </c>
      <c r="D170" s="162" t="s">
        <v>1559</v>
      </c>
      <c r="E170" s="162" t="s">
        <v>165</v>
      </c>
      <c r="F170" s="162" t="s">
        <v>1560</v>
      </c>
      <c r="G170" s="27">
        <v>18720242536</v>
      </c>
      <c r="H170" s="162" t="s">
        <v>1561</v>
      </c>
      <c r="I170" s="162" t="s">
        <v>278</v>
      </c>
      <c r="J170" s="162" t="s">
        <v>28</v>
      </c>
      <c r="K170" s="27">
        <v>202103001</v>
      </c>
      <c r="L170" s="162" t="s">
        <v>279</v>
      </c>
      <c r="M170" s="162" t="s">
        <v>876</v>
      </c>
      <c r="N170" s="162" t="s">
        <v>960</v>
      </c>
      <c r="O170" s="162" t="s">
        <v>170</v>
      </c>
      <c r="P170" s="162" t="s">
        <v>171</v>
      </c>
      <c r="Q170" s="162" t="s">
        <v>340</v>
      </c>
      <c r="R170" s="162" t="s">
        <v>1562</v>
      </c>
      <c r="S170" s="118" t="str">
        <f>_xlfn.DISPIMG("ID_9804FB5AA98E4D44BBA382539FDAF7F0",1)</f>
        <v>=DISPIMG("ID_9804FB5AA98E4D44BBA382539FDAF7F0",1)</v>
      </c>
      <c r="T170" s="115" t="s">
        <v>1563</v>
      </c>
      <c r="U170" s="27">
        <v>174</v>
      </c>
    </row>
    <row r="171" s="3" customFormat="1" customHeight="1" spans="1:21">
      <c r="A171" s="144">
        <v>44358.8148032407</v>
      </c>
      <c r="B171" s="27" t="s">
        <v>1564</v>
      </c>
      <c r="C171" s="27" t="s">
        <v>1565</v>
      </c>
      <c r="D171" s="162" t="s">
        <v>1566</v>
      </c>
      <c r="E171" s="162" t="s">
        <v>165</v>
      </c>
      <c r="F171" s="162" t="s">
        <v>1567</v>
      </c>
      <c r="G171" s="27">
        <v>13535561771</v>
      </c>
      <c r="H171" s="162" t="s">
        <v>1568</v>
      </c>
      <c r="I171" s="162" t="s">
        <v>268</v>
      </c>
      <c r="J171" s="162" t="s">
        <v>26</v>
      </c>
      <c r="K171" s="27">
        <v>202101001</v>
      </c>
      <c r="L171" s="162" t="s">
        <v>705</v>
      </c>
      <c r="M171" s="162" t="s">
        <v>1569</v>
      </c>
      <c r="N171" s="162" t="s">
        <v>1570</v>
      </c>
      <c r="O171" s="162" t="s">
        <v>160</v>
      </c>
      <c r="P171" s="162" t="s">
        <v>171</v>
      </c>
      <c r="Q171" s="162" t="s">
        <v>1571</v>
      </c>
      <c r="R171" s="27">
        <v>0</v>
      </c>
      <c r="S171" s="118" t="str">
        <f>_xlfn.DISPIMG("ID_F9DBEEB152DD4F6D9E9954F28F8B48D4",1)</f>
        <v>=DISPIMG("ID_F9DBEEB152DD4F6D9E9954F28F8B48D4",1)</v>
      </c>
      <c r="T171" s="115" t="s">
        <v>1572</v>
      </c>
      <c r="U171" s="27">
        <v>175</v>
      </c>
    </row>
    <row r="172" s="3" customFormat="1" customHeight="1" spans="1:21">
      <c r="A172" s="144">
        <v>44358.8381134259</v>
      </c>
      <c r="B172" s="27" t="s">
        <v>1582</v>
      </c>
      <c r="C172" s="27" t="s">
        <v>1583</v>
      </c>
      <c r="D172" s="162" t="s">
        <v>1584</v>
      </c>
      <c r="E172" s="162" t="s">
        <v>153</v>
      </c>
      <c r="F172" s="162" t="s">
        <v>1585</v>
      </c>
      <c r="G172" s="27">
        <v>18460003044</v>
      </c>
      <c r="H172" s="162" t="s">
        <v>1586</v>
      </c>
      <c r="I172" s="162" t="s">
        <v>268</v>
      </c>
      <c r="J172" s="162" t="s">
        <v>21</v>
      </c>
      <c r="K172" s="27">
        <v>202101022</v>
      </c>
      <c r="L172" s="162" t="s">
        <v>157</v>
      </c>
      <c r="M172" s="162" t="s">
        <v>827</v>
      </c>
      <c r="N172" s="162" t="s">
        <v>682</v>
      </c>
      <c r="O172" s="162" t="s">
        <v>170</v>
      </c>
      <c r="P172" s="162" t="s">
        <v>455</v>
      </c>
      <c r="Q172" s="162" t="s">
        <v>1587</v>
      </c>
      <c r="R172" s="27">
        <v>0</v>
      </c>
      <c r="S172" s="118" t="str">
        <f>_xlfn.DISPIMG("ID_E364C79C5CB74A97A356C87CFF697310",1)</f>
        <v>=DISPIMG("ID_E364C79C5CB74A97A356C87CFF697310",1)</v>
      </c>
      <c r="T172" s="115" t="s">
        <v>1588</v>
      </c>
      <c r="U172" s="27">
        <v>177</v>
      </c>
    </row>
    <row r="173" s="3" customFormat="1" customHeight="1" spans="1:21">
      <c r="A173" s="144">
        <v>44358.8437152778</v>
      </c>
      <c r="B173" s="27" t="s">
        <v>1589</v>
      </c>
      <c r="C173" s="27" t="s">
        <v>1583</v>
      </c>
      <c r="D173" s="162" t="s">
        <v>1590</v>
      </c>
      <c r="E173" s="162" t="s">
        <v>153</v>
      </c>
      <c r="F173" s="162" t="s">
        <v>1591</v>
      </c>
      <c r="G173" s="27">
        <v>19165078910</v>
      </c>
      <c r="H173" s="162" t="s">
        <v>1592</v>
      </c>
      <c r="I173" s="162" t="s">
        <v>268</v>
      </c>
      <c r="J173" s="162" t="s">
        <v>21</v>
      </c>
      <c r="K173" s="27">
        <v>202101022</v>
      </c>
      <c r="L173" s="162" t="s">
        <v>157</v>
      </c>
      <c r="M173" s="162" t="s">
        <v>827</v>
      </c>
      <c r="N173" s="162" t="s">
        <v>682</v>
      </c>
      <c r="O173" s="162" t="s">
        <v>170</v>
      </c>
      <c r="P173" s="162" t="s">
        <v>455</v>
      </c>
      <c r="Q173" s="162" t="s">
        <v>1593</v>
      </c>
      <c r="R173" s="27">
        <v>0</v>
      </c>
      <c r="S173" s="118" t="str">
        <f>_xlfn.DISPIMG("ID_A40AE5361B8D44C884FA7CDADC74343E",1)</f>
        <v>=DISPIMG("ID_A40AE5361B8D44C884FA7CDADC74343E",1)</v>
      </c>
      <c r="T173" s="115" t="s">
        <v>1594</v>
      </c>
      <c r="U173" s="27">
        <v>178</v>
      </c>
    </row>
    <row r="174" s="5" customFormat="1" customHeight="1" spans="1:21">
      <c r="A174" s="146">
        <v>44362.9679976852</v>
      </c>
      <c r="B174" s="116" t="s">
        <v>1595</v>
      </c>
      <c r="C174" s="116" t="s">
        <v>1596</v>
      </c>
      <c r="D174" s="165" t="s">
        <v>1597</v>
      </c>
      <c r="E174" s="165" t="s">
        <v>153</v>
      </c>
      <c r="F174" s="165" t="s">
        <v>1598</v>
      </c>
      <c r="G174" s="116">
        <v>13979287846</v>
      </c>
      <c r="H174" s="165" t="s">
        <v>1599</v>
      </c>
      <c r="I174" s="165" t="s">
        <v>384</v>
      </c>
      <c r="J174" s="165" t="s">
        <v>25</v>
      </c>
      <c r="K174" s="116">
        <v>202101007</v>
      </c>
      <c r="L174" s="165" t="s">
        <v>157</v>
      </c>
      <c r="M174" s="165" t="s">
        <v>1600</v>
      </c>
      <c r="N174" s="165" t="s">
        <v>1601</v>
      </c>
      <c r="O174" s="165" t="s">
        <v>170</v>
      </c>
      <c r="P174" s="165" t="s">
        <v>252</v>
      </c>
      <c r="Q174" s="165" t="s">
        <v>25</v>
      </c>
      <c r="R174" s="165" t="s">
        <v>1602</v>
      </c>
      <c r="S174" s="119" t="str">
        <f>_xlfn.DISPIMG("ID_E78F3BF41C5D43B8884910B23D8EE46A",1)</f>
        <v>=DISPIMG("ID_E78F3BF41C5D43B8884910B23D8EE46A",1)</v>
      </c>
      <c r="T174" s="120" t="s">
        <v>1603</v>
      </c>
      <c r="U174" s="27">
        <v>179</v>
      </c>
    </row>
    <row r="175" s="3" customFormat="1" customHeight="1" spans="1:21">
      <c r="A175" s="144">
        <v>44358.8719212963</v>
      </c>
      <c r="B175" s="27" t="s">
        <v>1604</v>
      </c>
      <c r="C175" s="27" t="s">
        <v>1605</v>
      </c>
      <c r="D175" s="162" t="s">
        <v>1606</v>
      </c>
      <c r="E175" s="162" t="s">
        <v>165</v>
      </c>
      <c r="F175" s="162" t="s">
        <v>1607</v>
      </c>
      <c r="G175" s="27">
        <v>15180623635</v>
      </c>
      <c r="H175" s="162" t="s">
        <v>1608</v>
      </c>
      <c r="I175" s="162" t="s">
        <v>384</v>
      </c>
      <c r="J175" s="162" t="s">
        <v>26</v>
      </c>
      <c r="K175" s="27">
        <v>202101002</v>
      </c>
      <c r="L175" s="162" t="s">
        <v>705</v>
      </c>
      <c r="M175" s="162" t="s">
        <v>1112</v>
      </c>
      <c r="N175" s="162" t="s">
        <v>1489</v>
      </c>
      <c r="O175" s="162" t="s">
        <v>170</v>
      </c>
      <c r="P175" s="162" t="s">
        <v>261</v>
      </c>
      <c r="Q175" s="162" t="s">
        <v>26</v>
      </c>
      <c r="R175" s="162" t="s">
        <v>1609</v>
      </c>
      <c r="S175" s="118" t="str">
        <f>_xlfn.DISPIMG("ID_D4D81D5180FB4698ABF9FADCA15E9025",1)</f>
        <v>=DISPIMG("ID_D4D81D5180FB4698ABF9FADCA15E9025",1)</v>
      </c>
      <c r="T175" s="115" t="s">
        <v>1610</v>
      </c>
      <c r="U175" s="27">
        <v>180</v>
      </c>
    </row>
    <row r="176" s="3" customFormat="1" customHeight="1" spans="1:21">
      <c r="A176" s="144">
        <v>44358.9036921296</v>
      </c>
      <c r="B176" s="27" t="s">
        <v>1611</v>
      </c>
      <c r="C176" s="27" t="s">
        <v>1612</v>
      </c>
      <c r="D176" s="162" t="s">
        <v>1613</v>
      </c>
      <c r="E176" s="162" t="s">
        <v>165</v>
      </c>
      <c r="F176" s="162" t="s">
        <v>1614</v>
      </c>
      <c r="G176" s="27">
        <v>18296280573</v>
      </c>
      <c r="H176" s="162" t="s">
        <v>1615</v>
      </c>
      <c r="I176" s="162" t="s">
        <v>156</v>
      </c>
      <c r="J176" s="162" t="s">
        <v>8</v>
      </c>
      <c r="K176" s="27">
        <v>202102002</v>
      </c>
      <c r="L176" s="162" t="s">
        <v>157</v>
      </c>
      <c r="M176" s="162" t="s">
        <v>233</v>
      </c>
      <c r="N176" s="162" t="s">
        <v>1616</v>
      </c>
      <c r="O176" s="162" t="s">
        <v>170</v>
      </c>
      <c r="P176" s="162" t="s">
        <v>235</v>
      </c>
      <c r="Q176" s="162" t="s">
        <v>1617</v>
      </c>
      <c r="R176" s="162" t="s">
        <v>1618</v>
      </c>
      <c r="S176" s="118" t="str">
        <f>_xlfn.DISPIMG("ID_2062AD8B56DF4C85BF68D2846493F2B2",1)</f>
        <v>=DISPIMG("ID_2062AD8B56DF4C85BF68D2846493F2B2",1)</v>
      </c>
      <c r="T176" s="115" t="s">
        <v>1619</v>
      </c>
      <c r="U176" s="27">
        <v>181</v>
      </c>
    </row>
    <row r="177" s="3" customFormat="1" customHeight="1" spans="1:21">
      <c r="A177" s="144">
        <v>44358.9332986111</v>
      </c>
      <c r="B177" s="27" t="s">
        <v>1620</v>
      </c>
      <c r="C177" s="27" t="s">
        <v>1621</v>
      </c>
      <c r="D177" s="162" t="s">
        <v>1622</v>
      </c>
      <c r="E177" s="162" t="s">
        <v>165</v>
      </c>
      <c r="F177" s="162" t="s">
        <v>1623</v>
      </c>
      <c r="G177" s="27">
        <v>15170969760</v>
      </c>
      <c r="H177" s="162" t="s">
        <v>1624</v>
      </c>
      <c r="I177" s="162" t="s">
        <v>506</v>
      </c>
      <c r="J177" s="162" t="s">
        <v>6</v>
      </c>
      <c r="K177" s="27">
        <v>202102021</v>
      </c>
      <c r="L177" s="162" t="s">
        <v>157</v>
      </c>
      <c r="M177" s="162" t="s">
        <v>1625</v>
      </c>
      <c r="N177" s="162" t="s">
        <v>750</v>
      </c>
      <c r="O177" s="162" t="s">
        <v>160</v>
      </c>
      <c r="P177" s="162" t="s">
        <v>1089</v>
      </c>
      <c r="Q177" s="162" t="s">
        <v>6</v>
      </c>
      <c r="R177" s="162" t="s">
        <v>1626</v>
      </c>
      <c r="S177" s="118" t="str">
        <f>_xlfn.DISPIMG("ID_F5B5B7553FD14A38A3CEAB4A3171FC0C",1)</f>
        <v>=DISPIMG("ID_F5B5B7553FD14A38A3CEAB4A3171FC0C",1)</v>
      </c>
      <c r="T177" s="115" t="s">
        <v>1627</v>
      </c>
      <c r="U177" s="27">
        <v>182</v>
      </c>
    </row>
    <row r="178" s="3" customFormat="1" customHeight="1" spans="1:21">
      <c r="A178" s="144">
        <v>44358.9351851852</v>
      </c>
      <c r="B178" s="27" t="s">
        <v>1628</v>
      </c>
      <c r="C178" s="27" t="s">
        <v>1629</v>
      </c>
      <c r="D178" s="162" t="s">
        <v>1630</v>
      </c>
      <c r="E178" s="162" t="s">
        <v>153</v>
      </c>
      <c r="F178" s="162" t="s">
        <v>1631</v>
      </c>
      <c r="G178" s="27">
        <v>18437922593</v>
      </c>
      <c r="H178" s="162" t="s">
        <v>1632</v>
      </c>
      <c r="I178" s="162" t="s">
        <v>156</v>
      </c>
      <c r="J178" s="162" t="s">
        <v>5</v>
      </c>
      <c r="K178" s="27">
        <v>202102008</v>
      </c>
      <c r="L178" s="162" t="s">
        <v>157</v>
      </c>
      <c r="M178" s="162" t="s">
        <v>1633</v>
      </c>
      <c r="N178" s="162" t="s">
        <v>280</v>
      </c>
      <c r="O178" s="162" t="s">
        <v>170</v>
      </c>
      <c r="P178" s="162" t="s">
        <v>199</v>
      </c>
      <c r="Q178" s="162" t="s">
        <v>5</v>
      </c>
      <c r="R178" s="27">
        <v>0</v>
      </c>
      <c r="S178" s="118" t="str">
        <f>_xlfn.DISPIMG("ID_30389EE5D2254B4693F3D201E2C25479",1)</f>
        <v>=DISPIMG("ID_30389EE5D2254B4693F3D201E2C25479",1)</v>
      </c>
      <c r="T178" s="115" t="s">
        <v>1634</v>
      </c>
      <c r="U178" s="27">
        <v>183</v>
      </c>
    </row>
    <row r="179" s="3" customFormat="1" customHeight="1" spans="1:21">
      <c r="A179" s="144">
        <v>44359.0139814815</v>
      </c>
      <c r="B179" s="27" t="s">
        <v>1635</v>
      </c>
      <c r="C179" s="27" t="s">
        <v>1636</v>
      </c>
      <c r="D179" s="162" t="s">
        <v>1637</v>
      </c>
      <c r="E179" s="162" t="s">
        <v>165</v>
      </c>
      <c r="F179" s="162" t="s">
        <v>1638</v>
      </c>
      <c r="G179" s="27">
        <v>18279206250</v>
      </c>
      <c r="H179" s="162" t="s">
        <v>1456</v>
      </c>
      <c r="I179" s="162" t="s">
        <v>384</v>
      </c>
      <c r="J179" s="162" t="s">
        <v>19</v>
      </c>
      <c r="K179" s="27">
        <v>202101014</v>
      </c>
      <c r="L179" s="162" t="s">
        <v>157</v>
      </c>
      <c r="M179" s="162" t="s">
        <v>178</v>
      </c>
      <c r="N179" s="162" t="s">
        <v>1639</v>
      </c>
      <c r="O179" s="162" t="s">
        <v>170</v>
      </c>
      <c r="P179" s="162" t="s">
        <v>455</v>
      </c>
      <c r="Q179" s="162" t="s">
        <v>19</v>
      </c>
      <c r="R179" s="27">
        <v>0</v>
      </c>
      <c r="S179" s="118" t="str">
        <f>_xlfn.DISPIMG("ID_74FDF0D5FA0548BCA212C8D2C43783F4",1)</f>
        <v>=DISPIMG("ID_74FDF0D5FA0548BCA212C8D2C43783F4",1)</v>
      </c>
      <c r="T179" s="115" t="s">
        <v>1640</v>
      </c>
      <c r="U179" s="27">
        <v>184</v>
      </c>
    </row>
    <row r="180" s="3" customFormat="1" customHeight="1" spans="1:21">
      <c r="A180" s="144">
        <v>44359.0241319444</v>
      </c>
      <c r="B180" s="27" t="s">
        <v>1641</v>
      </c>
      <c r="C180" s="27" t="s">
        <v>1642</v>
      </c>
      <c r="D180" s="162" t="s">
        <v>1643</v>
      </c>
      <c r="E180" s="162" t="s">
        <v>153</v>
      </c>
      <c r="F180" s="162" t="s">
        <v>1644</v>
      </c>
      <c r="G180" s="27">
        <v>18351336229</v>
      </c>
      <c r="H180" s="162" t="s">
        <v>1645</v>
      </c>
      <c r="I180" s="162" t="s">
        <v>156</v>
      </c>
      <c r="J180" s="162" t="s">
        <v>13</v>
      </c>
      <c r="K180" s="27">
        <v>202102003</v>
      </c>
      <c r="L180" s="162" t="s">
        <v>157</v>
      </c>
      <c r="M180" s="162" t="s">
        <v>1646</v>
      </c>
      <c r="N180" s="162" t="s">
        <v>1647</v>
      </c>
      <c r="O180" s="162" t="s">
        <v>160</v>
      </c>
      <c r="P180" s="162" t="s">
        <v>261</v>
      </c>
      <c r="Q180" s="162" t="s">
        <v>1506</v>
      </c>
      <c r="R180" s="27">
        <v>0</v>
      </c>
      <c r="S180" s="118" t="str">
        <f>_xlfn.DISPIMG("ID_B4AD11310DDA4138B05F8034BA3D88DD",1)</f>
        <v>=DISPIMG("ID_B4AD11310DDA4138B05F8034BA3D88DD",1)</v>
      </c>
      <c r="T180" s="115" t="s">
        <v>1648</v>
      </c>
      <c r="U180" s="27">
        <v>185</v>
      </c>
    </row>
    <row r="181" s="3" customFormat="1" customHeight="1" spans="1:21">
      <c r="A181" s="144">
        <v>44359.0410648148</v>
      </c>
      <c r="B181" s="27" t="s">
        <v>1649</v>
      </c>
      <c r="C181" s="27" t="s">
        <v>1650</v>
      </c>
      <c r="D181" s="162" t="s">
        <v>1651</v>
      </c>
      <c r="E181" s="162" t="s">
        <v>165</v>
      </c>
      <c r="F181" s="162" t="s">
        <v>1652</v>
      </c>
      <c r="G181" s="27">
        <v>15870862742</v>
      </c>
      <c r="H181" s="162" t="s">
        <v>1653</v>
      </c>
      <c r="I181" s="162" t="s">
        <v>156</v>
      </c>
      <c r="J181" s="162" t="s">
        <v>13</v>
      </c>
      <c r="K181" s="27">
        <v>202102003</v>
      </c>
      <c r="L181" s="162" t="s">
        <v>157</v>
      </c>
      <c r="M181" s="162" t="s">
        <v>1654</v>
      </c>
      <c r="N181" s="162" t="s">
        <v>179</v>
      </c>
      <c r="O181" s="162" t="s">
        <v>160</v>
      </c>
      <c r="P181" s="162" t="s">
        <v>235</v>
      </c>
      <c r="Q181" s="162" t="s">
        <v>13</v>
      </c>
      <c r="R181" s="27">
        <v>0</v>
      </c>
      <c r="S181" s="118" t="str">
        <f>_xlfn.DISPIMG("ID_3972EE6FED8B40BFAB5CECB7F30981FD",1)</f>
        <v>=DISPIMG("ID_3972EE6FED8B40BFAB5CECB7F30981FD",1)</v>
      </c>
      <c r="T181" s="115" t="s">
        <v>1655</v>
      </c>
      <c r="U181" s="27">
        <v>186</v>
      </c>
    </row>
    <row r="182" s="3" customFormat="1" customHeight="1" spans="1:21">
      <c r="A182" s="144">
        <v>44359.3455092593</v>
      </c>
      <c r="B182" s="27" t="s">
        <v>1656</v>
      </c>
      <c r="C182" s="27" t="s">
        <v>1657</v>
      </c>
      <c r="D182" s="162" t="s">
        <v>1658</v>
      </c>
      <c r="E182" s="162" t="s">
        <v>153</v>
      </c>
      <c r="F182" s="162" t="s">
        <v>1659</v>
      </c>
      <c r="G182" s="27">
        <v>15170625945</v>
      </c>
      <c r="H182" s="162" t="s">
        <v>1660</v>
      </c>
      <c r="I182" s="162" t="s">
        <v>506</v>
      </c>
      <c r="J182" s="162" t="s">
        <v>15</v>
      </c>
      <c r="K182" s="27">
        <v>202102019</v>
      </c>
      <c r="L182" s="162" t="s">
        <v>157</v>
      </c>
      <c r="M182" s="162" t="s">
        <v>611</v>
      </c>
      <c r="N182" s="162" t="s">
        <v>454</v>
      </c>
      <c r="O182" s="162" t="s">
        <v>160</v>
      </c>
      <c r="P182" s="162" t="s">
        <v>261</v>
      </c>
      <c r="Q182" s="162" t="s">
        <v>1661</v>
      </c>
      <c r="R182" s="27">
        <v>0</v>
      </c>
      <c r="S182" s="118" t="str">
        <f>_xlfn.DISPIMG("ID_40EE23CAD6BE466D8A6330DBB5734F8E",1)</f>
        <v>=DISPIMG("ID_40EE23CAD6BE466D8A6330DBB5734F8E",1)</v>
      </c>
      <c r="T182" s="115" t="s">
        <v>1662</v>
      </c>
      <c r="U182" s="27">
        <v>187</v>
      </c>
    </row>
    <row r="183" s="3" customFormat="1" customHeight="1" spans="1:21">
      <c r="A183" s="144">
        <v>44359.3685300926</v>
      </c>
      <c r="B183" s="27" t="s">
        <v>1663</v>
      </c>
      <c r="C183" s="27" t="s">
        <v>1664</v>
      </c>
      <c r="D183" s="162" t="s">
        <v>1665</v>
      </c>
      <c r="E183" s="162" t="s">
        <v>165</v>
      </c>
      <c r="F183" s="162" t="s">
        <v>1666</v>
      </c>
      <c r="G183" s="27">
        <v>19126781619</v>
      </c>
      <c r="H183" s="162" t="s">
        <v>1667</v>
      </c>
      <c r="I183" s="162" t="s">
        <v>278</v>
      </c>
      <c r="J183" s="162" t="s">
        <v>28</v>
      </c>
      <c r="K183" s="27">
        <v>202103001</v>
      </c>
      <c r="L183" s="162" t="s">
        <v>585</v>
      </c>
      <c r="M183" s="162" t="s">
        <v>168</v>
      </c>
      <c r="N183" s="162" t="s">
        <v>280</v>
      </c>
      <c r="O183" s="162" t="s">
        <v>170</v>
      </c>
      <c r="P183" s="162" t="s">
        <v>548</v>
      </c>
      <c r="Q183" s="162" t="s">
        <v>376</v>
      </c>
      <c r="R183" s="162" t="s">
        <v>1668</v>
      </c>
      <c r="S183" s="118" t="str">
        <f>_xlfn.DISPIMG("ID_B5AB63FC8A81490B8ED2FED7AE302A44",1)</f>
        <v>=DISPIMG("ID_B5AB63FC8A81490B8ED2FED7AE302A44",1)</v>
      </c>
      <c r="T183" s="115" t="s">
        <v>1669</v>
      </c>
      <c r="U183" s="27">
        <v>188</v>
      </c>
    </row>
    <row r="184" s="3" customFormat="1" customHeight="1" spans="1:21">
      <c r="A184" s="144">
        <v>44359.3743865741</v>
      </c>
      <c r="B184" s="27" t="s">
        <v>1670</v>
      </c>
      <c r="C184" s="27" t="s">
        <v>1671</v>
      </c>
      <c r="D184" s="162" t="s">
        <v>1671</v>
      </c>
      <c r="E184" s="162" t="s">
        <v>153</v>
      </c>
      <c r="F184" s="162" t="s">
        <v>1672</v>
      </c>
      <c r="G184" s="27">
        <v>13576944053</v>
      </c>
      <c r="H184" s="162" t="s">
        <v>1673</v>
      </c>
      <c r="I184" s="162" t="s">
        <v>156</v>
      </c>
      <c r="J184" s="162" t="s">
        <v>7</v>
      </c>
      <c r="K184" s="27">
        <v>202102006</v>
      </c>
      <c r="L184" s="162" t="s">
        <v>157</v>
      </c>
      <c r="M184" s="162" t="s">
        <v>1674</v>
      </c>
      <c r="N184" s="162" t="s">
        <v>1675</v>
      </c>
      <c r="O184" s="162" t="s">
        <v>170</v>
      </c>
      <c r="P184" s="162" t="s">
        <v>1676</v>
      </c>
      <c r="Q184" s="162" t="s">
        <v>7</v>
      </c>
      <c r="R184" s="162" t="s">
        <v>1677</v>
      </c>
      <c r="S184" s="118" t="str">
        <f>_xlfn.DISPIMG("ID_834E256FE11F482DB22CD6E09A0E87FD",1)</f>
        <v>=DISPIMG("ID_834E256FE11F482DB22CD6E09A0E87FD",1)</v>
      </c>
      <c r="T184" s="27" t="s">
        <v>1678</v>
      </c>
      <c r="U184" s="27">
        <v>189</v>
      </c>
    </row>
    <row r="185" s="3" customFormat="1" customHeight="1" spans="1:21">
      <c r="A185" s="144">
        <v>44359.3764930556</v>
      </c>
      <c r="B185" s="27" t="s">
        <v>1679</v>
      </c>
      <c r="C185" s="27" t="s">
        <v>1680</v>
      </c>
      <c r="D185" s="162" t="s">
        <v>1681</v>
      </c>
      <c r="E185" s="162" t="s">
        <v>165</v>
      </c>
      <c r="F185" s="162" t="s">
        <v>1682</v>
      </c>
      <c r="G185" s="27">
        <v>15707021172</v>
      </c>
      <c r="H185" s="162" t="s">
        <v>1683</v>
      </c>
      <c r="I185" s="162" t="s">
        <v>278</v>
      </c>
      <c r="J185" s="162" t="s">
        <v>28</v>
      </c>
      <c r="K185" s="27">
        <v>202103001</v>
      </c>
      <c r="L185" s="162" t="s">
        <v>279</v>
      </c>
      <c r="M185" s="162" t="s">
        <v>367</v>
      </c>
      <c r="N185" s="162" t="s">
        <v>1684</v>
      </c>
      <c r="O185" s="162" t="s">
        <v>170</v>
      </c>
      <c r="P185" s="162" t="s">
        <v>368</v>
      </c>
      <c r="Q185" s="162" t="s">
        <v>376</v>
      </c>
      <c r="R185" s="162" t="s">
        <v>1685</v>
      </c>
      <c r="S185" s="118" t="str">
        <f>_xlfn.DISPIMG("ID_F515C4DE5D464F10B51159D5558C7D1A",1)</f>
        <v>=DISPIMG("ID_F515C4DE5D464F10B51159D5558C7D1A",1)</v>
      </c>
      <c r="T185" s="115" t="s">
        <v>1686</v>
      </c>
      <c r="U185" s="27">
        <v>190</v>
      </c>
    </row>
    <row r="186" s="3" customFormat="1" customHeight="1" spans="1:21">
      <c r="A186" s="144">
        <v>44359.3765856481</v>
      </c>
      <c r="B186" s="27" t="s">
        <v>1687</v>
      </c>
      <c r="C186" s="27" t="s">
        <v>1688</v>
      </c>
      <c r="D186" s="162" t="s">
        <v>1689</v>
      </c>
      <c r="E186" s="162" t="s">
        <v>165</v>
      </c>
      <c r="F186" s="162" t="s">
        <v>1690</v>
      </c>
      <c r="G186" s="27">
        <v>13677055035</v>
      </c>
      <c r="H186" s="162" t="s">
        <v>1691</v>
      </c>
      <c r="I186" s="162" t="s">
        <v>384</v>
      </c>
      <c r="J186" s="162" t="s">
        <v>25</v>
      </c>
      <c r="K186" s="27">
        <v>202101007</v>
      </c>
      <c r="L186" s="162" t="s">
        <v>157</v>
      </c>
      <c r="M186" s="162" t="s">
        <v>1258</v>
      </c>
      <c r="N186" s="162" t="s">
        <v>179</v>
      </c>
      <c r="O186" s="162" t="s">
        <v>170</v>
      </c>
      <c r="P186" s="162" t="s">
        <v>180</v>
      </c>
      <c r="Q186" s="162" t="s">
        <v>1692</v>
      </c>
      <c r="R186" s="162" t="s">
        <v>1693</v>
      </c>
      <c r="S186" s="118" t="str">
        <f>_xlfn.DISPIMG("ID_43885BD9A06C404291EA89276C573B8A",1)</f>
        <v>=DISPIMG("ID_43885BD9A06C404291EA89276C573B8A",1)</v>
      </c>
      <c r="T186" s="115" t="s">
        <v>1694</v>
      </c>
      <c r="U186" s="27">
        <v>191</v>
      </c>
    </row>
    <row r="187" s="3" customFormat="1" customHeight="1" spans="1:21">
      <c r="A187" s="144">
        <v>44359.3907638889</v>
      </c>
      <c r="B187" s="27" t="s">
        <v>1695</v>
      </c>
      <c r="C187" s="27" t="s">
        <v>1696</v>
      </c>
      <c r="D187" s="162" t="s">
        <v>1697</v>
      </c>
      <c r="E187" s="162" t="s">
        <v>165</v>
      </c>
      <c r="F187" s="162" t="s">
        <v>1698</v>
      </c>
      <c r="G187" s="27">
        <v>13732925421</v>
      </c>
      <c r="H187" s="162" t="s">
        <v>1699</v>
      </c>
      <c r="I187" s="162" t="s">
        <v>156</v>
      </c>
      <c r="J187" s="162" t="s">
        <v>14</v>
      </c>
      <c r="K187" s="27">
        <v>202102001</v>
      </c>
      <c r="L187" s="162" t="s">
        <v>157</v>
      </c>
      <c r="M187" s="162" t="s">
        <v>1654</v>
      </c>
      <c r="N187" s="162" t="s">
        <v>1700</v>
      </c>
      <c r="O187" s="162" t="s">
        <v>160</v>
      </c>
      <c r="P187" s="162" t="s">
        <v>235</v>
      </c>
      <c r="Q187" s="162" t="s">
        <v>1701</v>
      </c>
      <c r="R187" s="162" t="s">
        <v>1702</v>
      </c>
      <c r="S187" s="118" t="str">
        <f>_xlfn.DISPIMG("ID_9C3AAF7BA09C4626832FC4C49E6F802D",1)</f>
        <v>=DISPIMG("ID_9C3AAF7BA09C4626832FC4C49E6F802D",1)</v>
      </c>
      <c r="T187" s="115" t="s">
        <v>1703</v>
      </c>
      <c r="U187" s="27">
        <v>192</v>
      </c>
    </row>
    <row r="188" s="3" customFormat="1" customHeight="1" spans="1:21">
      <c r="A188" s="144">
        <v>44365.4251736111</v>
      </c>
      <c r="B188" s="27" t="s">
        <v>1704</v>
      </c>
      <c r="C188" s="27" t="s">
        <v>1705</v>
      </c>
      <c r="D188" s="162" t="s">
        <v>1706</v>
      </c>
      <c r="E188" s="162" t="s">
        <v>153</v>
      </c>
      <c r="F188" s="162" t="s">
        <v>1707</v>
      </c>
      <c r="G188" s="27">
        <v>15070040825</v>
      </c>
      <c r="H188" s="162" t="s">
        <v>1708</v>
      </c>
      <c r="I188" s="162" t="s">
        <v>506</v>
      </c>
      <c r="J188" s="162" t="s">
        <v>5</v>
      </c>
      <c r="K188" s="27">
        <v>202102020</v>
      </c>
      <c r="L188" s="162" t="s">
        <v>157</v>
      </c>
      <c r="M188" s="162" t="s">
        <v>789</v>
      </c>
      <c r="N188" s="162" t="s">
        <v>1709</v>
      </c>
      <c r="O188" s="162" t="s">
        <v>160</v>
      </c>
      <c r="P188" s="162" t="s">
        <v>1346</v>
      </c>
      <c r="Q188" s="162" t="s">
        <v>1710</v>
      </c>
      <c r="R188" s="162" t="s">
        <v>1711</v>
      </c>
      <c r="S188" s="118" t="str">
        <f>_xlfn.DISPIMG("ID_B3E8781AF7454377842FD7EC53A6E781",1)</f>
        <v>=DISPIMG("ID_B3E8781AF7454377842FD7EC53A6E781",1)</v>
      </c>
      <c r="T188" s="115" t="s">
        <v>1712</v>
      </c>
      <c r="U188" s="27">
        <v>193</v>
      </c>
    </row>
    <row r="189" s="3" customFormat="1" customHeight="1" spans="1:21">
      <c r="A189" s="144">
        <v>44359.395625</v>
      </c>
      <c r="B189" s="27" t="s">
        <v>1713</v>
      </c>
      <c r="C189" s="27" t="s">
        <v>1714</v>
      </c>
      <c r="D189" s="162" t="s">
        <v>1715</v>
      </c>
      <c r="E189" s="162" t="s">
        <v>165</v>
      </c>
      <c r="F189" s="162" t="s">
        <v>1716</v>
      </c>
      <c r="G189" s="27">
        <v>15070075457</v>
      </c>
      <c r="H189" s="162" t="s">
        <v>1717</v>
      </c>
      <c r="I189" s="162" t="s">
        <v>156</v>
      </c>
      <c r="J189" s="162" t="s">
        <v>13</v>
      </c>
      <c r="K189" s="27">
        <v>202102003</v>
      </c>
      <c r="L189" s="162" t="s">
        <v>157</v>
      </c>
      <c r="M189" s="162" t="s">
        <v>1718</v>
      </c>
      <c r="N189" s="162" t="s">
        <v>1195</v>
      </c>
      <c r="O189" s="162" t="s">
        <v>170</v>
      </c>
      <c r="P189" s="162" t="s">
        <v>281</v>
      </c>
      <c r="Q189" s="162" t="s">
        <v>13</v>
      </c>
      <c r="R189" s="162" t="s">
        <v>1719</v>
      </c>
      <c r="S189" s="118" t="str">
        <f>_xlfn.DISPIMG("ID_33BA8978EFEE4AA59909527B43B2E1C1",1)</f>
        <v>=DISPIMG("ID_33BA8978EFEE4AA59909527B43B2E1C1",1)</v>
      </c>
      <c r="T189" s="115" t="s">
        <v>1720</v>
      </c>
      <c r="U189" s="27">
        <v>194</v>
      </c>
    </row>
    <row r="190" s="3" customFormat="1" customHeight="1" spans="1:21">
      <c r="A190" s="144">
        <v>44359.3962731482</v>
      </c>
      <c r="B190" s="27" t="s">
        <v>1721</v>
      </c>
      <c r="C190" s="27" t="s">
        <v>1722</v>
      </c>
      <c r="D190" s="162" t="s">
        <v>1723</v>
      </c>
      <c r="E190" s="162" t="s">
        <v>165</v>
      </c>
      <c r="F190" s="162" t="s">
        <v>1724</v>
      </c>
      <c r="G190" s="27">
        <v>13697028942</v>
      </c>
      <c r="H190" s="162" t="s">
        <v>1725</v>
      </c>
      <c r="I190" s="162" t="s">
        <v>156</v>
      </c>
      <c r="J190" s="162" t="s">
        <v>14</v>
      </c>
      <c r="K190" s="27">
        <v>202102001</v>
      </c>
      <c r="L190" s="162" t="s">
        <v>157</v>
      </c>
      <c r="M190" s="162" t="s">
        <v>827</v>
      </c>
      <c r="N190" s="162" t="s">
        <v>454</v>
      </c>
      <c r="O190" s="162" t="s">
        <v>170</v>
      </c>
      <c r="P190" s="162" t="s">
        <v>261</v>
      </c>
      <c r="Q190" s="162" t="s">
        <v>26</v>
      </c>
      <c r="R190" s="27">
        <v>0</v>
      </c>
      <c r="S190" s="118" t="str">
        <f>_xlfn.DISPIMG("ID_9F3C5B09040D438283C530134A5BD84D",1)</f>
        <v>=DISPIMG("ID_9F3C5B09040D438283C530134A5BD84D",1)</v>
      </c>
      <c r="T190" s="115" t="s">
        <v>1726</v>
      </c>
      <c r="U190" s="27">
        <v>195</v>
      </c>
    </row>
    <row r="191" s="3" customFormat="1" customHeight="1" spans="1:21">
      <c r="A191" s="144">
        <v>44359.4008449074</v>
      </c>
      <c r="B191" s="27" t="s">
        <v>1727</v>
      </c>
      <c r="C191" s="27" t="s">
        <v>1728</v>
      </c>
      <c r="D191" s="162" t="s">
        <v>1729</v>
      </c>
      <c r="E191" s="162" t="s">
        <v>153</v>
      </c>
      <c r="F191" s="162" t="s">
        <v>1730</v>
      </c>
      <c r="G191" s="27">
        <v>18720253839</v>
      </c>
      <c r="H191" s="162" t="s">
        <v>1731</v>
      </c>
      <c r="I191" s="162" t="s">
        <v>384</v>
      </c>
      <c r="J191" s="162" t="s">
        <v>20</v>
      </c>
      <c r="K191" s="27">
        <v>202101005</v>
      </c>
      <c r="L191" s="162" t="s">
        <v>157</v>
      </c>
      <c r="M191" s="162" t="s">
        <v>1258</v>
      </c>
      <c r="N191" s="162" t="s">
        <v>270</v>
      </c>
      <c r="O191" s="162" t="s">
        <v>170</v>
      </c>
      <c r="P191" s="162" t="s">
        <v>349</v>
      </c>
      <c r="Q191" s="162" t="s">
        <v>1732</v>
      </c>
      <c r="R191" s="162" t="s">
        <v>1733</v>
      </c>
      <c r="S191" s="118" t="str">
        <f>_xlfn.DISPIMG("ID_677AC12F255C494892F34EE0AF9DED02",1)</f>
        <v>=DISPIMG("ID_677AC12F255C494892F34EE0AF9DED02",1)</v>
      </c>
      <c r="T191" s="115" t="s">
        <v>1734</v>
      </c>
      <c r="U191" s="27">
        <v>196</v>
      </c>
    </row>
    <row r="192" s="3" customFormat="1" customHeight="1" spans="1:21">
      <c r="A192" s="144">
        <v>44359.4028472222</v>
      </c>
      <c r="B192" s="27" t="s">
        <v>1735</v>
      </c>
      <c r="C192" s="27" t="s">
        <v>1736</v>
      </c>
      <c r="D192" s="162" t="s">
        <v>1737</v>
      </c>
      <c r="E192" s="162" t="s">
        <v>153</v>
      </c>
      <c r="F192" s="162" t="s">
        <v>1738</v>
      </c>
      <c r="G192" s="27">
        <v>19815092923</v>
      </c>
      <c r="H192" s="162" t="s">
        <v>1739</v>
      </c>
      <c r="I192" s="162" t="s">
        <v>384</v>
      </c>
      <c r="J192" s="162" t="s">
        <v>21</v>
      </c>
      <c r="K192" s="27">
        <v>202101023</v>
      </c>
      <c r="L192" s="162" t="s">
        <v>157</v>
      </c>
      <c r="M192" s="162" t="s">
        <v>1740</v>
      </c>
      <c r="N192" s="162" t="s">
        <v>682</v>
      </c>
      <c r="O192" s="162" t="s">
        <v>170</v>
      </c>
      <c r="P192" s="162" t="s">
        <v>281</v>
      </c>
      <c r="Q192" s="162" t="s">
        <v>21</v>
      </c>
      <c r="R192" s="27">
        <v>0</v>
      </c>
      <c r="S192" s="118" t="str">
        <f>_xlfn.DISPIMG("ID_5626D0773278487D84DF299D01619D61",1)</f>
        <v>=DISPIMG("ID_5626D0773278487D84DF299D01619D61",1)</v>
      </c>
      <c r="T192" s="115" t="s">
        <v>1741</v>
      </c>
      <c r="U192" s="27">
        <v>197</v>
      </c>
    </row>
    <row r="193" s="3" customFormat="1" customHeight="1" spans="1:21">
      <c r="A193" s="144">
        <v>44359.4099305556</v>
      </c>
      <c r="B193" s="27" t="s">
        <v>1742</v>
      </c>
      <c r="C193" s="27" t="s">
        <v>1743</v>
      </c>
      <c r="D193" s="162" t="s">
        <v>1744</v>
      </c>
      <c r="E193" s="162" t="s">
        <v>153</v>
      </c>
      <c r="F193" s="162" t="s">
        <v>1745</v>
      </c>
      <c r="G193" s="27">
        <v>18162289485</v>
      </c>
      <c r="H193" s="162" t="s">
        <v>1746</v>
      </c>
      <c r="I193" s="162" t="s">
        <v>384</v>
      </c>
      <c r="J193" s="162" t="s">
        <v>13</v>
      </c>
      <c r="K193" s="27">
        <v>202102003</v>
      </c>
      <c r="L193" s="162" t="s">
        <v>279</v>
      </c>
      <c r="M193" s="162" t="s">
        <v>158</v>
      </c>
      <c r="N193" s="162" t="s">
        <v>223</v>
      </c>
      <c r="O193" s="162" t="s">
        <v>170</v>
      </c>
      <c r="P193" s="162" t="s">
        <v>281</v>
      </c>
      <c r="Q193" s="162" t="s">
        <v>225</v>
      </c>
      <c r="R193" s="162" t="s">
        <v>1747</v>
      </c>
      <c r="S193" s="118" t="str">
        <f>_xlfn.DISPIMG("ID_5044DE99F5764C15B715286BE7DA4EE0",1)</f>
        <v>=DISPIMG("ID_5044DE99F5764C15B715286BE7DA4EE0",1)</v>
      </c>
      <c r="T193" s="115" t="s">
        <v>1748</v>
      </c>
      <c r="U193" s="27">
        <v>198</v>
      </c>
    </row>
    <row r="194" s="3" customFormat="1" customHeight="1" spans="1:21">
      <c r="A194" s="144">
        <v>44359.419849537</v>
      </c>
      <c r="B194" s="27" t="s">
        <v>1749</v>
      </c>
      <c r="C194" s="27" t="s">
        <v>1750</v>
      </c>
      <c r="D194" s="162" t="s">
        <v>1751</v>
      </c>
      <c r="E194" s="162" t="s">
        <v>165</v>
      </c>
      <c r="F194" s="162" t="s">
        <v>1752</v>
      </c>
      <c r="G194" s="27">
        <v>18770825920</v>
      </c>
      <c r="H194" s="162" t="s">
        <v>1753</v>
      </c>
      <c r="I194" s="162" t="s">
        <v>278</v>
      </c>
      <c r="J194" s="162" t="s">
        <v>28</v>
      </c>
      <c r="K194" s="27">
        <v>202103001</v>
      </c>
      <c r="L194" s="162" t="s">
        <v>585</v>
      </c>
      <c r="M194" s="162" t="s">
        <v>367</v>
      </c>
      <c r="N194" s="162" t="s">
        <v>280</v>
      </c>
      <c r="O194" s="162" t="s">
        <v>160</v>
      </c>
      <c r="P194" s="162" t="s">
        <v>396</v>
      </c>
      <c r="Q194" s="162" t="s">
        <v>1754</v>
      </c>
      <c r="R194" s="162" t="s">
        <v>1755</v>
      </c>
      <c r="S194" s="118" t="str">
        <f>_xlfn.DISPIMG("ID_11BD6E6070704D3C9E8B19CABEC53565",1)</f>
        <v>=DISPIMG("ID_11BD6E6070704D3C9E8B19CABEC53565",1)</v>
      </c>
      <c r="T194" s="115" t="s">
        <v>1756</v>
      </c>
      <c r="U194" s="27">
        <v>199</v>
      </c>
    </row>
    <row r="195" s="3" customFormat="1" customHeight="1" spans="1:21">
      <c r="A195" s="144">
        <v>44359.4393402778</v>
      </c>
      <c r="B195" s="27" t="s">
        <v>1757</v>
      </c>
      <c r="C195" s="27" t="s">
        <v>1758</v>
      </c>
      <c r="D195" s="162" t="s">
        <v>1759</v>
      </c>
      <c r="E195" s="162" t="s">
        <v>165</v>
      </c>
      <c r="F195" s="162" t="s">
        <v>1760</v>
      </c>
      <c r="G195" s="27">
        <v>13450834436</v>
      </c>
      <c r="H195" s="162" t="s">
        <v>1761</v>
      </c>
      <c r="I195" s="162" t="s">
        <v>156</v>
      </c>
      <c r="J195" s="162" t="s">
        <v>13</v>
      </c>
      <c r="K195" s="27">
        <v>202102003</v>
      </c>
      <c r="L195" s="162" t="s">
        <v>279</v>
      </c>
      <c r="M195" s="162" t="s">
        <v>158</v>
      </c>
      <c r="N195" s="162" t="s">
        <v>298</v>
      </c>
      <c r="O195" s="162" t="s">
        <v>160</v>
      </c>
      <c r="P195" s="162" t="s">
        <v>910</v>
      </c>
      <c r="Q195" s="162" t="s">
        <v>13</v>
      </c>
      <c r="R195" s="162" t="s">
        <v>1762</v>
      </c>
      <c r="S195" s="118" t="str">
        <f>_xlfn.DISPIMG("ID_6061453C50E94D60AD50D7D119779DE5",1)</f>
        <v>=DISPIMG("ID_6061453C50E94D60AD50D7D119779DE5",1)</v>
      </c>
      <c r="T195" s="115" t="s">
        <v>1763</v>
      </c>
      <c r="U195" s="27">
        <v>200</v>
      </c>
    </row>
    <row r="196" s="3" customFormat="1" customHeight="1" spans="1:21">
      <c r="A196" s="144">
        <v>44359.4521643519</v>
      </c>
      <c r="B196" s="27" t="s">
        <v>1764</v>
      </c>
      <c r="C196" s="27" t="s">
        <v>1765</v>
      </c>
      <c r="D196" s="162" t="s">
        <v>1766</v>
      </c>
      <c r="E196" s="162" t="s">
        <v>165</v>
      </c>
      <c r="F196" s="162" t="s">
        <v>1767</v>
      </c>
      <c r="G196" s="27">
        <v>18370038373</v>
      </c>
      <c r="H196" s="162" t="s">
        <v>1768</v>
      </c>
      <c r="I196" s="162" t="s">
        <v>156</v>
      </c>
      <c r="J196" s="162" t="s">
        <v>8</v>
      </c>
      <c r="K196" s="27">
        <v>202102002</v>
      </c>
      <c r="L196" s="162" t="s">
        <v>157</v>
      </c>
      <c r="M196" s="162" t="s">
        <v>269</v>
      </c>
      <c r="N196" s="162" t="s">
        <v>813</v>
      </c>
      <c r="O196" s="162" t="s">
        <v>160</v>
      </c>
      <c r="P196" s="162" t="s">
        <v>180</v>
      </c>
      <c r="Q196" s="162" t="s">
        <v>8</v>
      </c>
      <c r="R196" s="162" t="s">
        <v>1769</v>
      </c>
      <c r="S196" s="118" t="str">
        <f>_xlfn.DISPIMG("ID_DCEB7245249347F4A2C197E5AB7C6C11",1)</f>
        <v>=DISPIMG("ID_DCEB7245249347F4A2C197E5AB7C6C11",1)</v>
      </c>
      <c r="T196" s="115" t="s">
        <v>1770</v>
      </c>
      <c r="U196" s="27">
        <v>201</v>
      </c>
    </row>
    <row r="197" s="3" customFormat="1" customHeight="1" spans="1:21">
      <c r="A197" s="144">
        <v>44359.4538773148</v>
      </c>
      <c r="B197" s="27" t="s">
        <v>1771</v>
      </c>
      <c r="C197" s="27" t="s">
        <v>1772</v>
      </c>
      <c r="D197" s="162" t="s">
        <v>1773</v>
      </c>
      <c r="E197" s="162" t="s">
        <v>165</v>
      </c>
      <c r="F197" s="162" t="s">
        <v>1774</v>
      </c>
      <c r="G197" s="27">
        <v>15070865413</v>
      </c>
      <c r="H197" s="162" t="s">
        <v>1775</v>
      </c>
      <c r="I197" s="162" t="s">
        <v>278</v>
      </c>
      <c r="J197" s="162" t="s">
        <v>28</v>
      </c>
      <c r="K197" s="27">
        <v>202103001</v>
      </c>
      <c r="L197" s="162" t="s">
        <v>279</v>
      </c>
      <c r="M197" s="162" t="s">
        <v>662</v>
      </c>
      <c r="N197" s="162" t="s">
        <v>280</v>
      </c>
      <c r="O197" s="162" t="s">
        <v>170</v>
      </c>
      <c r="P197" s="162" t="s">
        <v>161</v>
      </c>
      <c r="Q197" s="162" t="s">
        <v>1776</v>
      </c>
      <c r="R197" s="162" t="s">
        <v>1777</v>
      </c>
      <c r="S197" s="118" t="str">
        <f>_xlfn.DISPIMG("ID_870E78DB9450493E87561F4FC105D429",1)</f>
        <v>=DISPIMG("ID_870E78DB9450493E87561F4FC105D429",1)</v>
      </c>
      <c r="T197" s="115" t="s">
        <v>1778</v>
      </c>
      <c r="U197" s="27">
        <v>202</v>
      </c>
    </row>
    <row r="198" s="3" customFormat="1" customHeight="1" spans="1:21">
      <c r="A198" s="144">
        <v>44359.4548842593</v>
      </c>
      <c r="B198" s="27" t="s">
        <v>1779</v>
      </c>
      <c r="C198" s="27" t="s">
        <v>1780</v>
      </c>
      <c r="D198" s="162" t="s">
        <v>1781</v>
      </c>
      <c r="E198" s="162" t="s">
        <v>165</v>
      </c>
      <c r="F198" s="162" t="s">
        <v>1782</v>
      </c>
      <c r="G198" s="27">
        <v>18379139309</v>
      </c>
      <c r="H198" s="162" t="s">
        <v>1783</v>
      </c>
      <c r="I198" s="162" t="s">
        <v>156</v>
      </c>
      <c r="J198" s="162" t="s">
        <v>13</v>
      </c>
      <c r="K198" s="27">
        <v>202102003</v>
      </c>
      <c r="L198" s="162" t="s">
        <v>157</v>
      </c>
      <c r="M198" s="162" t="s">
        <v>1784</v>
      </c>
      <c r="N198" s="162" t="s">
        <v>243</v>
      </c>
      <c r="O198" s="162" t="s">
        <v>160</v>
      </c>
      <c r="P198" s="162" t="s">
        <v>516</v>
      </c>
      <c r="Q198" s="162" t="s">
        <v>25</v>
      </c>
      <c r="R198" s="162" t="s">
        <v>1785</v>
      </c>
      <c r="S198" s="118" t="str">
        <f>_xlfn.DISPIMG("ID_FAA9DF7D97144F66A8EC0127C6ABD49F",1)</f>
        <v>=DISPIMG("ID_FAA9DF7D97144F66A8EC0127C6ABD49F",1)</v>
      </c>
      <c r="T198" s="115" t="s">
        <v>1786</v>
      </c>
      <c r="U198" s="27">
        <v>203</v>
      </c>
    </row>
    <row r="199" s="3" customFormat="1" customHeight="1" spans="1:21">
      <c r="A199" s="144">
        <v>44359.4733217593</v>
      </c>
      <c r="B199" s="27" t="s">
        <v>1787</v>
      </c>
      <c r="C199" s="27" t="s">
        <v>1788</v>
      </c>
      <c r="D199" s="162" t="s">
        <v>1789</v>
      </c>
      <c r="E199" s="162" t="s">
        <v>165</v>
      </c>
      <c r="F199" s="162" t="s">
        <v>1790</v>
      </c>
      <c r="G199" s="27">
        <v>15350130023</v>
      </c>
      <c r="H199" s="162" t="s">
        <v>1791</v>
      </c>
      <c r="I199" s="162" t="s">
        <v>384</v>
      </c>
      <c r="J199" s="162" t="s">
        <v>18</v>
      </c>
      <c r="K199" s="27">
        <v>202101023</v>
      </c>
      <c r="L199" s="162" t="s">
        <v>157</v>
      </c>
      <c r="M199" s="162" t="s">
        <v>1792</v>
      </c>
      <c r="N199" s="162" t="s">
        <v>1793</v>
      </c>
      <c r="O199" s="162" t="s">
        <v>160</v>
      </c>
      <c r="P199" s="162" t="s">
        <v>455</v>
      </c>
      <c r="Q199" s="162" t="s">
        <v>1794</v>
      </c>
      <c r="R199" s="27">
        <v>0</v>
      </c>
      <c r="S199" s="118" t="str">
        <f>_xlfn.DISPIMG("ID_F2D31DD52A09466996724F8ACF5386A0",1)</f>
        <v>=DISPIMG("ID_F2D31DD52A09466996724F8ACF5386A0",1)</v>
      </c>
      <c r="T199" s="115" t="s">
        <v>1795</v>
      </c>
      <c r="U199" s="27">
        <v>204</v>
      </c>
    </row>
    <row r="200" s="3" customFormat="1" customHeight="1" spans="1:21">
      <c r="A200" s="144">
        <v>44359.5018518519</v>
      </c>
      <c r="B200" s="27" t="s">
        <v>1796</v>
      </c>
      <c r="C200" s="27" t="s">
        <v>1797</v>
      </c>
      <c r="D200" s="162" t="s">
        <v>1798</v>
      </c>
      <c r="E200" s="162" t="s">
        <v>165</v>
      </c>
      <c r="F200" s="162" t="s">
        <v>1799</v>
      </c>
      <c r="G200" s="27">
        <v>18070223507</v>
      </c>
      <c r="H200" s="162" t="s">
        <v>1800</v>
      </c>
      <c r="I200" s="162" t="s">
        <v>506</v>
      </c>
      <c r="J200" s="162" t="s">
        <v>6</v>
      </c>
      <c r="K200" s="27">
        <v>202102021</v>
      </c>
      <c r="L200" s="162" t="s">
        <v>157</v>
      </c>
      <c r="M200" s="162" t="s">
        <v>1801</v>
      </c>
      <c r="N200" s="162" t="s">
        <v>1802</v>
      </c>
      <c r="O200" s="162" t="s">
        <v>160</v>
      </c>
      <c r="P200" s="162" t="s">
        <v>161</v>
      </c>
      <c r="Q200" s="162" t="s">
        <v>6</v>
      </c>
      <c r="R200" s="162" t="s">
        <v>1803</v>
      </c>
      <c r="S200" s="118" t="str">
        <f>_xlfn.DISPIMG("ID_054E9F37DEBB4C16973D352603A54499",1)</f>
        <v>=DISPIMG("ID_054E9F37DEBB4C16973D352603A54499",1)</v>
      </c>
      <c r="T200" s="115" t="s">
        <v>1804</v>
      </c>
      <c r="U200" s="27">
        <v>205</v>
      </c>
    </row>
    <row r="201" s="3" customFormat="1" customHeight="1" spans="1:21">
      <c r="A201" s="144">
        <v>44359.5396990741</v>
      </c>
      <c r="B201" s="27" t="s">
        <v>1805</v>
      </c>
      <c r="C201" s="27" t="s">
        <v>1806</v>
      </c>
      <c r="D201" s="162" t="s">
        <v>1807</v>
      </c>
      <c r="E201" s="162" t="s">
        <v>165</v>
      </c>
      <c r="F201" s="162" t="s">
        <v>1808</v>
      </c>
      <c r="G201" s="27">
        <v>18279208598</v>
      </c>
      <c r="H201" s="162" t="s">
        <v>1809</v>
      </c>
      <c r="I201" s="162" t="s">
        <v>384</v>
      </c>
      <c r="J201" s="162" t="s">
        <v>25</v>
      </c>
      <c r="K201" s="27">
        <v>202101007</v>
      </c>
      <c r="L201" s="162" t="s">
        <v>157</v>
      </c>
      <c r="M201" s="162" t="s">
        <v>1413</v>
      </c>
      <c r="N201" s="162" t="s">
        <v>179</v>
      </c>
      <c r="O201" s="162" t="s">
        <v>170</v>
      </c>
      <c r="P201" s="162" t="s">
        <v>235</v>
      </c>
      <c r="Q201" s="162" t="s">
        <v>1692</v>
      </c>
      <c r="R201" s="162" t="s">
        <v>1810</v>
      </c>
      <c r="S201" s="118" t="str">
        <f>_xlfn.DISPIMG("ID_CF289AF208E247F38051A435A278D00A",1)</f>
        <v>=DISPIMG("ID_CF289AF208E247F38051A435A278D00A",1)</v>
      </c>
      <c r="T201" s="115" t="s">
        <v>1811</v>
      </c>
      <c r="U201" s="27">
        <v>206</v>
      </c>
    </row>
    <row r="202" s="3" customFormat="1" customHeight="1" spans="1:21">
      <c r="A202" s="144">
        <v>44359.5558217593</v>
      </c>
      <c r="B202" s="27" t="s">
        <v>1812</v>
      </c>
      <c r="C202" s="27" t="s">
        <v>1813</v>
      </c>
      <c r="D202" s="162" t="s">
        <v>1814</v>
      </c>
      <c r="E202" s="162" t="s">
        <v>165</v>
      </c>
      <c r="F202" s="162" t="s">
        <v>1815</v>
      </c>
      <c r="G202" s="27">
        <v>15879170317</v>
      </c>
      <c r="H202" s="162" t="s">
        <v>1816</v>
      </c>
      <c r="I202" s="162" t="s">
        <v>278</v>
      </c>
      <c r="J202" s="162" t="s">
        <v>28</v>
      </c>
      <c r="K202" s="27">
        <v>202103001</v>
      </c>
      <c r="L202" s="162" t="s">
        <v>279</v>
      </c>
      <c r="M202" s="162" t="s">
        <v>732</v>
      </c>
      <c r="N202" s="162" t="s">
        <v>280</v>
      </c>
      <c r="O202" s="162" t="s">
        <v>170</v>
      </c>
      <c r="P202" s="162" t="s">
        <v>306</v>
      </c>
      <c r="Q202" s="162" t="s">
        <v>1013</v>
      </c>
      <c r="R202" s="162" t="s">
        <v>1817</v>
      </c>
      <c r="S202" s="118" t="str">
        <f>_xlfn.DISPIMG("ID_6DE4E02A017F4BA2AD59ACE3034B4E4E",1)</f>
        <v>=DISPIMG("ID_6DE4E02A017F4BA2AD59ACE3034B4E4E",1)</v>
      </c>
      <c r="T202" s="115" t="s">
        <v>1818</v>
      </c>
      <c r="U202" s="27">
        <v>207</v>
      </c>
    </row>
    <row r="203" s="3" customFormat="1" customHeight="1" spans="1:21">
      <c r="A203" s="144">
        <v>44359.5627314815</v>
      </c>
      <c r="B203" s="27" t="s">
        <v>1819</v>
      </c>
      <c r="C203" s="27" t="s">
        <v>1820</v>
      </c>
      <c r="D203" s="162" t="s">
        <v>1821</v>
      </c>
      <c r="E203" s="162" t="s">
        <v>153</v>
      </c>
      <c r="F203" s="162" t="s">
        <v>1822</v>
      </c>
      <c r="G203" s="27">
        <v>15083520312</v>
      </c>
      <c r="H203" s="162" t="s">
        <v>1823</v>
      </c>
      <c r="I203" s="162" t="s">
        <v>156</v>
      </c>
      <c r="J203" s="162" t="s">
        <v>9</v>
      </c>
      <c r="K203" s="27">
        <v>202102011</v>
      </c>
      <c r="L203" s="162" t="s">
        <v>157</v>
      </c>
      <c r="M203" s="162" t="s">
        <v>437</v>
      </c>
      <c r="N203" s="162" t="s">
        <v>682</v>
      </c>
      <c r="O203" s="162" t="s">
        <v>170</v>
      </c>
      <c r="P203" s="162" t="s">
        <v>455</v>
      </c>
      <c r="Q203" s="162" t="s">
        <v>1824</v>
      </c>
      <c r="R203" s="27">
        <v>0</v>
      </c>
      <c r="S203" s="118" t="str">
        <f>_xlfn.DISPIMG("ID_DDBA99C80B934FEAA0E6DE75BE0B792D",1)</f>
        <v>=DISPIMG("ID_DDBA99C80B934FEAA0E6DE75BE0B792D",1)</v>
      </c>
      <c r="T203" s="115" t="s">
        <v>1825</v>
      </c>
      <c r="U203" s="27">
        <v>208</v>
      </c>
    </row>
    <row r="204" s="3" customFormat="1" customHeight="1" spans="1:21">
      <c r="A204" s="144">
        <v>44359.5703587963</v>
      </c>
      <c r="B204" s="27" t="s">
        <v>1826</v>
      </c>
      <c r="C204" s="27" t="s">
        <v>1827</v>
      </c>
      <c r="D204" s="162" t="s">
        <v>1828</v>
      </c>
      <c r="E204" s="162" t="s">
        <v>165</v>
      </c>
      <c r="F204" s="162" t="s">
        <v>1829</v>
      </c>
      <c r="G204" s="27">
        <v>18797851564</v>
      </c>
      <c r="H204" s="162" t="s">
        <v>1830</v>
      </c>
      <c r="I204" s="162" t="s">
        <v>156</v>
      </c>
      <c r="J204" s="162" t="s">
        <v>14</v>
      </c>
      <c r="K204" s="27">
        <v>202102001</v>
      </c>
      <c r="L204" s="162" t="s">
        <v>157</v>
      </c>
      <c r="M204" s="162" t="s">
        <v>1831</v>
      </c>
      <c r="N204" s="162" t="s">
        <v>1832</v>
      </c>
      <c r="O204" s="162" t="s">
        <v>160</v>
      </c>
      <c r="P204" s="162" t="s">
        <v>171</v>
      </c>
      <c r="Q204" s="162" t="s">
        <v>14</v>
      </c>
      <c r="R204" s="162" t="s">
        <v>1833</v>
      </c>
      <c r="S204" s="118" t="str">
        <f>_xlfn.DISPIMG("ID_9C01FBB9DB4A4DB19EA599EA9C699E26",1)</f>
        <v>=DISPIMG("ID_9C01FBB9DB4A4DB19EA599EA9C699E26",1)</v>
      </c>
      <c r="T204" s="115" t="s">
        <v>1834</v>
      </c>
      <c r="U204" s="27">
        <v>209</v>
      </c>
    </row>
    <row r="205" s="3" customFormat="1" customHeight="1" spans="1:21">
      <c r="A205" s="144">
        <v>44359.6369907407</v>
      </c>
      <c r="B205" s="27" t="s">
        <v>1835</v>
      </c>
      <c r="C205" s="27" t="s">
        <v>1836</v>
      </c>
      <c r="D205" s="162" t="s">
        <v>1837</v>
      </c>
      <c r="E205" s="162" t="s">
        <v>165</v>
      </c>
      <c r="F205" s="162" t="s">
        <v>1838</v>
      </c>
      <c r="G205" s="27">
        <v>13480509971</v>
      </c>
      <c r="H205" s="162" t="s">
        <v>1839</v>
      </c>
      <c r="I205" s="162" t="s">
        <v>156</v>
      </c>
      <c r="J205" s="162" t="s">
        <v>8</v>
      </c>
      <c r="K205" s="27">
        <v>202102002</v>
      </c>
      <c r="L205" s="162" t="s">
        <v>157</v>
      </c>
      <c r="M205" s="162" t="s">
        <v>540</v>
      </c>
      <c r="N205" s="162" t="s">
        <v>1840</v>
      </c>
      <c r="O205" s="162" t="s">
        <v>160</v>
      </c>
      <c r="P205" s="162" t="s">
        <v>587</v>
      </c>
      <c r="Q205" s="162" t="s">
        <v>1841</v>
      </c>
      <c r="R205" s="162" t="s">
        <v>1842</v>
      </c>
      <c r="S205" s="118" t="str">
        <f>_xlfn.DISPIMG("ID_0F8BA8686B8D4F92BF1EF6F4CB55E695",1)</f>
        <v>=DISPIMG("ID_0F8BA8686B8D4F92BF1EF6F4CB55E695",1)</v>
      </c>
      <c r="T205" s="115" t="s">
        <v>1843</v>
      </c>
      <c r="U205" s="27">
        <v>210</v>
      </c>
    </row>
    <row r="206" s="3" customFormat="1" customHeight="1" spans="1:21">
      <c r="A206" s="144">
        <v>44359.6407523148</v>
      </c>
      <c r="B206" s="27" t="s">
        <v>1844</v>
      </c>
      <c r="C206" s="27" t="s">
        <v>1845</v>
      </c>
      <c r="D206" s="162" t="s">
        <v>1846</v>
      </c>
      <c r="E206" s="162" t="s">
        <v>165</v>
      </c>
      <c r="F206" s="162" t="s">
        <v>1847</v>
      </c>
      <c r="G206" s="27">
        <v>18879254089</v>
      </c>
      <c r="H206" s="162" t="s">
        <v>1848</v>
      </c>
      <c r="I206" s="162" t="s">
        <v>156</v>
      </c>
      <c r="J206" s="162" t="s">
        <v>5</v>
      </c>
      <c r="K206" s="27">
        <v>202102008</v>
      </c>
      <c r="L206" s="162" t="s">
        <v>279</v>
      </c>
      <c r="M206" s="162" t="s">
        <v>158</v>
      </c>
      <c r="N206" s="162" t="s">
        <v>1849</v>
      </c>
      <c r="O206" s="162" t="s">
        <v>170</v>
      </c>
      <c r="P206" s="162" t="s">
        <v>396</v>
      </c>
      <c r="Q206" s="162" t="s">
        <v>1850</v>
      </c>
      <c r="R206" s="162" t="s">
        <v>1851</v>
      </c>
      <c r="S206" s="118" t="str">
        <f>_xlfn.DISPIMG("ID_19DBAF911A5F41D795A3B7585DA543D3",1)</f>
        <v>=DISPIMG("ID_19DBAF911A5F41D795A3B7585DA543D3",1)</v>
      </c>
      <c r="T206" s="115" t="s">
        <v>1852</v>
      </c>
      <c r="U206" s="27">
        <v>211</v>
      </c>
    </row>
    <row r="207" s="5" customFormat="1" customHeight="1" spans="1:21">
      <c r="A207" s="146">
        <v>44362.8955439815</v>
      </c>
      <c r="B207" s="116" t="s">
        <v>1853</v>
      </c>
      <c r="C207" s="116" t="s">
        <v>1854</v>
      </c>
      <c r="D207" s="165" t="s">
        <v>1855</v>
      </c>
      <c r="E207" s="165" t="s">
        <v>165</v>
      </c>
      <c r="F207" s="165" t="s">
        <v>1856</v>
      </c>
      <c r="G207" s="116">
        <v>18070128291</v>
      </c>
      <c r="H207" s="165" t="s">
        <v>1857</v>
      </c>
      <c r="I207" s="165" t="s">
        <v>278</v>
      </c>
      <c r="J207" s="165" t="s">
        <v>28</v>
      </c>
      <c r="K207" s="116">
        <v>202103001</v>
      </c>
      <c r="L207" s="165" t="s">
        <v>279</v>
      </c>
      <c r="M207" s="165" t="s">
        <v>732</v>
      </c>
      <c r="N207" s="165" t="s">
        <v>1489</v>
      </c>
      <c r="O207" s="165" t="s">
        <v>170</v>
      </c>
      <c r="P207" s="165" t="s">
        <v>733</v>
      </c>
      <c r="Q207" s="165" t="s">
        <v>517</v>
      </c>
      <c r="R207" s="165" t="s">
        <v>1858</v>
      </c>
      <c r="S207" s="119" t="str">
        <f>_xlfn.DISPIMG("ID_2E8A5FF2C7EA4CF3BCF137C2FDB07272",1)</f>
        <v>=DISPIMG("ID_2E8A5FF2C7EA4CF3BCF137C2FDB07272",1)</v>
      </c>
      <c r="T207" s="120" t="s">
        <v>1859</v>
      </c>
      <c r="U207" s="27">
        <v>212</v>
      </c>
    </row>
    <row r="208" s="4" customFormat="1" customHeight="1" spans="1:21">
      <c r="A208" s="145">
        <v>44362.8981365741</v>
      </c>
      <c r="B208" s="22" t="s">
        <v>1860</v>
      </c>
      <c r="C208" s="22" t="s">
        <v>1861</v>
      </c>
      <c r="D208" s="164" t="s">
        <v>1862</v>
      </c>
      <c r="E208" s="164" t="s">
        <v>165</v>
      </c>
      <c r="F208" s="164" t="s">
        <v>1863</v>
      </c>
      <c r="G208" s="22">
        <v>18279208748</v>
      </c>
      <c r="H208" s="164" t="s">
        <v>1864</v>
      </c>
      <c r="I208" s="164" t="s">
        <v>278</v>
      </c>
      <c r="J208" s="164" t="s">
        <v>28</v>
      </c>
      <c r="K208" s="22">
        <v>202102022</v>
      </c>
      <c r="L208" s="164" t="s">
        <v>279</v>
      </c>
      <c r="M208" s="164" t="s">
        <v>1258</v>
      </c>
      <c r="N208" s="164" t="s">
        <v>280</v>
      </c>
      <c r="O208" s="164" t="s">
        <v>170</v>
      </c>
      <c r="P208" s="164" t="s">
        <v>199</v>
      </c>
      <c r="Q208" s="164" t="s">
        <v>376</v>
      </c>
      <c r="R208" s="22">
        <v>0</v>
      </c>
      <c r="S208" s="23" t="str">
        <f>_xlfn.DISPIMG("ID_017E111E073649D082B1F8432485C7B9",1)</f>
        <v>=DISPIMG("ID_017E111E073649D082B1F8432485C7B9",1)</v>
      </c>
      <c r="T208" s="103" t="s">
        <v>1865</v>
      </c>
      <c r="U208" s="27">
        <v>213</v>
      </c>
    </row>
    <row r="209" s="3" customFormat="1" customHeight="1" spans="1:21">
      <c r="A209" s="144">
        <v>44359.6661805556</v>
      </c>
      <c r="B209" s="27" t="s">
        <v>1866</v>
      </c>
      <c r="C209" s="27" t="s">
        <v>1867</v>
      </c>
      <c r="D209" s="162" t="s">
        <v>1868</v>
      </c>
      <c r="E209" s="162" t="s">
        <v>165</v>
      </c>
      <c r="F209" s="162" t="s">
        <v>1869</v>
      </c>
      <c r="G209" s="27">
        <v>18270285866</v>
      </c>
      <c r="H209" s="162" t="s">
        <v>1870</v>
      </c>
      <c r="I209" s="162" t="s">
        <v>156</v>
      </c>
      <c r="J209" s="162" t="s">
        <v>13</v>
      </c>
      <c r="K209" s="27">
        <v>202102003</v>
      </c>
      <c r="L209" s="162" t="s">
        <v>157</v>
      </c>
      <c r="M209" s="162" t="s">
        <v>697</v>
      </c>
      <c r="N209" s="162" t="s">
        <v>179</v>
      </c>
      <c r="O209" s="162" t="s">
        <v>160</v>
      </c>
      <c r="P209" s="162" t="s">
        <v>161</v>
      </c>
      <c r="Q209" s="162" t="s">
        <v>13</v>
      </c>
      <c r="R209" s="162" t="s">
        <v>1871</v>
      </c>
      <c r="S209" s="118" t="str">
        <f>_xlfn.DISPIMG("ID_8FA08A92AF314DECB56C8C1E101E9B2E",1)</f>
        <v>=DISPIMG("ID_8FA08A92AF314DECB56C8C1E101E9B2E",1)</v>
      </c>
      <c r="T209" s="115" t="s">
        <v>1872</v>
      </c>
      <c r="U209" s="27">
        <v>214</v>
      </c>
    </row>
    <row r="210" s="3" customFormat="1" customHeight="1" spans="1:21">
      <c r="A210" s="144">
        <v>44359.6759722222</v>
      </c>
      <c r="B210" s="27" t="s">
        <v>1880</v>
      </c>
      <c r="C210" s="27" t="s">
        <v>1881</v>
      </c>
      <c r="D210" s="162" t="s">
        <v>1882</v>
      </c>
      <c r="E210" s="162" t="s">
        <v>165</v>
      </c>
      <c r="F210" s="162" t="s">
        <v>1883</v>
      </c>
      <c r="G210" s="27">
        <v>19807985498</v>
      </c>
      <c r="H210" s="162" t="s">
        <v>1884</v>
      </c>
      <c r="I210" s="162" t="s">
        <v>156</v>
      </c>
      <c r="J210" s="162" t="s">
        <v>4</v>
      </c>
      <c r="K210" s="27">
        <v>202102005</v>
      </c>
      <c r="L210" s="162" t="s">
        <v>279</v>
      </c>
      <c r="M210" s="162" t="s">
        <v>269</v>
      </c>
      <c r="N210" s="162" t="s">
        <v>1088</v>
      </c>
      <c r="O210" s="162" t="s">
        <v>170</v>
      </c>
      <c r="P210" s="162" t="s">
        <v>171</v>
      </c>
      <c r="Q210" s="162" t="s">
        <v>1885</v>
      </c>
      <c r="R210" s="162" t="s">
        <v>1886</v>
      </c>
      <c r="S210" s="118" t="str">
        <f>_xlfn.DISPIMG("ID_D29EC84107E94871B7B70E677BC40AB8",1)</f>
        <v>=DISPIMG("ID_D29EC84107E94871B7B70E677BC40AB8",1)</v>
      </c>
      <c r="T210" s="115" t="s">
        <v>1887</v>
      </c>
      <c r="U210" s="27">
        <v>216</v>
      </c>
    </row>
    <row r="211" s="3" customFormat="1" customHeight="1" spans="1:21">
      <c r="A211" s="144">
        <v>44359.685625</v>
      </c>
      <c r="B211" s="27" t="s">
        <v>1888</v>
      </c>
      <c r="C211" s="27" t="s">
        <v>1889</v>
      </c>
      <c r="D211" s="162" t="s">
        <v>1890</v>
      </c>
      <c r="E211" s="162" t="s">
        <v>165</v>
      </c>
      <c r="F211" s="162" t="s">
        <v>1891</v>
      </c>
      <c r="G211" s="27">
        <v>18770267494</v>
      </c>
      <c r="H211" s="162" t="s">
        <v>1892</v>
      </c>
      <c r="I211" s="162" t="s">
        <v>156</v>
      </c>
      <c r="J211" s="162" t="s">
        <v>13</v>
      </c>
      <c r="K211" s="27">
        <v>202102003</v>
      </c>
      <c r="L211" s="162" t="s">
        <v>157</v>
      </c>
      <c r="M211" s="162" t="s">
        <v>646</v>
      </c>
      <c r="N211" s="162" t="s">
        <v>179</v>
      </c>
      <c r="O211" s="162" t="s">
        <v>160</v>
      </c>
      <c r="P211" s="162" t="s">
        <v>161</v>
      </c>
      <c r="Q211" s="162" t="s">
        <v>25</v>
      </c>
      <c r="R211" s="162" t="s">
        <v>1893</v>
      </c>
      <c r="S211" s="118" t="str">
        <f>_xlfn.DISPIMG("ID_E3FEEF4304AD40319195B6CB72FAB7DA",1)</f>
        <v>=DISPIMG("ID_E3FEEF4304AD40319195B6CB72FAB7DA",1)</v>
      </c>
      <c r="T211" s="115" t="s">
        <v>1894</v>
      </c>
      <c r="U211" s="27">
        <v>217</v>
      </c>
    </row>
    <row r="212" s="4" customFormat="1" customHeight="1" spans="1:21">
      <c r="A212" s="145">
        <v>44362.9111342593</v>
      </c>
      <c r="B212" s="22" t="s">
        <v>1895</v>
      </c>
      <c r="C212" s="22" t="s">
        <v>1896</v>
      </c>
      <c r="D212" s="164" t="s">
        <v>1897</v>
      </c>
      <c r="E212" s="164" t="s">
        <v>165</v>
      </c>
      <c r="F212" s="164" t="s">
        <v>1898</v>
      </c>
      <c r="G212" s="22">
        <v>13588255405</v>
      </c>
      <c r="H212" s="164" t="s">
        <v>1899</v>
      </c>
      <c r="I212" s="164" t="s">
        <v>156</v>
      </c>
      <c r="J212" s="164" t="s">
        <v>15</v>
      </c>
      <c r="K212" s="22">
        <v>202102007</v>
      </c>
      <c r="L212" s="164" t="s">
        <v>157</v>
      </c>
      <c r="M212" s="164" t="s">
        <v>1900</v>
      </c>
      <c r="N212" s="164" t="s">
        <v>179</v>
      </c>
      <c r="O212" s="164" t="s">
        <v>160</v>
      </c>
      <c r="P212" s="164" t="s">
        <v>235</v>
      </c>
      <c r="Q212" s="164" t="s">
        <v>15</v>
      </c>
      <c r="R212" s="22">
        <v>0</v>
      </c>
      <c r="S212" s="23" t="str">
        <f>_xlfn.DISPIMG("ID_427E6301FF984C74BA8E87820A04494C",1)</f>
        <v>=DISPIMG("ID_427E6301FF984C74BA8E87820A04494C",1)</v>
      </c>
      <c r="T212" s="103" t="s">
        <v>1901</v>
      </c>
      <c r="U212" s="27">
        <v>218</v>
      </c>
    </row>
    <row r="213" s="3" customFormat="1" customHeight="1" spans="1:21">
      <c r="A213" s="144">
        <v>44359.7069328704</v>
      </c>
      <c r="B213" s="27" t="s">
        <v>1902</v>
      </c>
      <c r="C213" s="27" t="s">
        <v>1903</v>
      </c>
      <c r="D213" s="162" t="s">
        <v>1904</v>
      </c>
      <c r="E213" s="162" t="s">
        <v>165</v>
      </c>
      <c r="F213" s="162" t="s">
        <v>1905</v>
      </c>
      <c r="G213" s="27">
        <v>15070412978</v>
      </c>
      <c r="H213" s="162" t="s">
        <v>1906</v>
      </c>
      <c r="I213" s="162" t="s">
        <v>156</v>
      </c>
      <c r="J213" s="162" t="s">
        <v>8</v>
      </c>
      <c r="K213" s="27">
        <v>202102002</v>
      </c>
      <c r="L213" s="162" t="s">
        <v>157</v>
      </c>
      <c r="M213" s="162" t="s">
        <v>233</v>
      </c>
      <c r="N213" s="162" t="s">
        <v>454</v>
      </c>
      <c r="O213" s="162" t="s">
        <v>170</v>
      </c>
      <c r="P213" s="162" t="s">
        <v>1907</v>
      </c>
      <c r="Q213" s="162" t="s">
        <v>8</v>
      </c>
      <c r="R213" s="162" t="s">
        <v>1908</v>
      </c>
      <c r="S213" s="118" t="str">
        <f>_xlfn.DISPIMG("ID_02D14B5C83BE4DBBBCAAA0B55D7FE392",1)</f>
        <v>=DISPIMG("ID_02D14B5C83BE4DBBBCAAA0B55D7FE392",1)</v>
      </c>
      <c r="T213" s="115" t="s">
        <v>1909</v>
      </c>
      <c r="U213" s="27">
        <v>219</v>
      </c>
    </row>
    <row r="214" s="3" customFormat="1" customHeight="1" spans="1:21">
      <c r="A214" s="144">
        <v>44359.7107986111</v>
      </c>
      <c r="B214" s="27" t="s">
        <v>1910</v>
      </c>
      <c r="C214" s="27" t="s">
        <v>1911</v>
      </c>
      <c r="D214" s="162" t="s">
        <v>1912</v>
      </c>
      <c r="E214" s="162" t="s">
        <v>165</v>
      </c>
      <c r="F214" s="162" t="s">
        <v>1913</v>
      </c>
      <c r="G214" s="27">
        <v>15079288765</v>
      </c>
      <c r="H214" s="162" t="s">
        <v>1914</v>
      </c>
      <c r="I214" s="162" t="s">
        <v>297</v>
      </c>
      <c r="J214" s="162" t="s">
        <v>25</v>
      </c>
      <c r="K214" s="27">
        <v>202101008</v>
      </c>
      <c r="L214" s="162" t="s">
        <v>157</v>
      </c>
      <c r="M214" s="162" t="s">
        <v>233</v>
      </c>
      <c r="N214" s="162" t="s">
        <v>298</v>
      </c>
      <c r="O214" s="162" t="s">
        <v>160</v>
      </c>
      <c r="P214" s="162" t="s">
        <v>587</v>
      </c>
      <c r="Q214" s="162" t="s">
        <v>25</v>
      </c>
      <c r="R214" s="162" t="s">
        <v>1915</v>
      </c>
      <c r="S214" s="118" t="str">
        <f>_xlfn.DISPIMG("ID_845D85CFFC3A4B2FB996A756749DD1B9",1)</f>
        <v>=DISPIMG("ID_845D85CFFC3A4B2FB996A756749DD1B9",1)</v>
      </c>
      <c r="T214" s="115" t="s">
        <v>1916</v>
      </c>
      <c r="U214" s="27">
        <v>220</v>
      </c>
    </row>
    <row r="215" s="3" customFormat="1" customHeight="1" spans="1:21">
      <c r="A215" s="144">
        <v>44359.7581365741</v>
      </c>
      <c r="B215" s="27" t="s">
        <v>1917</v>
      </c>
      <c r="C215" s="27" t="s">
        <v>1918</v>
      </c>
      <c r="D215" s="162" t="s">
        <v>1919</v>
      </c>
      <c r="E215" s="162" t="s">
        <v>153</v>
      </c>
      <c r="F215" s="162" t="s">
        <v>1920</v>
      </c>
      <c r="G215" s="27">
        <v>18046826639</v>
      </c>
      <c r="H215" s="162" t="s">
        <v>1921</v>
      </c>
      <c r="I215" s="162" t="s">
        <v>278</v>
      </c>
      <c r="J215" s="162" t="s">
        <v>28</v>
      </c>
      <c r="K215" s="27">
        <v>202103001</v>
      </c>
      <c r="L215" s="162" t="s">
        <v>279</v>
      </c>
      <c r="M215" s="162" t="s">
        <v>765</v>
      </c>
      <c r="N215" s="162" t="s">
        <v>280</v>
      </c>
      <c r="O215" s="162" t="s">
        <v>170</v>
      </c>
      <c r="P215" s="162" t="s">
        <v>455</v>
      </c>
      <c r="Q215" s="162" t="s">
        <v>376</v>
      </c>
      <c r="R215" s="27">
        <v>0</v>
      </c>
      <c r="S215" s="118" t="str">
        <f>_xlfn.DISPIMG("ID_A79FF9B64919489DB578A9ECC96B1C96",1)</f>
        <v>=DISPIMG("ID_A79FF9B64919489DB578A9ECC96B1C96",1)</v>
      </c>
      <c r="T215" s="115" t="s">
        <v>1922</v>
      </c>
      <c r="U215" s="27">
        <v>221</v>
      </c>
    </row>
    <row r="216" s="3" customFormat="1" customHeight="1" spans="1:21">
      <c r="A216" s="144">
        <v>44359.7646527778</v>
      </c>
      <c r="B216" s="27" t="s">
        <v>1923</v>
      </c>
      <c r="C216" s="27" t="s">
        <v>1924</v>
      </c>
      <c r="D216" s="162" t="s">
        <v>1925</v>
      </c>
      <c r="E216" s="162" t="s">
        <v>165</v>
      </c>
      <c r="F216" s="162" t="s">
        <v>1926</v>
      </c>
      <c r="G216" s="27">
        <v>18000203663</v>
      </c>
      <c r="H216" s="162" t="s">
        <v>1927</v>
      </c>
      <c r="I216" s="162" t="s">
        <v>156</v>
      </c>
      <c r="J216" s="162" t="s">
        <v>13</v>
      </c>
      <c r="K216" s="27">
        <v>202102003</v>
      </c>
      <c r="L216" s="162" t="s">
        <v>157</v>
      </c>
      <c r="M216" s="162" t="s">
        <v>611</v>
      </c>
      <c r="N216" s="162" t="s">
        <v>179</v>
      </c>
      <c r="O216" s="162" t="s">
        <v>160</v>
      </c>
      <c r="P216" s="162" t="s">
        <v>281</v>
      </c>
      <c r="Q216" s="162" t="s">
        <v>13</v>
      </c>
      <c r="R216" s="162" t="s">
        <v>1928</v>
      </c>
      <c r="S216" s="118" t="str">
        <f>_xlfn.DISPIMG("ID_F763BF131F364181A17D865B8B797D97",1)</f>
        <v>=DISPIMG("ID_F763BF131F364181A17D865B8B797D97",1)</v>
      </c>
      <c r="T216" s="115" t="s">
        <v>1929</v>
      </c>
      <c r="U216" s="27">
        <v>222</v>
      </c>
    </row>
    <row r="217" s="3" customFormat="1" customHeight="1" spans="1:21">
      <c r="A217" s="144">
        <v>44359.8156481481</v>
      </c>
      <c r="B217" s="27" t="s">
        <v>1930</v>
      </c>
      <c r="C217" s="27" t="s">
        <v>1931</v>
      </c>
      <c r="D217" s="162" t="s">
        <v>1932</v>
      </c>
      <c r="E217" s="162" t="s">
        <v>165</v>
      </c>
      <c r="F217" s="162" t="s">
        <v>1933</v>
      </c>
      <c r="G217" s="27">
        <v>13507099496</v>
      </c>
      <c r="H217" s="162" t="s">
        <v>1934</v>
      </c>
      <c r="I217" s="162" t="s">
        <v>384</v>
      </c>
      <c r="J217" s="162" t="s">
        <v>26</v>
      </c>
      <c r="K217" s="27">
        <v>202101002</v>
      </c>
      <c r="L217" s="162" t="s">
        <v>157</v>
      </c>
      <c r="M217" s="162" t="s">
        <v>827</v>
      </c>
      <c r="N217" s="162" t="s">
        <v>454</v>
      </c>
      <c r="O217" s="162" t="s">
        <v>170</v>
      </c>
      <c r="P217" s="162" t="s">
        <v>199</v>
      </c>
      <c r="Q217" s="162" t="s">
        <v>324</v>
      </c>
      <c r="R217" s="162" t="s">
        <v>1935</v>
      </c>
      <c r="S217" s="118" t="str">
        <f>_xlfn.DISPIMG("ID_4ED50304A31443EC8E946100C168F137",1)</f>
        <v>=DISPIMG("ID_4ED50304A31443EC8E946100C168F137",1)</v>
      </c>
      <c r="T217" s="115" t="s">
        <v>1936</v>
      </c>
      <c r="U217" s="27">
        <v>223</v>
      </c>
    </row>
    <row r="218" s="3" customFormat="1" customHeight="1" spans="1:21">
      <c r="A218" s="144">
        <v>44359.8528703704</v>
      </c>
      <c r="B218" s="27" t="s">
        <v>1937</v>
      </c>
      <c r="C218" s="27" t="s">
        <v>1938</v>
      </c>
      <c r="D218" s="162" t="s">
        <v>1939</v>
      </c>
      <c r="E218" s="162" t="s">
        <v>165</v>
      </c>
      <c r="F218" s="162" t="s">
        <v>1940</v>
      </c>
      <c r="G218" s="27">
        <v>15727538228</v>
      </c>
      <c r="H218" s="162" t="s">
        <v>1941</v>
      </c>
      <c r="I218" s="162" t="s">
        <v>156</v>
      </c>
      <c r="J218" s="162" t="s">
        <v>14</v>
      </c>
      <c r="K218" s="27">
        <v>202102001</v>
      </c>
      <c r="L218" s="162" t="s">
        <v>157</v>
      </c>
      <c r="M218" s="162" t="s">
        <v>233</v>
      </c>
      <c r="N218" s="162" t="s">
        <v>454</v>
      </c>
      <c r="O218" s="162" t="s">
        <v>170</v>
      </c>
      <c r="P218" s="162" t="s">
        <v>1942</v>
      </c>
      <c r="Q218" s="162" t="s">
        <v>498</v>
      </c>
      <c r="R218" s="162" t="s">
        <v>1943</v>
      </c>
      <c r="S218" s="118" t="str">
        <f>_xlfn.DISPIMG("ID_1C58977D34D3459483FD1AF3B2109430",1)</f>
        <v>=DISPIMG("ID_1C58977D34D3459483FD1AF3B2109430",1)</v>
      </c>
      <c r="T218" s="115" t="s">
        <v>1944</v>
      </c>
      <c r="U218" s="27">
        <v>224</v>
      </c>
    </row>
    <row r="219" s="3" customFormat="1" customHeight="1" spans="1:21">
      <c r="A219" s="144">
        <v>44359.8528819444</v>
      </c>
      <c r="B219" s="27" t="s">
        <v>1945</v>
      </c>
      <c r="C219" s="27" t="s">
        <v>1946</v>
      </c>
      <c r="D219" s="162" t="s">
        <v>1947</v>
      </c>
      <c r="E219" s="162" t="s">
        <v>165</v>
      </c>
      <c r="F219" s="162" t="s">
        <v>1948</v>
      </c>
      <c r="G219" s="27">
        <v>15070578947</v>
      </c>
      <c r="H219" s="162" t="s">
        <v>1949</v>
      </c>
      <c r="I219" s="162" t="s">
        <v>156</v>
      </c>
      <c r="J219" s="162" t="s">
        <v>14</v>
      </c>
      <c r="K219" s="27">
        <v>202102001</v>
      </c>
      <c r="L219" s="162" t="s">
        <v>279</v>
      </c>
      <c r="M219" s="162" t="s">
        <v>1523</v>
      </c>
      <c r="N219" s="162" t="s">
        <v>1950</v>
      </c>
      <c r="O219" s="162" t="s">
        <v>170</v>
      </c>
      <c r="P219" s="162" t="s">
        <v>396</v>
      </c>
      <c r="Q219" s="162" t="s">
        <v>14</v>
      </c>
      <c r="R219" s="162" t="s">
        <v>1951</v>
      </c>
      <c r="S219" s="118" t="str">
        <f>_xlfn.DISPIMG("ID_86A99051306F46439DFFA2E8604105B2",1)</f>
        <v>=DISPIMG("ID_86A99051306F46439DFFA2E8604105B2",1)</v>
      </c>
      <c r="T219" s="115" t="s">
        <v>1952</v>
      </c>
      <c r="U219" s="27">
        <v>225</v>
      </c>
    </row>
    <row r="220" s="3" customFormat="1" customHeight="1" spans="1:21">
      <c r="A220" s="144">
        <v>44359.8888194444</v>
      </c>
      <c r="B220" s="27" t="s">
        <v>1953</v>
      </c>
      <c r="C220" s="27" t="s">
        <v>1954</v>
      </c>
      <c r="D220" s="162" t="s">
        <v>1955</v>
      </c>
      <c r="E220" s="162" t="s">
        <v>165</v>
      </c>
      <c r="F220" s="162" t="s">
        <v>1956</v>
      </c>
      <c r="G220" s="27">
        <v>13687028289</v>
      </c>
      <c r="H220" s="162" t="s">
        <v>1957</v>
      </c>
      <c r="I220" s="162" t="s">
        <v>156</v>
      </c>
      <c r="J220" s="162" t="s">
        <v>14</v>
      </c>
      <c r="K220" s="27">
        <v>202102001</v>
      </c>
      <c r="L220" s="162" t="s">
        <v>279</v>
      </c>
      <c r="M220" s="162" t="s">
        <v>339</v>
      </c>
      <c r="N220" s="162" t="s">
        <v>348</v>
      </c>
      <c r="O220" s="162" t="s">
        <v>170</v>
      </c>
      <c r="P220" s="162" t="s">
        <v>180</v>
      </c>
      <c r="Q220" s="162" t="s">
        <v>638</v>
      </c>
      <c r="R220" s="162" t="s">
        <v>1958</v>
      </c>
      <c r="S220" s="118" t="str">
        <f>_xlfn.DISPIMG("ID_2D011236909B4AB48CEACAF4EB3A9013",1)</f>
        <v>=DISPIMG("ID_2D011236909B4AB48CEACAF4EB3A9013",1)</v>
      </c>
      <c r="T220" s="115" t="s">
        <v>1959</v>
      </c>
      <c r="U220" s="27">
        <v>226</v>
      </c>
    </row>
    <row r="221" s="3" customFormat="1" customHeight="1" spans="1:21">
      <c r="A221" s="144">
        <v>44359.8929398148</v>
      </c>
      <c r="B221" s="27" t="s">
        <v>1960</v>
      </c>
      <c r="C221" s="27" t="s">
        <v>1961</v>
      </c>
      <c r="D221" s="162" t="s">
        <v>1962</v>
      </c>
      <c r="E221" s="162" t="s">
        <v>165</v>
      </c>
      <c r="F221" s="162" t="s">
        <v>1963</v>
      </c>
      <c r="G221" s="27">
        <v>18279199773</v>
      </c>
      <c r="H221" s="162" t="s">
        <v>1964</v>
      </c>
      <c r="I221" s="162" t="s">
        <v>156</v>
      </c>
      <c r="J221" s="162" t="s">
        <v>14</v>
      </c>
      <c r="K221" s="27">
        <v>202102001</v>
      </c>
      <c r="L221" s="162" t="s">
        <v>157</v>
      </c>
      <c r="M221" s="162" t="s">
        <v>1121</v>
      </c>
      <c r="N221" s="162" t="s">
        <v>813</v>
      </c>
      <c r="O221" s="162" t="s">
        <v>160</v>
      </c>
      <c r="P221" s="162" t="s">
        <v>199</v>
      </c>
      <c r="Q221" s="162" t="s">
        <v>14</v>
      </c>
      <c r="R221" s="162" t="s">
        <v>1965</v>
      </c>
      <c r="S221" s="118" t="str">
        <f>_xlfn.DISPIMG("ID_978F05F9424741AE81F8E8335A7E991E",1)</f>
        <v>=DISPIMG("ID_978F05F9424741AE81F8E8335A7E991E",1)</v>
      </c>
      <c r="T221" s="115" t="s">
        <v>1966</v>
      </c>
      <c r="U221" s="27">
        <v>227</v>
      </c>
    </row>
    <row r="222" s="3" customFormat="1" customHeight="1" spans="1:21">
      <c r="A222" s="144">
        <v>44359.9081481481</v>
      </c>
      <c r="B222" s="27" t="s">
        <v>1967</v>
      </c>
      <c r="C222" s="27" t="s">
        <v>1968</v>
      </c>
      <c r="D222" s="162" t="s">
        <v>1969</v>
      </c>
      <c r="E222" s="162" t="s">
        <v>165</v>
      </c>
      <c r="F222" s="162" t="s">
        <v>1970</v>
      </c>
      <c r="G222" s="27">
        <v>13767214799</v>
      </c>
      <c r="H222" s="162" t="s">
        <v>1971</v>
      </c>
      <c r="I222" s="162" t="s">
        <v>278</v>
      </c>
      <c r="J222" s="162" t="s">
        <v>28</v>
      </c>
      <c r="K222" s="27">
        <v>202103001</v>
      </c>
      <c r="L222" s="162" t="s">
        <v>279</v>
      </c>
      <c r="M222" s="162" t="s">
        <v>1972</v>
      </c>
      <c r="N222" s="162" t="s">
        <v>280</v>
      </c>
      <c r="O222" s="162" t="s">
        <v>170</v>
      </c>
      <c r="P222" s="162" t="s">
        <v>368</v>
      </c>
      <c r="Q222" s="162" t="s">
        <v>121</v>
      </c>
      <c r="R222" s="162" t="s">
        <v>1973</v>
      </c>
      <c r="S222" s="118" t="str">
        <f>_xlfn.DISPIMG("ID_AAF95BF9A1304A0693E0346D90E4CF2C",1)</f>
        <v>=DISPIMG("ID_AAF95BF9A1304A0693E0346D90E4CF2C",1)</v>
      </c>
      <c r="T222" s="115" t="s">
        <v>1974</v>
      </c>
      <c r="U222" s="27">
        <v>228</v>
      </c>
    </row>
    <row r="223" s="3" customFormat="1" customHeight="1" spans="1:21">
      <c r="A223" s="144">
        <v>44359.9377314815</v>
      </c>
      <c r="B223" s="27" t="s">
        <v>1975</v>
      </c>
      <c r="C223" s="27" t="s">
        <v>1976</v>
      </c>
      <c r="D223" s="162" t="s">
        <v>1977</v>
      </c>
      <c r="E223" s="162" t="s">
        <v>165</v>
      </c>
      <c r="F223" s="162" t="s">
        <v>1978</v>
      </c>
      <c r="G223" s="27">
        <v>15070907830</v>
      </c>
      <c r="H223" s="162" t="s">
        <v>926</v>
      </c>
      <c r="I223" s="162" t="s">
        <v>156</v>
      </c>
      <c r="J223" s="162" t="s">
        <v>8</v>
      </c>
      <c r="K223" s="27">
        <v>202102002</v>
      </c>
      <c r="L223" s="162" t="s">
        <v>157</v>
      </c>
      <c r="M223" s="162" t="s">
        <v>827</v>
      </c>
      <c r="N223" s="162" t="s">
        <v>243</v>
      </c>
      <c r="O223" s="162" t="s">
        <v>160</v>
      </c>
      <c r="P223" s="162" t="s">
        <v>161</v>
      </c>
      <c r="Q223" s="162" t="s">
        <v>8</v>
      </c>
      <c r="R223" s="162" t="s">
        <v>1979</v>
      </c>
      <c r="S223" s="118" t="str">
        <f>_xlfn.DISPIMG("ID_4F2775F35FF241D1A9320534AD0F9FD6",1)</f>
        <v>=DISPIMG("ID_4F2775F35FF241D1A9320534AD0F9FD6",1)</v>
      </c>
      <c r="T223" s="115" t="s">
        <v>1980</v>
      </c>
      <c r="U223" s="27">
        <v>229</v>
      </c>
    </row>
    <row r="224" s="3" customFormat="1" customHeight="1" spans="1:21">
      <c r="A224" s="144">
        <v>44360.3646759259</v>
      </c>
      <c r="B224" s="27" t="s">
        <v>1981</v>
      </c>
      <c r="C224" s="27" t="s">
        <v>1982</v>
      </c>
      <c r="D224" s="162" t="s">
        <v>1983</v>
      </c>
      <c r="E224" s="162" t="s">
        <v>165</v>
      </c>
      <c r="F224" s="162" t="s">
        <v>1984</v>
      </c>
      <c r="G224" s="27">
        <v>15070924105</v>
      </c>
      <c r="H224" s="162" t="s">
        <v>1985</v>
      </c>
      <c r="I224" s="162" t="s">
        <v>156</v>
      </c>
      <c r="J224" s="162" t="s">
        <v>14</v>
      </c>
      <c r="K224" s="27">
        <v>202102001</v>
      </c>
      <c r="L224" s="162" t="s">
        <v>279</v>
      </c>
      <c r="M224" s="162" t="s">
        <v>515</v>
      </c>
      <c r="N224" s="162" t="s">
        <v>223</v>
      </c>
      <c r="O224" s="162" t="s">
        <v>170</v>
      </c>
      <c r="P224" s="162" t="s">
        <v>224</v>
      </c>
      <c r="Q224" s="162" t="s">
        <v>14</v>
      </c>
      <c r="R224" s="27">
        <v>0</v>
      </c>
      <c r="S224" s="118" t="str">
        <f>_xlfn.DISPIMG("ID_88D6D1C166864D0C988B38CB94A18A2D",1)</f>
        <v>=DISPIMG("ID_88D6D1C166864D0C988B38CB94A18A2D",1)</v>
      </c>
      <c r="T224" s="115" t="s">
        <v>1986</v>
      </c>
      <c r="U224" s="27">
        <v>230</v>
      </c>
    </row>
    <row r="225" s="3" customFormat="1" customHeight="1" spans="1:21">
      <c r="A225" s="144">
        <v>44360.3692824074</v>
      </c>
      <c r="B225" s="27" t="s">
        <v>1987</v>
      </c>
      <c r="C225" s="27" t="s">
        <v>1988</v>
      </c>
      <c r="D225" s="162" t="s">
        <v>1989</v>
      </c>
      <c r="E225" s="162" t="s">
        <v>165</v>
      </c>
      <c r="F225" s="162" t="s">
        <v>1990</v>
      </c>
      <c r="G225" s="27">
        <v>18720291086</v>
      </c>
      <c r="H225" s="162" t="s">
        <v>1991</v>
      </c>
      <c r="I225" s="162" t="s">
        <v>156</v>
      </c>
      <c r="J225" s="162" t="s">
        <v>14</v>
      </c>
      <c r="K225" s="27">
        <v>202102001</v>
      </c>
      <c r="L225" s="162" t="s">
        <v>279</v>
      </c>
      <c r="M225" s="162" t="s">
        <v>367</v>
      </c>
      <c r="N225" s="162" t="s">
        <v>348</v>
      </c>
      <c r="O225" s="162" t="s">
        <v>170</v>
      </c>
      <c r="P225" s="162" t="s">
        <v>180</v>
      </c>
      <c r="Q225" s="162" t="s">
        <v>1992</v>
      </c>
      <c r="R225" s="162" t="s">
        <v>1993</v>
      </c>
      <c r="S225" s="118" t="str">
        <f>_xlfn.DISPIMG("ID_08685AD380B84575A97C010891A129EA",1)</f>
        <v>=DISPIMG("ID_08685AD380B84575A97C010891A129EA",1)</v>
      </c>
      <c r="T225" s="115" t="s">
        <v>1994</v>
      </c>
      <c r="U225" s="27">
        <v>231</v>
      </c>
    </row>
    <row r="226" s="3" customFormat="1" customHeight="1" spans="1:21">
      <c r="A226" s="144">
        <v>44360.4092476852</v>
      </c>
      <c r="B226" s="27" t="s">
        <v>1995</v>
      </c>
      <c r="C226" s="27" t="s">
        <v>1996</v>
      </c>
      <c r="D226" s="162" t="s">
        <v>1997</v>
      </c>
      <c r="E226" s="162" t="s">
        <v>165</v>
      </c>
      <c r="F226" s="162" t="s">
        <v>1998</v>
      </c>
      <c r="G226" s="27">
        <v>15270177023</v>
      </c>
      <c r="H226" s="162" t="s">
        <v>1999</v>
      </c>
      <c r="I226" s="162" t="s">
        <v>156</v>
      </c>
      <c r="J226" s="162" t="s">
        <v>13</v>
      </c>
      <c r="K226" s="27">
        <v>202102003</v>
      </c>
      <c r="L226" s="162" t="s">
        <v>157</v>
      </c>
      <c r="M226" s="162" t="s">
        <v>158</v>
      </c>
      <c r="N226" s="162" t="s">
        <v>2000</v>
      </c>
      <c r="O226" s="162" t="s">
        <v>160</v>
      </c>
      <c r="P226" s="162" t="s">
        <v>161</v>
      </c>
      <c r="Q226" s="162" t="s">
        <v>13</v>
      </c>
      <c r="R226" s="27">
        <v>0</v>
      </c>
      <c r="S226" s="118" t="str">
        <f>_xlfn.DISPIMG("ID_08A4D05852A0412E805E12227EDF1C33",1)</f>
        <v>=DISPIMG("ID_08A4D05852A0412E805E12227EDF1C33",1)</v>
      </c>
      <c r="T226" s="115" t="s">
        <v>2001</v>
      </c>
      <c r="U226" s="27">
        <v>232</v>
      </c>
    </row>
    <row r="227" s="3" customFormat="1" customHeight="1" spans="1:21">
      <c r="A227" s="144">
        <v>44360.424224537</v>
      </c>
      <c r="B227" s="27" t="s">
        <v>2002</v>
      </c>
      <c r="C227" s="27" t="s">
        <v>2003</v>
      </c>
      <c r="D227" s="162" t="s">
        <v>2004</v>
      </c>
      <c r="E227" s="162" t="s">
        <v>153</v>
      </c>
      <c r="F227" s="162" t="s">
        <v>2005</v>
      </c>
      <c r="G227" s="27">
        <v>18296155146</v>
      </c>
      <c r="H227" s="162" t="s">
        <v>2006</v>
      </c>
      <c r="I227" s="162" t="s">
        <v>156</v>
      </c>
      <c r="J227" s="162" t="s">
        <v>7</v>
      </c>
      <c r="K227" s="27">
        <v>202102006</v>
      </c>
      <c r="L227" s="162" t="s">
        <v>157</v>
      </c>
      <c r="M227" s="162" t="s">
        <v>1112</v>
      </c>
      <c r="N227" s="162" t="s">
        <v>159</v>
      </c>
      <c r="O227" s="162" t="s">
        <v>160</v>
      </c>
      <c r="P227" s="162" t="s">
        <v>368</v>
      </c>
      <c r="Q227" s="162" t="s">
        <v>2007</v>
      </c>
      <c r="R227" s="162" t="s">
        <v>2008</v>
      </c>
      <c r="S227" s="118" t="str">
        <f>_xlfn.DISPIMG("ID_56BCD58120C9403E8AA33B4C6EF6927A",1)</f>
        <v>=DISPIMG("ID_56BCD58120C9403E8AA33B4C6EF6927A",1)</v>
      </c>
      <c r="T227" s="27" t="s">
        <v>2009</v>
      </c>
      <c r="U227" s="27">
        <v>233</v>
      </c>
    </row>
    <row r="228" s="3" customFormat="1" customHeight="1" spans="1:21">
      <c r="A228" s="144">
        <v>44360.474837963</v>
      </c>
      <c r="B228" s="27" t="s">
        <v>2010</v>
      </c>
      <c r="C228" s="27" t="s">
        <v>2011</v>
      </c>
      <c r="D228" s="162" t="s">
        <v>2012</v>
      </c>
      <c r="E228" s="162" t="s">
        <v>165</v>
      </c>
      <c r="F228" s="162" t="s">
        <v>2013</v>
      </c>
      <c r="G228" s="27">
        <v>18970612776</v>
      </c>
      <c r="H228" s="162" t="s">
        <v>2014</v>
      </c>
      <c r="I228" s="162" t="s">
        <v>156</v>
      </c>
      <c r="J228" s="162" t="s">
        <v>13</v>
      </c>
      <c r="K228" s="27">
        <v>202102003</v>
      </c>
      <c r="L228" s="162" t="s">
        <v>279</v>
      </c>
      <c r="M228" s="162" t="s">
        <v>2015</v>
      </c>
      <c r="N228" s="162" t="s">
        <v>223</v>
      </c>
      <c r="O228" s="162" t="s">
        <v>170</v>
      </c>
      <c r="P228" s="162" t="s">
        <v>216</v>
      </c>
      <c r="Q228" s="162" t="s">
        <v>2016</v>
      </c>
      <c r="R228" s="162" t="s">
        <v>2017</v>
      </c>
      <c r="S228" s="118" t="str">
        <f>_xlfn.DISPIMG("ID_DBB8A81F2D854EDC847C805211582887",1)</f>
        <v>=DISPIMG("ID_DBB8A81F2D854EDC847C805211582887",1)</v>
      </c>
      <c r="T228" s="115" t="s">
        <v>2018</v>
      </c>
      <c r="U228" s="27">
        <v>234</v>
      </c>
    </row>
    <row r="229" s="3" customFormat="1" customHeight="1" spans="1:21">
      <c r="A229" s="144">
        <v>44360.5964930556</v>
      </c>
      <c r="B229" s="27" t="s">
        <v>2019</v>
      </c>
      <c r="C229" s="27" t="s">
        <v>2020</v>
      </c>
      <c r="D229" s="162" t="s">
        <v>2020</v>
      </c>
      <c r="E229" s="162" t="s">
        <v>165</v>
      </c>
      <c r="F229" s="162" t="s">
        <v>2021</v>
      </c>
      <c r="G229" s="27">
        <v>13607094902</v>
      </c>
      <c r="H229" s="162" t="s">
        <v>2022</v>
      </c>
      <c r="I229" s="162" t="s">
        <v>506</v>
      </c>
      <c r="J229" s="162" t="s">
        <v>13</v>
      </c>
      <c r="K229" s="27">
        <v>202102016</v>
      </c>
      <c r="L229" s="162" t="s">
        <v>157</v>
      </c>
      <c r="M229" s="162" t="s">
        <v>2015</v>
      </c>
      <c r="N229" s="162" t="s">
        <v>179</v>
      </c>
      <c r="O229" s="162" t="s">
        <v>170</v>
      </c>
      <c r="P229" s="162" t="s">
        <v>2023</v>
      </c>
      <c r="Q229" s="162" t="s">
        <v>13</v>
      </c>
      <c r="R229" s="162" t="s">
        <v>2024</v>
      </c>
      <c r="S229" s="118" t="str">
        <f>_xlfn.DISPIMG("ID_391065F92F2843D5ABEC64E49971BF9B",1)</f>
        <v>=DISPIMG("ID_391065F92F2843D5ABEC64E49971BF9B",1)</v>
      </c>
      <c r="T229" s="115" t="s">
        <v>2025</v>
      </c>
      <c r="U229" s="27">
        <v>235</v>
      </c>
    </row>
    <row r="230" s="3" customFormat="1" customHeight="1" spans="1:21">
      <c r="A230" s="144">
        <v>44360.61875</v>
      </c>
      <c r="B230" s="27" t="s">
        <v>2026</v>
      </c>
      <c r="C230" s="27" t="s">
        <v>2027</v>
      </c>
      <c r="D230" s="162" t="s">
        <v>2028</v>
      </c>
      <c r="E230" s="162" t="s">
        <v>165</v>
      </c>
      <c r="F230" s="162" t="s">
        <v>2029</v>
      </c>
      <c r="G230" s="27">
        <v>18379220348</v>
      </c>
      <c r="H230" s="162" t="s">
        <v>2030</v>
      </c>
      <c r="I230" s="162" t="s">
        <v>156</v>
      </c>
      <c r="J230" s="162" t="s">
        <v>14</v>
      </c>
      <c r="K230" s="27">
        <v>202102001</v>
      </c>
      <c r="L230" s="162" t="s">
        <v>157</v>
      </c>
      <c r="M230" s="162" t="s">
        <v>158</v>
      </c>
      <c r="N230" s="162" t="s">
        <v>1546</v>
      </c>
      <c r="O230" s="162" t="s">
        <v>170</v>
      </c>
      <c r="P230" s="162" t="s">
        <v>161</v>
      </c>
      <c r="Q230" s="162" t="s">
        <v>2031</v>
      </c>
      <c r="R230" s="162" t="s">
        <v>2032</v>
      </c>
      <c r="S230" s="118" t="str">
        <f>_xlfn.DISPIMG("ID_23D2336FF3CB4EA6B1558E965302CC98",1)</f>
        <v>=DISPIMG("ID_23D2336FF3CB4EA6B1558E965302CC98",1)</v>
      </c>
      <c r="T230" s="115" t="s">
        <v>2033</v>
      </c>
      <c r="U230" s="27">
        <v>236</v>
      </c>
    </row>
    <row r="231" s="3" customFormat="1" customHeight="1" spans="1:21">
      <c r="A231" s="144">
        <v>44360.6921296296</v>
      </c>
      <c r="B231" s="27" t="s">
        <v>2034</v>
      </c>
      <c r="C231" s="27" t="s">
        <v>2035</v>
      </c>
      <c r="D231" s="162" t="s">
        <v>2036</v>
      </c>
      <c r="E231" s="162" t="s">
        <v>165</v>
      </c>
      <c r="F231" s="162" t="s">
        <v>2037</v>
      </c>
      <c r="G231" s="27">
        <v>17770040821</v>
      </c>
      <c r="H231" s="162" t="s">
        <v>2038</v>
      </c>
      <c r="I231" s="162" t="s">
        <v>297</v>
      </c>
      <c r="J231" s="162" t="s">
        <v>23</v>
      </c>
      <c r="K231" s="27">
        <v>202101031</v>
      </c>
      <c r="L231" s="162" t="s">
        <v>157</v>
      </c>
      <c r="M231" s="162" t="s">
        <v>2039</v>
      </c>
      <c r="N231" s="162" t="s">
        <v>1147</v>
      </c>
      <c r="O231" s="162" t="s">
        <v>170</v>
      </c>
      <c r="P231" s="162" t="s">
        <v>368</v>
      </c>
      <c r="Q231" s="162" t="s">
        <v>23</v>
      </c>
      <c r="R231" s="162" t="s">
        <v>2040</v>
      </c>
      <c r="S231" s="118" t="str">
        <f>_xlfn.DISPIMG("ID_99E16B0934D843998C9152B322CD2339",1)</f>
        <v>=DISPIMG("ID_99E16B0934D843998C9152B322CD2339",1)</v>
      </c>
      <c r="T231" s="115" t="s">
        <v>2041</v>
      </c>
      <c r="U231" s="27">
        <v>237</v>
      </c>
    </row>
    <row r="232" s="3" customFormat="1" customHeight="1" spans="1:21">
      <c r="A232" s="144">
        <v>44360.6914930556</v>
      </c>
      <c r="B232" s="27" t="s">
        <v>2042</v>
      </c>
      <c r="C232" s="27" t="s">
        <v>2043</v>
      </c>
      <c r="D232" s="162" t="s">
        <v>2044</v>
      </c>
      <c r="E232" s="162" t="s">
        <v>153</v>
      </c>
      <c r="F232" s="162" t="s">
        <v>2045</v>
      </c>
      <c r="G232" s="27">
        <v>15949584388</v>
      </c>
      <c r="H232" s="162" t="s">
        <v>2046</v>
      </c>
      <c r="I232" s="162" t="s">
        <v>384</v>
      </c>
      <c r="J232" s="162" t="s">
        <v>20</v>
      </c>
      <c r="K232" s="27">
        <v>202101005</v>
      </c>
      <c r="L232" s="162" t="s">
        <v>157</v>
      </c>
      <c r="M232" s="162" t="s">
        <v>158</v>
      </c>
      <c r="N232" s="162" t="s">
        <v>270</v>
      </c>
      <c r="O232" s="162" t="s">
        <v>170</v>
      </c>
      <c r="P232" s="162" t="s">
        <v>2047</v>
      </c>
      <c r="Q232" s="162" t="s">
        <v>2048</v>
      </c>
      <c r="R232" s="162" t="s">
        <v>2049</v>
      </c>
      <c r="S232" s="118" t="str">
        <f>_xlfn.DISPIMG("ID_AA05B8B9BBB64A2C8B2DEFAC2B7912C3",1)</f>
        <v>=DISPIMG("ID_AA05B8B9BBB64A2C8B2DEFAC2B7912C3",1)</v>
      </c>
      <c r="T232" s="115" t="s">
        <v>2050</v>
      </c>
      <c r="U232" s="27">
        <v>238</v>
      </c>
    </row>
    <row r="233" s="3" customFormat="1" customHeight="1" spans="1:21">
      <c r="A233" s="144">
        <v>44360.6952430556</v>
      </c>
      <c r="B233" s="27" t="s">
        <v>2051</v>
      </c>
      <c r="C233" s="27" t="s">
        <v>2052</v>
      </c>
      <c r="D233" s="162" t="s">
        <v>2053</v>
      </c>
      <c r="E233" s="162" t="s">
        <v>165</v>
      </c>
      <c r="F233" s="162" t="s">
        <v>2054</v>
      </c>
      <c r="G233" s="27">
        <v>15079910015</v>
      </c>
      <c r="H233" s="162" t="s">
        <v>2055</v>
      </c>
      <c r="I233" s="162" t="s">
        <v>156</v>
      </c>
      <c r="J233" s="162" t="s">
        <v>14</v>
      </c>
      <c r="K233" s="27">
        <v>202102001</v>
      </c>
      <c r="L233" s="162" t="s">
        <v>279</v>
      </c>
      <c r="M233" s="162" t="s">
        <v>1424</v>
      </c>
      <c r="N233" s="162" t="s">
        <v>348</v>
      </c>
      <c r="O233" s="162" t="s">
        <v>170</v>
      </c>
      <c r="P233" s="162" t="s">
        <v>199</v>
      </c>
      <c r="Q233" s="162" t="s">
        <v>14</v>
      </c>
      <c r="R233" s="162" t="s">
        <v>2056</v>
      </c>
      <c r="S233" s="118" t="str">
        <f>_xlfn.DISPIMG("ID_4A26FAD7BD014883BE19E7EBABEADF70",1)</f>
        <v>=DISPIMG("ID_4A26FAD7BD014883BE19E7EBABEADF70",1)</v>
      </c>
      <c r="T233" s="115" t="s">
        <v>2057</v>
      </c>
      <c r="U233" s="27">
        <v>239</v>
      </c>
    </row>
    <row r="234" s="3" customFormat="1" customHeight="1" spans="1:21">
      <c r="A234" s="144">
        <v>44360.7139930556</v>
      </c>
      <c r="B234" s="27" t="s">
        <v>2058</v>
      </c>
      <c r="C234" s="27" t="s">
        <v>2059</v>
      </c>
      <c r="D234" s="162" t="s">
        <v>2060</v>
      </c>
      <c r="E234" s="162" t="s">
        <v>165</v>
      </c>
      <c r="F234" s="162" t="s">
        <v>2061</v>
      </c>
      <c r="G234" s="27">
        <v>15112002923</v>
      </c>
      <c r="H234" s="162" t="s">
        <v>2062</v>
      </c>
      <c r="I234" s="162" t="s">
        <v>278</v>
      </c>
      <c r="J234" s="162" t="s">
        <v>28</v>
      </c>
      <c r="K234" s="27">
        <v>202103001</v>
      </c>
      <c r="L234" s="162" t="s">
        <v>157</v>
      </c>
      <c r="M234" s="162" t="s">
        <v>2063</v>
      </c>
      <c r="N234" s="162" t="s">
        <v>280</v>
      </c>
      <c r="O234" s="162" t="s">
        <v>170</v>
      </c>
      <c r="P234" s="162" t="s">
        <v>2064</v>
      </c>
      <c r="Q234" s="162" t="s">
        <v>517</v>
      </c>
      <c r="R234" s="162" t="s">
        <v>2065</v>
      </c>
      <c r="S234" s="118" t="str">
        <f>_xlfn.DISPIMG("ID_BF9AE392AFDD4458A2909A9A2C941241",1)</f>
        <v>=DISPIMG("ID_BF9AE392AFDD4458A2909A9A2C941241",1)</v>
      </c>
      <c r="T234" s="115" t="s">
        <v>2066</v>
      </c>
      <c r="U234" s="27">
        <v>240</v>
      </c>
    </row>
    <row r="235" s="4" customFormat="1" customHeight="1" spans="1:21">
      <c r="A235" s="145">
        <v>44364.8658217593</v>
      </c>
      <c r="B235" s="22" t="s">
        <v>2067</v>
      </c>
      <c r="C235" s="22" t="s">
        <v>2068</v>
      </c>
      <c r="D235" s="164" t="s">
        <v>2069</v>
      </c>
      <c r="E235" s="164" t="s">
        <v>165</v>
      </c>
      <c r="F235" s="164" t="s">
        <v>2070</v>
      </c>
      <c r="G235" s="22">
        <v>18970492528</v>
      </c>
      <c r="H235" s="164" t="s">
        <v>2071</v>
      </c>
      <c r="I235" s="164" t="s">
        <v>384</v>
      </c>
      <c r="J235" s="164" t="s">
        <v>25</v>
      </c>
      <c r="K235" s="22">
        <v>202101007</v>
      </c>
      <c r="L235" s="164" t="s">
        <v>157</v>
      </c>
      <c r="M235" s="164" t="s">
        <v>233</v>
      </c>
      <c r="N235" s="164" t="s">
        <v>179</v>
      </c>
      <c r="O235" s="164" t="s">
        <v>170</v>
      </c>
      <c r="P235" s="164" t="s">
        <v>1346</v>
      </c>
      <c r="Q235" s="164" t="s">
        <v>25</v>
      </c>
      <c r="R235" s="164" t="s">
        <v>2072</v>
      </c>
      <c r="S235" s="23" t="str">
        <f>_xlfn.DISPIMG("ID_AE7BFEF114344F24954EA3AA4FC71BD8",1)</f>
        <v>=DISPIMG("ID_AE7BFEF114344F24954EA3AA4FC71BD8",1)</v>
      </c>
      <c r="T235" s="103" t="s">
        <v>2073</v>
      </c>
      <c r="U235" s="27">
        <v>241</v>
      </c>
    </row>
    <row r="236" s="3" customFormat="1" customHeight="1" spans="1:21">
      <c r="A236" s="144">
        <v>44360.7156018519</v>
      </c>
      <c r="B236" s="27" t="s">
        <v>2074</v>
      </c>
      <c r="C236" s="27" t="s">
        <v>2075</v>
      </c>
      <c r="D236" s="162" t="s">
        <v>2076</v>
      </c>
      <c r="E236" s="162" t="s">
        <v>153</v>
      </c>
      <c r="F236" s="162" t="s">
        <v>2077</v>
      </c>
      <c r="G236" s="27">
        <v>19951510515</v>
      </c>
      <c r="H236" s="162" t="s">
        <v>2078</v>
      </c>
      <c r="I236" s="162" t="s">
        <v>156</v>
      </c>
      <c r="J236" s="162" t="s">
        <v>8</v>
      </c>
      <c r="K236" s="27">
        <v>202102002</v>
      </c>
      <c r="L236" s="162" t="s">
        <v>279</v>
      </c>
      <c r="M236" s="162" t="s">
        <v>507</v>
      </c>
      <c r="N236" s="162" t="s">
        <v>497</v>
      </c>
      <c r="O236" s="162" t="s">
        <v>170</v>
      </c>
      <c r="P236" s="162" t="s">
        <v>224</v>
      </c>
      <c r="Q236" s="162" t="s">
        <v>989</v>
      </c>
      <c r="R236" s="162" t="s">
        <v>2079</v>
      </c>
      <c r="S236" s="118" t="str">
        <f>_xlfn.DISPIMG("ID_55D50712BDA742E9BE089E9AEF5CFD56",1)</f>
        <v>=DISPIMG("ID_55D50712BDA742E9BE089E9AEF5CFD56",1)</v>
      </c>
      <c r="T236" s="115" t="s">
        <v>2080</v>
      </c>
      <c r="U236" s="27">
        <v>242</v>
      </c>
    </row>
    <row r="237" s="3" customFormat="1" customHeight="1" spans="1:21">
      <c r="A237" s="144">
        <v>44360.7685532407</v>
      </c>
      <c r="B237" s="27" t="s">
        <v>2081</v>
      </c>
      <c r="C237" s="27" t="s">
        <v>2082</v>
      </c>
      <c r="D237" s="162" t="s">
        <v>2083</v>
      </c>
      <c r="E237" s="162" t="s">
        <v>165</v>
      </c>
      <c r="F237" s="162" t="s">
        <v>2084</v>
      </c>
      <c r="G237" s="27">
        <v>18816407325</v>
      </c>
      <c r="H237" s="162" t="s">
        <v>2085</v>
      </c>
      <c r="I237" s="162" t="s">
        <v>278</v>
      </c>
      <c r="J237" s="162" t="s">
        <v>28</v>
      </c>
      <c r="K237" s="27">
        <v>202103001</v>
      </c>
      <c r="L237" s="162" t="s">
        <v>157</v>
      </c>
      <c r="M237" s="162" t="s">
        <v>1258</v>
      </c>
      <c r="N237" s="162" t="s">
        <v>280</v>
      </c>
      <c r="O237" s="162" t="s">
        <v>170</v>
      </c>
      <c r="P237" s="162" t="s">
        <v>180</v>
      </c>
      <c r="Q237" s="162" t="s">
        <v>340</v>
      </c>
      <c r="R237" s="162" t="s">
        <v>2086</v>
      </c>
      <c r="S237" s="118" t="str">
        <f>_xlfn.DISPIMG("ID_B2FD46FB94FD4BE298F143BADCF00B8C",1)</f>
        <v>=DISPIMG("ID_B2FD46FB94FD4BE298F143BADCF00B8C",1)</v>
      </c>
      <c r="T237" s="115" t="s">
        <v>2087</v>
      </c>
      <c r="U237" s="27">
        <v>243</v>
      </c>
    </row>
    <row r="238" s="3" customFormat="1" customHeight="1" spans="1:21">
      <c r="A238" s="144">
        <v>44360.7983912037</v>
      </c>
      <c r="B238" s="27" t="s">
        <v>2088</v>
      </c>
      <c r="C238" s="27" t="s">
        <v>2089</v>
      </c>
      <c r="D238" s="162" t="s">
        <v>2090</v>
      </c>
      <c r="E238" s="162" t="s">
        <v>153</v>
      </c>
      <c r="F238" s="162" t="s">
        <v>2091</v>
      </c>
      <c r="G238" s="27">
        <v>18079635877</v>
      </c>
      <c r="H238" s="162" t="s">
        <v>2092</v>
      </c>
      <c r="I238" s="162" t="s">
        <v>156</v>
      </c>
      <c r="J238" s="162" t="s">
        <v>13</v>
      </c>
      <c r="K238" s="27">
        <v>202102003</v>
      </c>
      <c r="L238" s="162" t="s">
        <v>157</v>
      </c>
      <c r="M238" s="162" t="s">
        <v>507</v>
      </c>
      <c r="N238" s="162" t="s">
        <v>2093</v>
      </c>
      <c r="O238" s="162" t="s">
        <v>160</v>
      </c>
      <c r="P238" s="162" t="s">
        <v>281</v>
      </c>
      <c r="Q238" s="162" t="s">
        <v>25</v>
      </c>
      <c r="R238" s="162" t="s">
        <v>2094</v>
      </c>
      <c r="S238" s="118" t="str">
        <f>_xlfn.DISPIMG("ID_C4F6E9DAFE344DCCAABCAAE0A2F04564",1)</f>
        <v>=DISPIMG("ID_C4F6E9DAFE344DCCAABCAAE0A2F04564",1)</v>
      </c>
      <c r="T238" s="115" t="s">
        <v>2095</v>
      </c>
      <c r="U238" s="27">
        <v>244</v>
      </c>
    </row>
    <row r="239" s="3" customFormat="1" customHeight="1" spans="1:21">
      <c r="A239" s="144">
        <v>44360.8154398148</v>
      </c>
      <c r="B239" s="27" t="s">
        <v>2096</v>
      </c>
      <c r="C239" s="27" t="s">
        <v>2097</v>
      </c>
      <c r="D239" s="162" t="s">
        <v>2098</v>
      </c>
      <c r="E239" s="162" t="s">
        <v>165</v>
      </c>
      <c r="F239" s="162" t="s">
        <v>2099</v>
      </c>
      <c r="G239" s="27">
        <v>18070222825</v>
      </c>
      <c r="H239" s="162" t="s">
        <v>2100</v>
      </c>
      <c r="I239" s="162" t="s">
        <v>278</v>
      </c>
      <c r="J239" s="162" t="s">
        <v>28</v>
      </c>
      <c r="K239" s="27">
        <v>202103001</v>
      </c>
      <c r="L239" s="162" t="s">
        <v>279</v>
      </c>
      <c r="M239" s="162" t="s">
        <v>732</v>
      </c>
      <c r="N239" s="162" t="s">
        <v>169</v>
      </c>
      <c r="O239" s="162" t="s">
        <v>170</v>
      </c>
      <c r="P239" s="162" t="s">
        <v>733</v>
      </c>
      <c r="Q239" s="162" t="s">
        <v>517</v>
      </c>
      <c r="R239" s="162" t="s">
        <v>2101</v>
      </c>
      <c r="S239" s="118" t="str">
        <f>_xlfn.DISPIMG("ID_005BE0017F024C98A2D8AF15B9E0DE6A",1)</f>
        <v>=DISPIMG("ID_005BE0017F024C98A2D8AF15B9E0DE6A",1)</v>
      </c>
      <c r="T239" s="115" t="s">
        <v>2102</v>
      </c>
      <c r="U239" s="27">
        <v>245</v>
      </c>
    </row>
    <row r="240" s="3" customFormat="1" customHeight="1" spans="1:21">
      <c r="A240" s="144">
        <v>44360.819212963</v>
      </c>
      <c r="B240" s="27" t="s">
        <v>2103</v>
      </c>
      <c r="C240" s="27" t="s">
        <v>2104</v>
      </c>
      <c r="D240" s="162" t="s">
        <v>2104</v>
      </c>
      <c r="E240" s="162" t="s">
        <v>165</v>
      </c>
      <c r="F240" s="162" t="s">
        <v>2105</v>
      </c>
      <c r="G240" s="27">
        <v>13817884693</v>
      </c>
      <c r="H240" s="162" t="s">
        <v>2106</v>
      </c>
      <c r="I240" s="162" t="s">
        <v>384</v>
      </c>
      <c r="J240" s="162" t="s">
        <v>19</v>
      </c>
      <c r="K240" s="27">
        <v>202101014</v>
      </c>
      <c r="L240" s="162" t="s">
        <v>705</v>
      </c>
      <c r="M240" s="162" t="s">
        <v>2063</v>
      </c>
      <c r="N240" s="162" t="s">
        <v>2107</v>
      </c>
      <c r="O240" s="162" t="s">
        <v>160</v>
      </c>
      <c r="P240" s="162" t="s">
        <v>396</v>
      </c>
      <c r="Q240" s="162" t="s">
        <v>2108</v>
      </c>
      <c r="R240" s="162" t="s">
        <v>2109</v>
      </c>
      <c r="S240" s="118" t="str">
        <f>_xlfn.DISPIMG("ID_21FE4349EE994987AC614A279458E356",1)</f>
        <v>=DISPIMG("ID_21FE4349EE994987AC614A279458E356",1)</v>
      </c>
      <c r="T240" s="115" t="s">
        <v>2110</v>
      </c>
      <c r="U240" s="27">
        <v>246</v>
      </c>
    </row>
    <row r="241" s="3" customFormat="1" customHeight="1" spans="1:21">
      <c r="A241" s="144">
        <v>44360.8262037037</v>
      </c>
      <c r="B241" s="27" t="s">
        <v>2111</v>
      </c>
      <c r="C241" s="27" t="s">
        <v>2112</v>
      </c>
      <c r="D241" s="162" t="s">
        <v>2113</v>
      </c>
      <c r="E241" s="162" t="s">
        <v>165</v>
      </c>
      <c r="F241" s="162" t="s">
        <v>2114</v>
      </c>
      <c r="G241" s="27">
        <v>18779262393</v>
      </c>
      <c r="H241" s="162" t="s">
        <v>2115</v>
      </c>
      <c r="I241" s="162" t="s">
        <v>156</v>
      </c>
      <c r="J241" s="162" t="s">
        <v>13</v>
      </c>
      <c r="K241" s="27">
        <v>202102003</v>
      </c>
      <c r="L241" s="162" t="s">
        <v>157</v>
      </c>
      <c r="M241" s="162" t="s">
        <v>168</v>
      </c>
      <c r="N241" s="162" t="s">
        <v>179</v>
      </c>
      <c r="O241" s="162" t="s">
        <v>170</v>
      </c>
      <c r="P241" s="162" t="s">
        <v>261</v>
      </c>
      <c r="Q241" s="162" t="s">
        <v>13</v>
      </c>
      <c r="R241" s="162" t="s">
        <v>2116</v>
      </c>
      <c r="S241" s="118" t="str">
        <f>_xlfn.DISPIMG("ID_FD96452CC72B491AA69A0DC966FE8814",1)</f>
        <v>=DISPIMG("ID_FD96452CC72B491AA69A0DC966FE8814",1)</v>
      </c>
      <c r="T241" s="115" t="s">
        <v>2117</v>
      </c>
      <c r="U241" s="27">
        <v>247</v>
      </c>
    </row>
    <row r="242" s="3" customFormat="1" customHeight="1" spans="1:21">
      <c r="A242" s="144">
        <v>44360.8300694444</v>
      </c>
      <c r="B242" s="27" t="s">
        <v>2118</v>
      </c>
      <c r="C242" s="27" t="s">
        <v>2119</v>
      </c>
      <c r="D242" s="162" t="s">
        <v>2120</v>
      </c>
      <c r="E242" s="162" t="s">
        <v>165</v>
      </c>
      <c r="F242" s="162" t="s">
        <v>2121</v>
      </c>
      <c r="G242" s="27">
        <v>15070693643</v>
      </c>
      <c r="H242" s="162" t="s">
        <v>2122</v>
      </c>
      <c r="I242" s="162" t="s">
        <v>156</v>
      </c>
      <c r="J242" s="162" t="s">
        <v>13</v>
      </c>
      <c r="K242" s="27">
        <v>202102003</v>
      </c>
      <c r="L242" s="162" t="s">
        <v>157</v>
      </c>
      <c r="M242" s="162" t="s">
        <v>197</v>
      </c>
      <c r="N242" s="162" t="s">
        <v>179</v>
      </c>
      <c r="O242" s="162" t="s">
        <v>160</v>
      </c>
      <c r="P242" s="162" t="s">
        <v>455</v>
      </c>
      <c r="Q242" s="162" t="s">
        <v>225</v>
      </c>
      <c r="R242" s="27">
        <v>0</v>
      </c>
      <c r="S242" s="118" t="str">
        <f>_xlfn.DISPIMG("ID_BB45129897024B4183D09C0AA547B197",1)</f>
        <v>=DISPIMG("ID_BB45129897024B4183D09C0AA547B197",1)</v>
      </c>
      <c r="T242" s="115" t="s">
        <v>2123</v>
      </c>
      <c r="U242" s="27">
        <v>248</v>
      </c>
    </row>
    <row r="243" s="3" customFormat="1" customHeight="1" spans="1:21">
      <c r="A243" s="144">
        <v>44360.8673842593</v>
      </c>
      <c r="B243" s="27" t="s">
        <v>2124</v>
      </c>
      <c r="C243" s="27" t="s">
        <v>2125</v>
      </c>
      <c r="D243" s="162" t="s">
        <v>2126</v>
      </c>
      <c r="E243" s="162" t="s">
        <v>165</v>
      </c>
      <c r="F243" s="162" t="s">
        <v>2127</v>
      </c>
      <c r="G243" s="27">
        <v>18370269701</v>
      </c>
      <c r="H243" s="162" t="s">
        <v>2128</v>
      </c>
      <c r="I243" s="162" t="s">
        <v>156</v>
      </c>
      <c r="J243" s="162" t="s">
        <v>8</v>
      </c>
      <c r="K243" s="27">
        <v>202102002</v>
      </c>
      <c r="L243" s="162" t="s">
        <v>157</v>
      </c>
      <c r="M243" s="162" t="s">
        <v>789</v>
      </c>
      <c r="N243" s="162" t="s">
        <v>2129</v>
      </c>
      <c r="O243" s="162" t="s">
        <v>160</v>
      </c>
      <c r="P243" s="162" t="s">
        <v>252</v>
      </c>
      <c r="Q243" s="162" t="s">
        <v>20</v>
      </c>
      <c r="R243" s="27">
        <v>0</v>
      </c>
      <c r="S243" s="118" t="str">
        <f>_xlfn.DISPIMG("ID_03579C230E4B4D1F94606FFA97C412A2",1)</f>
        <v>=DISPIMG("ID_03579C230E4B4D1F94606FFA97C412A2",1)</v>
      </c>
      <c r="T243" s="115" t="s">
        <v>2130</v>
      </c>
      <c r="U243" s="27">
        <v>249</v>
      </c>
    </row>
    <row r="244" s="3" customFormat="1" customHeight="1" spans="1:21">
      <c r="A244" s="144">
        <v>44360.8717824074</v>
      </c>
      <c r="B244" s="27" t="s">
        <v>2131</v>
      </c>
      <c r="C244" s="27" t="s">
        <v>2132</v>
      </c>
      <c r="D244" s="162" t="s">
        <v>2133</v>
      </c>
      <c r="E244" s="162" t="s">
        <v>165</v>
      </c>
      <c r="F244" s="162" t="s">
        <v>2134</v>
      </c>
      <c r="G244" s="27">
        <v>15079264291</v>
      </c>
      <c r="H244" s="162" t="s">
        <v>2135</v>
      </c>
      <c r="I244" s="162" t="s">
        <v>156</v>
      </c>
      <c r="J244" s="162" t="s">
        <v>8</v>
      </c>
      <c r="K244" s="27">
        <v>202102002</v>
      </c>
      <c r="L244" s="162" t="s">
        <v>157</v>
      </c>
      <c r="M244" s="162" t="s">
        <v>876</v>
      </c>
      <c r="N244" s="162" t="s">
        <v>270</v>
      </c>
      <c r="O244" s="162" t="s">
        <v>170</v>
      </c>
      <c r="P244" s="162" t="s">
        <v>455</v>
      </c>
      <c r="Q244" s="162" t="s">
        <v>20</v>
      </c>
      <c r="R244" s="162" t="s">
        <v>2136</v>
      </c>
      <c r="S244" s="118" t="str">
        <f>_xlfn.DISPIMG("ID_96FF4E1240E04D98ACBC33F8D3EE9C8F",1)</f>
        <v>=DISPIMG("ID_96FF4E1240E04D98ACBC33F8D3EE9C8F",1)</v>
      </c>
      <c r="T244" s="115" t="s">
        <v>2137</v>
      </c>
      <c r="U244" s="27">
        <v>250</v>
      </c>
    </row>
    <row r="245" s="3" customFormat="1" customHeight="1" spans="1:21">
      <c r="A245" s="144">
        <v>44360.8925</v>
      </c>
      <c r="B245" s="27" t="s">
        <v>2138</v>
      </c>
      <c r="C245" s="27" t="s">
        <v>2139</v>
      </c>
      <c r="D245" s="162" t="s">
        <v>2140</v>
      </c>
      <c r="E245" s="162" t="s">
        <v>165</v>
      </c>
      <c r="F245" s="162" t="s">
        <v>2141</v>
      </c>
      <c r="G245" s="27">
        <v>13576909746</v>
      </c>
      <c r="H245" s="162" t="s">
        <v>2142</v>
      </c>
      <c r="I245" s="162" t="s">
        <v>156</v>
      </c>
      <c r="J245" s="162" t="s">
        <v>13</v>
      </c>
      <c r="K245" s="27">
        <v>202102003</v>
      </c>
      <c r="L245" s="162" t="s">
        <v>157</v>
      </c>
      <c r="M245" s="162" t="s">
        <v>540</v>
      </c>
      <c r="N245" s="162" t="s">
        <v>298</v>
      </c>
      <c r="O245" s="162" t="s">
        <v>160</v>
      </c>
      <c r="P245" s="162" t="s">
        <v>180</v>
      </c>
      <c r="Q245" s="162" t="s">
        <v>13</v>
      </c>
      <c r="R245" s="162" t="s">
        <v>2143</v>
      </c>
      <c r="S245" s="118" t="str">
        <f>_xlfn.DISPIMG("ID_5B22FFE3C77C4E8C9BD243D72EC649E2",1)</f>
        <v>=DISPIMG("ID_5B22FFE3C77C4E8C9BD243D72EC649E2",1)</v>
      </c>
      <c r="T245" s="115" t="s">
        <v>2144</v>
      </c>
      <c r="U245" s="27">
        <v>251</v>
      </c>
    </row>
    <row r="246" s="3" customFormat="1" customHeight="1" spans="1:21">
      <c r="A246" s="144">
        <v>44360.9134953704</v>
      </c>
      <c r="B246" s="27" t="s">
        <v>2145</v>
      </c>
      <c r="C246" s="27" t="s">
        <v>2146</v>
      </c>
      <c r="D246" s="162" t="s">
        <v>2147</v>
      </c>
      <c r="E246" s="162" t="s">
        <v>165</v>
      </c>
      <c r="F246" s="162" t="s">
        <v>2148</v>
      </c>
      <c r="G246" s="27">
        <v>18870849075</v>
      </c>
      <c r="H246" s="162" t="s">
        <v>2149</v>
      </c>
      <c r="I246" s="162" t="s">
        <v>156</v>
      </c>
      <c r="J246" s="162" t="s">
        <v>13</v>
      </c>
      <c r="K246" s="27">
        <v>202102003</v>
      </c>
      <c r="L246" s="162" t="s">
        <v>157</v>
      </c>
      <c r="M246" s="162" t="s">
        <v>2150</v>
      </c>
      <c r="N246" s="162" t="s">
        <v>1832</v>
      </c>
      <c r="O246" s="162" t="s">
        <v>160</v>
      </c>
      <c r="P246" s="162" t="s">
        <v>2151</v>
      </c>
      <c r="Q246" s="162" t="s">
        <v>13</v>
      </c>
      <c r="R246" s="162" t="s">
        <v>2152</v>
      </c>
      <c r="S246" s="118" t="str">
        <f>_xlfn.DISPIMG("ID_AE861B6E26D2460C9E654A52BE43B6F4",1)</f>
        <v>=DISPIMG("ID_AE861B6E26D2460C9E654A52BE43B6F4",1)</v>
      </c>
      <c r="T246" s="115" t="s">
        <v>2153</v>
      </c>
      <c r="U246" s="27">
        <v>252</v>
      </c>
    </row>
    <row r="247" s="3" customFormat="1" customHeight="1" spans="1:21">
      <c r="A247" s="144">
        <v>44360.9891435185</v>
      </c>
      <c r="B247" s="27" t="s">
        <v>2154</v>
      </c>
      <c r="C247" s="27" t="s">
        <v>2155</v>
      </c>
      <c r="D247" s="162" t="s">
        <v>2156</v>
      </c>
      <c r="E247" s="162" t="s">
        <v>165</v>
      </c>
      <c r="F247" s="162" t="s">
        <v>2157</v>
      </c>
      <c r="G247" s="27">
        <v>17707083376</v>
      </c>
      <c r="H247" s="162" t="s">
        <v>2158</v>
      </c>
      <c r="I247" s="162" t="s">
        <v>156</v>
      </c>
      <c r="J247" s="162" t="s">
        <v>13</v>
      </c>
      <c r="K247" s="27">
        <v>202102003</v>
      </c>
      <c r="L247" s="162" t="s">
        <v>157</v>
      </c>
      <c r="M247" s="162" t="s">
        <v>2159</v>
      </c>
      <c r="N247" s="162" t="s">
        <v>179</v>
      </c>
      <c r="O247" s="162" t="s">
        <v>170</v>
      </c>
      <c r="P247" s="162" t="s">
        <v>2160</v>
      </c>
      <c r="Q247" s="162" t="s">
        <v>13</v>
      </c>
      <c r="R247" s="162" t="s">
        <v>2161</v>
      </c>
      <c r="S247" s="118" t="str">
        <f>_xlfn.DISPIMG("ID_40A8AEA41DF44D5AB3229E18DF729A74",1)</f>
        <v>=DISPIMG("ID_40A8AEA41DF44D5AB3229E18DF729A74",1)</v>
      </c>
      <c r="T247" s="115" t="s">
        <v>2162</v>
      </c>
      <c r="U247" s="27">
        <v>253</v>
      </c>
    </row>
    <row r="248" s="3" customFormat="1" customHeight="1" spans="1:21">
      <c r="A248" s="144">
        <v>44361.0510185185</v>
      </c>
      <c r="B248" s="27" t="s">
        <v>2163</v>
      </c>
      <c r="C248" s="27" t="s">
        <v>2164</v>
      </c>
      <c r="D248" s="162" t="s">
        <v>2165</v>
      </c>
      <c r="E248" s="162" t="s">
        <v>165</v>
      </c>
      <c r="F248" s="162" t="s">
        <v>2166</v>
      </c>
      <c r="G248" s="27">
        <v>15270256109</v>
      </c>
      <c r="H248" s="162" t="s">
        <v>2167</v>
      </c>
      <c r="I248" s="162" t="s">
        <v>156</v>
      </c>
      <c r="J248" s="162" t="s">
        <v>14</v>
      </c>
      <c r="K248" s="27">
        <v>202102001</v>
      </c>
      <c r="L248" s="162" t="s">
        <v>279</v>
      </c>
      <c r="M248" s="162" t="s">
        <v>158</v>
      </c>
      <c r="N248" s="162" t="s">
        <v>348</v>
      </c>
      <c r="O248" s="162" t="s">
        <v>170</v>
      </c>
      <c r="P248" s="162" t="s">
        <v>306</v>
      </c>
      <c r="Q248" s="162" t="s">
        <v>638</v>
      </c>
      <c r="R248" s="162" t="s">
        <v>2168</v>
      </c>
      <c r="S248" s="118" t="str">
        <f>_xlfn.DISPIMG("ID_3CABC7DA53ED4401B09BC2C27086B239",1)</f>
        <v>=DISPIMG("ID_3CABC7DA53ED4401B09BC2C27086B239",1)</v>
      </c>
      <c r="T248" s="115" t="s">
        <v>2169</v>
      </c>
      <c r="U248" s="27">
        <v>254</v>
      </c>
    </row>
    <row r="249" s="3" customFormat="1" customHeight="1" spans="1:21">
      <c r="A249" s="144">
        <v>44361.3315393518</v>
      </c>
      <c r="B249" s="27" t="s">
        <v>2170</v>
      </c>
      <c r="C249" s="27" t="s">
        <v>2171</v>
      </c>
      <c r="D249" s="162" t="s">
        <v>2172</v>
      </c>
      <c r="E249" s="162" t="s">
        <v>153</v>
      </c>
      <c r="F249" s="162" t="s">
        <v>2173</v>
      </c>
      <c r="G249" s="27">
        <v>18370791182</v>
      </c>
      <c r="H249" s="162" t="s">
        <v>2174</v>
      </c>
      <c r="I249" s="162" t="s">
        <v>297</v>
      </c>
      <c r="J249" s="162" t="s">
        <v>20</v>
      </c>
      <c r="K249" s="27">
        <v>202101006</v>
      </c>
      <c r="L249" s="162" t="s">
        <v>157</v>
      </c>
      <c r="M249" s="162" t="s">
        <v>1413</v>
      </c>
      <c r="N249" s="162" t="s">
        <v>243</v>
      </c>
      <c r="O249" s="162" t="s">
        <v>160</v>
      </c>
      <c r="P249" s="162" t="s">
        <v>199</v>
      </c>
      <c r="Q249" s="162" t="s">
        <v>2175</v>
      </c>
      <c r="R249" s="162" t="s">
        <v>2176</v>
      </c>
      <c r="S249" s="118" t="str">
        <f>_xlfn.DISPIMG("ID_164BFB36FB944A6B8D1C179D10EFE455",1)</f>
        <v>=DISPIMG("ID_164BFB36FB944A6B8D1C179D10EFE455",1)</v>
      </c>
      <c r="T249" s="115" t="s">
        <v>2177</v>
      </c>
      <c r="U249" s="27">
        <v>255</v>
      </c>
    </row>
    <row r="250" s="3" customFormat="1" customHeight="1" spans="1:21">
      <c r="A250" s="144">
        <v>44361.3682291667</v>
      </c>
      <c r="B250" s="27" t="s">
        <v>2186</v>
      </c>
      <c r="C250" s="27" t="s">
        <v>2187</v>
      </c>
      <c r="D250" s="162" t="s">
        <v>2188</v>
      </c>
      <c r="E250" s="162" t="s">
        <v>165</v>
      </c>
      <c r="F250" s="162" t="s">
        <v>2189</v>
      </c>
      <c r="G250" s="27">
        <v>15297925516</v>
      </c>
      <c r="H250" s="162" t="s">
        <v>2190</v>
      </c>
      <c r="I250" s="162" t="s">
        <v>156</v>
      </c>
      <c r="J250" s="162" t="s">
        <v>13</v>
      </c>
      <c r="K250" s="27">
        <v>202102003</v>
      </c>
      <c r="L250" s="162" t="s">
        <v>157</v>
      </c>
      <c r="M250" s="162" t="s">
        <v>178</v>
      </c>
      <c r="N250" s="162" t="s">
        <v>179</v>
      </c>
      <c r="O250" s="162" t="s">
        <v>170</v>
      </c>
      <c r="P250" s="162" t="s">
        <v>161</v>
      </c>
      <c r="Q250" s="162" t="s">
        <v>25</v>
      </c>
      <c r="R250" s="27">
        <v>0</v>
      </c>
      <c r="S250" s="118" t="str">
        <f>_xlfn.DISPIMG("ID_D5F43AB9EBAD44A4B07E87AF936A6299",1)</f>
        <v>=DISPIMG("ID_D5F43AB9EBAD44A4B07E87AF936A6299",1)</v>
      </c>
      <c r="T250" s="115" t="s">
        <v>2191</v>
      </c>
      <c r="U250" s="27">
        <v>257</v>
      </c>
    </row>
    <row r="251" s="3" customFormat="1" customHeight="1" spans="1:21">
      <c r="A251" s="144">
        <v>44361.4079398148</v>
      </c>
      <c r="B251" s="27" t="s">
        <v>2192</v>
      </c>
      <c r="C251" s="27" t="s">
        <v>2193</v>
      </c>
      <c r="D251" s="162" t="s">
        <v>2194</v>
      </c>
      <c r="E251" s="162" t="s">
        <v>165</v>
      </c>
      <c r="F251" s="162" t="s">
        <v>2195</v>
      </c>
      <c r="G251" s="27">
        <v>13617094078</v>
      </c>
      <c r="H251" s="162" t="s">
        <v>2196</v>
      </c>
      <c r="I251" s="162" t="s">
        <v>156</v>
      </c>
      <c r="J251" s="162" t="s">
        <v>8</v>
      </c>
      <c r="K251" s="27">
        <v>202102002</v>
      </c>
      <c r="L251" s="162" t="s">
        <v>157</v>
      </c>
      <c r="M251" s="162" t="s">
        <v>2197</v>
      </c>
      <c r="N251" s="162" t="s">
        <v>2198</v>
      </c>
      <c r="O251" s="162" t="s">
        <v>160</v>
      </c>
      <c r="P251" s="162" t="s">
        <v>281</v>
      </c>
      <c r="Q251" s="162" t="s">
        <v>8</v>
      </c>
      <c r="R251" s="162" t="s">
        <v>2199</v>
      </c>
      <c r="S251" s="118" t="str">
        <f>_xlfn.DISPIMG("ID_C169A98BEF614A41ADF43CA619535221",1)</f>
        <v>=DISPIMG("ID_C169A98BEF614A41ADF43CA619535221",1)</v>
      </c>
      <c r="T251" s="115" t="s">
        <v>2200</v>
      </c>
      <c r="U251" s="27">
        <v>258</v>
      </c>
    </row>
    <row r="252" s="3" customFormat="1" customHeight="1" spans="1:21">
      <c r="A252" s="144">
        <v>44361.4151736111</v>
      </c>
      <c r="B252" s="27" t="s">
        <v>2201</v>
      </c>
      <c r="C252" s="27" t="s">
        <v>2202</v>
      </c>
      <c r="D252" s="162" t="s">
        <v>2203</v>
      </c>
      <c r="E252" s="162" t="s">
        <v>165</v>
      </c>
      <c r="F252" s="162" t="s">
        <v>2204</v>
      </c>
      <c r="G252" s="27">
        <v>18702523558</v>
      </c>
      <c r="H252" s="162" t="s">
        <v>2205</v>
      </c>
      <c r="I252" s="162" t="s">
        <v>156</v>
      </c>
      <c r="J252" s="162" t="s">
        <v>13</v>
      </c>
      <c r="K252" s="27">
        <v>202102003</v>
      </c>
      <c r="L252" s="162" t="s">
        <v>157</v>
      </c>
      <c r="M252" s="162" t="s">
        <v>646</v>
      </c>
      <c r="N252" s="162" t="s">
        <v>179</v>
      </c>
      <c r="O252" s="162" t="s">
        <v>170</v>
      </c>
      <c r="P252" s="162" t="s">
        <v>368</v>
      </c>
      <c r="Q252" s="162" t="s">
        <v>25</v>
      </c>
      <c r="R252" s="162" t="s">
        <v>2206</v>
      </c>
      <c r="S252" s="118" t="str">
        <f>_xlfn.DISPIMG("ID_06812EDB7CE84D14BCAEC56B86A3FB64",1)</f>
        <v>=DISPIMG("ID_06812EDB7CE84D14BCAEC56B86A3FB64",1)</v>
      </c>
      <c r="T252" s="115" t="s">
        <v>2207</v>
      </c>
      <c r="U252" s="27">
        <v>259</v>
      </c>
    </row>
    <row r="253" s="3" customFormat="1" customHeight="1" spans="1:21">
      <c r="A253" s="144">
        <v>44361.4182523148</v>
      </c>
      <c r="B253" s="27" t="s">
        <v>2208</v>
      </c>
      <c r="C253" s="27" t="s">
        <v>2209</v>
      </c>
      <c r="D253" s="162" t="s">
        <v>2210</v>
      </c>
      <c r="E253" s="162" t="s">
        <v>165</v>
      </c>
      <c r="F253" s="162" t="s">
        <v>2211</v>
      </c>
      <c r="G253" s="27">
        <v>15770710161</v>
      </c>
      <c r="H253" s="162" t="s">
        <v>2212</v>
      </c>
      <c r="I253" s="162" t="s">
        <v>384</v>
      </c>
      <c r="J253" s="162" t="s">
        <v>27</v>
      </c>
      <c r="K253" s="27">
        <v>202101016</v>
      </c>
      <c r="L253" s="162" t="s">
        <v>157</v>
      </c>
      <c r="M253" s="162" t="s">
        <v>1413</v>
      </c>
      <c r="N253" s="162" t="s">
        <v>215</v>
      </c>
      <c r="O253" s="162" t="s">
        <v>170</v>
      </c>
      <c r="P253" s="162" t="s">
        <v>171</v>
      </c>
      <c r="Q253" s="162" t="s">
        <v>2213</v>
      </c>
      <c r="R253" s="162" t="s">
        <v>2214</v>
      </c>
      <c r="S253" s="118" t="str">
        <f>_xlfn.DISPIMG("ID_0AC7D7DC948D4142BC7E39C07F0EB7F8",1)</f>
        <v>=DISPIMG("ID_0AC7D7DC948D4142BC7E39C07F0EB7F8",1)</v>
      </c>
      <c r="T253" s="115" t="s">
        <v>2215</v>
      </c>
      <c r="U253" s="27">
        <v>260</v>
      </c>
    </row>
    <row r="254" s="3" customFormat="1" customHeight="1" spans="1:21">
      <c r="A254" s="144">
        <v>44361.4494907407</v>
      </c>
      <c r="B254" s="27" t="s">
        <v>2216</v>
      </c>
      <c r="C254" s="27" t="s">
        <v>2217</v>
      </c>
      <c r="D254" s="162" t="s">
        <v>2218</v>
      </c>
      <c r="E254" s="162" t="s">
        <v>165</v>
      </c>
      <c r="F254" s="162" t="s">
        <v>2219</v>
      </c>
      <c r="G254" s="27">
        <v>15179156312</v>
      </c>
      <c r="H254" s="162" t="s">
        <v>2220</v>
      </c>
      <c r="I254" s="162" t="s">
        <v>156</v>
      </c>
      <c r="J254" s="162" t="s">
        <v>14</v>
      </c>
      <c r="K254" s="27">
        <v>202102001</v>
      </c>
      <c r="L254" s="162" t="s">
        <v>157</v>
      </c>
      <c r="M254" s="162" t="s">
        <v>233</v>
      </c>
      <c r="N254" s="162" t="s">
        <v>1195</v>
      </c>
      <c r="O254" s="162" t="s">
        <v>160</v>
      </c>
      <c r="P254" s="162" t="s">
        <v>2221</v>
      </c>
      <c r="Q254" s="162" t="s">
        <v>638</v>
      </c>
      <c r="R254" s="162" t="s">
        <v>2222</v>
      </c>
      <c r="S254" s="118" t="str">
        <f>_xlfn.DISPIMG("ID_D4DBACC4389B49D6B9C508C515595D5D",1)</f>
        <v>=DISPIMG("ID_D4DBACC4389B49D6B9C508C515595D5D",1)</v>
      </c>
      <c r="T254" s="115" t="s">
        <v>2223</v>
      </c>
      <c r="U254" s="27">
        <v>261</v>
      </c>
    </row>
    <row r="255" s="3" customFormat="1" customHeight="1" spans="1:21">
      <c r="A255" s="144">
        <v>44361.5275694444</v>
      </c>
      <c r="B255" s="27" t="s">
        <v>2224</v>
      </c>
      <c r="C255" s="27" t="s">
        <v>2225</v>
      </c>
      <c r="D255" s="162" t="s">
        <v>2226</v>
      </c>
      <c r="E255" s="162" t="s">
        <v>165</v>
      </c>
      <c r="F255" s="162" t="s">
        <v>2227</v>
      </c>
      <c r="G255" s="27">
        <v>15720952167</v>
      </c>
      <c r="H255" s="162" t="s">
        <v>2228</v>
      </c>
      <c r="I255" s="162" t="s">
        <v>278</v>
      </c>
      <c r="J255" s="162" t="s">
        <v>28</v>
      </c>
      <c r="K255" s="27">
        <v>202103001</v>
      </c>
      <c r="L255" s="162" t="s">
        <v>279</v>
      </c>
      <c r="M255" s="162" t="s">
        <v>2229</v>
      </c>
      <c r="N255" s="162" t="s">
        <v>280</v>
      </c>
      <c r="O255" s="162" t="s">
        <v>170</v>
      </c>
      <c r="P255" s="162" t="s">
        <v>161</v>
      </c>
      <c r="Q255" s="162" t="s">
        <v>517</v>
      </c>
      <c r="R255" s="27">
        <v>0</v>
      </c>
      <c r="S255" s="118" t="str">
        <f>_xlfn.DISPIMG("ID_D66F2E0905214E97988618639B1556CA",1)</f>
        <v>=DISPIMG("ID_D66F2E0905214E97988618639B1556CA",1)</v>
      </c>
      <c r="T255" s="115" t="s">
        <v>2230</v>
      </c>
      <c r="U255" s="27">
        <v>262</v>
      </c>
    </row>
    <row r="256" s="3" customFormat="1" customHeight="1" spans="1:21">
      <c r="A256" s="144">
        <v>44361.5292592593</v>
      </c>
      <c r="B256" s="27" t="s">
        <v>2231</v>
      </c>
      <c r="C256" s="27" t="s">
        <v>2232</v>
      </c>
      <c r="D256" s="162" t="s">
        <v>2233</v>
      </c>
      <c r="E256" s="162" t="s">
        <v>165</v>
      </c>
      <c r="F256" s="162" t="s">
        <v>2234</v>
      </c>
      <c r="G256" s="27">
        <v>18279238026</v>
      </c>
      <c r="H256" s="162" t="s">
        <v>2235</v>
      </c>
      <c r="I256" s="162" t="s">
        <v>156</v>
      </c>
      <c r="J256" s="162" t="s">
        <v>6</v>
      </c>
      <c r="K256" s="27">
        <v>202102012</v>
      </c>
      <c r="L256" s="162" t="s">
        <v>157</v>
      </c>
      <c r="M256" s="162" t="s">
        <v>2236</v>
      </c>
      <c r="N256" s="162" t="s">
        <v>188</v>
      </c>
      <c r="O256" s="162" t="s">
        <v>160</v>
      </c>
      <c r="P256" s="162" t="s">
        <v>516</v>
      </c>
      <c r="Q256" s="162" t="s">
        <v>18</v>
      </c>
      <c r="R256" s="27">
        <v>0</v>
      </c>
      <c r="S256" s="118" t="str">
        <f>_xlfn.DISPIMG("ID_B83409D3E833484EAA2409A5675BAA5D",1)</f>
        <v>=DISPIMG("ID_B83409D3E833484EAA2409A5675BAA5D",1)</v>
      </c>
      <c r="T256" s="115" t="s">
        <v>2237</v>
      </c>
      <c r="U256" s="27">
        <v>263</v>
      </c>
    </row>
    <row r="257" s="3" customFormat="1" customHeight="1" spans="1:21">
      <c r="A257" s="144">
        <v>44361.5301736111</v>
      </c>
      <c r="B257" s="27" t="s">
        <v>2238</v>
      </c>
      <c r="C257" s="27" t="s">
        <v>2239</v>
      </c>
      <c r="D257" s="162" t="s">
        <v>2240</v>
      </c>
      <c r="E257" s="162" t="s">
        <v>153</v>
      </c>
      <c r="F257" s="162" t="s">
        <v>2241</v>
      </c>
      <c r="G257" s="27">
        <v>18079253586</v>
      </c>
      <c r="H257" s="162" t="s">
        <v>2242</v>
      </c>
      <c r="I257" s="162" t="s">
        <v>156</v>
      </c>
      <c r="J257" s="162" t="s">
        <v>12</v>
      </c>
      <c r="K257" s="27">
        <v>202102010</v>
      </c>
      <c r="L257" s="162" t="s">
        <v>157</v>
      </c>
      <c r="M257" s="162" t="s">
        <v>2243</v>
      </c>
      <c r="N257" s="162" t="s">
        <v>445</v>
      </c>
      <c r="O257" s="162" t="s">
        <v>160</v>
      </c>
      <c r="P257" s="162" t="s">
        <v>368</v>
      </c>
      <c r="Q257" s="162" t="s">
        <v>2244</v>
      </c>
      <c r="R257" s="162" t="s">
        <v>2245</v>
      </c>
      <c r="S257" s="118" t="str">
        <f>_xlfn.DISPIMG("ID_36DB22886E2542F0B08D8BC7EEC58760",1)</f>
        <v>=DISPIMG("ID_36DB22886E2542F0B08D8BC7EEC58760",1)</v>
      </c>
      <c r="T257" s="115" t="s">
        <v>2246</v>
      </c>
      <c r="U257" s="27">
        <v>264</v>
      </c>
    </row>
    <row r="258" s="3" customFormat="1" customHeight="1" spans="1:21">
      <c r="A258" s="144">
        <v>44361.5721990741</v>
      </c>
      <c r="B258" s="27" t="s">
        <v>2247</v>
      </c>
      <c r="C258" s="27" t="s">
        <v>2248</v>
      </c>
      <c r="D258" s="162" t="s">
        <v>2249</v>
      </c>
      <c r="E258" s="162" t="s">
        <v>165</v>
      </c>
      <c r="F258" s="162" t="s">
        <v>2250</v>
      </c>
      <c r="G258" s="27">
        <v>15270289287</v>
      </c>
      <c r="H258" s="162" t="s">
        <v>2251</v>
      </c>
      <c r="I258" s="162" t="s">
        <v>278</v>
      </c>
      <c r="J258" s="162" t="s">
        <v>28</v>
      </c>
      <c r="K258" s="27">
        <v>202103001</v>
      </c>
      <c r="L258" s="162" t="s">
        <v>279</v>
      </c>
      <c r="M258" s="162" t="s">
        <v>1258</v>
      </c>
      <c r="N258" s="162" t="s">
        <v>280</v>
      </c>
      <c r="O258" s="162" t="s">
        <v>170</v>
      </c>
      <c r="P258" s="162" t="s">
        <v>180</v>
      </c>
      <c r="Q258" s="162" t="s">
        <v>340</v>
      </c>
      <c r="R258" s="162" t="s">
        <v>2252</v>
      </c>
      <c r="S258" s="118" t="str">
        <f>_xlfn.DISPIMG("ID_7985CE250554486189D8524B45608623",1)</f>
        <v>=DISPIMG("ID_7985CE250554486189D8524B45608623",1)</v>
      </c>
      <c r="T258" s="115" t="s">
        <v>2253</v>
      </c>
      <c r="U258" s="27">
        <v>265</v>
      </c>
    </row>
    <row r="259" s="3" customFormat="1" customHeight="1" spans="1:21">
      <c r="A259" s="144">
        <v>44361.5746875</v>
      </c>
      <c r="B259" s="27" t="s">
        <v>2254</v>
      </c>
      <c r="C259" s="27" t="s">
        <v>2255</v>
      </c>
      <c r="D259" s="162" t="s">
        <v>2256</v>
      </c>
      <c r="E259" s="162" t="s">
        <v>165</v>
      </c>
      <c r="F259" s="162" t="s">
        <v>2257</v>
      </c>
      <c r="G259" s="27">
        <v>18379620695</v>
      </c>
      <c r="H259" s="162" t="s">
        <v>2258</v>
      </c>
      <c r="I259" s="162" t="s">
        <v>156</v>
      </c>
      <c r="J259" s="162" t="s">
        <v>13</v>
      </c>
      <c r="K259" s="27">
        <v>202102003</v>
      </c>
      <c r="L259" s="162" t="s">
        <v>157</v>
      </c>
      <c r="M259" s="162" t="s">
        <v>2259</v>
      </c>
      <c r="N259" s="162" t="s">
        <v>2260</v>
      </c>
      <c r="O259" s="162" t="s">
        <v>170</v>
      </c>
      <c r="P259" s="162" t="s">
        <v>252</v>
      </c>
      <c r="Q259" s="162" t="s">
        <v>13</v>
      </c>
      <c r="R259" s="162" t="s">
        <v>2261</v>
      </c>
      <c r="S259" s="118" t="str">
        <f>_xlfn.DISPIMG("ID_796E86B7DB7B4E23A74B2B041E7E25B9",1)</f>
        <v>=DISPIMG("ID_796E86B7DB7B4E23A74B2B041E7E25B9",1)</v>
      </c>
      <c r="T259" s="115" t="s">
        <v>2262</v>
      </c>
      <c r="U259" s="27">
        <v>266</v>
      </c>
    </row>
    <row r="260" s="3" customFormat="1" customHeight="1" spans="1:21">
      <c r="A260" s="144">
        <v>44365.5747916667</v>
      </c>
      <c r="B260" s="27" t="s">
        <v>2263</v>
      </c>
      <c r="C260" s="27" t="s">
        <v>1293</v>
      </c>
      <c r="D260" s="162" t="s">
        <v>2264</v>
      </c>
      <c r="E260" s="162" t="s">
        <v>153</v>
      </c>
      <c r="F260" s="162" t="s">
        <v>2265</v>
      </c>
      <c r="G260" s="27">
        <v>13755257750</v>
      </c>
      <c r="H260" s="162" t="s">
        <v>2266</v>
      </c>
      <c r="I260" s="162" t="s">
        <v>506</v>
      </c>
      <c r="J260" s="162" t="s">
        <v>6</v>
      </c>
      <c r="K260" s="27">
        <v>202102021</v>
      </c>
      <c r="L260" s="162" t="s">
        <v>157</v>
      </c>
      <c r="M260" s="162" t="s">
        <v>2267</v>
      </c>
      <c r="N260" s="162" t="s">
        <v>2268</v>
      </c>
      <c r="O260" s="162" t="s">
        <v>160</v>
      </c>
      <c r="P260" s="162" t="s">
        <v>161</v>
      </c>
      <c r="Q260" s="162" t="s">
        <v>2269</v>
      </c>
      <c r="R260" s="27">
        <v>0</v>
      </c>
      <c r="S260" s="118" t="str">
        <f>_xlfn.DISPIMG("ID_73D56986F7DE44CDB5B00B7AF01CF017",1)</f>
        <v>=DISPIMG("ID_73D56986F7DE44CDB5B00B7AF01CF017",1)</v>
      </c>
      <c r="T260" s="115" t="s">
        <v>2270</v>
      </c>
      <c r="U260" s="27">
        <v>267</v>
      </c>
    </row>
    <row r="261" s="3" customFormat="1" customHeight="1" spans="1:21">
      <c r="A261" s="144">
        <v>44361.6143171296</v>
      </c>
      <c r="B261" s="27" t="s">
        <v>2271</v>
      </c>
      <c r="C261" s="27" t="s">
        <v>2272</v>
      </c>
      <c r="D261" s="162" t="s">
        <v>2273</v>
      </c>
      <c r="E261" s="162" t="s">
        <v>165</v>
      </c>
      <c r="F261" s="162" t="s">
        <v>2274</v>
      </c>
      <c r="G261" s="27">
        <v>18897920642</v>
      </c>
      <c r="H261" s="162" t="s">
        <v>2275</v>
      </c>
      <c r="I261" s="162" t="s">
        <v>278</v>
      </c>
      <c r="J261" s="162" t="s">
        <v>28</v>
      </c>
      <c r="K261" s="27">
        <v>202103001</v>
      </c>
      <c r="L261" s="162" t="s">
        <v>279</v>
      </c>
      <c r="M261" s="162" t="s">
        <v>367</v>
      </c>
      <c r="N261" s="162" t="s">
        <v>960</v>
      </c>
      <c r="O261" s="162" t="s">
        <v>170</v>
      </c>
      <c r="P261" s="162" t="s">
        <v>171</v>
      </c>
      <c r="Q261" s="162" t="s">
        <v>340</v>
      </c>
      <c r="R261" s="162" t="s">
        <v>2276</v>
      </c>
      <c r="S261" s="118" t="str">
        <f>_xlfn.DISPIMG("ID_61B07218C9EC426CBE977F3567B765DD",1)</f>
        <v>=DISPIMG("ID_61B07218C9EC426CBE977F3567B765DD",1)</v>
      </c>
      <c r="T261" s="115" t="s">
        <v>2277</v>
      </c>
      <c r="U261" s="27">
        <v>268</v>
      </c>
    </row>
    <row r="262" s="3" customFormat="1" customHeight="1" spans="1:21">
      <c r="A262" s="144">
        <v>44361.6264236111</v>
      </c>
      <c r="B262" s="27" t="s">
        <v>2278</v>
      </c>
      <c r="C262" s="27" t="s">
        <v>2279</v>
      </c>
      <c r="D262" s="162" t="s">
        <v>2280</v>
      </c>
      <c r="E262" s="162" t="s">
        <v>153</v>
      </c>
      <c r="F262" s="162" t="s">
        <v>2281</v>
      </c>
      <c r="G262" s="27">
        <v>18679290186</v>
      </c>
      <c r="H262" s="162" t="s">
        <v>2282</v>
      </c>
      <c r="I262" s="162" t="s">
        <v>156</v>
      </c>
      <c r="J262" s="162" t="s">
        <v>13</v>
      </c>
      <c r="K262" s="27">
        <v>202102003</v>
      </c>
      <c r="L262" s="162" t="s">
        <v>279</v>
      </c>
      <c r="M262" s="162" t="s">
        <v>233</v>
      </c>
      <c r="N262" s="162" t="s">
        <v>223</v>
      </c>
      <c r="O262" s="162" t="s">
        <v>170</v>
      </c>
      <c r="P262" s="162" t="s">
        <v>2283</v>
      </c>
      <c r="Q262" s="162" t="s">
        <v>2284</v>
      </c>
      <c r="R262" s="162" t="s">
        <v>2285</v>
      </c>
      <c r="S262" s="118" t="str">
        <f>_xlfn.DISPIMG("ID_89FA20207CD0456DA5278484203F3141",1)</f>
        <v>=DISPIMG("ID_89FA20207CD0456DA5278484203F3141",1)</v>
      </c>
      <c r="T262" s="115" t="s">
        <v>2286</v>
      </c>
      <c r="U262" s="27">
        <v>269</v>
      </c>
    </row>
    <row r="263" s="3" customFormat="1" customHeight="1" spans="1:21">
      <c r="A263" s="144">
        <v>44361.6534143519</v>
      </c>
      <c r="B263" s="27" t="s">
        <v>2287</v>
      </c>
      <c r="C263" s="27" t="s">
        <v>2288</v>
      </c>
      <c r="D263" s="162" t="s">
        <v>2289</v>
      </c>
      <c r="E263" s="162" t="s">
        <v>165</v>
      </c>
      <c r="F263" s="162" t="s">
        <v>2290</v>
      </c>
      <c r="G263" s="27">
        <v>18170815855</v>
      </c>
      <c r="H263" s="162" t="s">
        <v>1087</v>
      </c>
      <c r="I263" s="162" t="s">
        <v>156</v>
      </c>
      <c r="J263" s="162" t="s">
        <v>13</v>
      </c>
      <c r="K263" s="27">
        <v>202102003</v>
      </c>
      <c r="L263" s="162" t="s">
        <v>157</v>
      </c>
      <c r="M263" s="162" t="s">
        <v>158</v>
      </c>
      <c r="N263" s="162" t="s">
        <v>223</v>
      </c>
      <c r="O263" s="162" t="s">
        <v>170</v>
      </c>
      <c r="P263" s="162" t="s">
        <v>349</v>
      </c>
      <c r="Q263" s="162" t="s">
        <v>1692</v>
      </c>
      <c r="R263" s="162" t="s">
        <v>2290</v>
      </c>
      <c r="S263" s="118" t="str">
        <f>_xlfn.DISPIMG("ID_BC3CD3F4A07B4F5DB131E901992815BA",1)</f>
        <v>=DISPIMG("ID_BC3CD3F4A07B4F5DB131E901992815BA",1)</v>
      </c>
      <c r="T263" s="115" t="s">
        <v>2291</v>
      </c>
      <c r="U263" s="27">
        <v>270</v>
      </c>
    </row>
    <row r="264" s="3" customFormat="1" customHeight="1" spans="1:21">
      <c r="A264" s="144">
        <v>44361.6766203704</v>
      </c>
      <c r="B264" s="27" t="s">
        <v>2292</v>
      </c>
      <c r="C264" s="27" t="s">
        <v>2293</v>
      </c>
      <c r="D264" s="162" t="s">
        <v>2294</v>
      </c>
      <c r="E264" s="162" t="s">
        <v>153</v>
      </c>
      <c r="F264" s="162" t="s">
        <v>2295</v>
      </c>
      <c r="G264" s="27">
        <v>18179457855</v>
      </c>
      <c r="H264" s="162" t="s">
        <v>2296</v>
      </c>
      <c r="I264" s="162" t="s">
        <v>156</v>
      </c>
      <c r="J264" s="162" t="s">
        <v>5</v>
      </c>
      <c r="K264" s="27">
        <v>202102008</v>
      </c>
      <c r="L264" s="162" t="s">
        <v>157</v>
      </c>
      <c r="M264" s="162" t="s">
        <v>1654</v>
      </c>
      <c r="N264" s="162" t="s">
        <v>2297</v>
      </c>
      <c r="O264" s="162" t="s">
        <v>160</v>
      </c>
      <c r="P264" s="162" t="s">
        <v>2298</v>
      </c>
      <c r="Q264" s="162" t="s">
        <v>2299</v>
      </c>
      <c r="R264" s="27">
        <v>0</v>
      </c>
      <c r="S264" s="118" t="str">
        <f>_xlfn.DISPIMG("ID_2348B3C3CCB6443B92AD1A08F0A487FA",1)</f>
        <v>=DISPIMG("ID_2348B3C3CCB6443B92AD1A08F0A487FA",1)</v>
      </c>
      <c r="T264" s="115" t="s">
        <v>2300</v>
      </c>
      <c r="U264" s="27">
        <v>271</v>
      </c>
    </row>
    <row r="265" s="3" customFormat="1" customHeight="1" spans="1:21">
      <c r="A265" s="144">
        <v>44361.6766666667</v>
      </c>
      <c r="B265" s="27" t="s">
        <v>2301</v>
      </c>
      <c r="C265" s="27" t="s">
        <v>2302</v>
      </c>
      <c r="D265" s="162" t="s">
        <v>2303</v>
      </c>
      <c r="E265" s="162" t="s">
        <v>165</v>
      </c>
      <c r="F265" s="162" t="s">
        <v>2304</v>
      </c>
      <c r="G265" s="27">
        <v>18397921329</v>
      </c>
      <c r="H265" s="162" t="s">
        <v>2305</v>
      </c>
      <c r="I265" s="162" t="s">
        <v>156</v>
      </c>
      <c r="J265" s="162" t="s">
        <v>13</v>
      </c>
      <c r="K265" s="27">
        <v>202102003</v>
      </c>
      <c r="L265" s="162" t="s">
        <v>157</v>
      </c>
      <c r="M265" s="162" t="s">
        <v>233</v>
      </c>
      <c r="N265" s="162" t="s">
        <v>1832</v>
      </c>
      <c r="O265" s="162" t="s">
        <v>160</v>
      </c>
      <c r="P265" s="162" t="s">
        <v>161</v>
      </c>
      <c r="Q265" s="162" t="s">
        <v>2284</v>
      </c>
      <c r="R265" s="27">
        <v>0</v>
      </c>
      <c r="S265" s="118" t="str">
        <f>_xlfn.DISPIMG("ID_D3E1E42587914F6EA2229B8441CD1EF2",1)</f>
        <v>=DISPIMG("ID_D3E1E42587914F6EA2229B8441CD1EF2",1)</v>
      </c>
      <c r="T265" s="115" t="s">
        <v>2306</v>
      </c>
      <c r="U265" s="27">
        <v>272</v>
      </c>
    </row>
    <row r="266" s="3" customFormat="1" customHeight="1" spans="1:21">
      <c r="A266" s="144">
        <v>44361.6902430556</v>
      </c>
      <c r="B266" s="27" t="s">
        <v>2307</v>
      </c>
      <c r="C266" s="27" t="s">
        <v>2308</v>
      </c>
      <c r="D266" s="162" t="s">
        <v>2309</v>
      </c>
      <c r="E266" s="162" t="s">
        <v>165</v>
      </c>
      <c r="F266" s="162" t="s">
        <v>2310</v>
      </c>
      <c r="G266" s="27">
        <v>15279968703</v>
      </c>
      <c r="H266" s="162" t="s">
        <v>2311</v>
      </c>
      <c r="I266" s="162" t="s">
        <v>156</v>
      </c>
      <c r="J266" s="162" t="s">
        <v>8</v>
      </c>
      <c r="K266" s="27">
        <v>202102002</v>
      </c>
      <c r="L266" s="162" t="s">
        <v>279</v>
      </c>
      <c r="M266" s="162" t="s">
        <v>1424</v>
      </c>
      <c r="N266" s="162" t="s">
        <v>497</v>
      </c>
      <c r="O266" s="162" t="s">
        <v>170</v>
      </c>
      <c r="P266" s="162" t="s">
        <v>180</v>
      </c>
      <c r="Q266" s="162" t="s">
        <v>8</v>
      </c>
      <c r="R266" s="162" t="s">
        <v>2312</v>
      </c>
      <c r="S266" s="118" t="str">
        <f>_xlfn.DISPIMG("ID_987FF0FA37F44BD9A4B0BCCB3CF13E1D",1)</f>
        <v>=DISPIMG("ID_987FF0FA37F44BD9A4B0BCCB3CF13E1D",1)</v>
      </c>
      <c r="T266" s="115" t="s">
        <v>2313</v>
      </c>
      <c r="U266" s="27">
        <v>273</v>
      </c>
    </row>
    <row r="267" s="3" customFormat="1" customHeight="1" spans="1:21">
      <c r="A267" s="144">
        <v>44361.7094560185</v>
      </c>
      <c r="B267" s="27" t="s">
        <v>2314</v>
      </c>
      <c r="C267" s="27" t="s">
        <v>2315</v>
      </c>
      <c r="D267" s="162" t="s">
        <v>2316</v>
      </c>
      <c r="E267" s="162" t="s">
        <v>165</v>
      </c>
      <c r="F267" s="162" t="s">
        <v>2317</v>
      </c>
      <c r="G267" s="27">
        <v>18790256284</v>
      </c>
      <c r="H267" s="162" t="s">
        <v>2318</v>
      </c>
      <c r="I267" s="162" t="s">
        <v>156</v>
      </c>
      <c r="J267" s="162" t="s">
        <v>6</v>
      </c>
      <c r="K267" s="27">
        <v>202102012</v>
      </c>
      <c r="L267" s="162" t="s">
        <v>157</v>
      </c>
      <c r="M267" s="162" t="s">
        <v>403</v>
      </c>
      <c r="N267" s="162" t="s">
        <v>207</v>
      </c>
      <c r="O267" s="162" t="s">
        <v>160</v>
      </c>
      <c r="P267" s="162" t="s">
        <v>161</v>
      </c>
      <c r="Q267" s="162" t="s">
        <v>1156</v>
      </c>
      <c r="R267" s="162" t="s">
        <v>2319</v>
      </c>
      <c r="S267" s="118" t="str">
        <f>_xlfn.DISPIMG("ID_CE4D4038789D4DF1AB53AB5B07B379E6",1)</f>
        <v>=DISPIMG("ID_CE4D4038789D4DF1AB53AB5B07B379E6",1)</v>
      </c>
      <c r="T267" s="115" t="s">
        <v>2320</v>
      </c>
      <c r="U267" s="27">
        <v>274</v>
      </c>
    </row>
    <row r="268" s="3" customFormat="1" customHeight="1" spans="1:21">
      <c r="A268" s="144">
        <v>44361.7103009259</v>
      </c>
      <c r="B268" s="27" t="s">
        <v>2321</v>
      </c>
      <c r="C268" s="27" t="s">
        <v>2322</v>
      </c>
      <c r="D268" s="162" t="s">
        <v>2323</v>
      </c>
      <c r="E268" s="162" t="s">
        <v>165</v>
      </c>
      <c r="F268" s="162" t="s">
        <v>2324</v>
      </c>
      <c r="G268" s="27">
        <v>15979178539</v>
      </c>
      <c r="H268" s="162" t="s">
        <v>2325</v>
      </c>
      <c r="I268" s="162" t="s">
        <v>278</v>
      </c>
      <c r="J268" s="162" t="s">
        <v>28</v>
      </c>
      <c r="K268" s="27">
        <v>202103001</v>
      </c>
      <c r="L268" s="162" t="s">
        <v>157</v>
      </c>
      <c r="M268" s="162" t="s">
        <v>1071</v>
      </c>
      <c r="N268" s="162" t="s">
        <v>2326</v>
      </c>
      <c r="O268" s="162" t="s">
        <v>160</v>
      </c>
      <c r="P268" s="162" t="s">
        <v>1942</v>
      </c>
      <c r="Q268" s="162" t="s">
        <v>340</v>
      </c>
      <c r="R268" s="162" t="s">
        <v>2327</v>
      </c>
      <c r="S268" s="118" t="str">
        <f>_xlfn.DISPIMG("ID_A33976891DCF46C9B1DFAD5ADCC8729D",1)</f>
        <v>=DISPIMG("ID_A33976891DCF46C9B1DFAD5ADCC8729D",1)</v>
      </c>
      <c r="T268" s="115" t="s">
        <v>2328</v>
      </c>
      <c r="U268" s="27">
        <v>275</v>
      </c>
    </row>
    <row r="269" s="3" customFormat="1" customHeight="1" spans="1:21">
      <c r="A269" s="144">
        <v>44361.7954398148</v>
      </c>
      <c r="B269" s="27" t="s">
        <v>2329</v>
      </c>
      <c r="C269" s="27" t="s">
        <v>2330</v>
      </c>
      <c r="D269" s="162" t="s">
        <v>2330</v>
      </c>
      <c r="E269" s="162" t="s">
        <v>165</v>
      </c>
      <c r="F269" s="162" t="s">
        <v>2331</v>
      </c>
      <c r="G269" s="27">
        <v>13627002257</v>
      </c>
      <c r="H269" s="162" t="s">
        <v>2332</v>
      </c>
      <c r="I269" s="162" t="s">
        <v>156</v>
      </c>
      <c r="J269" s="162" t="s">
        <v>9</v>
      </c>
      <c r="K269" s="27">
        <v>202102011</v>
      </c>
      <c r="L269" s="162" t="s">
        <v>157</v>
      </c>
      <c r="M269" s="162" t="s">
        <v>233</v>
      </c>
      <c r="N269" s="162" t="s">
        <v>2333</v>
      </c>
      <c r="O269" s="162" t="s">
        <v>160</v>
      </c>
      <c r="P269" s="162" t="s">
        <v>455</v>
      </c>
      <c r="Q269" s="162" t="s">
        <v>9</v>
      </c>
      <c r="R269" s="27">
        <v>0</v>
      </c>
      <c r="S269" s="118" t="str">
        <f>_xlfn.DISPIMG("ID_1491B19669C14541B371C6C8BBB97425",1)</f>
        <v>=DISPIMG("ID_1491B19669C14541B371C6C8BBB97425",1)</v>
      </c>
      <c r="T269" s="115" t="s">
        <v>2334</v>
      </c>
      <c r="U269" s="27">
        <v>276</v>
      </c>
    </row>
    <row r="270" s="3" customFormat="1" customHeight="1" spans="1:21">
      <c r="A270" s="144">
        <v>44361.7991319444</v>
      </c>
      <c r="B270" s="27" t="s">
        <v>2335</v>
      </c>
      <c r="C270" s="27" t="s">
        <v>2336</v>
      </c>
      <c r="D270" s="162" t="s">
        <v>2337</v>
      </c>
      <c r="E270" s="162" t="s">
        <v>165</v>
      </c>
      <c r="F270" s="162" t="s">
        <v>2338</v>
      </c>
      <c r="G270" s="27">
        <v>15779252368</v>
      </c>
      <c r="H270" s="162" t="s">
        <v>2339</v>
      </c>
      <c r="I270" s="162" t="s">
        <v>156</v>
      </c>
      <c r="J270" s="162" t="s">
        <v>8</v>
      </c>
      <c r="K270" s="27">
        <v>202102002</v>
      </c>
      <c r="L270" s="162" t="s">
        <v>157</v>
      </c>
      <c r="M270" s="162" t="s">
        <v>2340</v>
      </c>
      <c r="N270" s="162" t="s">
        <v>270</v>
      </c>
      <c r="O270" s="162" t="s">
        <v>170</v>
      </c>
      <c r="P270" s="162" t="s">
        <v>548</v>
      </c>
      <c r="Q270" s="162" t="s">
        <v>1322</v>
      </c>
      <c r="R270" s="162" t="s">
        <v>2341</v>
      </c>
      <c r="S270" s="118" t="str">
        <f>_xlfn.DISPIMG("ID_590DFB2A64AB463E915AA57C80368398",1)</f>
        <v>=DISPIMG("ID_590DFB2A64AB463E915AA57C80368398",1)</v>
      </c>
      <c r="T270" s="115" t="s">
        <v>2342</v>
      </c>
      <c r="U270" s="27">
        <v>277</v>
      </c>
    </row>
    <row r="271" s="3" customFormat="1" customHeight="1" spans="1:21">
      <c r="A271" s="144">
        <v>44361.8193634259</v>
      </c>
      <c r="B271" s="27" t="s">
        <v>2343</v>
      </c>
      <c r="C271" s="27" t="s">
        <v>2344</v>
      </c>
      <c r="D271" s="162" t="s">
        <v>2345</v>
      </c>
      <c r="E271" s="162" t="s">
        <v>153</v>
      </c>
      <c r="F271" s="162" t="s">
        <v>2346</v>
      </c>
      <c r="G271" s="27">
        <v>15267177470</v>
      </c>
      <c r="H271" s="162" t="s">
        <v>2347</v>
      </c>
      <c r="I271" s="162" t="s">
        <v>156</v>
      </c>
      <c r="J271" s="162" t="s">
        <v>8</v>
      </c>
      <c r="K271" s="27">
        <v>202102002</v>
      </c>
      <c r="L271" s="162" t="s">
        <v>279</v>
      </c>
      <c r="M271" s="162" t="s">
        <v>2348</v>
      </c>
      <c r="N271" s="162" t="s">
        <v>1950</v>
      </c>
      <c r="O271" s="162" t="s">
        <v>170</v>
      </c>
      <c r="P271" s="162" t="s">
        <v>2047</v>
      </c>
      <c r="Q271" s="162" t="s">
        <v>2349</v>
      </c>
      <c r="R271" s="162" t="s">
        <v>2350</v>
      </c>
      <c r="S271" s="118" t="str">
        <f>_xlfn.DISPIMG("ID_5E2BE4A32E0C443299D86A217DB8E55F",1)</f>
        <v>=DISPIMG("ID_5E2BE4A32E0C443299D86A217DB8E55F",1)</v>
      </c>
      <c r="T271" s="115" t="s">
        <v>2351</v>
      </c>
      <c r="U271" s="27">
        <v>278</v>
      </c>
    </row>
    <row r="272" s="3" customFormat="1" customHeight="1" spans="1:21">
      <c r="A272" s="144">
        <v>44361.8211805556</v>
      </c>
      <c r="B272" s="27" t="s">
        <v>2352</v>
      </c>
      <c r="C272" s="27" t="s">
        <v>2353</v>
      </c>
      <c r="D272" s="162" t="s">
        <v>2354</v>
      </c>
      <c r="E272" s="162" t="s">
        <v>165</v>
      </c>
      <c r="F272" s="162" t="s">
        <v>2355</v>
      </c>
      <c r="G272" s="27">
        <v>18870202615</v>
      </c>
      <c r="H272" s="162" t="s">
        <v>2356</v>
      </c>
      <c r="I272" s="162" t="s">
        <v>278</v>
      </c>
      <c r="J272" s="162" t="s">
        <v>28</v>
      </c>
      <c r="K272" s="27">
        <v>202103001</v>
      </c>
      <c r="L272" s="162" t="s">
        <v>279</v>
      </c>
      <c r="M272" s="162" t="s">
        <v>765</v>
      </c>
      <c r="N272" s="162" t="s">
        <v>280</v>
      </c>
      <c r="O272" s="162" t="s">
        <v>170</v>
      </c>
      <c r="P272" s="162" t="s">
        <v>252</v>
      </c>
      <c r="Q272" s="162" t="s">
        <v>340</v>
      </c>
      <c r="R272" s="162" t="s">
        <v>2357</v>
      </c>
      <c r="S272" s="118" t="str">
        <f>_xlfn.DISPIMG("ID_1E1BF7CF64ED4C9392E00D748E2CFF78",1)</f>
        <v>=DISPIMG("ID_1E1BF7CF64ED4C9392E00D748E2CFF78",1)</v>
      </c>
      <c r="T272" s="115" t="s">
        <v>2358</v>
      </c>
      <c r="U272" s="27">
        <v>279</v>
      </c>
    </row>
    <row r="273" s="4" customFormat="1" customHeight="1" spans="1:21">
      <c r="A273" s="145">
        <v>44364.9365393519</v>
      </c>
      <c r="B273" s="22" t="s">
        <v>2359</v>
      </c>
      <c r="C273" s="22" t="s">
        <v>2360</v>
      </c>
      <c r="D273" s="164" t="s">
        <v>2360</v>
      </c>
      <c r="E273" s="164" t="s">
        <v>165</v>
      </c>
      <c r="F273" s="164" t="s">
        <v>2361</v>
      </c>
      <c r="G273" s="22">
        <v>18070140896</v>
      </c>
      <c r="H273" s="164" t="s">
        <v>2362</v>
      </c>
      <c r="I273" s="164" t="s">
        <v>384</v>
      </c>
      <c r="J273" s="164" t="s">
        <v>25</v>
      </c>
      <c r="K273" s="22">
        <v>202101007</v>
      </c>
      <c r="L273" s="164" t="s">
        <v>157</v>
      </c>
      <c r="M273" s="164" t="s">
        <v>2363</v>
      </c>
      <c r="N273" s="164" t="s">
        <v>179</v>
      </c>
      <c r="O273" s="164" t="s">
        <v>170</v>
      </c>
      <c r="P273" s="164" t="s">
        <v>577</v>
      </c>
      <c r="Q273" s="164" t="s">
        <v>25</v>
      </c>
      <c r="R273" s="164" t="s">
        <v>2364</v>
      </c>
      <c r="S273" s="23" t="str">
        <f>_xlfn.DISPIMG("ID_9FF2F7CED6DC40CB89E306847985BA44",1)</f>
        <v>=DISPIMG("ID_9FF2F7CED6DC40CB89E306847985BA44",1)</v>
      </c>
      <c r="T273" s="103" t="s">
        <v>2365</v>
      </c>
      <c r="U273" s="27">
        <v>280</v>
      </c>
    </row>
    <row r="274" s="3" customFormat="1" customHeight="1" spans="1:21">
      <c r="A274" s="144">
        <v>44361.8932291667</v>
      </c>
      <c r="B274" s="27" t="s">
        <v>2366</v>
      </c>
      <c r="C274" s="27" t="s">
        <v>2367</v>
      </c>
      <c r="D274" s="162" t="s">
        <v>2368</v>
      </c>
      <c r="E274" s="162" t="s">
        <v>165</v>
      </c>
      <c r="F274" s="162" t="s">
        <v>2369</v>
      </c>
      <c r="G274" s="27">
        <v>13870275403</v>
      </c>
      <c r="H274" s="162" t="s">
        <v>2370</v>
      </c>
      <c r="I274" s="162" t="s">
        <v>278</v>
      </c>
      <c r="J274" s="162" t="s">
        <v>28</v>
      </c>
      <c r="K274" s="27">
        <v>202103001</v>
      </c>
      <c r="L274" s="162" t="s">
        <v>279</v>
      </c>
      <c r="M274" s="162" t="s">
        <v>367</v>
      </c>
      <c r="N274" s="162" t="s">
        <v>960</v>
      </c>
      <c r="O274" s="162" t="s">
        <v>170</v>
      </c>
      <c r="P274" s="162" t="s">
        <v>161</v>
      </c>
      <c r="Q274" s="162" t="s">
        <v>2371</v>
      </c>
      <c r="R274" s="162" t="s">
        <v>2372</v>
      </c>
      <c r="S274" s="118" t="str">
        <f>_xlfn.DISPIMG("ID_8367FF7FCE354E85A6B58C07A55F59C4",1)</f>
        <v>=DISPIMG("ID_8367FF7FCE354E85A6B58C07A55F59C4",1)</v>
      </c>
      <c r="T274" s="115" t="s">
        <v>2373</v>
      </c>
      <c r="U274" s="27">
        <v>281</v>
      </c>
    </row>
    <row r="275" s="3" customFormat="1" customHeight="1" spans="1:21">
      <c r="A275" s="144">
        <v>44361.8947337963</v>
      </c>
      <c r="B275" s="27" t="s">
        <v>2374</v>
      </c>
      <c r="C275" s="162" t="s">
        <v>2375</v>
      </c>
      <c r="D275" s="162" t="s">
        <v>2376</v>
      </c>
      <c r="E275" s="162" t="s">
        <v>165</v>
      </c>
      <c r="F275" s="162" t="s">
        <v>2377</v>
      </c>
      <c r="G275" s="27">
        <v>15779112128</v>
      </c>
      <c r="H275" s="162" t="s">
        <v>2378</v>
      </c>
      <c r="I275" s="162" t="s">
        <v>156</v>
      </c>
      <c r="J275" s="162" t="s">
        <v>8</v>
      </c>
      <c r="K275" s="27">
        <v>202102002</v>
      </c>
      <c r="L275" s="162" t="s">
        <v>157</v>
      </c>
      <c r="M275" s="162" t="s">
        <v>603</v>
      </c>
      <c r="N275" s="162" t="s">
        <v>2379</v>
      </c>
      <c r="O275" s="162" t="s">
        <v>160</v>
      </c>
      <c r="P275" s="162" t="s">
        <v>180</v>
      </c>
      <c r="Q275" s="162" t="s">
        <v>8</v>
      </c>
      <c r="R275" s="162" t="s">
        <v>2380</v>
      </c>
      <c r="S275" s="118" t="str">
        <f>_xlfn.DISPIMG("ID_9499CE74334F4664AC42AD98401CDCF8",1)</f>
        <v>=DISPIMG("ID_9499CE74334F4664AC42AD98401CDCF8",1)</v>
      </c>
      <c r="T275" s="115" t="s">
        <v>2381</v>
      </c>
      <c r="U275" s="27">
        <v>282</v>
      </c>
    </row>
    <row r="276" s="3" customFormat="1" customHeight="1" spans="1:21">
      <c r="A276" s="144">
        <v>44361.8992824074</v>
      </c>
      <c r="B276" s="27" t="s">
        <v>2382</v>
      </c>
      <c r="C276" s="27" t="s">
        <v>2383</v>
      </c>
      <c r="D276" s="162" t="s">
        <v>2384</v>
      </c>
      <c r="E276" s="162" t="s">
        <v>165</v>
      </c>
      <c r="F276" s="162" t="s">
        <v>2385</v>
      </c>
      <c r="G276" s="27">
        <v>18779249182</v>
      </c>
      <c r="H276" s="162" t="s">
        <v>2386</v>
      </c>
      <c r="I276" s="162" t="s">
        <v>278</v>
      </c>
      <c r="J276" s="162" t="s">
        <v>28</v>
      </c>
      <c r="K276" s="27">
        <v>202103001</v>
      </c>
      <c r="L276" s="162" t="s">
        <v>279</v>
      </c>
      <c r="M276" s="162" t="s">
        <v>178</v>
      </c>
      <c r="N276" s="162" t="s">
        <v>280</v>
      </c>
      <c r="O276" s="162" t="s">
        <v>170</v>
      </c>
      <c r="P276" s="162" t="s">
        <v>548</v>
      </c>
      <c r="Q276" s="162" t="s">
        <v>517</v>
      </c>
      <c r="R276" s="162" t="s">
        <v>2387</v>
      </c>
      <c r="S276" s="118" t="str">
        <f>_xlfn.DISPIMG("ID_8CF817D3A8834773857DA1D47188BF1C",1)</f>
        <v>=DISPIMG("ID_8CF817D3A8834773857DA1D47188BF1C",1)</v>
      </c>
      <c r="T276" s="115" t="s">
        <v>2388</v>
      </c>
      <c r="U276" s="27">
        <v>283</v>
      </c>
    </row>
    <row r="277" s="3" customFormat="1" customHeight="1" spans="1:21">
      <c r="A277" s="144">
        <v>44361.8997569444</v>
      </c>
      <c r="B277" s="27" t="s">
        <v>2389</v>
      </c>
      <c r="C277" s="27" t="s">
        <v>2390</v>
      </c>
      <c r="D277" s="162" t="s">
        <v>2391</v>
      </c>
      <c r="E277" s="162" t="s">
        <v>165</v>
      </c>
      <c r="F277" s="162" t="s">
        <v>2392</v>
      </c>
      <c r="G277" s="27">
        <v>18779160835</v>
      </c>
      <c r="H277" s="162" t="s">
        <v>2393</v>
      </c>
      <c r="I277" s="162" t="s">
        <v>156</v>
      </c>
      <c r="J277" s="162" t="s">
        <v>8</v>
      </c>
      <c r="K277" s="27">
        <v>202102002</v>
      </c>
      <c r="L277" s="162" t="s">
        <v>157</v>
      </c>
      <c r="M277" s="162" t="s">
        <v>385</v>
      </c>
      <c r="N277" s="162" t="s">
        <v>2394</v>
      </c>
      <c r="O277" s="162" t="s">
        <v>160</v>
      </c>
      <c r="P277" s="162" t="s">
        <v>306</v>
      </c>
      <c r="Q277" s="162" t="s">
        <v>2395</v>
      </c>
      <c r="R277" s="162" t="s">
        <v>2396</v>
      </c>
      <c r="S277" s="118" t="str">
        <f>_xlfn.DISPIMG("ID_E59FBD148CC0458789196A3F7371E3AC",1)</f>
        <v>=DISPIMG("ID_E59FBD148CC0458789196A3F7371E3AC",1)</v>
      </c>
      <c r="T277" s="115" t="s">
        <v>2397</v>
      </c>
      <c r="U277" s="27">
        <v>284</v>
      </c>
    </row>
    <row r="278" s="3" customFormat="1" customHeight="1" spans="1:21">
      <c r="A278" s="144">
        <v>44361.9296412037</v>
      </c>
      <c r="B278" s="27" t="s">
        <v>2398</v>
      </c>
      <c r="C278" s="27" t="s">
        <v>2399</v>
      </c>
      <c r="D278" s="162" t="s">
        <v>2400</v>
      </c>
      <c r="E278" s="162" t="s">
        <v>165</v>
      </c>
      <c r="F278" s="162" t="s">
        <v>2401</v>
      </c>
      <c r="G278" s="27">
        <v>18879267195</v>
      </c>
      <c r="H278" s="162" t="s">
        <v>2402</v>
      </c>
      <c r="I278" s="162" t="s">
        <v>156</v>
      </c>
      <c r="J278" s="162" t="s">
        <v>14</v>
      </c>
      <c r="K278" s="27">
        <v>202102001</v>
      </c>
      <c r="L278" s="162" t="s">
        <v>279</v>
      </c>
      <c r="M278" s="162" t="s">
        <v>339</v>
      </c>
      <c r="N278" s="162" t="s">
        <v>348</v>
      </c>
      <c r="O278" s="162" t="s">
        <v>170</v>
      </c>
      <c r="P278" s="162" t="s">
        <v>180</v>
      </c>
      <c r="Q278" s="162" t="s">
        <v>14</v>
      </c>
      <c r="R278" s="162" t="s">
        <v>2403</v>
      </c>
      <c r="S278" s="118" t="str">
        <f>_xlfn.DISPIMG("ID_FE029F69B78E439BA992D666A5ADF87E",1)</f>
        <v>=DISPIMG("ID_FE029F69B78E439BA992D666A5ADF87E",1)</v>
      </c>
      <c r="T278" s="115" t="s">
        <v>2404</v>
      </c>
      <c r="U278" s="27">
        <v>285</v>
      </c>
    </row>
    <row r="279" s="3" customFormat="1" customHeight="1" spans="1:21">
      <c r="A279" s="144">
        <v>44361.9309837963</v>
      </c>
      <c r="B279" s="27" t="s">
        <v>2405</v>
      </c>
      <c r="C279" s="27" t="s">
        <v>2406</v>
      </c>
      <c r="D279" s="162" t="s">
        <v>2407</v>
      </c>
      <c r="E279" s="162" t="s">
        <v>165</v>
      </c>
      <c r="F279" s="162" t="s">
        <v>2408</v>
      </c>
      <c r="G279" s="27">
        <v>15070401093</v>
      </c>
      <c r="H279" s="162" t="s">
        <v>2409</v>
      </c>
      <c r="I279" s="162" t="s">
        <v>156</v>
      </c>
      <c r="J279" s="162" t="s">
        <v>15</v>
      </c>
      <c r="K279" s="27">
        <v>202102007</v>
      </c>
      <c r="L279" s="162" t="s">
        <v>157</v>
      </c>
      <c r="M279" s="162" t="s">
        <v>827</v>
      </c>
      <c r="N279" s="162" t="s">
        <v>2394</v>
      </c>
      <c r="O279" s="162" t="s">
        <v>160</v>
      </c>
      <c r="P279" s="162" t="s">
        <v>171</v>
      </c>
      <c r="Q279" s="162" t="s">
        <v>2410</v>
      </c>
      <c r="R279" s="162" t="s">
        <v>2411</v>
      </c>
      <c r="S279" s="118" t="str">
        <f>_xlfn.DISPIMG("ID_AC752CE0DFA24D83A60721AFA892E1C6",1)</f>
        <v>=DISPIMG("ID_AC752CE0DFA24D83A60721AFA892E1C6",1)</v>
      </c>
      <c r="T279" s="115" t="s">
        <v>2412</v>
      </c>
      <c r="U279" s="27">
        <v>286</v>
      </c>
    </row>
    <row r="280" s="3" customFormat="1" customHeight="1" spans="1:21">
      <c r="A280" s="144">
        <v>44361.9555324074</v>
      </c>
      <c r="B280" s="27" t="s">
        <v>2413</v>
      </c>
      <c r="C280" s="27" t="s">
        <v>2414</v>
      </c>
      <c r="D280" s="162" t="s">
        <v>2415</v>
      </c>
      <c r="E280" s="162" t="s">
        <v>165</v>
      </c>
      <c r="F280" s="162" t="s">
        <v>2416</v>
      </c>
      <c r="G280" s="27">
        <v>18179591146</v>
      </c>
      <c r="H280" s="162" t="s">
        <v>2417</v>
      </c>
      <c r="I280" s="162" t="s">
        <v>384</v>
      </c>
      <c r="J280" s="162" t="s">
        <v>25</v>
      </c>
      <c r="K280" s="27">
        <v>202101007</v>
      </c>
      <c r="L280" s="162" t="s">
        <v>157</v>
      </c>
      <c r="M280" s="162" t="s">
        <v>1258</v>
      </c>
      <c r="N280" s="162" t="s">
        <v>828</v>
      </c>
      <c r="O280" s="162" t="s">
        <v>170</v>
      </c>
      <c r="P280" s="162" t="s">
        <v>171</v>
      </c>
      <c r="Q280" s="162" t="s">
        <v>25</v>
      </c>
      <c r="R280" s="162" t="s">
        <v>2418</v>
      </c>
      <c r="S280" s="118" t="str">
        <f>_xlfn.DISPIMG("ID_CD5C977DBB8D404E885C56F791C17D27",1)</f>
        <v>=DISPIMG("ID_CD5C977DBB8D404E885C56F791C17D27",1)</v>
      </c>
      <c r="T280" s="115" t="s">
        <v>2419</v>
      </c>
      <c r="U280" s="27">
        <v>287</v>
      </c>
    </row>
    <row r="281" s="3" customFormat="1" customHeight="1" spans="1:21">
      <c r="A281" s="144">
        <v>44362.3301736111</v>
      </c>
      <c r="B281" s="27" t="s">
        <v>2420</v>
      </c>
      <c r="C281" s="27" t="s">
        <v>2421</v>
      </c>
      <c r="D281" s="162" t="s">
        <v>2422</v>
      </c>
      <c r="E281" s="162" t="s">
        <v>165</v>
      </c>
      <c r="F281" s="162" t="s">
        <v>2423</v>
      </c>
      <c r="G281" s="27">
        <v>18720291058</v>
      </c>
      <c r="H281" s="162" t="s">
        <v>2424</v>
      </c>
      <c r="I281" s="162" t="s">
        <v>156</v>
      </c>
      <c r="J281" s="162" t="s">
        <v>13</v>
      </c>
      <c r="K281" s="27">
        <v>202102003</v>
      </c>
      <c r="L281" s="162" t="s">
        <v>157</v>
      </c>
      <c r="M281" s="162" t="s">
        <v>2425</v>
      </c>
      <c r="N281" s="162" t="s">
        <v>395</v>
      </c>
      <c r="O281" s="162" t="s">
        <v>160</v>
      </c>
      <c r="P281" s="162" t="s">
        <v>577</v>
      </c>
      <c r="Q281" s="162" t="s">
        <v>324</v>
      </c>
      <c r="R281" s="162" t="s">
        <v>2426</v>
      </c>
      <c r="S281" s="118" t="str">
        <f>_xlfn.DISPIMG("ID_93FC4398D0D24B119D9D1B8E0038C2BD",1)</f>
        <v>=DISPIMG("ID_93FC4398D0D24B119D9D1B8E0038C2BD",1)</v>
      </c>
      <c r="T281" s="115" t="s">
        <v>2427</v>
      </c>
      <c r="U281" s="27">
        <v>288</v>
      </c>
    </row>
    <row r="282" s="3" customFormat="1" customHeight="1" spans="1:21">
      <c r="A282" s="144">
        <v>44362.3620138889</v>
      </c>
      <c r="B282" s="27" t="s">
        <v>2428</v>
      </c>
      <c r="C282" s="27" t="s">
        <v>2429</v>
      </c>
      <c r="D282" s="162" t="s">
        <v>2430</v>
      </c>
      <c r="E282" s="162" t="s">
        <v>165</v>
      </c>
      <c r="F282" s="162" t="s">
        <v>2431</v>
      </c>
      <c r="G282" s="27">
        <v>18379086106</v>
      </c>
      <c r="H282" s="162" t="s">
        <v>2432</v>
      </c>
      <c r="I282" s="162" t="s">
        <v>156</v>
      </c>
      <c r="J282" s="162" t="s">
        <v>14</v>
      </c>
      <c r="K282" s="27">
        <v>202102001</v>
      </c>
      <c r="L282" s="162" t="s">
        <v>279</v>
      </c>
      <c r="M282" s="162" t="s">
        <v>178</v>
      </c>
      <c r="N282" s="162" t="s">
        <v>348</v>
      </c>
      <c r="O282" s="162" t="s">
        <v>170</v>
      </c>
      <c r="P282" s="162" t="s">
        <v>396</v>
      </c>
      <c r="Q282" s="162" t="s">
        <v>14</v>
      </c>
      <c r="R282" s="162" t="s">
        <v>2433</v>
      </c>
      <c r="S282" s="118" t="str">
        <f>_xlfn.DISPIMG("ID_490114996A5646149508AE2796C7FCA8",1)</f>
        <v>=DISPIMG("ID_490114996A5646149508AE2796C7FCA8",1)</v>
      </c>
      <c r="T282" s="115" t="s">
        <v>2434</v>
      </c>
      <c r="U282" s="27">
        <v>289</v>
      </c>
    </row>
    <row r="283" s="3" customFormat="1" customHeight="1" spans="1:21">
      <c r="A283" s="144">
        <v>44362.3812615741</v>
      </c>
      <c r="B283" s="27" t="s">
        <v>2435</v>
      </c>
      <c r="C283" s="27" t="s">
        <v>2436</v>
      </c>
      <c r="D283" s="162" t="s">
        <v>2437</v>
      </c>
      <c r="E283" s="162" t="s">
        <v>165</v>
      </c>
      <c r="F283" s="162" t="s">
        <v>2438</v>
      </c>
      <c r="G283" s="27">
        <v>13657919316</v>
      </c>
      <c r="H283" s="162" t="s">
        <v>2439</v>
      </c>
      <c r="I283" s="162" t="s">
        <v>156</v>
      </c>
      <c r="J283" s="162" t="s">
        <v>8</v>
      </c>
      <c r="K283" s="27">
        <v>202102002</v>
      </c>
      <c r="L283" s="162" t="s">
        <v>705</v>
      </c>
      <c r="M283" s="162" t="s">
        <v>2440</v>
      </c>
      <c r="N283" s="162" t="s">
        <v>2441</v>
      </c>
      <c r="O283" s="162" t="s">
        <v>160</v>
      </c>
      <c r="P283" s="162" t="s">
        <v>189</v>
      </c>
      <c r="Q283" s="162" t="s">
        <v>8</v>
      </c>
      <c r="R283" s="27">
        <v>0</v>
      </c>
      <c r="S283" s="118" t="str">
        <f>_xlfn.DISPIMG("ID_840140DEA4BE4280A385428CC67C44E3",1)</f>
        <v>=DISPIMG("ID_840140DEA4BE4280A385428CC67C44E3",1)</v>
      </c>
      <c r="T283" s="115" t="s">
        <v>2442</v>
      </c>
      <c r="U283" s="27">
        <v>290</v>
      </c>
    </row>
    <row r="284" s="3" customFormat="1" customHeight="1" spans="1:21">
      <c r="A284" s="144">
        <v>44362.3827893519</v>
      </c>
      <c r="B284" s="27" t="s">
        <v>2443</v>
      </c>
      <c r="C284" s="27" t="s">
        <v>2444</v>
      </c>
      <c r="D284" s="162" t="s">
        <v>2445</v>
      </c>
      <c r="E284" s="162" t="s">
        <v>165</v>
      </c>
      <c r="F284" s="162" t="s">
        <v>2446</v>
      </c>
      <c r="G284" s="27">
        <v>15270593089</v>
      </c>
      <c r="H284" s="162" t="s">
        <v>2447</v>
      </c>
      <c r="I284" s="162" t="s">
        <v>278</v>
      </c>
      <c r="J284" s="162" t="s">
        <v>28</v>
      </c>
      <c r="K284" s="27">
        <v>202103001</v>
      </c>
      <c r="L284" s="162" t="s">
        <v>279</v>
      </c>
      <c r="M284" s="162" t="s">
        <v>367</v>
      </c>
      <c r="N284" s="162" t="s">
        <v>280</v>
      </c>
      <c r="O284" s="162" t="s">
        <v>170</v>
      </c>
      <c r="P284" s="162" t="s">
        <v>161</v>
      </c>
      <c r="Q284" s="162" t="s">
        <v>517</v>
      </c>
      <c r="R284" s="162" t="s">
        <v>2448</v>
      </c>
      <c r="S284" s="118" t="str">
        <f>_xlfn.DISPIMG("ID_5A60F5CEF6FD4D2AB2A12133308D2C7D",1)</f>
        <v>=DISPIMG("ID_5A60F5CEF6FD4D2AB2A12133308D2C7D",1)</v>
      </c>
      <c r="T284" s="115" t="s">
        <v>2449</v>
      </c>
      <c r="U284" s="27">
        <v>291</v>
      </c>
    </row>
    <row r="285" s="3" customFormat="1" customHeight="1" spans="1:21">
      <c r="A285" s="144">
        <v>44362.383900463</v>
      </c>
      <c r="B285" s="27" t="s">
        <v>2450</v>
      </c>
      <c r="C285" s="27" t="s">
        <v>2451</v>
      </c>
      <c r="D285" s="162" t="s">
        <v>2452</v>
      </c>
      <c r="E285" s="162" t="s">
        <v>165</v>
      </c>
      <c r="F285" s="162" t="s">
        <v>2453</v>
      </c>
      <c r="G285" s="27">
        <v>18720955003</v>
      </c>
      <c r="H285" s="162" t="s">
        <v>2454</v>
      </c>
      <c r="I285" s="162" t="s">
        <v>156</v>
      </c>
      <c r="J285" s="162" t="s">
        <v>14</v>
      </c>
      <c r="K285" s="27">
        <v>202102001</v>
      </c>
      <c r="L285" s="162" t="s">
        <v>157</v>
      </c>
      <c r="M285" s="162" t="s">
        <v>197</v>
      </c>
      <c r="N285" s="162" t="s">
        <v>454</v>
      </c>
      <c r="O285" s="162" t="s">
        <v>160</v>
      </c>
      <c r="P285" s="162" t="s">
        <v>216</v>
      </c>
      <c r="Q285" s="162" t="s">
        <v>14</v>
      </c>
      <c r="R285" s="162" t="s">
        <v>2455</v>
      </c>
      <c r="S285" s="118" t="str">
        <f>_xlfn.DISPIMG("ID_FC7219DD86F84BE1856628C95CBE9A35",1)</f>
        <v>=DISPIMG("ID_FC7219DD86F84BE1856628C95CBE9A35",1)</v>
      </c>
      <c r="T285" s="115" t="s">
        <v>2456</v>
      </c>
      <c r="U285" s="27">
        <v>292</v>
      </c>
    </row>
    <row r="286" s="3" customFormat="1" customHeight="1" spans="1:21">
      <c r="A286" s="144">
        <v>44362.3914236111</v>
      </c>
      <c r="B286" s="27" t="s">
        <v>2457</v>
      </c>
      <c r="C286" s="27" t="s">
        <v>2458</v>
      </c>
      <c r="D286" s="162" t="s">
        <v>2459</v>
      </c>
      <c r="E286" s="162" t="s">
        <v>165</v>
      </c>
      <c r="F286" s="162" t="s">
        <v>2460</v>
      </c>
      <c r="G286" s="27">
        <v>18702519372</v>
      </c>
      <c r="H286" s="162" t="s">
        <v>2461</v>
      </c>
      <c r="I286" s="162" t="s">
        <v>156</v>
      </c>
      <c r="J286" s="162" t="s">
        <v>5</v>
      </c>
      <c r="K286" s="27">
        <v>202102008</v>
      </c>
      <c r="L286" s="162" t="s">
        <v>279</v>
      </c>
      <c r="M286" s="162" t="s">
        <v>662</v>
      </c>
      <c r="N286" s="162" t="s">
        <v>348</v>
      </c>
      <c r="O286" s="162" t="s">
        <v>170</v>
      </c>
      <c r="P286" s="162" t="s">
        <v>199</v>
      </c>
      <c r="Q286" s="162" t="s">
        <v>2462</v>
      </c>
      <c r="R286" s="27">
        <v>0</v>
      </c>
      <c r="S286" s="118" t="str">
        <f>_xlfn.DISPIMG("ID_C162899F9DDD4F8CA771F69FFB2795AD",1)</f>
        <v>=DISPIMG("ID_C162899F9DDD4F8CA771F69FFB2795AD",1)</v>
      </c>
      <c r="T286" s="115" t="s">
        <v>2463</v>
      </c>
      <c r="U286" s="27">
        <v>293</v>
      </c>
    </row>
    <row r="287" s="3" customFormat="1" customHeight="1" spans="1:21">
      <c r="A287" s="144">
        <v>44362.3951967593</v>
      </c>
      <c r="B287" s="27" t="s">
        <v>2464</v>
      </c>
      <c r="C287" s="27" t="s">
        <v>2465</v>
      </c>
      <c r="D287" s="162" t="s">
        <v>2466</v>
      </c>
      <c r="E287" s="162" t="s">
        <v>165</v>
      </c>
      <c r="F287" s="162" t="s">
        <v>2467</v>
      </c>
      <c r="G287" s="27">
        <v>18296295635</v>
      </c>
      <c r="H287" s="162" t="s">
        <v>2468</v>
      </c>
      <c r="I287" s="162" t="s">
        <v>156</v>
      </c>
      <c r="J287" s="162" t="s">
        <v>14</v>
      </c>
      <c r="K287" s="27">
        <v>202102001</v>
      </c>
      <c r="L287" s="162" t="s">
        <v>279</v>
      </c>
      <c r="M287" s="162" t="s">
        <v>233</v>
      </c>
      <c r="N287" s="162" t="s">
        <v>348</v>
      </c>
      <c r="O287" s="162" t="s">
        <v>170</v>
      </c>
      <c r="P287" s="162" t="s">
        <v>368</v>
      </c>
      <c r="Q287" s="162" t="s">
        <v>14</v>
      </c>
      <c r="R287" s="162" t="s">
        <v>2469</v>
      </c>
      <c r="S287" s="118" t="str">
        <f>_xlfn.DISPIMG("ID_F16EE101B40044CF89D1DFEEC618BA53",1)</f>
        <v>=DISPIMG("ID_F16EE101B40044CF89D1DFEEC618BA53",1)</v>
      </c>
      <c r="T287" s="115" t="s">
        <v>2470</v>
      </c>
      <c r="U287" s="27">
        <v>294</v>
      </c>
    </row>
    <row r="288" s="3" customFormat="1" customHeight="1" spans="1:21">
      <c r="A288" s="144">
        <v>44362.4010648148</v>
      </c>
      <c r="B288" s="27" t="s">
        <v>2471</v>
      </c>
      <c r="C288" s="27" t="s">
        <v>2472</v>
      </c>
      <c r="D288" s="162" t="s">
        <v>2473</v>
      </c>
      <c r="E288" s="162" t="s">
        <v>153</v>
      </c>
      <c r="F288" s="162" t="s">
        <v>2474</v>
      </c>
      <c r="G288" s="27">
        <v>18079290506</v>
      </c>
      <c r="H288" s="162" t="s">
        <v>2475</v>
      </c>
      <c r="I288" s="162" t="s">
        <v>156</v>
      </c>
      <c r="J288" s="162" t="s">
        <v>8</v>
      </c>
      <c r="K288" s="27">
        <v>202102002</v>
      </c>
      <c r="L288" s="162" t="s">
        <v>157</v>
      </c>
      <c r="M288" s="162" t="s">
        <v>935</v>
      </c>
      <c r="N288" s="162" t="s">
        <v>270</v>
      </c>
      <c r="O288" s="162" t="s">
        <v>170</v>
      </c>
      <c r="P288" s="162" t="s">
        <v>281</v>
      </c>
      <c r="Q288" s="162" t="s">
        <v>1322</v>
      </c>
      <c r="R288" s="162" t="s">
        <v>2476</v>
      </c>
      <c r="S288" s="118" t="str">
        <f>_xlfn.DISPIMG("ID_DDCFE953EBFD4779B7FAA3122A1B85C5",1)</f>
        <v>=DISPIMG("ID_DDCFE953EBFD4779B7FAA3122A1B85C5",1)</v>
      </c>
      <c r="T288" s="115" t="s">
        <v>2477</v>
      </c>
      <c r="U288" s="27">
        <v>295</v>
      </c>
    </row>
    <row r="289" s="3" customFormat="1" customHeight="1" spans="1:21">
      <c r="A289" s="144">
        <v>44362.4171875</v>
      </c>
      <c r="B289" s="27" t="s">
        <v>2478</v>
      </c>
      <c r="C289" s="27" t="s">
        <v>2479</v>
      </c>
      <c r="D289" s="162" t="s">
        <v>2480</v>
      </c>
      <c r="E289" s="162" t="s">
        <v>165</v>
      </c>
      <c r="F289" s="162" t="s">
        <v>2481</v>
      </c>
      <c r="G289" s="27">
        <v>15179240952</v>
      </c>
      <c r="H289" s="162" t="s">
        <v>2482</v>
      </c>
      <c r="I289" s="162" t="s">
        <v>156</v>
      </c>
      <c r="J289" s="162" t="s">
        <v>8</v>
      </c>
      <c r="K289" s="27">
        <v>202102002</v>
      </c>
      <c r="L289" s="162" t="s">
        <v>157</v>
      </c>
      <c r="M289" s="162" t="s">
        <v>2483</v>
      </c>
      <c r="N289" s="162" t="s">
        <v>2379</v>
      </c>
      <c r="O289" s="162" t="s">
        <v>160</v>
      </c>
      <c r="P289" s="162" t="s">
        <v>199</v>
      </c>
      <c r="Q289" s="162" t="s">
        <v>8</v>
      </c>
      <c r="R289" s="162" t="s">
        <v>2484</v>
      </c>
      <c r="S289" s="118" t="str">
        <f>_xlfn.DISPIMG("ID_6EB4CC10A54B4F2AAD1518F1F500F570",1)</f>
        <v>=DISPIMG("ID_6EB4CC10A54B4F2AAD1518F1F500F570",1)</v>
      </c>
      <c r="T289" s="115" t="s">
        <v>2485</v>
      </c>
      <c r="U289" s="27">
        <v>296</v>
      </c>
    </row>
    <row r="290" s="3" customFormat="1" customHeight="1" spans="1:21">
      <c r="A290" s="144">
        <v>44362.4195601852</v>
      </c>
      <c r="B290" s="27" t="s">
        <v>2486</v>
      </c>
      <c r="C290" s="27" t="s">
        <v>2202</v>
      </c>
      <c r="D290" s="162" t="s">
        <v>2487</v>
      </c>
      <c r="E290" s="162" t="s">
        <v>165</v>
      </c>
      <c r="F290" s="162" t="s">
        <v>2488</v>
      </c>
      <c r="G290" s="27">
        <v>18979216011</v>
      </c>
      <c r="H290" s="162" t="s">
        <v>2489</v>
      </c>
      <c r="I290" s="162" t="s">
        <v>278</v>
      </c>
      <c r="J290" s="162" t="s">
        <v>28</v>
      </c>
      <c r="K290" s="27">
        <v>202103001</v>
      </c>
      <c r="L290" s="162" t="s">
        <v>157</v>
      </c>
      <c r="M290" s="162" t="s">
        <v>178</v>
      </c>
      <c r="N290" s="162" t="s">
        <v>280</v>
      </c>
      <c r="O290" s="162" t="s">
        <v>170</v>
      </c>
      <c r="P290" s="162" t="s">
        <v>2490</v>
      </c>
      <c r="Q290" s="162" t="s">
        <v>28</v>
      </c>
      <c r="R290" s="162" t="s">
        <v>2491</v>
      </c>
      <c r="S290" s="118" t="str">
        <f>_xlfn.DISPIMG("ID_53B9839AEAC4407495ABBD356F420DDD",1)</f>
        <v>=DISPIMG("ID_53B9839AEAC4407495ABBD356F420DDD",1)</v>
      </c>
      <c r="T290" s="115" t="s">
        <v>2492</v>
      </c>
      <c r="U290" s="27">
        <v>297</v>
      </c>
    </row>
    <row r="291" s="3" customFormat="1" customHeight="1" spans="1:21">
      <c r="A291" s="144">
        <v>44362.4364351852</v>
      </c>
      <c r="B291" s="27" t="s">
        <v>2493</v>
      </c>
      <c r="C291" s="27" t="s">
        <v>2494</v>
      </c>
      <c r="D291" s="162" t="s">
        <v>2495</v>
      </c>
      <c r="E291" s="162" t="s">
        <v>165</v>
      </c>
      <c r="F291" s="162" t="s">
        <v>2496</v>
      </c>
      <c r="G291" s="27">
        <v>15170284980</v>
      </c>
      <c r="H291" s="162" t="s">
        <v>2497</v>
      </c>
      <c r="I291" s="162" t="s">
        <v>384</v>
      </c>
      <c r="J291" s="162" t="s">
        <v>25</v>
      </c>
      <c r="K291" s="27">
        <v>202101007</v>
      </c>
      <c r="L291" s="162" t="s">
        <v>157</v>
      </c>
      <c r="M291" s="162" t="s">
        <v>662</v>
      </c>
      <c r="N291" s="162" t="s">
        <v>179</v>
      </c>
      <c r="O291" s="162" t="s">
        <v>170</v>
      </c>
      <c r="P291" s="162" t="s">
        <v>261</v>
      </c>
      <c r="Q291" s="162" t="s">
        <v>25</v>
      </c>
      <c r="R291" s="27">
        <v>0</v>
      </c>
      <c r="S291" s="118" t="str">
        <f>_xlfn.DISPIMG("ID_9517FA682BDD4A72AC67B046C0A956F9",1)</f>
        <v>=DISPIMG("ID_9517FA682BDD4A72AC67B046C0A956F9",1)</v>
      </c>
      <c r="T291" s="115" t="s">
        <v>2498</v>
      </c>
      <c r="U291" s="27">
        <v>298</v>
      </c>
    </row>
    <row r="292" s="3" customFormat="1" customHeight="1" spans="1:21">
      <c r="A292" s="144">
        <v>44362.4383796296</v>
      </c>
      <c r="B292" s="27" t="s">
        <v>2499</v>
      </c>
      <c r="C292" s="27" t="s">
        <v>2500</v>
      </c>
      <c r="D292" s="162" t="s">
        <v>2501</v>
      </c>
      <c r="E292" s="162" t="s">
        <v>165</v>
      </c>
      <c r="F292" s="162" t="s">
        <v>2502</v>
      </c>
      <c r="G292" s="27">
        <v>18779413916</v>
      </c>
      <c r="H292" s="162" t="s">
        <v>2503</v>
      </c>
      <c r="I292" s="162" t="s">
        <v>278</v>
      </c>
      <c r="J292" s="162" t="s">
        <v>28</v>
      </c>
      <c r="K292" s="27">
        <v>202103001</v>
      </c>
      <c r="L292" s="162" t="s">
        <v>279</v>
      </c>
      <c r="M292" s="162" t="s">
        <v>876</v>
      </c>
      <c r="N292" s="162" t="s">
        <v>1684</v>
      </c>
      <c r="O292" s="162" t="s">
        <v>170</v>
      </c>
      <c r="P292" s="162" t="s">
        <v>171</v>
      </c>
      <c r="Q292" s="162" t="s">
        <v>2504</v>
      </c>
      <c r="R292" s="162" t="s">
        <v>2505</v>
      </c>
      <c r="S292" s="118" t="str">
        <f>_xlfn.DISPIMG("ID_515277FD8D2D40318D429A7BA8ADC69C",1)</f>
        <v>=DISPIMG("ID_515277FD8D2D40318D429A7BA8ADC69C",1)</v>
      </c>
      <c r="T292" s="115" t="s">
        <v>2506</v>
      </c>
      <c r="U292" s="27">
        <v>299</v>
      </c>
    </row>
    <row r="293" s="3" customFormat="1" customHeight="1" spans="1:21">
      <c r="A293" s="144">
        <v>44362.4416898148</v>
      </c>
      <c r="B293" s="27" t="s">
        <v>2507</v>
      </c>
      <c r="C293" s="27" t="s">
        <v>2508</v>
      </c>
      <c r="D293" s="162" t="s">
        <v>2509</v>
      </c>
      <c r="E293" s="162" t="s">
        <v>165</v>
      </c>
      <c r="F293" s="162" t="s">
        <v>2510</v>
      </c>
      <c r="G293" s="27">
        <v>15170261589</v>
      </c>
      <c r="H293" s="162" t="s">
        <v>2511</v>
      </c>
      <c r="I293" s="162" t="s">
        <v>278</v>
      </c>
      <c r="J293" s="162" t="s">
        <v>28</v>
      </c>
      <c r="K293" s="27">
        <v>202103001</v>
      </c>
      <c r="L293" s="162" t="s">
        <v>279</v>
      </c>
      <c r="M293" s="162" t="s">
        <v>168</v>
      </c>
      <c r="N293" s="162" t="s">
        <v>280</v>
      </c>
      <c r="O293" s="162" t="s">
        <v>170</v>
      </c>
      <c r="P293" s="162" t="s">
        <v>171</v>
      </c>
      <c r="Q293" s="162" t="s">
        <v>28</v>
      </c>
      <c r="R293" s="162" t="s">
        <v>2512</v>
      </c>
      <c r="S293" s="118" t="str">
        <f>_xlfn.DISPIMG("ID_7074182E322C4D868E189D169988DEEF",1)</f>
        <v>=DISPIMG("ID_7074182E322C4D868E189D169988DEEF",1)</v>
      </c>
      <c r="T293" s="115" t="s">
        <v>2513</v>
      </c>
      <c r="U293" s="27">
        <v>300</v>
      </c>
    </row>
    <row r="294" s="3" customFormat="1" customHeight="1" spans="1:21">
      <c r="A294" s="144">
        <v>44362.4446412037</v>
      </c>
      <c r="B294" s="27" t="s">
        <v>2514</v>
      </c>
      <c r="C294" s="27" t="s">
        <v>2515</v>
      </c>
      <c r="D294" s="162" t="s">
        <v>2516</v>
      </c>
      <c r="E294" s="162" t="s">
        <v>165</v>
      </c>
      <c r="F294" s="162" t="s">
        <v>2517</v>
      </c>
      <c r="G294" s="27">
        <v>13065113806</v>
      </c>
      <c r="H294" s="162" t="s">
        <v>2518</v>
      </c>
      <c r="I294" s="162" t="s">
        <v>506</v>
      </c>
      <c r="J294" s="162" t="s">
        <v>10</v>
      </c>
      <c r="K294" s="27">
        <v>202101017</v>
      </c>
      <c r="L294" s="162" t="s">
        <v>157</v>
      </c>
      <c r="M294" s="162" t="s">
        <v>876</v>
      </c>
      <c r="N294" s="162" t="s">
        <v>2519</v>
      </c>
      <c r="O294" s="162" t="s">
        <v>160</v>
      </c>
      <c r="P294" s="162" t="s">
        <v>180</v>
      </c>
      <c r="Q294" s="162" t="s">
        <v>10</v>
      </c>
      <c r="R294" s="162" t="s">
        <v>2520</v>
      </c>
      <c r="S294" s="118" t="str">
        <f>_xlfn.DISPIMG("ID_216E9082A77B4B129BF3CB2A7364D002",1)</f>
        <v>=DISPIMG("ID_216E9082A77B4B129BF3CB2A7364D002",1)</v>
      </c>
      <c r="T294" s="115" t="s">
        <v>2521</v>
      </c>
      <c r="U294" s="27">
        <v>301</v>
      </c>
    </row>
    <row r="295" s="3" customFormat="1" customHeight="1" spans="1:21">
      <c r="A295" s="144">
        <v>44362.4454050926</v>
      </c>
      <c r="B295" s="27" t="s">
        <v>2522</v>
      </c>
      <c r="C295" s="27" t="s">
        <v>2523</v>
      </c>
      <c r="D295" s="162" t="s">
        <v>2524</v>
      </c>
      <c r="E295" s="162" t="s">
        <v>153</v>
      </c>
      <c r="F295" s="162" t="s">
        <v>2525</v>
      </c>
      <c r="G295" s="27">
        <v>13133668154</v>
      </c>
      <c r="H295" s="162" t="s">
        <v>2526</v>
      </c>
      <c r="I295" s="162" t="s">
        <v>268</v>
      </c>
      <c r="J295" s="162" t="s">
        <v>21</v>
      </c>
      <c r="K295" s="27">
        <v>202101022</v>
      </c>
      <c r="L295" s="162" t="s">
        <v>157</v>
      </c>
      <c r="M295" s="162" t="s">
        <v>876</v>
      </c>
      <c r="N295" s="162" t="s">
        <v>682</v>
      </c>
      <c r="O295" s="162" t="s">
        <v>170</v>
      </c>
      <c r="P295" s="162" t="s">
        <v>180</v>
      </c>
      <c r="Q295" s="162" t="s">
        <v>2527</v>
      </c>
      <c r="R295" s="162" t="s">
        <v>2528</v>
      </c>
      <c r="S295" s="118" t="str">
        <f>_xlfn.DISPIMG("ID_C8BB1148198145FCA2837FAC9D925FDE",1)</f>
        <v>=DISPIMG("ID_C8BB1148198145FCA2837FAC9D925FDE",1)</v>
      </c>
      <c r="T295" s="115" t="s">
        <v>2529</v>
      </c>
      <c r="U295" s="27">
        <v>302</v>
      </c>
    </row>
    <row r="296" s="3" customFormat="1" customHeight="1" spans="1:21">
      <c r="A296" s="144">
        <v>44362.4467361111</v>
      </c>
      <c r="B296" s="27" t="s">
        <v>2530</v>
      </c>
      <c r="C296" s="27" t="s">
        <v>2531</v>
      </c>
      <c r="D296" s="162" t="s">
        <v>2532</v>
      </c>
      <c r="E296" s="162" t="s">
        <v>165</v>
      </c>
      <c r="F296" s="162" t="s">
        <v>2533</v>
      </c>
      <c r="G296" s="27">
        <v>13687926524</v>
      </c>
      <c r="H296" s="162" t="s">
        <v>2534</v>
      </c>
      <c r="I296" s="162" t="s">
        <v>156</v>
      </c>
      <c r="J296" s="162" t="s">
        <v>13</v>
      </c>
      <c r="K296" s="27">
        <v>202102003</v>
      </c>
      <c r="L296" s="162" t="s">
        <v>157</v>
      </c>
      <c r="M296" s="162" t="s">
        <v>2535</v>
      </c>
      <c r="N296" s="162" t="s">
        <v>179</v>
      </c>
      <c r="O296" s="162" t="s">
        <v>160</v>
      </c>
      <c r="P296" s="162" t="s">
        <v>161</v>
      </c>
      <c r="Q296" s="162" t="s">
        <v>13</v>
      </c>
      <c r="R296" s="27">
        <v>0</v>
      </c>
      <c r="S296" s="118" t="str">
        <f>_xlfn.DISPIMG("ID_B2A378810E7443059EBD825CE991BFE9",1)</f>
        <v>=DISPIMG("ID_B2A378810E7443059EBD825CE991BFE9",1)</v>
      </c>
      <c r="T296" s="115" t="s">
        <v>2536</v>
      </c>
      <c r="U296" s="27">
        <v>303</v>
      </c>
    </row>
    <row r="297" s="3" customFormat="1" customHeight="1" spans="1:21">
      <c r="A297" s="144">
        <v>44362.459525463</v>
      </c>
      <c r="B297" s="27" t="s">
        <v>2537</v>
      </c>
      <c r="C297" s="27" t="s">
        <v>2538</v>
      </c>
      <c r="D297" s="162" t="s">
        <v>2539</v>
      </c>
      <c r="E297" s="162" t="s">
        <v>153</v>
      </c>
      <c r="F297" s="162" t="s">
        <v>2540</v>
      </c>
      <c r="G297" s="27">
        <v>18507928899</v>
      </c>
      <c r="H297" s="162" t="s">
        <v>2541</v>
      </c>
      <c r="I297" s="162" t="s">
        <v>384</v>
      </c>
      <c r="J297" s="162" t="s">
        <v>21</v>
      </c>
      <c r="K297" s="27">
        <v>202101023</v>
      </c>
      <c r="L297" s="162" t="s">
        <v>157</v>
      </c>
      <c r="M297" s="162" t="s">
        <v>876</v>
      </c>
      <c r="N297" s="162" t="s">
        <v>682</v>
      </c>
      <c r="O297" s="162" t="s">
        <v>170</v>
      </c>
      <c r="P297" s="162" t="s">
        <v>180</v>
      </c>
      <c r="Q297" s="162" t="s">
        <v>2542</v>
      </c>
      <c r="R297" s="162" t="s">
        <v>2543</v>
      </c>
      <c r="S297" s="118" t="str">
        <f>_xlfn.DISPIMG("ID_718ACAD550894B0696EED0DE65C7554F",1)</f>
        <v>=DISPIMG("ID_718ACAD550894B0696EED0DE65C7554F",1)</v>
      </c>
      <c r="T297" s="115" t="s">
        <v>2544</v>
      </c>
      <c r="U297" s="27">
        <v>304</v>
      </c>
    </row>
    <row r="298" s="3" customFormat="1" customHeight="1" spans="1:21">
      <c r="A298" s="144">
        <v>44362.4604398148</v>
      </c>
      <c r="B298" s="27" t="s">
        <v>2545</v>
      </c>
      <c r="C298" s="27" t="s">
        <v>2546</v>
      </c>
      <c r="D298" s="162" t="s">
        <v>2547</v>
      </c>
      <c r="E298" s="162" t="s">
        <v>165</v>
      </c>
      <c r="F298" s="162" t="s">
        <v>2548</v>
      </c>
      <c r="G298" s="27">
        <v>18779213164</v>
      </c>
      <c r="H298" s="162" t="s">
        <v>2549</v>
      </c>
      <c r="I298" s="162" t="s">
        <v>156</v>
      </c>
      <c r="J298" s="162" t="s">
        <v>13</v>
      </c>
      <c r="K298" s="27">
        <v>202102003</v>
      </c>
      <c r="L298" s="162" t="s">
        <v>157</v>
      </c>
      <c r="M298" s="162" t="s">
        <v>158</v>
      </c>
      <c r="N298" s="162" t="s">
        <v>179</v>
      </c>
      <c r="O298" s="162" t="s">
        <v>170</v>
      </c>
      <c r="P298" s="162" t="s">
        <v>2550</v>
      </c>
      <c r="Q298" s="162" t="s">
        <v>2551</v>
      </c>
      <c r="R298" s="162" t="s">
        <v>2552</v>
      </c>
      <c r="S298" s="118" t="str">
        <f>_xlfn.DISPIMG("ID_4531DA1F574D4F7CA2AF28BAD514AF1A",1)</f>
        <v>=DISPIMG("ID_4531DA1F574D4F7CA2AF28BAD514AF1A",1)</v>
      </c>
      <c r="T298" s="115" t="s">
        <v>2553</v>
      </c>
      <c r="U298" s="27">
        <v>305</v>
      </c>
    </row>
    <row r="299" s="3" customFormat="1" customHeight="1" spans="1:21">
      <c r="A299" s="144">
        <v>44362.4754513889</v>
      </c>
      <c r="B299" s="27" t="s">
        <v>2554</v>
      </c>
      <c r="C299" s="27" t="s">
        <v>2555</v>
      </c>
      <c r="D299" s="162" t="s">
        <v>2556</v>
      </c>
      <c r="E299" s="162" t="s">
        <v>165</v>
      </c>
      <c r="F299" s="162" t="s">
        <v>2557</v>
      </c>
      <c r="G299" s="27">
        <v>15770775780</v>
      </c>
      <c r="H299" s="162" t="s">
        <v>2558</v>
      </c>
      <c r="I299" s="162" t="s">
        <v>156</v>
      </c>
      <c r="J299" s="162" t="s">
        <v>8</v>
      </c>
      <c r="K299" s="27">
        <v>202102002</v>
      </c>
      <c r="L299" s="162" t="s">
        <v>157</v>
      </c>
      <c r="M299" s="162" t="s">
        <v>1413</v>
      </c>
      <c r="N299" s="162" t="s">
        <v>169</v>
      </c>
      <c r="O299" s="162" t="s">
        <v>170</v>
      </c>
      <c r="P299" s="162" t="s">
        <v>235</v>
      </c>
      <c r="Q299" s="162" t="s">
        <v>8</v>
      </c>
      <c r="R299" s="27">
        <v>0</v>
      </c>
      <c r="S299" s="118" t="str">
        <f>_xlfn.DISPIMG("ID_BF27FE8641A74810A1152D199B9359D9",1)</f>
        <v>=DISPIMG("ID_BF27FE8641A74810A1152D199B9359D9",1)</v>
      </c>
      <c r="T299" s="115" t="s">
        <v>2559</v>
      </c>
      <c r="U299" s="27">
        <v>306</v>
      </c>
    </row>
    <row r="300" s="3" customFormat="1" customHeight="1" spans="1:21">
      <c r="A300" s="144">
        <v>44362.4847453704</v>
      </c>
      <c r="B300" s="27" t="s">
        <v>2560</v>
      </c>
      <c r="C300" s="27" t="s">
        <v>2561</v>
      </c>
      <c r="D300" s="162" t="s">
        <v>2562</v>
      </c>
      <c r="E300" s="162" t="s">
        <v>165</v>
      </c>
      <c r="F300" s="162" t="s">
        <v>2563</v>
      </c>
      <c r="G300" s="27">
        <v>18279531380</v>
      </c>
      <c r="H300" s="162" t="s">
        <v>2564</v>
      </c>
      <c r="I300" s="162" t="s">
        <v>156</v>
      </c>
      <c r="J300" s="162" t="s">
        <v>14</v>
      </c>
      <c r="K300" s="27">
        <v>202102001</v>
      </c>
      <c r="L300" s="162" t="s">
        <v>705</v>
      </c>
      <c r="M300" s="162" t="s">
        <v>2565</v>
      </c>
      <c r="N300" s="162" t="s">
        <v>790</v>
      </c>
      <c r="O300" s="162" t="s">
        <v>160</v>
      </c>
      <c r="P300" s="162" t="s">
        <v>455</v>
      </c>
      <c r="Q300" s="162" t="s">
        <v>14</v>
      </c>
      <c r="R300" s="162" t="s">
        <v>2566</v>
      </c>
      <c r="S300" s="118" t="str">
        <f>_xlfn.DISPIMG("ID_DA928F2BE2B24AF3ABF5D40BAC268946",1)</f>
        <v>=DISPIMG("ID_DA928F2BE2B24AF3ABF5D40BAC268946",1)</v>
      </c>
      <c r="T300" s="115" t="s">
        <v>2567</v>
      </c>
      <c r="U300" s="27">
        <v>307</v>
      </c>
    </row>
    <row r="301" s="3" customFormat="1" customHeight="1" spans="1:21">
      <c r="A301" s="144">
        <v>44362.4888773148</v>
      </c>
      <c r="B301" s="27" t="s">
        <v>2576</v>
      </c>
      <c r="C301" s="27" t="s">
        <v>2577</v>
      </c>
      <c r="D301" s="162" t="s">
        <v>2578</v>
      </c>
      <c r="E301" s="162" t="s">
        <v>165</v>
      </c>
      <c r="F301" s="162" t="s">
        <v>2579</v>
      </c>
      <c r="G301" s="27">
        <v>13907924069</v>
      </c>
      <c r="H301" s="162" t="s">
        <v>2580</v>
      </c>
      <c r="I301" s="162" t="s">
        <v>506</v>
      </c>
      <c r="J301" s="162" t="s">
        <v>13</v>
      </c>
      <c r="K301" s="27">
        <v>202102016</v>
      </c>
      <c r="L301" s="162" t="s">
        <v>279</v>
      </c>
      <c r="M301" s="162" t="s">
        <v>1237</v>
      </c>
      <c r="N301" s="162" t="s">
        <v>169</v>
      </c>
      <c r="O301" s="162" t="s">
        <v>170</v>
      </c>
      <c r="P301" s="162" t="s">
        <v>161</v>
      </c>
      <c r="Q301" s="162" t="s">
        <v>2284</v>
      </c>
      <c r="R301" s="162" t="s">
        <v>2581</v>
      </c>
      <c r="S301" s="118" t="str">
        <f>_xlfn.DISPIMG("ID_1B69D0009E5944278A43199D519E50CB",1)</f>
        <v>=DISPIMG("ID_1B69D0009E5944278A43199D519E50CB",1)</v>
      </c>
      <c r="T301" s="115" t="s">
        <v>2582</v>
      </c>
      <c r="U301" s="27">
        <v>309</v>
      </c>
    </row>
    <row r="302" s="3" customFormat="1" customHeight="1" spans="1:21">
      <c r="A302" s="144">
        <v>44362.4928819444</v>
      </c>
      <c r="B302" s="27" t="s">
        <v>2583</v>
      </c>
      <c r="C302" s="27" t="s">
        <v>2584</v>
      </c>
      <c r="D302" s="162" t="s">
        <v>2585</v>
      </c>
      <c r="E302" s="162" t="s">
        <v>153</v>
      </c>
      <c r="F302" s="162" t="s">
        <v>2586</v>
      </c>
      <c r="G302" s="27">
        <v>18870098307</v>
      </c>
      <c r="H302" s="162" t="s">
        <v>2587</v>
      </c>
      <c r="I302" s="162" t="s">
        <v>156</v>
      </c>
      <c r="J302" s="162" t="s">
        <v>13</v>
      </c>
      <c r="K302" s="27">
        <v>202102003</v>
      </c>
      <c r="L302" s="162" t="s">
        <v>157</v>
      </c>
      <c r="M302" s="162" t="s">
        <v>233</v>
      </c>
      <c r="N302" s="162" t="s">
        <v>179</v>
      </c>
      <c r="O302" s="162" t="s">
        <v>160</v>
      </c>
      <c r="P302" s="162" t="s">
        <v>2298</v>
      </c>
      <c r="Q302" s="162" t="s">
        <v>1692</v>
      </c>
      <c r="R302" s="162" t="s">
        <v>2588</v>
      </c>
      <c r="S302" s="118" t="str">
        <f>_xlfn.DISPIMG("ID_C226BACFF043492F9C2831E3F2035CBF",1)</f>
        <v>=DISPIMG("ID_C226BACFF043492F9C2831E3F2035CBF",1)</v>
      </c>
      <c r="T302" s="115" t="s">
        <v>2589</v>
      </c>
      <c r="U302" s="27">
        <v>310</v>
      </c>
    </row>
    <row r="303" s="3" customFormat="1" customHeight="1" spans="1:21">
      <c r="A303" s="144">
        <v>44362.5024652778</v>
      </c>
      <c r="B303" s="27" t="s">
        <v>2590</v>
      </c>
      <c r="C303" s="27" t="s">
        <v>2591</v>
      </c>
      <c r="D303" s="162" t="s">
        <v>2592</v>
      </c>
      <c r="E303" s="162" t="s">
        <v>165</v>
      </c>
      <c r="F303" s="162" t="s">
        <v>2593</v>
      </c>
      <c r="G303" s="27">
        <v>15179254283</v>
      </c>
      <c r="H303" s="162" t="s">
        <v>2594</v>
      </c>
      <c r="I303" s="162" t="s">
        <v>156</v>
      </c>
      <c r="J303" s="162" t="s">
        <v>13</v>
      </c>
      <c r="K303" s="27">
        <v>202102003</v>
      </c>
      <c r="L303" s="162" t="s">
        <v>157</v>
      </c>
      <c r="M303" s="162" t="s">
        <v>269</v>
      </c>
      <c r="N303" s="162" t="s">
        <v>298</v>
      </c>
      <c r="O303" s="162" t="s">
        <v>160</v>
      </c>
      <c r="P303" s="162" t="s">
        <v>161</v>
      </c>
      <c r="Q303" s="162" t="s">
        <v>13</v>
      </c>
      <c r="R303" s="162" t="s">
        <v>2595</v>
      </c>
      <c r="S303" s="118" t="str">
        <f>_xlfn.DISPIMG("ID_4B5E37E946EA4E60BDCBA196E50050B9",1)</f>
        <v>=DISPIMG("ID_4B5E37E946EA4E60BDCBA196E50050B9",1)</v>
      </c>
      <c r="T303" s="115" t="s">
        <v>2596</v>
      </c>
      <c r="U303" s="27">
        <v>311</v>
      </c>
    </row>
    <row r="304" s="3" customFormat="1" customHeight="1" spans="1:21">
      <c r="A304" s="144">
        <v>44362.5097685185</v>
      </c>
      <c r="B304" s="27" t="s">
        <v>2597</v>
      </c>
      <c r="C304" s="27" t="s">
        <v>1946</v>
      </c>
      <c r="D304" s="162" t="s">
        <v>2598</v>
      </c>
      <c r="E304" s="162" t="s">
        <v>153</v>
      </c>
      <c r="F304" s="162" t="s">
        <v>2599</v>
      </c>
      <c r="G304" s="27">
        <v>15979967100</v>
      </c>
      <c r="H304" s="162" t="s">
        <v>2600</v>
      </c>
      <c r="I304" s="162" t="s">
        <v>156</v>
      </c>
      <c r="J304" s="162" t="s">
        <v>9</v>
      </c>
      <c r="K304" s="27">
        <v>202102011</v>
      </c>
      <c r="L304" s="162" t="s">
        <v>157</v>
      </c>
      <c r="M304" s="162" t="s">
        <v>2601</v>
      </c>
      <c r="N304" s="162" t="s">
        <v>463</v>
      </c>
      <c r="O304" s="162" t="s">
        <v>160</v>
      </c>
      <c r="P304" s="162" t="s">
        <v>368</v>
      </c>
      <c r="Q304" s="162" t="s">
        <v>1406</v>
      </c>
      <c r="R304" s="162" t="s">
        <v>2602</v>
      </c>
      <c r="S304" s="118" t="str">
        <f>_xlfn.DISPIMG("ID_6E5E26FD0608404987009AB35A215594",1)</f>
        <v>=DISPIMG("ID_6E5E26FD0608404987009AB35A215594",1)</v>
      </c>
      <c r="T304" s="115" t="s">
        <v>2603</v>
      </c>
      <c r="U304" s="27">
        <v>312</v>
      </c>
    </row>
    <row r="305" s="3" customFormat="1" customHeight="1" spans="1:21">
      <c r="A305" s="144">
        <v>44362.511724537</v>
      </c>
      <c r="B305" s="27" t="s">
        <v>2604</v>
      </c>
      <c r="C305" s="27" t="s">
        <v>2605</v>
      </c>
      <c r="D305" s="162" t="s">
        <v>2606</v>
      </c>
      <c r="E305" s="162" t="s">
        <v>165</v>
      </c>
      <c r="F305" s="162" t="s">
        <v>2607</v>
      </c>
      <c r="G305" s="27">
        <v>18720995920</v>
      </c>
      <c r="H305" s="162" t="s">
        <v>2608</v>
      </c>
      <c r="I305" s="162" t="s">
        <v>297</v>
      </c>
      <c r="J305" s="162" t="s">
        <v>25</v>
      </c>
      <c r="K305" s="27">
        <v>202101008</v>
      </c>
      <c r="L305" s="162" t="s">
        <v>157</v>
      </c>
      <c r="M305" s="162" t="s">
        <v>1654</v>
      </c>
      <c r="N305" s="162" t="s">
        <v>2609</v>
      </c>
      <c r="O305" s="162" t="s">
        <v>160</v>
      </c>
      <c r="P305" s="162" t="s">
        <v>281</v>
      </c>
      <c r="Q305" s="162" t="s">
        <v>2610</v>
      </c>
      <c r="R305" s="162" t="s">
        <v>2611</v>
      </c>
      <c r="S305" s="118" t="str">
        <f>_xlfn.DISPIMG("ID_1DA33C1DACDA463582C160858194DE2A",1)</f>
        <v>=DISPIMG("ID_1DA33C1DACDA463582C160858194DE2A",1)</v>
      </c>
      <c r="T305" s="115" t="s">
        <v>2612</v>
      </c>
      <c r="U305" s="27">
        <v>313</v>
      </c>
    </row>
    <row r="306" s="3" customFormat="1" customHeight="1" spans="1:21">
      <c r="A306" s="144">
        <v>44362.5254976852</v>
      </c>
      <c r="B306" s="27" t="s">
        <v>2613</v>
      </c>
      <c r="C306" s="27" t="s">
        <v>2614</v>
      </c>
      <c r="D306" s="162" t="s">
        <v>2615</v>
      </c>
      <c r="E306" s="162" t="s">
        <v>165</v>
      </c>
      <c r="F306" s="162" t="s">
        <v>2616</v>
      </c>
      <c r="G306" s="27">
        <v>18779299651</v>
      </c>
      <c r="H306" s="162" t="s">
        <v>556</v>
      </c>
      <c r="I306" s="162" t="s">
        <v>278</v>
      </c>
      <c r="J306" s="162" t="s">
        <v>28</v>
      </c>
      <c r="K306" s="27">
        <v>202103001</v>
      </c>
      <c r="L306" s="162" t="s">
        <v>585</v>
      </c>
      <c r="M306" s="162" t="s">
        <v>367</v>
      </c>
      <c r="N306" s="162" t="s">
        <v>280</v>
      </c>
      <c r="O306" s="162" t="s">
        <v>170</v>
      </c>
      <c r="P306" s="162" t="s">
        <v>306</v>
      </c>
      <c r="Q306" s="162" t="s">
        <v>585</v>
      </c>
      <c r="R306" s="162" t="s">
        <v>2617</v>
      </c>
      <c r="S306" s="118" t="str">
        <f>_xlfn.DISPIMG("ID_D88361D0AC4F40C29B491840D8C35568",1)</f>
        <v>=DISPIMG("ID_D88361D0AC4F40C29B491840D8C35568",1)</v>
      </c>
      <c r="T306" s="115" t="s">
        <v>2618</v>
      </c>
      <c r="U306" s="27">
        <v>314</v>
      </c>
    </row>
    <row r="307" s="3" customFormat="1" customHeight="1" spans="1:21">
      <c r="A307" s="144">
        <v>44362.5404166667</v>
      </c>
      <c r="B307" s="27" t="s">
        <v>2619</v>
      </c>
      <c r="C307" s="27" t="s">
        <v>2620</v>
      </c>
      <c r="D307" s="162" t="s">
        <v>2620</v>
      </c>
      <c r="E307" s="162" t="s">
        <v>165</v>
      </c>
      <c r="F307" s="162" t="s">
        <v>2621</v>
      </c>
      <c r="G307" s="27">
        <v>15374326855</v>
      </c>
      <c r="H307" s="162" t="s">
        <v>2622</v>
      </c>
      <c r="I307" s="162" t="s">
        <v>156</v>
      </c>
      <c r="J307" s="162" t="s">
        <v>13</v>
      </c>
      <c r="K307" s="27">
        <v>202102003</v>
      </c>
      <c r="L307" s="162" t="s">
        <v>279</v>
      </c>
      <c r="M307" s="162" t="s">
        <v>2623</v>
      </c>
      <c r="N307" s="162" t="s">
        <v>223</v>
      </c>
      <c r="O307" s="162" t="s">
        <v>170</v>
      </c>
      <c r="P307" s="162" t="s">
        <v>587</v>
      </c>
      <c r="Q307" s="162" t="s">
        <v>487</v>
      </c>
      <c r="R307" s="162" t="s">
        <v>2624</v>
      </c>
      <c r="S307" s="118" t="str">
        <f>_xlfn.DISPIMG("ID_2F48B8B967A44C168C6D69CE2A1FBAF0",1)</f>
        <v>=DISPIMG("ID_2F48B8B967A44C168C6D69CE2A1FBAF0",1)</v>
      </c>
      <c r="T307" s="115" t="s">
        <v>2625</v>
      </c>
      <c r="U307" s="27">
        <v>315</v>
      </c>
    </row>
    <row r="308" s="3" customFormat="1" customHeight="1" spans="1:21">
      <c r="A308" s="144">
        <v>44362.5555439815</v>
      </c>
      <c r="B308" s="27" t="s">
        <v>2626</v>
      </c>
      <c r="C308" s="27" t="s">
        <v>2627</v>
      </c>
      <c r="D308" s="162" t="s">
        <v>2628</v>
      </c>
      <c r="E308" s="162" t="s">
        <v>165</v>
      </c>
      <c r="F308" s="162" t="s">
        <v>2629</v>
      </c>
      <c r="G308" s="27">
        <v>13870213240</v>
      </c>
      <c r="H308" s="162" t="s">
        <v>2630</v>
      </c>
      <c r="I308" s="162" t="s">
        <v>156</v>
      </c>
      <c r="J308" s="162" t="s">
        <v>14</v>
      </c>
      <c r="K308" s="27">
        <v>202101001</v>
      </c>
      <c r="L308" s="162" t="s">
        <v>157</v>
      </c>
      <c r="M308" s="162" t="s">
        <v>233</v>
      </c>
      <c r="N308" s="162" t="s">
        <v>454</v>
      </c>
      <c r="O308" s="162" t="s">
        <v>170</v>
      </c>
      <c r="P308" s="162" t="s">
        <v>2550</v>
      </c>
      <c r="Q308" s="162" t="s">
        <v>638</v>
      </c>
      <c r="R308" s="162" t="s">
        <v>2631</v>
      </c>
      <c r="S308" s="118" t="str">
        <f>_xlfn.DISPIMG("ID_CBC3FBFBAE354D589BD3606A77A20D02",1)</f>
        <v>=DISPIMG("ID_CBC3FBFBAE354D589BD3606A77A20D02",1)</v>
      </c>
      <c r="T308" s="115" t="s">
        <v>2632</v>
      </c>
      <c r="U308" s="27">
        <v>316</v>
      </c>
    </row>
    <row r="309" s="3" customFormat="1" customHeight="1" spans="1:21">
      <c r="A309" s="144">
        <v>44362.5624768519</v>
      </c>
      <c r="B309" s="27" t="s">
        <v>2633</v>
      </c>
      <c r="C309" s="27" t="s">
        <v>2634</v>
      </c>
      <c r="D309" s="162" t="s">
        <v>2635</v>
      </c>
      <c r="E309" s="162" t="s">
        <v>165</v>
      </c>
      <c r="F309" s="162" t="s">
        <v>2636</v>
      </c>
      <c r="G309" s="27">
        <v>15170208662</v>
      </c>
      <c r="H309" s="162" t="s">
        <v>2637</v>
      </c>
      <c r="I309" s="162" t="s">
        <v>156</v>
      </c>
      <c r="J309" s="162" t="s">
        <v>14</v>
      </c>
      <c r="K309" s="27">
        <v>202102001</v>
      </c>
      <c r="L309" s="162" t="s">
        <v>157</v>
      </c>
      <c r="M309" s="162" t="s">
        <v>233</v>
      </c>
      <c r="N309" s="162" t="s">
        <v>454</v>
      </c>
      <c r="O309" s="162" t="s">
        <v>170</v>
      </c>
      <c r="P309" s="162" t="s">
        <v>349</v>
      </c>
      <c r="Q309" s="162" t="s">
        <v>2638</v>
      </c>
      <c r="R309" s="162" t="s">
        <v>2639</v>
      </c>
      <c r="S309" s="118" t="str">
        <f>_xlfn.DISPIMG("ID_E1D95DAB49404461BEFC75E6320DFECC",1)</f>
        <v>=DISPIMG("ID_E1D95DAB49404461BEFC75E6320DFECC",1)</v>
      </c>
      <c r="T309" s="115" t="s">
        <v>2640</v>
      </c>
      <c r="U309" s="27">
        <v>317</v>
      </c>
    </row>
    <row r="310" s="3" customFormat="1" customHeight="1" spans="1:21">
      <c r="A310" s="144">
        <v>44364.5517476852</v>
      </c>
      <c r="B310" s="27" t="s">
        <v>2641</v>
      </c>
      <c r="C310" s="27" t="s">
        <v>2642</v>
      </c>
      <c r="D310" s="162" t="s">
        <v>2643</v>
      </c>
      <c r="E310" s="162" t="s">
        <v>165</v>
      </c>
      <c r="F310" s="162" t="s">
        <v>2644</v>
      </c>
      <c r="G310" s="27">
        <v>15779267017</v>
      </c>
      <c r="H310" s="162" t="s">
        <v>2645</v>
      </c>
      <c r="I310" s="162" t="s">
        <v>156</v>
      </c>
      <c r="J310" s="162" t="s">
        <v>6</v>
      </c>
      <c r="K310" s="27">
        <v>202102012</v>
      </c>
      <c r="L310" s="162" t="s">
        <v>157</v>
      </c>
      <c r="M310" s="162" t="s">
        <v>2646</v>
      </c>
      <c r="N310" s="162" t="s">
        <v>2647</v>
      </c>
      <c r="O310" s="162" t="s">
        <v>160</v>
      </c>
      <c r="P310" s="162" t="s">
        <v>306</v>
      </c>
      <c r="Q310" s="162" t="s">
        <v>18</v>
      </c>
      <c r="R310" s="162" t="s">
        <v>2648</v>
      </c>
      <c r="S310" s="118" t="str">
        <f>_xlfn.DISPIMG("ID_5444703683DB4591A53B76ECB3D8FAE4",1)</f>
        <v>=DISPIMG("ID_5444703683DB4591A53B76ECB3D8FAE4",1)</v>
      </c>
      <c r="T310" s="115" t="s">
        <v>2649</v>
      </c>
      <c r="U310" s="27">
        <v>318</v>
      </c>
    </row>
    <row r="311" s="3" customFormat="1" customHeight="1" spans="1:21">
      <c r="A311" s="144">
        <v>44362.5856944444</v>
      </c>
      <c r="B311" s="27" t="s">
        <v>2650</v>
      </c>
      <c r="C311" s="27" t="s">
        <v>2651</v>
      </c>
      <c r="D311" s="162" t="s">
        <v>2651</v>
      </c>
      <c r="E311" s="162" t="s">
        <v>165</v>
      </c>
      <c r="F311" s="162" t="s">
        <v>2652</v>
      </c>
      <c r="G311" s="27">
        <v>18779275146</v>
      </c>
      <c r="H311" s="162" t="s">
        <v>2653</v>
      </c>
      <c r="I311" s="162" t="s">
        <v>278</v>
      </c>
      <c r="J311" s="162" t="s">
        <v>28</v>
      </c>
      <c r="K311" s="27">
        <v>202103001</v>
      </c>
      <c r="L311" s="162" t="s">
        <v>279</v>
      </c>
      <c r="M311" s="162" t="s">
        <v>367</v>
      </c>
      <c r="N311" s="162" t="s">
        <v>960</v>
      </c>
      <c r="O311" s="162" t="s">
        <v>170</v>
      </c>
      <c r="P311" s="162" t="s">
        <v>261</v>
      </c>
      <c r="Q311" s="162" t="s">
        <v>2654</v>
      </c>
      <c r="R311" s="162" t="s">
        <v>2655</v>
      </c>
      <c r="S311" s="118" t="str">
        <f>_xlfn.DISPIMG("ID_1078F268CB1D42879EB5D176263AD754",1)</f>
        <v>=DISPIMG("ID_1078F268CB1D42879EB5D176263AD754",1)</v>
      </c>
      <c r="T311" s="115" t="s">
        <v>2656</v>
      </c>
      <c r="U311" s="27">
        <v>319</v>
      </c>
    </row>
    <row r="312" s="3" customFormat="1" customHeight="1" spans="1:21">
      <c r="A312" s="144">
        <v>44362.6021064815</v>
      </c>
      <c r="B312" s="27" t="s">
        <v>2657</v>
      </c>
      <c r="C312" s="27" t="s">
        <v>2658</v>
      </c>
      <c r="D312" s="162" t="s">
        <v>2659</v>
      </c>
      <c r="E312" s="162" t="s">
        <v>165</v>
      </c>
      <c r="F312" s="162" t="s">
        <v>2660</v>
      </c>
      <c r="G312" s="27">
        <v>13627065761</v>
      </c>
      <c r="H312" s="162" t="s">
        <v>2661</v>
      </c>
      <c r="I312" s="162" t="s">
        <v>156</v>
      </c>
      <c r="J312" s="162" t="s">
        <v>14</v>
      </c>
      <c r="K312" s="27">
        <v>202102001</v>
      </c>
      <c r="L312" s="162" t="s">
        <v>157</v>
      </c>
      <c r="M312" s="162" t="s">
        <v>269</v>
      </c>
      <c r="N312" s="162" t="s">
        <v>454</v>
      </c>
      <c r="O312" s="162" t="s">
        <v>170</v>
      </c>
      <c r="P312" s="162" t="s">
        <v>161</v>
      </c>
      <c r="Q312" s="162" t="s">
        <v>26</v>
      </c>
      <c r="R312" s="162" t="s">
        <v>2662</v>
      </c>
      <c r="S312" s="118" t="str">
        <f>_xlfn.DISPIMG("ID_4750BE615CAB4B2790251BC514AE2277",1)</f>
        <v>=DISPIMG("ID_4750BE615CAB4B2790251BC514AE2277",1)</v>
      </c>
      <c r="T312" s="115" t="s">
        <v>2663</v>
      </c>
      <c r="U312" s="27">
        <v>320</v>
      </c>
    </row>
    <row r="313" s="3" customFormat="1" customHeight="1" spans="1:21">
      <c r="A313" s="144">
        <v>44362.6083333333</v>
      </c>
      <c r="B313" s="27" t="s">
        <v>2664</v>
      </c>
      <c r="C313" s="27" t="s">
        <v>2665</v>
      </c>
      <c r="D313" s="162" t="s">
        <v>2666</v>
      </c>
      <c r="E313" s="162" t="s">
        <v>165</v>
      </c>
      <c r="F313" s="162" t="s">
        <v>2667</v>
      </c>
      <c r="G313" s="27">
        <v>13367011157</v>
      </c>
      <c r="H313" s="162" t="s">
        <v>2668</v>
      </c>
      <c r="I313" s="162" t="s">
        <v>278</v>
      </c>
      <c r="J313" s="162" t="s">
        <v>28</v>
      </c>
      <c r="K313" s="27">
        <v>202103001</v>
      </c>
      <c r="L313" s="162" t="s">
        <v>279</v>
      </c>
      <c r="M313" s="162" t="s">
        <v>2669</v>
      </c>
      <c r="N313" s="162" t="s">
        <v>280</v>
      </c>
      <c r="O313" s="162" t="s">
        <v>170</v>
      </c>
      <c r="P313" s="162" t="s">
        <v>368</v>
      </c>
      <c r="Q313" s="162" t="s">
        <v>340</v>
      </c>
      <c r="R313" s="162" t="s">
        <v>2670</v>
      </c>
      <c r="S313" s="118" t="str">
        <f>_xlfn.DISPIMG("ID_F3E1E6ADC00F4323859304E86EC6B8D9",1)</f>
        <v>=DISPIMG("ID_F3E1E6ADC00F4323859304E86EC6B8D9",1)</v>
      </c>
      <c r="T313" s="115" t="s">
        <v>2671</v>
      </c>
      <c r="U313" s="27">
        <v>321</v>
      </c>
    </row>
    <row r="314" s="3" customFormat="1" customHeight="1" spans="1:21">
      <c r="A314" s="144">
        <v>44362.6230208333</v>
      </c>
      <c r="B314" s="27" t="s">
        <v>2689</v>
      </c>
      <c r="C314" s="27" t="s">
        <v>2690</v>
      </c>
      <c r="D314" s="162" t="s">
        <v>2691</v>
      </c>
      <c r="E314" s="162" t="s">
        <v>165</v>
      </c>
      <c r="F314" s="162" t="s">
        <v>2692</v>
      </c>
      <c r="G314" s="27">
        <v>13361724916</v>
      </c>
      <c r="H314" s="162" t="s">
        <v>2693</v>
      </c>
      <c r="I314" s="162" t="s">
        <v>278</v>
      </c>
      <c r="J314" s="162" t="s">
        <v>28</v>
      </c>
      <c r="K314" s="27">
        <v>202103001</v>
      </c>
      <c r="L314" s="162" t="s">
        <v>585</v>
      </c>
      <c r="M314" s="162" t="s">
        <v>367</v>
      </c>
      <c r="N314" s="162" t="s">
        <v>586</v>
      </c>
      <c r="O314" s="162" t="s">
        <v>170</v>
      </c>
      <c r="P314" s="162" t="s">
        <v>2685</v>
      </c>
      <c r="Q314" s="162" t="s">
        <v>2686</v>
      </c>
      <c r="R314" s="162" t="s">
        <v>2694</v>
      </c>
      <c r="S314" s="118" t="str">
        <f>_xlfn.DISPIMG("ID_80BD79931C0D4F069B4BB278F0D6EACF",1)</f>
        <v>=DISPIMG("ID_80BD79931C0D4F069B4BB278F0D6EACF",1)</v>
      </c>
      <c r="T314" s="115" t="s">
        <v>2695</v>
      </c>
      <c r="U314" s="27">
        <v>324</v>
      </c>
    </row>
    <row r="315" s="3" customFormat="1" customHeight="1" spans="1:21">
      <c r="A315" s="144">
        <v>44362.6291898148</v>
      </c>
      <c r="B315" s="27" t="s">
        <v>2696</v>
      </c>
      <c r="C315" s="27" t="s">
        <v>2697</v>
      </c>
      <c r="D315" s="162" t="s">
        <v>2698</v>
      </c>
      <c r="E315" s="162" t="s">
        <v>165</v>
      </c>
      <c r="F315" s="162" t="s">
        <v>2699</v>
      </c>
      <c r="G315" s="27">
        <v>17879865970</v>
      </c>
      <c r="H315" s="162" t="s">
        <v>2700</v>
      </c>
      <c r="I315" s="162" t="s">
        <v>156</v>
      </c>
      <c r="J315" s="162" t="s">
        <v>13</v>
      </c>
      <c r="K315" s="27">
        <v>202102003</v>
      </c>
      <c r="L315" s="162" t="s">
        <v>157</v>
      </c>
      <c r="M315" s="162" t="s">
        <v>603</v>
      </c>
      <c r="N315" s="162" t="s">
        <v>179</v>
      </c>
      <c r="O315" s="162" t="s">
        <v>160</v>
      </c>
      <c r="P315" s="162" t="s">
        <v>161</v>
      </c>
      <c r="Q315" s="162" t="s">
        <v>13</v>
      </c>
      <c r="R315" s="162" t="s">
        <v>2701</v>
      </c>
      <c r="S315" s="118" t="str">
        <f>_xlfn.DISPIMG("ID_F144CD0E4B7B43F08EC41420B132D7BF",1)</f>
        <v>=DISPIMG("ID_F144CD0E4B7B43F08EC41420B132D7BF",1)</v>
      </c>
      <c r="T315" s="115" t="s">
        <v>2702</v>
      </c>
      <c r="U315" s="27">
        <v>325</v>
      </c>
    </row>
    <row r="316" s="3" customFormat="1" customHeight="1" spans="1:21">
      <c r="A316" s="144">
        <v>44362.6380208333</v>
      </c>
      <c r="B316" s="27" t="s">
        <v>2703</v>
      </c>
      <c r="C316" s="27" t="s">
        <v>2704</v>
      </c>
      <c r="D316" s="162" t="s">
        <v>2705</v>
      </c>
      <c r="E316" s="162" t="s">
        <v>165</v>
      </c>
      <c r="F316" s="162" t="s">
        <v>2706</v>
      </c>
      <c r="G316" s="27">
        <v>18879206969</v>
      </c>
      <c r="H316" s="162" t="s">
        <v>2707</v>
      </c>
      <c r="I316" s="162" t="s">
        <v>156</v>
      </c>
      <c r="J316" s="162" t="s">
        <v>6</v>
      </c>
      <c r="K316" s="27">
        <v>202102012</v>
      </c>
      <c r="L316" s="162" t="s">
        <v>157</v>
      </c>
      <c r="M316" s="162" t="s">
        <v>2708</v>
      </c>
      <c r="N316" s="162" t="s">
        <v>750</v>
      </c>
      <c r="O316" s="162" t="s">
        <v>160</v>
      </c>
      <c r="P316" s="162" t="s">
        <v>216</v>
      </c>
      <c r="Q316" s="162" t="s">
        <v>18</v>
      </c>
      <c r="R316" s="27">
        <v>0</v>
      </c>
      <c r="S316" s="118" t="str">
        <f>_xlfn.DISPIMG("ID_4ECDECBC23404DF3A6E316268C69D43E",1)</f>
        <v>=DISPIMG("ID_4ECDECBC23404DF3A6E316268C69D43E",1)</v>
      </c>
      <c r="T316" s="115" t="s">
        <v>2709</v>
      </c>
      <c r="U316" s="27">
        <v>326</v>
      </c>
    </row>
    <row r="317" s="3" customFormat="1" customHeight="1" spans="1:21">
      <c r="A317" s="144">
        <v>44362.639837963</v>
      </c>
      <c r="B317" s="27" t="s">
        <v>2710</v>
      </c>
      <c r="C317" s="27" t="s">
        <v>1714</v>
      </c>
      <c r="D317" s="162" t="s">
        <v>2711</v>
      </c>
      <c r="E317" s="162" t="s">
        <v>165</v>
      </c>
      <c r="F317" s="162" t="s">
        <v>2712</v>
      </c>
      <c r="G317" s="27">
        <v>17722507024</v>
      </c>
      <c r="H317" s="162" t="s">
        <v>2713</v>
      </c>
      <c r="I317" s="162" t="s">
        <v>156</v>
      </c>
      <c r="J317" s="162" t="s">
        <v>13</v>
      </c>
      <c r="K317" s="27">
        <v>202102003</v>
      </c>
      <c r="L317" s="162" t="s">
        <v>157</v>
      </c>
      <c r="M317" s="162" t="s">
        <v>2714</v>
      </c>
      <c r="N317" s="162" t="s">
        <v>179</v>
      </c>
      <c r="O317" s="162" t="s">
        <v>160</v>
      </c>
      <c r="P317" s="162" t="s">
        <v>216</v>
      </c>
      <c r="Q317" s="162" t="s">
        <v>13</v>
      </c>
      <c r="R317" s="27">
        <v>0</v>
      </c>
      <c r="S317" s="118" t="str">
        <f>_xlfn.DISPIMG("ID_8518D0C3018F4000B213F1115E41EEAA",1)</f>
        <v>=DISPIMG("ID_8518D0C3018F4000B213F1115E41EEAA",1)</v>
      </c>
      <c r="T317" s="115" t="s">
        <v>2715</v>
      </c>
      <c r="U317" s="27">
        <v>327</v>
      </c>
    </row>
    <row r="318" s="3" customFormat="1" customHeight="1" spans="1:21">
      <c r="A318" s="144">
        <v>44362.6525462963</v>
      </c>
      <c r="B318" s="27" t="s">
        <v>2716</v>
      </c>
      <c r="C318" s="27" t="s">
        <v>2717</v>
      </c>
      <c r="D318" s="162" t="s">
        <v>2718</v>
      </c>
      <c r="E318" s="162" t="s">
        <v>153</v>
      </c>
      <c r="F318" s="162" t="s">
        <v>2719</v>
      </c>
      <c r="G318" s="27">
        <v>15779215230</v>
      </c>
      <c r="H318" s="162" t="s">
        <v>2720</v>
      </c>
      <c r="I318" s="162" t="s">
        <v>156</v>
      </c>
      <c r="J318" s="162" t="s">
        <v>6</v>
      </c>
      <c r="K318" s="27">
        <v>202102012</v>
      </c>
      <c r="L318" s="162" t="s">
        <v>157</v>
      </c>
      <c r="M318" s="162" t="s">
        <v>168</v>
      </c>
      <c r="N318" s="162" t="s">
        <v>2721</v>
      </c>
      <c r="O318" s="162" t="s">
        <v>160</v>
      </c>
      <c r="P318" s="162" t="s">
        <v>455</v>
      </c>
      <c r="Q318" s="162" t="s">
        <v>18</v>
      </c>
      <c r="R318" s="162" t="s">
        <v>2722</v>
      </c>
      <c r="S318" s="118" t="str">
        <f>_xlfn.DISPIMG("ID_2B62698B077F4147874AB6F7E19938E7",1)</f>
        <v>=DISPIMG("ID_2B62698B077F4147874AB6F7E19938E7",1)</v>
      </c>
      <c r="T318" s="115" t="s">
        <v>2723</v>
      </c>
      <c r="U318" s="27">
        <v>328</v>
      </c>
    </row>
    <row r="319" s="3" customFormat="1" customHeight="1" spans="1:21">
      <c r="A319" s="144">
        <v>44362.660787037</v>
      </c>
      <c r="B319" s="27" t="s">
        <v>2724</v>
      </c>
      <c r="C319" s="27" t="s">
        <v>2725</v>
      </c>
      <c r="D319" s="162" t="s">
        <v>2726</v>
      </c>
      <c r="E319" s="162" t="s">
        <v>165</v>
      </c>
      <c r="F319" s="162" t="s">
        <v>2727</v>
      </c>
      <c r="G319" s="27">
        <v>18770822590</v>
      </c>
      <c r="H319" s="162" t="s">
        <v>803</v>
      </c>
      <c r="I319" s="162" t="s">
        <v>156</v>
      </c>
      <c r="J319" s="162" t="s">
        <v>14</v>
      </c>
      <c r="K319" s="27">
        <v>202102001</v>
      </c>
      <c r="L319" s="162" t="s">
        <v>157</v>
      </c>
      <c r="M319" s="162" t="s">
        <v>233</v>
      </c>
      <c r="N319" s="162" t="s">
        <v>1570</v>
      </c>
      <c r="O319" s="162" t="s">
        <v>160</v>
      </c>
      <c r="P319" s="162" t="s">
        <v>252</v>
      </c>
      <c r="Q319" s="162" t="s">
        <v>26</v>
      </c>
      <c r="R319" s="162" t="s">
        <v>2728</v>
      </c>
      <c r="S319" s="118" t="str">
        <f>_xlfn.DISPIMG("ID_BA1DF7BF960547A0983F8DB11C878B07",1)</f>
        <v>=DISPIMG("ID_BA1DF7BF960547A0983F8DB11C878B07",1)</v>
      </c>
      <c r="T319" s="115" t="s">
        <v>2729</v>
      </c>
      <c r="U319" s="27">
        <v>329</v>
      </c>
    </row>
    <row r="320" s="3" customFormat="1" customHeight="1" spans="1:21">
      <c r="A320" s="144">
        <v>44362.6648958333</v>
      </c>
      <c r="B320" s="27" t="s">
        <v>2730</v>
      </c>
      <c r="C320" s="27" t="s">
        <v>2731</v>
      </c>
      <c r="D320" s="162" t="s">
        <v>2732</v>
      </c>
      <c r="E320" s="162" t="s">
        <v>165</v>
      </c>
      <c r="F320" s="162" t="s">
        <v>2733</v>
      </c>
      <c r="G320" s="27">
        <v>15079218024</v>
      </c>
      <c r="H320" s="162" t="s">
        <v>2734</v>
      </c>
      <c r="I320" s="162" t="s">
        <v>156</v>
      </c>
      <c r="J320" s="162" t="s">
        <v>7</v>
      </c>
      <c r="K320" s="27">
        <v>202102006</v>
      </c>
      <c r="L320" s="162" t="s">
        <v>157</v>
      </c>
      <c r="M320" s="162" t="s">
        <v>1112</v>
      </c>
      <c r="N320" s="162" t="s">
        <v>159</v>
      </c>
      <c r="O320" s="162" t="s">
        <v>160</v>
      </c>
      <c r="P320" s="162" t="s">
        <v>199</v>
      </c>
      <c r="Q320" s="162" t="s">
        <v>19</v>
      </c>
      <c r="R320" s="162" t="s">
        <v>2735</v>
      </c>
      <c r="S320" s="118" t="str">
        <f>_xlfn.DISPIMG("ID_8B921756A8224507AE26B26EA7A47E29",1)</f>
        <v>=DISPIMG("ID_8B921756A8224507AE26B26EA7A47E29",1)</v>
      </c>
      <c r="T320" s="27" t="s">
        <v>2736</v>
      </c>
      <c r="U320" s="27">
        <v>330</v>
      </c>
    </row>
    <row r="321" s="3" customFormat="1" customHeight="1" spans="1:21">
      <c r="A321" s="144">
        <v>44362.6695486111</v>
      </c>
      <c r="B321" s="27" t="s">
        <v>2737</v>
      </c>
      <c r="C321" s="27" t="s">
        <v>2738</v>
      </c>
      <c r="D321" s="162" t="s">
        <v>2739</v>
      </c>
      <c r="E321" s="162" t="s">
        <v>165</v>
      </c>
      <c r="F321" s="162" t="s">
        <v>2740</v>
      </c>
      <c r="G321" s="27">
        <v>15180645133</v>
      </c>
      <c r="H321" s="162" t="s">
        <v>1864</v>
      </c>
      <c r="I321" s="162" t="s">
        <v>278</v>
      </c>
      <c r="J321" s="162" t="s">
        <v>28</v>
      </c>
      <c r="K321" s="27">
        <v>202103001</v>
      </c>
      <c r="L321" s="162" t="s">
        <v>279</v>
      </c>
      <c r="M321" s="162" t="s">
        <v>2741</v>
      </c>
      <c r="N321" s="162" t="s">
        <v>2742</v>
      </c>
      <c r="O321" s="162" t="s">
        <v>160</v>
      </c>
      <c r="P321" s="162" t="s">
        <v>577</v>
      </c>
      <c r="Q321" s="162" t="s">
        <v>28</v>
      </c>
      <c r="R321" s="27">
        <v>0</v>
      </c>
      <c r="S321" s="118" t="str">
        <f>_xlfn.DISPIMG("ID_DBC66D2ED4394B2EABDB1526C646D9F0",1)</f>
        <v>=DISPIMG("ID_DBC66D2ED4394B2EABDB1526C646D9F0",1)</v>
      </c>
      <c r="T321" s="115" t="s">
        <v>2743</v>
      </c>
      <c r="U321" s="27">
        <v>331</v>
      </c>
    </row>
    <row r="322" s="3" customFormat="1" customHeight="1" spans="1:21">
      <c r="A322" s="144">
        <v>44362.6696527778</v>
      </c>
      <c r="B322" s="27" t="s">
        <v>2744</v>
      </c>
      <c r="C322" s="27" t="s">
        <v>2745</v>
      </c>
      <c r="D322" s="162" t="s">
        <v>2746</v>
      </c>
      <c r="E322" s="162" t="s">
        <v>165</v>
      </c>
      <c r="F322" s="162" t="s">
        <v>2747</v>
      </c>
      <c r="G322" s="27">
        <v>13479871563</v>
      </c>
      <c r="H322" s="162" t="s">
        <v>2748</v>
      </c>
      <c r="I322" s="162" t="s">
        <v>278</v>
      </c>
      <c r="J322" s="162" t="s">
        <v>28</v>
      </c>
      <c r="K322" s="27">
        <v>202103001</v>
      </c>
      <c r="L322" s="162" t="s">
        <v>279</v>
      </c>
      <c r="M322" s="162" t="s">
        <v>1432</v>
      </c>
      <c r="N322" s="162" t="s">
        <v>280</v>
      </c>
      <c r="O322" s="162" t="s">
        <v>170</v>
      </c>
      <c r="P322" s="162" t="s">
        <v>2221</v>
      </c>
      <c r="Q322" s="162" t="s">
        <v>340</v>
      </c>
      <c r="R322" s="162" t="s">
        <v>2749</v>
      </c>
      <c r="S322" s="118" t="str">
        <f>_xlfn.DISPIMG("ID_88F87A068C9F46F1A08F32919B53F4F3",1)</f>
        <v>=DISPIMG("ID_88F87A068C9F46F1A08F32919B53F4F3",1)</v>
      </c>
      <c r="T322" s="115" t="s">
        <v>2750</v>
      </c>
      <c r="U322" s="27">
        <v>332</v>
      </c>
    </row>
    <row r="323" s="3" customFormat="1" customHeight="1" spans="1:21">
      <c r="A323" s="144">
        <v>44362.6767824074</v>
      </c>
      <c r="B323" s="27" t="s">
        <v>2751</v>
      </c>
      <c r="C323" s="27" t="s">
        <v>2752</v>
      </c>
      <c r="D323" s="162" t="s">
        <v>2753</v>
      </c>
      <c r="E323" s="162" t="s">
        <v>165</v>
      </c>
      <c r="F323" s="162" t="s">
        <v>2754</v>
      </c>
      <c r="G323" s="27">
        <v>18770057517</v>
      </c>
      <c r="H323" s="162" t="s">
        <v>2755</v>
      </c>
      <c r="I323" s="162" t="s">
        <v>156</v>
      </c>
      <c r="J323" s="162" t="s">
        <v>13</v>
      </c>
      <c r="K323" s="27">
        <v>202102003</v>
      </c>
      <c r="L323" s="162" t="s">
        <v>157</v>
      </c>
      <c r="M323" s="162" t="s">
        <v>646</v>
      </c>
      <c r="N323" s="162" t="s">
        <v>179</v>
      </c>
      <c r="O323" s="162" t="s">
        <v>160</v>
      </c>
      <c r="P323" s="162" t="s">
        <v>548</v>
      </c>
      <c r="Q323" s="162" t="s">
        <v>2284</v>
      </c>
      <c r="R323" s="162" t="s">
        <v>2756</v>
      </c>
      <c r="S323" s="118" t="str">
        <f>_xlfn.DISPIMG("ID_2E6C674524F0427FBB4E2C3FFA53D3DF",1)</f>
        <v>=DISPIMG("ID_2E6C674524F0427FBB4E2C3FFA53D3DF",1)</v>
      </c>
      <c r="T323" s="115" t="s">
        <v>2757</v>
      </c>
      <c r="U323" s="27">
        <v>333</v>
      </c>
    </row>
    <row r="324" s="3" customFormat="1" customHeight="1" spans="1:21">
      <c r="A324" s="144">
        <v>44362.6785416667</v>
      </c>
      <c r="B324" s="27" t="s">
        <v>2758</v>
      </c>
      <c r="C324" s="27" t="s">
        <v>2759</v>
      </c>
      <c r="D324" s="162" t="s">
        <v>2760</v>
      </c>
      <c r="E324" s="162" t="s">
        <v>165</v>
      </c>
      <c r="F324" s="162" t="s">
        <v>2761</v>
      </c>
      <c r="G324" s="27">
        <v>18296291050</v>
      </c>
      <c r="H324" s="162" t="s">
        <v>2762</v>
      </c>
      <c r="I324" s="162" t="s">
        <v>156</v>
      </c>
      <c r="J324" s="162" t="s">
        <v>13</v>
      </c>
      <c r="K324" s="27">
        <v>202102003</v>
      </c>
      <c r="L324" s="162" t="s">
        <v>157</v>
      </c>
      <c r="M324" s="162" t="s">
        <v>2763</v>
      </c>
      <c r="N324" s="162" t="s">
        <v>179</v>
      </c>
      <c r="O324" s="162" t="s">
        <v>160</v>
      </c>
      <c r="P324" s="162" t="s">
        <v>261</v>
      </c>
      <c r="Q324" s="162" t="s">
        <v>487</v>
      </c>
      <c r="R324" s="27">
        <v>0</v>
      </c>
      <c r="S324" s="118" t="str">
        <f>_xlfn.DISPIMG("ID_345E5ECE839B455186CF8C80E701C44C",1)</f>
        <v>=DISPIMG("ID_345E5ECE839B455186CF8C80E701C44C",1)</v>
      </c>
      <c r="T324" s="115" t="s">
        <v>2764</v>
      </c>
      <c r="U324" s="27">
        <v>334</v>
      </c>
    </row>
    <row r="325" s="3" customFormat="1" customHeight="1" spans="1:21">
      <c r="A325" s="144">
        <v>44362.6786111111</v>
      </c>
      <c r="B325" s="27" t="s">
        <v>2765</v>
      </c>
      <c r="C325" s="27" t="s">
        <v>2766</v>
      </c>
      <c r="D325" s="162" t="s">
        <v>2767</v>
      </c>
      <c r="E325" s="162" t="s">
        <v>165</v>
      </c>
      <c r="F325" s="162" t="s">
        <v>2768</v>
      </c>
      <c r="G325" s="27">
        <v>18270257502</v>
      </c>
      <c r="H325" s="162" t="s">
        <v>2769</v>
      </c>
      <c r="I325" s="162" t="s">
        <v>506</v>
      </c>
      <c r="J325" s="162" t="s">
        <v>14</v>
      </c>
      <c r="K325" s="27">
        <v>202102014</v>
      </c>
      <c r="L325" s="162" t="s">
        <v>279</v>
      </c>
      <c r="M325" s="162" t="s">
        <v>367</v>
      </c>
      <c r="N325" s="162" t="s">
        <v>1878</v>
      </c>
      <c r="O325" s="162" t="s">
        <v>170</v>
      </c>
      <c r="P325" s="162" t="s">
        <v>161</v>
      </c>
      <c r="Q325" s="162" t="s">
        <v>14</v>
      </c>
      <c r="R325" s="162" t="s">
        <v>2770</v>
      </c>
      <c r="S325" s="118" t="str">
        <f>_xlfn.DISPIMG("ID_599781AB8A9B405FA1C45AEDC9F43F4B",1)</f>
        <v>=DISPIMG("ID_599781AB8A9B405FA1C45AEDC9F43F4B",1)</v>
      </c>
      <c r="T325" s="115" t="s">
        <v>2771</v>
      </c>
      <c r="U325" s="27">
        <v>335</v>
      </c>
    </row>
    <row r="326" s="5" customFormat="1" customHeight="1" spans="1:21">
      <c r="A326" s="146">
        <v>44363.383125</v>
      </c>
      <c r="B326" s="116" t="s">
        <v>2772</v>
      </c>
      <c r="C326" s="116" t="s">
        <v>2773</v>
      </c>
      <c r="D326" s="165" t="s">
        <v>2774</v>
      </c>
      <c r="E326" s="165" t="s">
        <v>165</v>
      </c>
      <c r="F326" s="165" t="s">
        <v>2775</v>
      </c>
      <c r="G326" s="116">
        <v>18720298910</v>
      </c>
      <c r="H326" s="165" t="s">
        <v>2776</v>
      </c>
      <c r="I326" s="165" t="s">
        <v>156</v>
      </c>
      <c r="J326" s="165" t="s">
        <v>7</v>
      </c>
      <c r="K326" s="116">
        <v>202102006</v>
      </c>
      <c r="L326" s="165" t="s">
        <v>157</v>
      </c>
      <c r="M326" s="165" t="s">
        <v>158</v>
      </c>
      <c r="N326" s="165" t="s">
        <v>1639</v>
      </c>
      <c r="O326" s="165" t="s">
        <v>170</v>
      </c>
      <c r="P326" s="165" t="s">
        <v>306</v>
      </c>
      <c r="Q326" s="165" t="s">
        <v>19</v>
      </c>
      <c r="R326" s="165" t="s">
        <v>2777</v>
      </c>
      <c r="S326" s="119" t="str">
        <f>_xlfn.DISPIMG("ID_DC860A7FCB384FE48AFC2F135021FF6F",1)</f>
        <v>=DISPIMG("ID_DC860A7FCB384FE48AFC2F135021FF6F",1)</v>
      </c>
      <c r="T326" s="116" t="s">
        <v>2778</v>
      </c>
      <c r="U326" s="27">
        <v>336</v>
      </c>
    </row>
    <row r="327" s="3" customFormat="1" customHeight="1" spans="1:21">
      <c r="A327" s="144">
        <v>44362.7049189815</v>
      </c>
      <c r="B327" s="27" t="s">
        <v>2779</v>
      </c>
      <c r="C327" s="27" t="s">
        <v>2780</v>
      </c>
      <c r="D327" s="162" t="s">
        <v>2781</v>
      </c>
      <c r="E327" s="162" t="s">
        <v>165</v>
      </c>
      <c r="F327" s="162" t="s">
        <v>2782</v>
      </c>
      <c r="G327" s="27">
        <v>15720953943</v>
      </c>
      <c r="H327" s="162" t="s">
        <v>2783</v>
      </c>
      <c r="I327" s="162" t="s">
        <v>156</v>
      </c>
      <c r="J327" s="162" t="s">
        <v>13</v>
      </c>
      <c r="K327" s="27">
        <v>202102003</v>
      </c>
      <c r="L327" s="162" t="s">
        <v>279</v>
      </c>
      <c r="M327" s="162" t="s">
        <v>178</v>
      </c>
      <c r="N327" s="162" t="s">
        <v>223</v>
      </c>
      <c r="O327" s="162" t="s">
        <v>170</v>
      </c>
      <c r="P327" s="162" t="s">
        <v>281</v>
      </c>
      <c r="Q327" s="162" t="s">
        <v>13</v>
      </c>
      <c r="R327" s="162" t="s">
        <v>2784</v>
      </c>
      <c r="S327" s="118" t="str">
        <f>_xlfn.DISPIMG("ID_88B18CBF153241AE8E07B8EDC59079D6",1)</f>
        <v>=DISPIMG("ID_88B18CBF153241AE8E07B8EDC59079D6",1)</v>
      </c>
      <c r="T327" s="115" t="s">
        <v>2785</v>
      </c>
      <c r="U327" s="27">
        <v>337</v>
      </c>
    </row>
    <row r="328" s="3" customFormat="1" customHeight="1" spans="1:21">
      <c r="A328" s="144">
        <v>44362.7273842593</v>
      </c>
      <c r="B328" s="27" t="s">
        <v>2786</v>
      </c>
      <c r="C328" s="27" t="s">
        <v>2787</v>
      </c>
      <c r="D328" s="162" t="s">
        <v>2788</v>
      </c>
      <c r="E328" s="162" t="s">
        <v>165</v>
      </c>
      <c r="F328" s="162" t="s">
        <v>2789</v>
      </c>
      <c r="G328" s="27">
        <v>15727651558</v>
      </c>
      <c r="H328" s="162" t="s">
        <v>2790</v>
      </c>
      <c r="I328" s="162" t="s">
        <v>156</v>
      </c>
      <c r="J328" s="162" t="s">
        <v>13</v>
      </c>
      <c r="K328" s="27">
        <v>202102003</v>
      </c>
      <c r="L328" s="162" t="s">
        <v>157</v>
      </c>
      <c r="M328" s="162" t="s">
        <v>827</v>
      </c>
      <c r="N328" s="162" t="s">
        <v>223</v>
      </c>
      <c r="O328" s="162" t="s">
        <v>170</v>
      </c>
      <c r="P328" s="162" t="s">
        <v>306</v>
      </c>
      <c r="Q328" s="162" t="s">
        <v>2791</v>
      </c>
      <c r="R328" s="162" t="s">
        <v>2792</v>
      </c>
      <c r="S328" s="118" t="str">
        <f>_xlfn.DISPIMG("ID_5273CD0F4AF44426A565D4F4C926815B",1)</f>
        <v>=DISPIMG("ID_5273CD0F4AF44426A565D4F4C926815B",1)</v>
      </c>
      <c r="T328" s="115" t="s">
        <v>2793</v>
      </c>
      <c r="U328" s="27">
        <v>338</v>
      </c>
    </row>
    <row r="329" s="3" customFormat="1" customHeight="1" spans="1:21">
      <c r="A329" s="144">
        <v>44362.7530787037</v>
      </c>
      <c r="B329" s="27" t="s">
        <v>2794</v>
      </c>
      <c r="C329" s="27" t="s">
        <v>2795</v>
      </c>
      <c r="D329" s="162" t="s">
        <v>2796</v>
      </c>
      <c r="E329" s="162" t="s">
        <v>165</v>
      </c>
      <c r="F329" s="162" t="s">
        <v>2797</v>
      </c>
      <c r="G329" s="27">
        <v>15079245341</v>
      </c>
      <c r="H329" s="162" t="s">
        <v>2798</v>
      </c>
      <c r="I329" s="162" t="s">
        <v>278</v>
      </c>
      <c r="J329" s="162" t="s">
        <v>28</v>
      </c>
      <c r="K329" s="27">
        <v>202103001</v>
      </c>
      <c r="L329" s="162" t="s">
        <v>279</v>
      </c>
      <c r="M329" s="162" t="s">
        <v>2799</v>
      </c>
      <c r="N329" s="162" t="s">
        <v>1489</v>
      </c>
      <c r="O329" s="162" t="s">
        <v>170</v>
      </c>
      <c r="P329" s="162" t="s">
        <v>2800</v>
      </c>
      <c r="Q329" s="162" t="s">
        <v>28</v>
      </c>
      <c r="R329" s="162" t="s">
        <v>2801</v>
      </c>
      <c r="S329" s="118" t="str">
        <f>_xlfn.DISPIMG("ID_CE28F2C62DED40E5A2B6EB31752867C6",1)</f>
        <v>=DISPIMG("ID_CE28F2C62DED40E5A2B6EB31752867C6",1)</v>
      </c>
      <c r="T329" s="115" t="s">
        <v>2802</v>
      </c>
      <c r="U329" s="27">
        <v>339</v>
      </c>
    </row>
    <row r="330" s="3" customFormat="1" customHeight="1" spans="1:21">
      <c r="A330" s="144">
        <v>44362.7545949074</v>
      </c>
      <c r="B330" s="27" t="s">
        <v>2803</v>
      </c>
      <c r="C330" s="27" t="s">
        <v>2804</v>
      </c>
      <c r="D330" s="162" t="s">
        <v>2805</v>
      </c>
      <c r="E330" s="162" t="s">
        <v>153</v>
      </c>
      <c r="F330" s="162" t="s">
        <v>2806</v>
      </c>
      <c r="G330" s="27">
        <v>15350253333</v>
      </c>
      <c r="H330" s="162" t="s">
        <v>2807</v>
      </c>
      <c r="I330" s="162" t="s">
        <v>268</v>
      </c>
      <c r="J330" s="162" t="s">
        <v>17</v>
      </c>
      <c r="K330" s="27">
        <v>202101007</v>
      </c>
      <c r="L330" s="162" t="s">
        <v>157</v>
      </c>
      <c r="M330" s="162" t="s">
        <v>269</v>
      </c>
      <c r="N330" s="162" t="s">
        <v>290</v>
      </c>
      <c r="O330" s="162" t="s">
        <v>170</v>
      </c>
      <c r="P330" s="162" t="s">
        <v>368</v>
      </c>
      <c r="Q330" s="162" t="s">
        <v>17</v>
      </c>
      <c r="R330" s="162" t="s">
        <v>2808</v>
      </c>
      <c r="S330" s="118" t="str">
        <f>_xlfn.DISPIMG("ID_7C47A0694F0147EB860DAA1E2F9E87A3",1)</f>
        <v>=DISPIMG("ID_7C47A0694F0147EB860DAA1E2F9E87A3",1)</v>
      </c>
      <c r="T330" s="115" t="s">
        <v>2809</v>
      </c>
      <c r="U330" s="27">
        <v>340</v>
      </c>
    </row>
    <row r="331" s="3" customFormat="1" customHeight="1" spans="1:21">
      <c r="A331" s="144">
        <v>44362.7548263889</v>
      </c>
      <c r="B331" s="27" t="s">
        <v>2810</v>
      </c>
      <c r="C331" s="27" t="s">
        <v>2811</v>
      </c>
      <c r="D331" s="162" t="s">
        <v>2812</v>
      </c>
      <c r="E331" s="162" t="s">
        <v>165</v>
      </c>
      <c r="F331" s="162" t="s">
        <v>2813</v>
      </c>
      <c r="G331" s="27">
        <v>17770890987</v>
      </c>
      <c r="H331" s="162" t="s">
        <v>2814</v>
      </c>
      <c r="I331" s="162" t="s">
        <v>156</v>
      </c>
      <c r="J331" s="162" t="s">
        <v>13</v>
      </c>
      <c r="K331" s="27">
        <v>202102003</v>
      </c>
      <c r="L331" s="162" t="s">
        <v>157</v>
      </c>
      <c r="M331" s="162" t="s">
        <v>385</v>
      </c>
      <c r="N331" s="162" t="s">
        <v>179</v>
      </c>
      <c r="O331" s="162" t="s">
        <v>170</v>
      </c>
      <c r="P331" s="162" t="s">
        <v>2047</v>
      </c>
      <c r="Q331" s="162" t="s">
        <v>1692</v>
      </c>
      <c r="R331" s="162" t="s">
        <v>2815</v>
      </c>
      <c r="S331" s="118" t="str">
        <f>_xlfn.DISPIMG("ID_5757AB93890A4F58A4EA7B46206D2416",1)</f>
        <v>=DISPIMG("ID_5757AB93890A4F58A4EA7B46206D2416",1)</v>
      </c>
      <c r="T331" s="115" t="s">
        <v>2816</v>
      </c>
      <c r="U331" s="27">
        <v>341</v>
      </c>
    </row>
    <row r="332" s="3" customFormat="1" customHeight="1" spans="1:21">
      <c r="A332" s="144">
        <v>44362.7583449074</v>
      </c>
      <c r="B332" s="27" t="s">
        <v>2817</v>
      </c>
      <c r="C332" s="27" t="s">
        <v>2818</v>
      </c>
      <c r="D332" s="162" t="s">
        <v>2819</v>
      </c>
      <c r="E332" s="162" t="s">
        <v>165</v>
      </c>
      <c r="F332" s="162" t="s">
        <v>2820</v>
      </c>
      <c r="G332" s="27">
        <v>18720151872</v>
      </c>
      <c r="H332" s="162" t="s">
        <v>1111</v>
      </c>
      <c r="I332" s="162" t="s">
        <v>156</v>
      </c>
      <c r="J332" s="162" t="s">
        <v>13</v>
      </c>
      <c r="K332" s="27">
        <v>202102003</v>
      </c>
      <c r="L332" s="162" t="s">
        <v>157</v>
      </c>
      <c r="M332" s="162" t="s">
        <v>269</v>
      </c>
      <c r="N332" s="162" t="s">
        <v>2821</v>
      </c>
      <c r="O332" s="162" t="s">
        <v>170</v>
      </c>
      <c r="P332" s="162" t="s">
        <v>455</v>
      </c>
      <c r="Q332" s="162" t="s">
        <v>13</v>
      </c>
      <c r="R332" s="27">
        <v>0</v>
      </c>
      <c r="S332" s="118" t="str">
        <f>_xlfn.DISPIMG("ID_3C9269A8B40D486AA589E83B191F62F8",1)</f>
        <v>=DISPIMG("ID_3C9269A8B40D486AA589E83B191F62F8",1)</v>
      </c>
      <c r="T332" s="115" t="s">
        <v>2822</v>
      </c>
      <c r="U332" s="27">
        <v>342</v>
      </c>
    </row>
    <row r="333" s="3" customFormat="1" customHeight="1" spans="1:21">
      <c r="A333" s="144">
        <v>44362.7746875</v>
      </c>
      <c r="B333" s="27" t="s">
        <v>2823</v>
      </c>
      <c r="C333" s="27" t="s">
        <v>2824</v>
      </c>
      <c r="D333" s="162" t="s">
        <v>2825</v>
      </c>
      <c r="E333" s="162" t="s">
        <v>165</v>
      </c>
      <c r="F333" s="162" t="s">
        <v>2826</v>
      </c>
      <c r="G333" s="27">
        <v>13177721280</v>
      </c>
      <c r="H333" s="162" t="s">
        <v>2827</v>
      </c>
      <c r="I333" s="162" t="s">
        <v>278</v>
      </c>
      <c r="J333" s="162" t="s">
        <v>28</v>
      </c>
      <c r="K333" s="27">
        <v>202103001</v>
      </c>
      <c r="L333" s="162" t="s">
        <v>279</v>
      </c>
      <c r="M333" s="162" t="s">
        <v>1237</v>
      </c>
      <c r="N333" s="162" t="s">
        <v>280</v>
      </c>
      <c r="O333" s="162" t="s">
        <v>170</v>
      </c>
      <c r="P333" s="162" t="s">
        <v>261</v>
      </c>
      <c r="Q333" s="162" t="s">
        <v>340</v>
      </c>
      <c r="R333" s="27">
        <v>0</v>
      </c>
      <c r="S333" s="118" t="str">
        <f>_xlfn.DISPIMG("ID_F08BB5C3B75D4962A37212B4DDDA960C",1)</f>
        <v>=DISPIMG("ID_F08BB5C3B75D4962A37212B4DDDA960C",1)</v>
      </c>
      <c r="T333" s="115" t="s">
        <v>2828</v>
      </c>
      <c r="U333" s="27">
        <v>343</v>
      </c>
    </row>
    <row r="334" s="3" customFormat="1" customHeight="1" spans="1:21">
      <c r="A334" s="144">
        <v>44362.7792708333</v>
      </c>
      <c r="B334" s="27" t="s">
        <v>2829</v>
      </c>
      <c r="C334" s="27" t="s">
        <v>2830</v>
      </c>
      <c r="D334" s="162" t="s">
        <v>2831</v>
      </c>
      <c r="E334" s="162" t="s">
        <v>165</v>
      </c>
      <c r="F334" s="162" t="s">
        <v>2832</v>
      </c>
      <c r="G334" s="27">
        <v>17794516178</v>
      </c>
      <c r="H334" s="162" t="s">
        <v>2833</v>
      </c>
      <c r="I334" s="162" t="s">
        <v>268</v>
      </c>
      <c r="J334" s="162" t="s">
        <v>16</v>
      </c>
      <c r="K334" s="27">
        <v>202101011</v>
      </c>
      <c r="L334" s="162" t="s">
        <v>705</v>
      </c>
      <c r="M334" s="162" t="s">
        <v>2834</v>
      </c>
      <c r="N334" s="162" t="s">
        <v>1397</v>
      </c>
      <c r="O334" s="162" t="s">
        <v>160</v>
      </c>
      <c r="P334" s="162" t="s">
        <v>261</v>
      </c>
      <c r="Q334" s="162" t="s">
        <v>2835</v>
      </c>
      <c r="R334" s="27">
        <v>0</v>
      </c>
      <c r="S334" s="118" t="str">
        <f>_xlfn.DISPIMG("ID_012851E191D54E319B75F7300CFFD208",1)</f>
        <v>=DISPIMG("ID_012851E191D54E319B75F7300CFFD208",1)</v>
      </c>
      <c r="T334" s="115" t="s">
        <v>2836</v>
      </c>
      <c r="U334" s="27">
        <v>344</v>
      </c>
    </row>
    <row r="335" s="3" customFormat="1" customHeight="1" spans="1:21">
      <c r="A335" s="144">
        <v>44362.7820949074</v>
      </c>
      <c r="B335" s="27" t="s">
        <v>2837</v>
      </c>
      <c r="C335" s="27" t="s">
        <v>2838</v>
      </c>
      <c r="D335" s="162" t="s">
        <v>2839</v>
      </c>
      <c r="E335" s="162" t="s">
        <v>165</v>
      </c>
      <c r="F335" s="162" t="s">
        <v>2840</v>
      </c>
      <c r="G335" s="27">
        <v>15979055139</v>
      </c>
      <c r="H335" s="162" t="s">
        <v>2841</v>
      </c>
      <c r="I335" s="162" t="s">
        <v>156</v>
      </c>
      <c r="J335" s="162" t="s">
        <v>8</v>
      </c>
      <c r="K335" s="27">
        <v>202102002</v>
      </c>
      <c r="L335" s="162" t="s">
        <v>157</v>
      </c>
      <c r="M335" s="162" t="s">
        <v>827</v>
      </c>
      <c r="N335" s="162" t="s">
        <v>270</v>
      </c>
      <c r="O335" s="162" t="s">
        <v>170</v>
      </c>
      <c r="P335" s="162" t="s">
        <v>587</v>
      </c>
      <c r="Q335" s="162" t="s">
        <v>2842</v>
      </c>
      <c r="R335" s="162" t="s">
        <v>2843</v>
      </c>
      <c r="S335" s="118" t="str">
        <f>_xlfn.DISPIMG("ID_D0E61411E52441859AFE69B7874CA20C",1)</f>
        <v>=DISPIMG("ID_D0E61411E52441859AFE69B7874CA20C",1)</v>
      </c>
      <c r="T335" s="115" t="s">
        <v>2844</v>
      </c>
      <c r="U335" s="27">
        <v>345</v>
      </c>
    </row>
    <row r="336" s="3" customFormat="1" customHeight="1" spans="1:21">
      <c r="A336" s="144">
        <v>44362.7998726852</v>
      </c>
      <c r="B336" s="27" t="s">
        <v>2845</v>
      </c>
      <c r="C336" s="27" t="s">
        <v>2846</v>
      </c>
      <c r="D336" s="162" t="s">
        <v>2847</v>
      </c>
      <c r="E336" s="162" t="s">
        <v>165</v>
      </c>
      <c r="F336" s="162" t="s">
        <v>2848</v>
      </c>
      <c r="G336" s="27">
        <v>18720087898</v>
      </c>
      <c r="H336" s="162" t="s">
        <v>2849</v>
      </c>
      <c r="I336" s="162" t="s">
        <v>156</v>
      </c>
      <c r="J336" s="162" t="s">
        <v>8</v>
      </c>
      <c r="K336" s="27">
        <v>202102002</v>
      </c>
      <c r="L336" s="162" t="s">
        <v>157</v>
      </c>
      <c r="M336" s="162" t="s">
        <v>1654</v>
      </c>
      <c r="N336" s="162" t="s">
        <v>813</v>
      </c>
      <c r="O336" s="162" t="s">
        <v>160</v>
      </c>
      <c r="P336" s="162" t="s">
        <v>516</v>
      </c>
      <c r="Q336" s="162" t="s">
        <v>8</v>
      </c>
      <c r="R336" s="162" t="s">
        <v>2850</v>
      </c>
      <c r="S336" s="118" t="str">
        <f>_xlfn.DISPIMG("ID_B4574457B7EA4998BCE46939492C25E1",1)</f>
        <v>=DISPIMG("ID_B4574457B7EA4998BCE46939492C25E1",1)</v>
      </c>
      <c r="T336" s="115" t="s">
        <v>2851</v>
      </c>
      <c r="U336" s="27">
        <v>346</v>
      </c>
    </row>
    <row r="337" s="3" customFormat="1" customHeight="1" spans="1:21">
      <c r="A337" s="144">
        <v>44362.8000578704</v>
      </c>
      <c r="B337" s="27" t="s">
        <v>2852</v>
      </c>
      <c r="C337" s="27" t="s">
        <v>2853</v>
      </c>
      <c r="D337" s="162" t="s">
        <v>2854</v>
      </c>
      <c r="E337" s="162" t="s">
        <v>165</v>
      </c>
      <c r="F337" s="162" t="s">
        <v>2855</v>
      </c>
      <c r="G337" s="27">
        <v>18720256092</v>
      </c>
      <c r="H337" s="162" t="s">
        <v>2856</v>
      </c>
      <c r="I337" s="162" t="s">
        <v>278</v>
      </c>
      <c r="J337" s="162" t="s">
        <v>28</v>
      </c>
      <c r="K337" s="27">
        <v>202103001</v>
      </c>
      <c r="L337" s="162" t="s">
        <v>279</v>
      </c>
      <c r="M337" s="162" t="s">
        <v>2857</v>
      </c>
      <c r="N337" s="162" t="s">
        <v>586</v>
      </c>
      <c r="O337" s="162" t="s">
        <v>170</v>
      </c>
      <c r="P337" s="162" t="s">
        <v>235</v>
      </c>
      <c r="Q337" s="162" t="s">
        <v>586</v>
      </c>
      <c r="R337" s="162" t="s">
        <v>2858</v>
      </c>
      <c r="S337" s="118" t="str">
        <f>_xlfn.DISPIMG("ID_11ED1DBBC626428D97C7101FAED1566F",1)</f>
        <v>=DISPIMG("ID_11ED1DBBC626428D97C7101FAED1566F",1)</v>
      </c>
      <c r="T337" s="115" t="s">
        <v>2859</v>
      </c>
      <c r="U337" s="27">
        <v>347</v>
      </c>
    </row>
    <row r="338" s="3" customFormat="1" customHeight="1" spans="1:21">
      <c r="A338" s="144">
        <v>44362.816724537</v>
      </c>
      <c r="B338" s="27" t="s">
        <v>2860</v>
      </c>
      <c r="C338" s="27" t="s">
        <v>2861</v>
      </c>
      <c r="D338" s="162" t="s">
        <v>2862</v>
      </c>
      <c r="E338" s="162" t="s">
        <v>165</v>
      </c>
      <c r="F338" s="162" t="s">
        <v>2863</v>
      </c>
      <c r="G338" s="27">
        <v>16623154389</v>
      </c>
      <c r="H338" s="162" t="s">
        <v>2864</v>
      </c>
      <c r="I338" s="162" t="s">
        <v>278</v>
      </c>
      <c r="J338" s="162" t="s">
        <v>28</v>
      </c>
      <c r="K338" s="27">
        <v>202103001</v>
      </c>
      <c r="L338" s="162" t="s">
        <v>585</v>
      </c>
      <c r="M338" s="162" t="s">
        <v>2865</v>
      </c>
      <c r="N338" s="162" t="s">
        <v>280</v>
      </c>
      <c r="O338" s="162" t="s">
        <v>170</v>
      </c>
      <c r="P338" s="162" t="s">
        <v>577</v>
      </c>
      <c r="Q338" s="162" t="s">
        <v>2866</v>
      </c>
      <c r="R338" s="162" t="s">
        <v>2867</v>
      </c>
      <c r="S338" s="118" t="str">
        <f>_xlfn.DISPIMG("ID_2A4EA762BC734560A58995F31757BD03",1)</f>
        <v>=DISPIMG("ID_2A4EA762BC734560A58995F31757BD03",1)</v>
      </c>
      <c r="T338" s="115" t="s">
        <v>2868</v>
      </c>
      <c r="U338" s="27">
        <v>348</v>
      </c>
    </row>
    <row r="339" s="3" customFormat="1" customHeight="1" spans="1:21">
      <c r="A339" s="144">
        <v>44362.8249884259</v>
      </c>
      <c r="B339" s="27" t="s">
        <v>2869</v>
      </c>
      <c r="C339" s="27" t="s">
        <v>2870</v>
      </c>
      <c r="D339" s="162" t="s">
        <v>2871</v>
      </c>
      <c r="E339" s="162" t="s">
        <v>165</v>
      </c>
      <c r="F339" s="162" t="s">
        <v>2872</v>
      </c>
      <c r="G339" s="27">
        <v>15135136743</v>
      </c>
      <c r="H339" s="162" t="s">
        <v>2873</v>
      </c>
      <c r="I339" s="162" t="s">
        <v>156</v>
      </c>
      <c r="J339" s="162" t="s">
        <v>3</v>
      </c>
      <c r="K339" s="27">
        <v>202102009</v>
      </c>
      <c r="L339" s="162" t="s">
        <v>157</v>
      </c>
      <c r="M339" s="162" t="s">
        <v>2874</v>
      </c>
      <c r="N339" s="162" t="s">
        <v>169</v>
      </c>
      <c r="O339" s="162" t="s">
        <v>170</v>
      </c>
      <c r="P339" s="162" t="s">
        <v>171</v>
      </c>
      <c r="Q339" s="162" t="s">
        <v>1425</v>
      </c>
      <c r="R339" s="27">
        <v>0</v>
      </c>
      <c r="S339" s="118" t="str">
        <f>_xlfn.DISPIMG("ID_16C7080DFBEB4260AD8944B9B8A16C63",1)</f>
        <v>=DISPIMG("ID_16C7080DFBEB4260AD8944B9B8A16C63",1)</v>
      </c>
      <c r="T339" s="115" t="s">
        <v>2875</v>
      </c>
      <c r="U339" s="27">
        <v>349</v>
      </c>
    </row>
    <row r="340" s="3" customFormat="1" customHeight="1" spans="1:21">
      <c r="A340" s="144">
        <v>44362.8324884259</v>
      </c>
      <c r="B340" s="27" t="s">
        <v>2876</v>
      </c>
      <c r="C340" s="27" t="s">
        <v>2877</v>
      </c>
      <c r="D340" s="162" t="s">
        <v>2878</v>
      </c>
      <c r="E340" s="162" t="s">
        <v>165</v>
      </c>
      <c r="F340" s="162" t="s">
        <v>2879</v>
      </c>
      <c r="G340" s="27">
        <v>17310085449</v>
      </c>
      <c r="H340" s="162" t="s">
        <v>2880</v>
      </c>
      <c r="I340" s="162" t="s">
        <v>156</v>
      </c>
      <c r="J340" s="162" t="s">
        <v>4</v>
      </c>
      <c r="K340" s="27">
        <v>202102005</v>
      </c>
      <c r="L340" s="162" t="s">
        <v>157</v>
      </c>
      <c r="M340" s="162" t="s">
        <v>385</v>
      </c>
      <c r="N340" s="162" t="s">
        <v>2881</v>
      </c>
      <c r="O340" s="162" t="s">
        <v>170</v>
      </c>
      <c r="P340" s="162" t="s">
        <v>306</v>
      </c>
      <c r="Q340" s="162" t="s">
        <v>2882</v>
      </c>
      <c r="R340" s="162" t="s">
        <v>2883</v>
      </c>
      <c r="S340" s="118" t="str">
        <f>_xlfn.DISPIMG("ID_EC7DE1A270244013822D2AF30798D0D0",1)</f>
        <v>=DISPIMG("ID_EC7DE1A270244013822D2AF30798D0D0",1)</v>
      </c>
      <c r="T340" s="115" t="s">
        <v>2884</v>
      </c>
      <c r="U340" s="27">
        <v>350</v>
      </c>
    </row>
    <row r="341" s="3" customFormat="1" customHeight="1" spans="1:21">
      <c r="A341" s="144">
        <v>44362.8445023148</v>
      </c>
      <c r="B341" s="27" t="s">
        <v>2885</v>
      </c>
      <c r="C341" s="27" t="s">
        <v>2886</v>
      </c>
      <c r="D341" s="162" t="s">
        <v>2887</v>
      </c>
      <c r="E341" s="162" t="s">
        <v>165</v>
      </c>
      <c r="F341" s="162" t="s">
        <v>2888</v>
      </c>
      <c r="G341" s="27">
        <v>15879243291</v>
      </c>
      <c r="H341" s="162" t="s">
        <v>2889</v>
      </c>
      <c r="I341" s="162" t="s">
        <v>278</v>
      </c>
      <c r="J341" s="162" t="s">
        <v>28</v>
      </c>
      <c r="K341" s="27">
        <v>202103001</v>
      </c>
      <c r="L341" s="162" t="s">
        <v>279</v>
      </c>
      <c r="M341" s="162" t="s">
        <v>2890</v>
      </c>
      <c r="N341" s="162" t="s">
        <v>280</v>
      </c>
      <c r="O341" s="162" t="s">
        <v>170</v>
      </c>
      <c r="P341" s="162" t="s">
        <v>261</v>
      </c>
      <c r="Q341" s="162" t="s">
        <v>2462</v>
      </c>
      <c r="R341" s="162" t="s">
        <v>2891</v>
      </c>
      <c r="S341" s="118" t="str">
        <f>_xlfn.DISPIMG("ID_0C2059A8D9A84C38B1CE4EFB24FA358E",1)</f>
        <v>=DISPIMG("ID_0C2059A8D9A84C38B1CE4EFB24FA358E",1)</v>
      </c>
      <c r="T341" s="115" t="s">
        <v>2892</v>
      </c>
      <c r="U341" s="27">
        <v>351</v>
      </c>
    </row>
    <row r="342" s="3" customFormat="1" customHeight="1" spans="1:21">
      <c r="A342" s="144">
        <v>44362.8559837963</v>
      </c>
      <c r="B342" s="27" t="s">
        <v>2893</v>
      </c>
      <c r="C342" s="27" t="s">
        <v>2894</v>
      </c>
      <c r="D342" s="162" t="s">
        <v>2895</v>
      </c>
      <c r="E342" s="162" t="s">
        <v>165</v>
      </c>
      <c r="F342" s="162" t="s">
        <v>2896</v>
      </c>
      <c r="G342" s="27">
        <v>13667020095</v>
      </c>
      <c r="H342" s="162" t="s">
        <v>2897</v>
      </c>
      <c r="I342" s="162" t="s">
        <v>156</v>
      </c>
      <c r="J342" s="162" t="s">
        <v>13</v>
      </c>
      <c r="K342" s="27">
        <v>202102003</v>
      </c>
      <c r="L342" s="162" t="s">
        <v>157</v>
      </c>
      <c r="M342" s="162" t="s">
        <v>1413</v>
      </c>
      <c r="N342" s="162" t="s">
        <v>298</v>
      </c>
      <c r="O342" s="162" t="s">
        <v>160</v>
      </c>
      <c r="P342" s="162" t="s">
        <v>455</v>
      </c>
      <c r="Q342" s="162" t="s">
        <v>13</v>
      </c>
      <c r="R342" s="27">
        <v>0</v>
      </c>
      <c r="S342" s="118" t="str">
        <f>_xlfn.DISPIMG("ID_C271EED4B7664E51B0603E12A2C5BA93",1)</f>
        <v>=DISPIMG("ID_C271EED4B7664E51B0603E12A2C5BA93",1)</v>
      </c>
      <c r="T342" s="115" t="s">
        <v>2898</v>
      </c>
      <c r="U342" s="27">
        <v>352</v>
      </c>
    </row>
    <row r="343" s="3" customFormat="1" customHeight="1" spans="1:21">
      <c r="A343" s="144">
        <v>44362.8740625</v>
      </c>
      <c r="B343" s="27" t="s">
        <v>2899</v>
      </c>
      <c r="C343" s="27" t="s">
        <v>2900</v>
      </c>
      <c r="D343" s="162" t="s">
        <v>2901</v>
      </c>
      <c r="E343" s="162" t="s">
        <v>165</v>
      </c>
      <c r="F343" s="162" t="s">
        <v>2902</v>
      </c>
      <c r="G343" s="27">
        <v>18070124707</v>
      </c>
      <c r="H343" s="162" t="s">
        <v>2903</v>
      </c>
      <c r="I343" s="162" t="s">
        <v>156</v>
      </c>
      <c r="J343" s="162" t="s">
        <v>13</v>
      </c>
      <c r="K343" s="27">
        <v>202102003</v>
      </c>
      <c r="L343" s="162" t="s">
        <v>157</v>
      </c>
      <c r="M343" s="162" t="s">
        <v>2904</v>
      </c>
      <c r="N343" s="162" t="s">
        <v>2379</v>
      </c>
      <c r="O343" s="162" t="s">
        <v>160</v>
      </c>
      <c r="P343" s="162" t="s">
        <v>396</v>
      </c>
      <c r="Q343" s="162" t="s">
        <v>13</v>
      </c>
      <c r="R343" s="27">
        <v>0</v>
      </c>
      <c r="S343" s="118" t="str">
        <f>_xlfn.DISPIMG("ID_C611D78CF3534BF4A6063B88C3B55BD9",1)</f>
        <v>=DISPIMG("ID_C611D78CF3534BF4A6063B88C3B55BD9",1)</v>
      </c>
      <c r="T343" s="115" t="s">
        <v>2905</v>
      </c>
      <c r="U343" s="27">
        <v>353</v>
      </c>
    </row>
    <row r="344" s="3" customFormat="1" customHeight="1" spans="1:21">
      <c r="A344" s="144">
        <v>44362.8913078704</v>
      </c>
      <c r="B344" s="27" t="s">
        <v>2906</v>
      </c>
      <c r="C344" s="27" t="s">
        <v>2907</v>
      </c>
      <c r="D344" s="162" t="s">
        <v>2908</v>
      </c>
      <c r="E344" s="162" t="s">
        <v>165</v>
      </c>
      <c r="F344" s="162" t="s">
        <v>2909</v>
      </c>
      <c r="G344" s="27">
        <v>15180608812</v>
      </c>
      <c r="H344" s="162" t="s">
        <v>2910</v>
      </c>
      <c r="I344" s="162" t="s">
        <v>278</v>
      </c>
      <c r="J344" s="162" t="s">
        <v>28</v>
      </c>
      <c r="K344" s="27">
        <v>202103001</v>
      </c>
      <c r="L344" s="162" t="s">
        <v>279</v>
      </c>
      <c r="M344" s="162" t="s">
        <v>732</v>
      </c>
      <c r="N344" s="162" t="s">
        <v>280</v>
      </c>
      <c r="O344" s="162" t="s">
        <v>170</v>
      </c>
      <c r="P344" s="162" t="s">
        <v>216</v>
      </c>
      <c r="Q344" s="162" t="s">
        <v>340</v>
      </c>
      <c r="R344" s="162" t="s">
        <v>2911</v>
      </c>
      <c r="S344" s="118" t="str">
        <f>_xlfn.DISPIMG("ID_2372D216C4084B2F90A1624776C89F44",1)</f>
        <v>=DISPIMG("ID_2372D216C4084B2F90A1624776C89F44",1)</v>
      </c>
      <c r="T344" s="115" t="s">
        <v>2912</v>
      </c>
      <c r="U344" s="27">
        <v>354</v>
      </c>
    </row>
    <row r="345" s="3" customFormat="1" customHeight="1" spans="1:21">
      <c r="A345" s="144">
        <v>44362.8942476852</v>
      </c>
      <c r="B345" s="27" t="s">
        <v>2913</v>
      </c>
      <c r="C345" s="27" t="s">
        <v>2914</v>
      </c>
      <c r="D345" s="162" t="s">
        <v>2915</v>
      </c>
      <c r="E345" s="162" t="s">
        <v>165</v>
      </c>
      <c r="F345" s="162" t="s">
        <v>2916</v>
      </c>
      <c r="G345" s="27">
        <v>18779224246</v>
      </c>
      <c r="H345" s="162" t="s">
        <v>2917</v>
      </c>
      <c r="I345" s="162" t="s">
        <v>506</v>
      </c>
      <c r="J345" s="162" t="s">
        <v>15</v>
      </c>
      <c r="K345" s="27">
        <v>202102019</v>
      </c>
      <c r="L345" s="162" t="s">
        <v>279</v>
      </c>
      <c r="M345" s="162" t="s">
        <v>367</v>
      </c>
      <c r="N345" s="162" t="s">
        <v>348</v>
      </c>
      <c r="O345" s="162" t="s">
        <v>170</v>
      </c>
      <c r="P345" s="162" t="s">
        <v>180</v>
      </c>
      <c r="Q345" s="162" t="s">
        <v>2918</v>
      </c>
      <c r="R345" s="27">
        <v>0</v>
      </c>
      <c r="S345" s="118" t="str">
        <f>_xlfn.DISPIMG("ID_0C4A3B774E384F888DCC2803C749C7F6",1)</f>
        <v>=DISPIMG("ID_0C4A3B774E384F888DCC2803C749C7F6",1)</v>
      </c>
      <c r="T345" s="115" t="s">
        <v>2919</v>
      </c>
      <c r="U345" s="27">
        <v>355</v>
      </c>
    </row>
    <row r="346" s="3" customFormat="1" customHeight="1" spans="1:21">
      <c r="A346" s="144">
        <v>44362.8989814815</v>
      </c>
      <c r="B346" s="27" t="s">
        <v>2920</v>
      </c>
      <c r="C346" s="27" t="s">
        <v>2921</v>
      </c>
      <c r="D346" s="162" t="s">
        <v>2922</v>
      </c>
      <c r="E346" s="162" t="s">
        <v>165</v>
      </c>
      <c r="F346" s="162" t="s">
        <v>2923</v>
      </c>
      <c r="G346" s="27">
        <v>18079240698</v>
      </c>
      <c r="H346" s="162" t="s">
        <v>2924</v>
      </c>
      <c r="I346" s="162" t="s">
        <v>156</v>
      </c>
      <c r="J346" s="162" t="s">
        <v>6</v>
      </c>
      <c r="K346" s="27">
        <v>202102012</v>
      </c>
      <c r="L346" s="162" t="s">
        <v>157</v>
      </c>
      <c r="M346" s="162" t="s">
        <v>322</v>
      </c>
      <c r="N346" s="162" t="s">
        <v>2268</v>
      </c>
      <c r="O346" s="162" t="s">
        <v>160</v>
      </c>
      <c r="P346" s="162" t="s">
        <v>455</v>
      </c>
      <c r="Q346" s="162" t="s">
        <v>2925</v>
      </c>
      <c r="R346" s="27">
        <v>0</v>
      </c>
      <c r="S346" s="118" t="str">
        <f>_xlfn.DISPIMG("ID_40B4A1C67261465298C744E0F0D93767",1)</f>
        <v>=DISPIMG("ID_40B4A1C67261465298C744E0F0D93767",1)</v>
      </c>
      <c r="T346" s="115" t="s">
        <v>2926</v>
      </c>
      <c r="U346" s="27">
        <v>356</v>
      </c>
    </row>
    <row r="347" s="3" customFormat="1" customHeight="1" spans="1:21">
      <c r="A347" s="144">
        <v>44362.9068055556</v>
      </c>
      <c r="B347" s="27" t="s">
        <v>2928</v>
      </c>
      <c r="C347" s="27" t="s">
        <v>2179</v>
      </c>
      <c r="D347" s="162" t="s">
        <v>2180</v>
      </c>
      <c r="E347" s="162" t="s">
        <v>153</v>
      </c>
      <c r="F347" s="162" t="s">
        <v>2181</v>
      </c>
      <c r="G347" s="27">
        <v>18779219080</v>
      </c>
      <c r="H347" s="162" t="s">
        <v>2182</v>
      </c>
      <c r="I347" s="162" t="s">
        <v>506</v>
      </c>
      <c r="J347" s="162" t="s">
        <v>8</v>
      </c>
      <c r="K347" s="27">
        <v>202102015</v>
      </c>
      <c r="L347" s="162" t="s">
        <v>279</v>
      </c>
      <c r="M347" s="162" t="s">
        <v>158</v>
      </c>
      <c r="N347" s="162" t="s">
        <v>497</v>
      </c>
      <c r="O347" s="162" t="s">
        <v>170</v>
      </c>
      <c r="P347" s="162" t="s">
        <v>919</v>
      </c>
      <c r="Q347" s="162" t="s">
        <v>2183</v>
      </c>
      <c r="R347" s="162" t="s">
        <v>2184</v>
      </c>
      <c r="S347" s="118" t="str">
        <f>_xlfn.DISPIMG("ID_59BF2512FDA845A780519BF3EE363C98",1)</f>
        <v>=DISPIMG("ID_59BF2512FDA845A780519BF3EE363C98",1)</v>
      </c>
      <c r="T347" s="115" t="s">
        <v>2185</v>
      </c>
      <c r="U347" s="27">
        <v>358</v>
      </c>
    </row>
    <row r="348" s="6" customFormat="1" customHeight="1" spans="1:21">
      <c r="A348" s="144">
        <v>44362.9097916667</v>
      </c>
      <c r="B348" s="27" t="s">
        <v>2929</v>
      </c>
      <c r="C348" s="27" t="s">
        <v>2673</v>
      </c>
      <c r="D348" s="162" t="s">
        <v>2674</v>
      </c>
      <c r="E348" s="162" t="s">
        <v>165</v>
      </c>
      <c r="F348" s="162" t="s">
        <v>2675</v>
      </c>
      <c r="G348" s="27">
        <v>18000227120</v>
      </c>
      <c r="H348" s="162" t="s">
        <v>2676</v>
      </c>
      <c r="I348" s="162" t="s">
        <v>297</v>
      </c>
      <c r="J348" s="162" t="s">
        <v>25</v>
      </c>
      <c r="K348" s="27">
        <v>202101008</v>
      </c>
      <c r="L348" s="162" t="s">
        <v>157</v>
      </c>
      <c r="M348" s="162" t="s">
        <v>269</v>
      </c>
      <c r="N348" s="162" t="s">
        <v>2677</v>
      </c>
      <c r="O348" s="162" t="s">
        <v>160</v>
      </c>
      <c r="P348" s="162" t="s">
        <v>224</v>
      </c>
      <c r="Q348" s="162" t="s">
        <v>25</v>
      </c>
      <c r="R348" s="162" t="s">
        <v>2678</v>
      </c>
      <c r="S348" s="118" t="str">
        <f>_xlfn.DISPIMG("ID_03E1DAA8D63B4AFF99883CCD0E6E65E6",1)</f>
        <v>=DISPIMG("ID_03E1DAA8D63B4AFF99883CCD0E6E65E6",1)</v>
      </c>
      <c r="T348" s="115" t="s">
        <v>2679</v>
      </c>
      <c r="U348" s="27">
        <v>359</v>
      </c>
    </row>
    <row r="349" s="6" customFormat="1" customHeight="1" spans="1:21">
      <c r="A349" s="144">
        <v>44362.9140277778</v>
      </c>
      <c r="B349" s="27" t="s">
        <v>2930</v>
      </c>
      <c r="C349" s="27" t="s">
        <v>2931</v>
      </c>
      <c r="D349" s="162" t="s">
        <v>2932</v>
      </c>
      <c r="E349" s="162" t="s">
        <v>165</v>
      </c>
      <c r="F349" s="162" t="s">
        <v>2933</v>
      </c>
      <c r="G349" s="27">
        <v>13870255583</v>
      </c>
      <c r="H349" s="162" t="s">
        <v>2934</v>
      </c>
      <c r="I349" s="162" t="s">
        <v>156</v>
      </c>
      <c r="J349" s="162" t="s">
        <v>13</v>
      </c>
      <c r="K349" s="27">
        <v>202102003</v>
      </c>
      <c r="L349" s="162" t="s">
        <v>157</v>
      </c>
      <c r="M349" s="162" t="s">
        <v>385</v>
      </c>
      <c r="N349" s="162" t="s">
        <v>1832</v>
      </c>
      <c r="O349" s="162" t="s">
        <v>160</v>
      </c>
      <c r="P349" s="162" t="s">
        <v>2935</v>
      </c>
      <c r="Q349" s="162" t="s">
        <v>487</v>
      </c>
      <c r="R349" s="162" t="s">
        <v>2936</v>
      </c>
      <c r="S349" s="118" t="str">
        <f>_xlfn.DISPIMG("ID_63C75D62D3BC4F35AC4FD3D224F21D03",1)</f>
        <v>=DISPIMG("ID_63C75D62D3BC4F35AC4FD3D224F21D03",1)</v>
      </c>
      <c r="T349" s="115" t="s">
        <v>2937</v>
      </c>
      <c r="U349" s="27">
        <v>360</v>
      </c>
    </row>
    <row r="350" s="3" customFormat="1" customHeight="1" spans="1:21">
      <c r="A350" s="144">
        <v>44362.9159259259</v>
      </c>
      <c r="B350" s="27" t="s">
        <v>2938</v>
      </c>
      <c r="C350" s="27" t="s">
        <v>2939</v>
      </c>
      <c r="D350" s="162" t="s">
        <v>2940</v>
      </c>
      <c r="E350" s="162" t="s">
        <v>153</v>
      </c>
      <c r="F350" s="162" t="s">
        <v>2941</v>
      </c>
      <c r="G350" s="27">
        <v>18679635856</v>
      </c>
      <c r="H350" s="162" t="s">
        <v>2942</v>
      </c>
      <c r="I350" s="162" t="s">
        <v>156</v>
      </c>
      <c r="J350" s="162" t="s">
        <v>10</v>
      </c>
      <c r="K350" s="27">
        <v>202102004</v>
      </c>
      <c r="L350" s="162" t="s">
        <v>157</v>
      </c>
      <c r="M350" s="162" t="s">
        <v>2943</v>
      </c>
      <c r="N350" s="162" t="s">
        <v>2093</v>
      </c>
      <c r="O350" s="162" t="s">
        <v>160</v>
      </c>
      <c r="P350" s="162" t="s">
        <v>587</v>
      </c>
      <c r="Q350" s="162" t="s">
        <v>10</v>
      </c>
      <c r="R350" s="27">
        <v>0</v>
      </c>
      <c r="S350" s="118" t="str">
        <f>_xlfn.DISPIMG("ID_5CF4EBD7502F4485844CA64AA4EECF8E",1)</f>
        <v>=DISPIMG("ID_5CF4EBD7502F4485844CA64AA4EECF8E",1)</v>
      </c>
      <c r="T350" s="115" t="s">
        <v>2944</v>
      </c>
      <c r="U350" s="27">
        <v>361</v>
      </c>
    </row>
    <row r="351" s="3" customFormat="1" customHeight="1" spans="1:21">
      <c r="A351" s="144">
        <v>44362.9181481482</v>
      </c>
      <c r="B351" s="27" t="s">
        <v>2945</v>
      </c>
      <c r="C351" s="27" t="s">
        <v>2946</v>
      </c>
      <c r="D351" s="162" t="s">
        <v>2947</v>
      </c>
      <c r="E351" s="162" t="s">
        <v>165</v>
      </c>
      <c r="F351" s="162" t="s">
        <v>2948</v>
      </c>
      <c r="G351" s="27">
        <v>17370852983</v>
      </c>
      <c r="H351" s="162" t="s">
        <v>2949</v>
      </c>
      <c r="I351" s="162" t="s">
        <v>156</v>
      </c>
      <c r="J351" s="162" t="s">
        <v>8</v>
      </c>
      <c r="K351" s="27">
        <v>202102002</v>
      </c>
      <c r="L351" s="162" t="s">
        <v>157</v>
      </c>
      <c r="M351" s="162" t="s">
        <v>611</v>
      </c>
      <c r="N351" s="162" t="s">
        <v>1832</v>
      </c>
      <c r="O351" s="162" t="s">
        <v>160</v>
      </c>
      <c r="P351" s="162" t="s">
        <v>306</v>
      </c>
      <c r="Q351" s="162" t="s">
        <v>2950</v>
      </c>
      <c r="R351" s="162" t="s">
        <v>2951</v>
      </c>
      <c r="S351" s="118" t="str">
        <f>_xlfn.DISPIMG("ID_53C3410979BA49538F1410917AAC183C",1)</f>
        <v>=DISPIMG("ID_53C3410979BA49538F1410917AAC183C",1)</v>
      </c>
      <c r="T351" s="115" t="s">
        <v>2952</v>
      </c>
      <c r="U351" s="27">
        <v>362</v>
      </c>
    </row>
    <row r="352" s="3" customFormat="1" customHeight="1" spans="1:21">
      <c r="A352" s="144">
        <v>44362.9447569444</v>
      </c>
      <c r="B352" s="27" t="s">
        <v>2953</v>
      </c>
      <c r="C352" s="27" t="s">
        <v>2954</v>
      </c>
      <c r="D352" s="162" t="s">
        <v>2955</v>
      </c>
      <c r="E352" s="162" t="s">
        <v>165</v>
      </c>
      <c r="F352" s="162" t="s">
        <v>2956</v>
      </c>
      <c r="G352" s="27">
        <v>18000230267</v>
      </c>
      <c r="H352" s="162" t="s">
        <v>2957</v>
      </c>
      <c r="I352" s="162" t="s">
        <v>384</v>
      </c>
      <c r="J352" s="162" t="s">
        <v>13</v>
      </c>
      <c r="K352" s="27">
        <v>202102003</v>
      </c>
      <c r="L352" s="162" t="s">
        <v>157</v>
      </c>
      <c r="M352" s="162" t="s">
        <v>158</v>
      </c>
      <c r="N352" s="162" t="s">
        <v>179</v>
      </c>
      <c r="O352" s="162" t="s">
        <v>160</v>
      </c>
      <c r="P352" s="162" t="s">
        <v>171</v>
      </c>
      <c r="Q352" s="162" t="s">
        <v>1156</v>
      </c>
      <c r="R352" s="27">
        <v>0</v>
      </c>
      <c r="S352" s="118" t="str">
        <f>_xlfn.DISPIMG("ID_89E1C4B49DA543108DA428FD2BB17935",1)</f>
        <v>=DISPIMG("ID_89E1C4B49DA543108DA428FD2BB17935",1)</v>
      </c>
      <c r="T352" s="115" t="s">
        <v>2958</v>
      </c>
      <c r="U352" s="27">
        <v>363</v>
      </c>
    </row>
    <row r="353" s="3" customFormat="1" customHeight="1" spans="1:21">
      <c r="A353" s="144">
        <v>44362.9473263889</v>
      </c>
      <c r="B353" s="27" t="s">
        <v>2959</v>
      </c>
      <c r="C353" s="27" t="s">
        <v>2960</v>
      </c>
      <c r="D353" s="162" t="s">
        <v>2961</v>
      </c>
      <c r="E353" s="162" t="s">
        <v>153</v>
      </c>
      <c r="F353" s="162" t="s">
        <v>2962</v>
      </c>
      <c r="G353" s="27">
        <v>15180672774</v>
      </c>
      <c r="H353" s="162" t="s">
        <v>2963</v>
      </c>
      <c r="I353" s="162" t="s">
        <v>268</v>
      </c>
      <c r="J353" s="162" t="s">
        <v>16</v>
      </c>
      <c r="K353" s="27">
        <v>202101011</v>
      </c>
      <c r="L353" s="162" t="s">
        <v>157</v>
      </c>
      <c r="M353" s="162" t="s">
        <v>385</v>
      </c>
      <c r="N353" s="162" t="s">
        <v>2964</v>
      </c>
      <c r="O353" s="162" t="s">
        <v>170</v>
      </c>
      <c r="P353" s="162" t="s">
        <v>161</v>
      </c>
      <c r="Q353" s="162" t="s">
        <v>1156</v>
      </c>
      <c r="R353" s="162" t="s">
        <v>2965</v>
      </c>
      <c r="S353" s="118" t="str">
        <f>_xlfn.DISPIMG("ID_7E33BA02CEC345A989E0186D8EADFECF",1)</f>
        <v>=DISPIMG("ID_7E33BA02CEC345A989E0186D8EADFECF",1)</v>
      </c>
      <c r="T353" s="115" t="s">
        <v>2966</v>
      </c>
      <c r="U353" s="27">
        <v>364</v>
      </c>
    </row>
    <row r="354" s="3" customFormat="1" customHeight="1" spans="1:21">
      <c r="A354" s="144">
        <v>44362.9737847222</v>
      </c>
      <c r="B354" s="27" t="s">
        <v>2967</v>
      </c>
      <c r="C354" s="27" t="s">
        <v>2968</v>
      </c>
      <c r="D354" s="162" t="s">
        <v>2969</v>
      </c>
      <c r="E354" s="162" t="s">
        <v>153</v>
      </c>
      <c r="F354" s="162" t="s">
        <v>2970</v>
      </c>
      <c r="G354" s="27">
        <v>18579193689</v>
      </c>
      <c r="H354" s="162" t="s">
        <v>2971</v>
      </c>
      <c r="I354" s="162" t="s">
        <v>268</v>
      </c>
      <c r="J354" s="162" t="s">
        <v>21</v>
      </c>
      <c r="K354" s="27">
        <v>202101022</v>
      </c>
      <c r="L354" s="162" t="s">
        <v>157</v>
      </c>
      <c r="M354" s="162" t="s">
        <v>827</v>
      </c>
      <c r="N354" s="162" t="s">
        <v>682</v>
      </c>
      <c r="O354" s="162" t="s">
        <v>170</v>
      </c>
      <c r="P354" s="162" t="s">
        <v>252</v>
      </c>
      <c r="Q354" s="162" t="s">
        <v>2972</v>
      </c>
      <c r="R354" s="27">
        <v>0</v>
      </c>
      <c r="S354" s="118" t="str">
        <f>_xlfn.DISPIMG("ID_99E38CC0E4B2437A8E74F9D976F948B9",1)</f>
        <v>=DISPIMG("ID_99E38CC0E4B2437A8E74F9D976F948B9",1)</v>
      </c>
      <c r="T354" s="115" t="s">
        <v>2973</v>
      </c>
      <c r="U354" s="27">
        <v>365</v>
      </c>
    </row>
    <row r="355" s="3" customFormat="1" customHeight="1" spans="1:21">
      <c r="A355" s="144">
        <v>44362.9752430556</v>
      </c>
      <c r="B355" s="27" t="s">
        <v>2974</v>
      </c>
      <c r="C355" s="27" t="s">
        <v>2975</v>
      </c>
      <c r="D355" s="162" t="s">
        <v>2976</v>
      </c>
      <c r="E355" s="162" t="s">
        <v>165</v>
      </c>
      <c r="F355" s="162" t="s">
        <v>2977</v>
      </c>
      <c r="G355" s="27">
        <v>18370138345</v>
      </c>
      <c r="H355" s="162" t="s">
        <v>2978</v>
      </c>
      <c r="I355" s="162" t="s">
        <v>156</v>
      </c>
      <c r="J355" s="162" t="s">
        <v>14</v>
      </c>
      <c r="K355" s="27">
        <v>202101001</v>
      </c>
      <c r="L355" s="162" t="s">
        <v>279</v>
      </c>
      <c r="M355" s="162" t="s">
        <v>367</v>
      </c>
      <c r="N355" s="162" t="s">
        <v>348</v>
      </c>
      <c r="O355" s="162" t="s">
        <v>170</v>
      </c>
      <c r="P355" s="162" t="s">
        <v>199</v>
      </c>
      <c r="Q355" s="162" t="s">
        <v>2031</v>
      </c>
      <c r="R355" s="162" t="s">
        <v>2979</v>
      </c>
      <c r="S355" s="118" t="str">
        <f>_xlfn.DISPIMG("ID_4F34FA9D170F4006AB964A8F2850EA2E",1)</f>
        <v>=DISPIMG("ID_4F34FA9D170F4006AB964A8F2850EA2E",1)</v>
      </c>
      <c r="T355" s="115" t="s">
        <v>2980</v>
      </c>
      <c r="U355" s="27">
        <v>366</v>
      </c>
    </row>
    <row r="356" s="3" customFormat="1" customHeight="1" spans="1:21">
      <c r="A356" s="144">
        <v>44362.9911342593</v>
      </c>
      <c r="B356" s="27" t="s">
        <v>2981</v>
      </c>
      <c r="C356" s="27" t="s">
        <v>2982</v>
      </c>
      <c r="D356" s="162" t="s">
        <v>2983</v>
      </c>
      <c r="E356" s="162" t="s">
        <v>165</v>
      </c>
      <c r="F356" s="162" t="s">
        <v>2984</v>
      </c>
      <c r="G356" s="27">
        <v>13699860392</v>
      </c>
      <c r="H356" s="162" t="s">
        <v>2985</v>
      </c>
      <c r="I356" s="162" t="s">
        <v>156</v>
      </c>
      <c r="J356" s="162" t="s">
        <v>8</v>
      </c>
      <c r="K356" s="27">
        <v>202102002</v>
      </c>
      <c r="L356" s="162" t="s">
        <v>157</v>
      </c>
      <c r="M356" s="162" t="s">
        <v>187</v>
      </c>
      <c r="N356" s="162" t="s">
        <v>2986</v>
      </c>
      <c r="O356" s="162" t="s">
        <v>160</v>
      </c>
      <c r="P356" s="162" t="s">
        <v>516</v>
      </c>
      <c r="Q356" s="162" t="s">
        <v>20</v>
      </c>
      <c r="R356" s="162" t="s">
        <v>2987</v>
      </c>
      <c r="S356" s="118" t="str">
        <f>_xlfn.DISPIMG("ID_60E91D8703D740D9A8AE531BE158A22D",1)</f>
        <v>=DISPIMG("ID_60E91D8703D740D9A8AE531BE158A22D",1)</v>
      </c>
      <c r="T356" s="115" t="s">
        <v>2988</v>
      </c>
      <c r="U356" s="27">
        <v>367</v>
      </c>
    </row>
    <row r="357" s="3" customFormat="1" customHeight="1" spans="1:21">
      <c r="A357" s="144">
        <v>44363.0033449074</v>
      </c>
      <c r="B357" s="27" t="s">
        <v>2989</v>
      </c>
      <c r="C357" s="27" t="s">
        <v>2990</v>
      </c>
      <c r="D357" s="162" t="s">
        <v>2991</v>
      </c>
      <c r="E357" s="162" t="s">
        <v>165</v>
      </c>
      <c r="F357" s="162" t="s">
        <v>2992</v>
      </c>
      <c r="G357" s="27">
        <v>18720220590</v>
      </c>
      <c r="H357" s="162" t="s">
        <v>2993</v>
      </c>
      <c r="I357" s="162" t="s">
        <v>156</v>
      </c>
      <c r="J357" s="162" t="s">
        <v>14</v>
      </c>
      <c r="K357" s="27">
        <v>202102001</v>
      </c>
      <c r="L357" s="162" t="s">
        <v>157</v>
      </c>
      <c r="M357" s="162" t="s">
        <v>611</v>
      </c>
      <c r="N357" s="162" t="s">
        <v>179</v>
      </c>
      <c r="O357" s="162" t="s">
        <v>160</v>
      </c>
      <c r="P357" s="162" t="s">
        <v>216</v>
      </c>
      <c r="Q357" s="162" t="s">
        <v>14</v>
      </c>
      <c r="R357" s="27">
        <v>0</v>
      </c>
      <c r="S357" s="118" t="str">
        <f>_xlfn.DISPIMG("ID_AFAEC7F47E5847F688912010DE531FF7",1)</f>
        <v>=DISPIMG("ID_AFAEC7F47E5847F688912010DE531FF7",1)</v>
      </c>
      <c r="T357" s="115" t="s">
        <v>2994</v>
      </c>
      <c r="U357" s="27">
        <v>368</v>
      </c>
    </row>
    <row r="358" s="3" customFormat="1" customHeight="1" spans="1:21">
      <c r="A358" s="144">
        <v>44363.0381481481</v>
      </c>
      <c r="B358" s="27" t="s">
        <v>2995</v>
      </c>
      <c r="C358" s="27" t="s">
        <v>2996</v>
      </c>
      <c r="D358" s="162" t="s">
        <v>2996</v>
      </c>
      <c r="E358" s="162" t="s">
        <v>165</v>
      </c>
      <c r="F358" s="162" t="s">
        <v>2997</v>
      </c>
      <c r="G358" s="27">
        <v>17379208038</v>
      </c>
      <c r="H358" s="162" t="s">
        <v>2998</v>
      </c>
      <c r="I358" s="162" t="s">
        <v>156</v>
      </c>
      <c r="J358" s="162" t="s">
        <v>8</v>
      </c>
      <c r="K358" s="27">
        <v>202102002</v>
      </c>
      <c r="L358" s="162" t="s">
        <v>157</v>
      </c>
      <c r="M358" s="162" t="s">
        <v>437</v>
      </c>
      <c r="N358" s="162" t="s">
        <v>1481</v>
      </c>
      <c r="O358" s="162" t="s">
        <v>160</v>
      </c>
      <c r="P358" s="162" t="s">
        <v>281</v>
      </c>
      <c r="Q358" s="162" t="s">
        <v>8</v>
      </c>
      <c r="R358" s="27">
        <v>0</v>
      </c>
      <c r="S358" s="118" t="str">
        <f>_xlfn.DISPIMG("ID_A119020A43A6495588BAFB55CB082F01",1)</f>
        <v>=DISPIMG("ID_A119020A43A6495588BAFB55CB082F01",1)</v>
      </c>
      <c r="T358" s="115" t="s">
        <v>2999</v>
      </c>
      <c r="U358" s="27">
        <v>369</v>
      </c>
    </row>
    <row r="359" s="3" customFormat="1" customHeight="1" spans="1:21">
      <c r="A359" s="144">
        <v>44363.2807638889</v>
      </c>
      <c r="B359" s="27" t="s">
        <v>3000</v>
      </c>
      <c r="C359" s="27" t="s">
        <v>3001</v>
      </c>
      <c r="D359" s="162" t="s">
        <v>3002</v>
      </c>
      <c r="E359" s="162" t="s">
        <v>165</v>
      </c>
      <c r="F359" s="162" t="s">
        <v>3003</v>
      </c>
      <c r="G359" s="27">
        <v>15798074733</v>
      </c>
      <c r="H359" s="162" t="s">
        <v>3004</v>
      </c>
      <c r="I359" s="162" t="s">
        <v>297</v>
      </c>
      <c r="J359" s="162" t="s">
        <v>25</v>
      </c>
      <c r="K359" s="27">
        <v>202101008</v>
      </c>
      <c r="L359" s="162" t="s">
        <v>157</v>
      </c>
      <c r="M359" s="162" t="s">
        <v>540</v>
      </c>
      <c r="N359" s="162" t="s">
        <v>179</v>
      </c>
      <c r="O359" s="162" t="s">
        <v>160</v>
      </c>
      <c r="P359" s="162" t="s">
        <v>2047</v>
      </c>
      <c r="Q359" s="162" t="s">
        <v>3005</v>
      </c>
      <c r="R359" s="27">
        <v>0</v>
      </c>
      <c r="S359" s="118" t="str">
        <f>_xlfn.DISPIMG("ID_4E0EBDB804BA45EB8B4195F5A93DFBBD",1)</f>
        <v>=DISPIMG("ID_4E0EBDB804BA45EB8B4195F5A93DFBBD",1)</v>
      </c>
      <c r="T359" s="115" t="s">
        <v>3006</v>
      </c>
      <c r="U359" s="27">
        <v>370</v>
      </c>
    </row>
    <row r="360" s="3" customFormat="1" customHeight="1" spans="1:21">
      <c r="A360" s="144">
        <v>44363.352037037</v>
      </c>
      <c r="B360" s="27" t="s">
        <v>3007</v>
      </c>
      <c r="C360" s="27" t="s">
        <v>678</v>
      </c>
      <c r="D360" s="162" t="s">
        <v>3008</v>
      </c>
      <c r="E360" s="162" t="s">
        <v>165</v>
      </c>
      <c r="F360" s="162" t="s">
        <v>3009</v>
      </c>
      <c r="G360" s="27">
        <v>15180626109</v>
      </c>
      <c r="H360" s="162" t="s">
        <v>3010</v>
      </c>
      <c r="I360" s="162" t="s">
        <v>156</v>
      </c>
      <c r="J360" s="162" t="s">
        <v>13</v>
      </c>
      <c r="K360" s="27">
        <v>202102003</v>
      </c>
      <c r="L360" s="162" t="s">
        <v>157</v>
      </c>
      <c r="M360" s="162" t="s">
        <v>197</v>
      </c>
      <c r="N360" s="162" t="s">
        <v>179</v>
      </c>
      <c r="O360" s="162" t="s">
        <v>160</v>
      </c>
      <c r="P360" s="162" t="s">
        <v>261</v>
      </c>
      <c r="Q360" s="162" t="s">
        <v>3011</v>
      </c>
      <c r="R360" s="27">
        <v>0</v>
      </c>
      <c r="S360" s="118" t="str">
        <f>_xlfn.DISPIMG("ID_81E01CE746794A43971E9E864E9A0098",1)</f>
        <v>=DISPIMG("ID_81E01CE746794A43971E9E864E9A0098",1)</v>
      </c>
      <c r="T360" s="115" t="s">
        <v>3012</v>
      </c>
      <c r="U360" s="27">
        <v>371</v>
      </c>
    </row>
    <row r="361" s="3" customFormat="1" customHeight="1" spans="1:21">
      <c r="A361" s="144">
        <v>44363.3822337963</v>
      </c>
      <c r="B361" s="27" t="s">
        <v>3013</v>
      </c>
      <c r="C361" s="27" t="s">
        <v>3014</v>
      </c>
      <c r="D361" s="162" t="s">
        <v>3015</v>
      </c>
      <c r="E361" s="162" t="s">
        <v>165</v>
      </c>
      <c r="F361" s="162" t="s">
        <v>3016</v>
      </c>
      <c r="G361" s="27">
        <v>15779237225</v>
      </c>
      <c r="H361" s="162" t="s">
        <v>3017</v>
      </c>
      <c r="I361" s="162" t="s">
        <v>278</v>
      </c>
      <c r="J361" s="162" t="s">
        <v>28</v>
      </c>
      <c r="K361" s="27">
        <v>202103001</v>
      </c>
      <c r="L361" s="162" t="s">
        <v>585</v>
      </c>
      <c r="M361" s="162" t="s">
        <v>3018</v>
      </c>
      <c r="N361" s="162" t="s">
        <v>586</v>
      </c>
      <c r="O361" s="162" t="s">
        <v>170</v>
      </c>
      <c r="P361" s="162" t="s">
        <v>1346</v>
      </c>
      <c r="Q361" s="162" t="s">
        <v>340</v>
      </c>
      <c r="R361" s="162" t="s">
        <v>3019</v>
      </c>
      <c r="S361" s="118" t="str">
        <f>_xlfn.DISPIMG("ID_5D71807FA9B14D55B579AC354805CDFB",1)</f>
        <v>=DISPIMG("ID_5D71807FA9B14D55B579AC354805CDFB",1)</v>
      </c>
      <c r="T361" s="115" t="s">
        <v>3020</v>
      </c>
      <c r="U361" s="27">
        <v>372</v>
      </c>
    </row>
    <row r="362" s="3" customFormat="1" customHeight="1" spans="1:21">
      <c r="A362" s="144">
        <v>44363.3972916667</v>
      </c>
      <c r="B362" s="27" t="s">
        <v>3027</v>
      </c>
      <c r="C362" s="27" t="s">
        <v>3028</v>
      </c>
      <c r="D362" s="162" t="s">
        <v>3029</v>
      </c>
      <c r="E362" s="162" t="s">
        <v>153</v>
      </c>
      <c r="F362" s="162" t="s">
        <v>3030</v>
      </c>
      <c r="G362" s="27">
        <v>13517024072</v>
      </c>
      <c r="H362" s="162" t="s">
        <v>3031</v>
      </c>
      <c r="I362" s="162" t="s">
        <v>156</v>
      </c>
      <c r="J362" s="162" t="s">
        <v>21</v>
      </c>
      <c r="K362" s="27">
        <v>202102011</v>
      </c>
      <c r="L362" s="162" t="s">
        <v>157</v>
      </c>
      <c r="M362" s="162" t="s">
        <v>3032</v>
      </c>
      <c r="N362" s="162" t="s">
        <v>472</v>
      </c>
      <c r="O362" s="162" t="s">
        <v>160</v>
      </c>
      <c r="P362" s="162" t="s">
        <v>455</v>
      </c>
      <c r="Q362" s="162" t="s">
        <v>1579</v>
      </c>
      <c r="R362" s="27">
        <v>0</v>
      </c>
      <c r="S362" s="118" t="str">
        <f>_xlfn.DISPIMG("ID_2065FB2DB1EB4190B94172D3F2A5E8E8",1)</f>
        <v>=DISPIMG("ID_2065FB2DB1EB4190B94172D3F2A5E8E8",1)</v>
      </c>
      <c r="T362" s="115" t="s">
        <v>3033</v>
      </c>
      <c r="U362" s="27">
        <v>374</v>
      </c>
    </row>
    <row r="363" s="3" customFormat="1" customHeight="1" spans="1:21">
      <c r="A363" s="144">
        <v>44363.4071296296</v>
      </c>
      <c r="B363" s="27" t="s">
        <v>3034</v>
      </c>
      <c r="C363" s="27" t="s">
        <v>3035</v>
      </c>
      <c r="D363" s="162" t="s">
        <v>3036</v>
      </c>
      <c r="E363" s="162" t="s">
        <v>165</v>
      </c>
      <c r="F363" s="162" t="s">
        <v>3037</v>
      </c>
      <c r="G363" s="27">
        <v>13755268380</v>
      </c>
      <c r="H363" s="162" t="s">
        <v>3038</v>
      </c>
      <c r="I363" s="162" t="s">
        <v>156</v>
      </c>
      <c r="J363" s="162" t="s">
        <v>14</v>
      </c>
      <c r="K363" s="27">
        <v>202102001</v>
      </c>
      <c r="L363" s="162" t="s">
        <v>279</v>
      </c>
      <c r="M363" s="162" t="s">
        <v>1674</v>
      </c>
      <c r="N363" s="162" t="s">
        <v>348</v>
      </c>
      <c r="O363" s="162" t="s">
        <v>170</v>
      </c>
      <c r="P363" s="162" t="s">
        <v>3039</v>
      </c>
      <c r="Q363" s="162" t="s">
        <v>2395</v>
      </c>
      <c r="R363" s="162" t="s">
        <v>3040</v>
      </c>
      <c r="S363" s="118" t="str">
        <f>_xlfn.DISPIMG("ID_BCD8D492551D473299BE1D3404EC1A74",1)</f>
        <v>=DISPIMG("ID_BCD8D492551D473299BE1D3404EC1A74",1)</v>
      </c>
      <c r="T363" s="115" t="s">
        <v>3041</v>
      </c>
      <c r="U363" s="27">
        <v>375</v>
      </c>
    </row>
    <row r="364" s="3" customFormat="1" customHeight="1" spans="1:21">
      <c r="A364" s="144">
        <v>44363.4105324074</v>
      </c>
      <c r="B364" s="27" t="s">
        <v>3042</v>
      </c>
      <c r="C364" s="27" t="s">
        <v>3043</v>
      </c>
      <c r="D364" s="162" t="s">
        <v>3044</v>
      </c>
      <c r="E364" s="162" t="s">
        <v>165</v>
      </c>
      <c r="F364" s="162" t="s">
        <v>3045</v>
      </c>
      <c r="G364" s="27">
        <v>13699543820</v>
      </c>
      <c r="H364" s="162" t="s">
        <v>3046</v>
      </c>
      <c r="I364" s="162" t="s">
        <v>384</v>
      </c>
      <c r="J364" s="162" t="s">
        <v>13</v>
      </c>
      <c r="K364" s="27">
        <v>202102003</v>
      </c>
      <c r="L364" s="162" t="s">
        <v>157</v>
      </c>
      <c r="M364" s="162" t="s">
        <v>385</v>
      </c>
      <c r="N364" s="162" t="s">
        <v>828</v>
      </c>
      <c r="O364" s="162" t="s">
        <v>170</v>
      </c>
      <c r="P364" s="162" t="s">
        <v>180</v>
      </c>
      <c r="Q364" s="162" t="s">
        <v>25</v>
      </c>
      <c r="R364" s="162" t="s">
        <v>3047</v>
      </c>
      <c r="S364" s="118" t="str">
        <f>_xlfn.DISPIMG("ID_FA7CA8E8B8074253ACA743E7DE4282F0",1)</f>
        <v>=DISPIMG("ID_FA7CA8E8B8074253ACA743E7DE4282F0",1)</v>
      </c>
      <c r="T364" s="115" t="s">
        <v>3048</v>
      </c>
      <c r="U364" s="27">
        <v>376</v>
      </c>
    </row>
    <row r="365" s="3" customFormat="1" customHeight="1" spans="1:21">
      <c r="A365" s="144">
        <v>44363.4205439815</v>
      </c>
      <c r="B365" s="27" t="s">
        <v>3049</v>
      </c>
      <c r="C365" s="27" t="s">
        <v>3050</v>
      </c>
      <c r="D365" s="162" t="s">
        <v>3051</v>
      </c>
      <c r="E365" s="162" t="s">
        <v>165</v>
      </c>
      <c r="F365" s="162" t="s">
        <v>3052</v>
      </c>
      <c r="G365" s="27">
        <v>18779104869</v>
      </c>
      <c r="H365" s="162" t="s">
        <v>3053</v>
      </c>
      <c r="I365" s="162" t="s">
        <v>384</v>
      </c>
      <c r="J365" s="162" t="s">
        <v>18</v>
      </c>
      <c r="K365" s="27">
        <v>202101024</v>
      </c>
      <c r="L365" s="162" t="s">
        <v>157</v>
      </c>
      <c r="M365" s="162" t="s">
        <v>3054</v>
      </c>
      <c r="N365" s="162" t="s">
        <v>404</v>
      </c>
      <c r="O365" s="162" t="s">
        <v>160</v>
      </c>
      <c r="P365" s="162" t="s">
        <v>455</v>
      </c>
      <c r="Q365" s="162" t="s">
        <v>18</v>
      </c>
      <c r="R365" s="27">
        <v>0</v>
      </c>
      <c r="S365" s="118" t="str">
        <f>_xlfn.DISPIMG("ID_030DD5A3CEBA48E5AA84D6300BCE898E",1)</f>
        <v>=DISPIMG("ID_030DD5A3CEBA48E5AA84D6300BCE898E",1)</v>
      </c>
      <c r="T365" s="115" t="s">
        <v>3055</v>
      </c>
      <c r="U365" s="27">
        <v>377</v>
      </c>
    </row>
    <row r="366" s="3" customFormat="1" customHeight="1" spans="1:21">
      <c r="A366" s="144">
        <v>44364.1924884259</v>
      </c>
      <c r="B366" s="27" t="s">
        <v>3056</v>
      </c>
      <c r="C366" s="27" t="s">
        <v>3057</v>
      </c>
      <c r="D366" s="162" t="s">
        <v>3058</v>
      </c>
      <c r="E366" s="162" t="s">
        <v>165</v>
      </c>
      <c r="F366" s="162" t="s">
        <v>3059</v>
      </c>
      <c r="G366" s="27">
        <v>18616047542</v>
      </c>
      <c r="H366" s="162" t="s">
        <v>3060</v>
      </c>
      <c r="I366" s="162" t="s">
        <v>156</v>
      </c>
      <c r="J366" s="162" t="s">
        <v>14</v>
      </c>
      <c r="K366" s="27">
        <v>202102001</v>
      </c>
      <c r="L366" s="162" t="s">
        <v>157</v>
      </c>
      <c r="M366" s="162" t="s">
        <v>233</v>
      </c>
      <c r="N366" s="162" t="s">
        <v>1489</v>
      </c>
      <c r="O366" s="162" t="s">
        <v>170</v>
      </c>
      <c r="P366" s="162" t="s">
        <v>3061</v>
      </c>
      <c r="Q366" s="162" t="s">
        <v>3062</v>
      </c>
      <c r="R366" s="162" t="s">
        <v>3063</v>
      </c>
      <c r="S366" s="118" t="str">
        <f>_xlfn.DISPIMG("ID_0F24A07024DD4EC28C638A81C28E0099",1)</f>
        <v>=DISPIMG("ID_0F24A07024DD4EC28C638A81C28E0099",1)</v>
      </c>
      <c r="T366" s="115" t="s">
        <v>3064</v>
      </c>
      <c r="U366" s="27">
        <v>378</v>
      </c>
    </row>
    <row r="367" s="3" customFormat="1" customHeight="1" spans="1:21">
      <c r="A367" s="144">
        <v>44363.4280787037</v>
      </c>
      <c r="B367" s="27" t="s">
        <v>3065</v>
      </c>
      <c r="C367" s="27" t="s">
        <v>3066</v>
      </c>
      <c r="D367" s="162" t="s">
        <v>3067</v>
      </c>
      <c r="E367" s="162" t="s">
        <v>165</v>
      </c>
      <c r="F367" s="162" t="s">
        <v>3068</v>
      </c>
      <c r="G367" s="27">
        <v>18070525525</v>
      </c>
      <c r="H367" s="162" t="s">
        <v>3069</v>
      </c>
      <c r="I367" s="162" t="s">
        <v>156</v>
      </c>
      <c r="J367" s="162" t="s">
        <v>14</v>
      </c>
      <c r="K367" s="27">
        <v>202102001</v>
      </c>
      <c r="L367" s="162" t="s">
        <v>157</v>
      </c>
      <c r="M367" s="162" t="s">
        <v>3070</v>
      </c>
      <c r="N367" s="162" t="s">
        <v>454</v>
      </c>
      <c r="O367" s="162" t="s">
        <v>170</v>
      </c>
      <c r="P367" s="162" t="s">
        <v>577</v>
      </c>
      <c r="Q367" s="162" t="s">
        <v>1579</v>
      </c>
      <c r="R367" s="162" t="s">
        <v>3071</v>
      </c>
      <c r="S367" s="118" t="str">
        <f>_xlfn.DISPIMG("ID_2CCF9645E24E4A3B81BAE72B8AED314D",1)</f>
        <v>=DISPIMG("ID_2CCF9645E24E4A3B81BAE72B8AED314D",1)</v>
      </c>
      <c r="T367" s="115" t="s">
        <v>3072</v>
      </c>
      <c r="U367" s="27">
        <v>379</v>
      </c>
    </row>
    <row r="368" s="3" customFormat="1" customHeight="1" spans="1:21">
      <c r="A368" s="144">
        <v>44363.4329282407</v>
      </c>
      <c r="B368" s="27" t="s">
        <v>3073</v>
      </c>
      <c r="C368" s="27" t="s">
        <v>3074</v>
      </c>
      <c r="D368" s="162" t="s">
        <v>3075</v>
      </c>
      <c r="E368" s="162" t="s">
        <v>165</v>
      </c>
      <c r="F368" s="162" t="s">
        <v>3076</v>
      </c>
      <c r="G368" s="27">
        <v>13122383919</v>
      </c>
      <c r="H368" s="162" t="s">
        <v>3077</v>
      </c>
      <c r="I368" s="162" t="s">
        <v>156</v>
      </c>
      <c r="J368" s="162" t="s">
        <v>8</v>
      </c>
      <c r="K368" s="27">
        <v>202102002</v>
      </c>
      <c r="L368" s="162" t="s">
        <v>157</v>
      </c>
      <c r="M368" s="162" t="s">
        <v>3078</v>
      </c>
      <c r="N368" s="162" t="s">
        <v>3079</v>
      </c>
      <c r="O368" s="162" t="s">
        <v>160</v>
      </c>
      <c r="P368" s="162" t="s">
        <v>252</v>
      </c>
      <c r="Q368" s="162" t="s">
        <v>8</v>
      </c>
      <c r="R368" s="27">
        <v>0</v>
      </c>
      <c r="S368" s="118" t="str">
        <f>_xlfn.DISPIMG("ID_0C5BA3A4E8B245D6AB6AE82F368BFF6A",1)</f>
        <v>=DISPIMG("ID_0C5BA3A4E8B245D6AB6AE82F368BFF6A",1)</v>
      </c>
      <c r="T368" s="115" t="s">
        <v>3080</v>
      </c>
      <c r="U368" s="27">
        <v>380</v>
      </c>
    </row>
    <row r="369" s="3" customFormat="1" customHeight="1" spans="1:21">
      <c r="A369" s="144">
        <v>44363.4351967593</v>
      </c>
      <c r="B369" s="27" t="s">
        <v>3081</v>
      </c>
      <c r="C369" s="27" t="s">
        <v>3082</v>
      </c>
      <c r="D369" s="162" t="s">
        <v>3083</v>
      </c>
      <c r="E369" s="162" t="s">
        <v>165</v>
      </c>
      <c r="F369" s="162" t="s">
        <v>3084</v>
      </c>
      <c r="G369" s="27">
        <v>15070231776</v>
      </c>
      <c r="H369" s="162" t="s">
        <v>3085</v>
      </c>
      <c r="I369" s="162" t="s">
        <v>156</v>
      </c>
      <c r="J369" s="162" t="s">
        <v>8</v>
      </c>
      <c r="K369" s="27">
        <v>202102002</v>
      </c>
      <c r="L369" s="162" t="s">
        <v>157</v>
      </c>
      <c r="M369" s="162" t="s">
        <v>3086</v>
      </c>
      <c r="N369" s="162" t="s">
        <v>3087</v>
      </c>
      <c r="O369" s="162" t="s">
        <v>160</v>
      </c>
      <c r="P369" s="162" t="s">
        <v>455</v>
      </c>
      <c r="Q369" s="162" t="s">
        <v>8</v>
      </c>
      <c r="R369" s="27">
        <v>0</v>
      </c>
      <c r="S369" s="118" t="str">
        <f>_xlfn.DISPIMG("ID_FE0A8F210AE74D2ABEA83714575A775F",1)</f>
        <v>=DISPIMG("ID_FE0A8F210AE74D2ABEA83714575A775F",1)</v>
      </c>
      <c r="T369" s="115" t="s">
        <v>3088</v>
      </c>
      <c r="U369" s="27">
        <v>381</v>
      </c>
    </row>
    <row r="370" s="3" customFormat="1" customHeight="1" spans="1:21">
      <c r="A370" s="144">
        <v>44363.4478703704</v>
      </c>
      <c r="B370" s="27" t="s">
        <v>3089</v>
      </c>
      <c r="C370" s="27" t="s">
        <v>3090</v>
      </c>
      <c r="D370" s="162" t="s">
        <v>3091</v>
      </c>
      <c r="E370" s="162" t="s">
        <v>165</v>
      </c>
      <c r="F370" s="162" t="s">
        <v>3092</v>
      </c>
      <c r="G370" s="27">
        <v>18679162461</v>
      </c>
      <c r="H370" s="162" t="s">
        <v>3093</v>
      </c>
      <c r="I370" s="162" t="s">
        <v>156</v>
      </c>
      <c r="J370" s="162" t="s">
        <v>6</v>
      </c>
      <c r="K370" s="27">
        <v>202102012</v>
      </c>
      <c r="L370" s="162" t="s">
        <v>157</v>
      </c>
      <c r="M370" s="162" t="s">
        <v>3094</v>
      </c>
      <c r="N370" s="162" t="s">
        <v>3095</v>
      </c>
      <c r="O370" s="162" t="s">
        <v>160</v>
      </c>
      <c r="P370" s="162" t="s">
        <v>171</v>
      </c>
      <c r="Q370" s="162" t="s">
        <v>18</v>
      </c>
      <c r="R370" s="162" t="s">
        <v>3096</v>
      </c>
      <c r="S370" s="118" t="str">
        <f>_xlfn.DISPIMG("ID_26230D3A7A254FB387523A67FAC705F7",1)</f>
        <v>=DISPIMG("ID_26230D3A7A254FB387523A67FAC705F7",1)</v>
      </c>
      <c r="T370" s="115" t="s">
        <v>3097</v>
      </c>
      <c r="U370" s="27">
        <v>382</v>
      </c>
    </row>
    <row r="371" s="3" customFormat="1" customHeight="1" spans="1:21">
      <c r="A371" s="144">
        <v>44363.450474537</v>
      </c>
      <c r="B371" s="27" t="s">
        <v>3098</v>
      </c>
      <c r="C371" s="27" t="s">
        <v>3099</v>
      </c>
      <c r="D371" s="162" t="s">
        <v>3099</v>
      </c>
      <c r="E371" s="162" t="s">
        <v>165</v>
      </c>
      <c r="F371" s="162" t="s">
        <v>3100</v>
      </c>
      <c r="G371" s="27">
        <v>15720976892</v>
      </c>
      <c r="H371" s="162" t="s">
        <v>3101</v>
      </c>
      <c r="I371" s="162" t="s">
        <v>384</v>
      </c>
      <c r="J371" s="162" t="s">
        <v>17</v>
      </c>
      <c r="K371" s="27">
        <v>202101018</v>
      </c>
      <c r="L371" s="162" t="s">
        <v>157</v>
      </c>
      <c r="M371" s="162" t="s">
        <v>385</v>
      </c>
      <c r="N371" s="162" t="s">
        <v>290</v>
      </c>
      <c r="O371" s="162" t="s">
        <v>170</v>
      </c>
      <c r="P371" s="162" t="s">
        <v>577</v>
      </c>
      <c r="Q371" s="162" t="s">
        <v>3102</v>
      </c>
      <c r="R371" s="162" t="s">
        <v>3103</v>
      </c>
      <c r="S371" s="118" t="str">
        <f>_xlfn.DISPIMG("ID_FEEAA5237B6C4B708D314FC0E0560DA3",1)</f>
        <v>=DISPIMG("ID_FEEAA5237B6C4B708D314FC0E0560DA3",1)</v>
      </c>
      <c r="T371" s="115" t="s">
        <v>3104</v>
      </c>
      <c r="U371" s="27">
        <v>383</v>
      </c>
    </row>
    <row r="372" s="5" customFormat="1" customHeight="1" spans="1:21">
      <c r="A372" s="146">
        <v>44363.4609027778</v>
      </c>
      <c r="B372" s="116" t="s">
        <v>3105</v>
      </c>
      <c r="C372" s="116" t="s">
        <v>3106</v>
      </c>
      <c r="D372" s="165" t="s">
        <v>3107</v>
      </c>
      <c r="E372" s="165" t="s">
        <v>165</v>
      </c>
      <c r="F372" s="165" t="s">
        <v>3108</v>
      </c>
      <c r="G372" s="116">
        <v>15070251262</v>
      </c>
      <c r="H372" s="165" t="s">
        <v>3109</v>
      </c>
      <c r="I372" s="165" t="s">
        <v>384</v>
      </c>
      <c r="J372" s="165" t="s">
        <v>21</v>
      </c>
      <c r="K372" s="116">
        <v>202101023</v>
      </c>
      <c r="L372" s="165" t="s">
        <v>157</v>
      </c>
      <c r="M372" s="165" t="s">
        <v>1203</v>
      </c>
      <c r="N372" s="165" t="s">
        <v>682</v>
      </c>
      <c r="O372" s="165" t="s">
        <v>170</v>
      </c>
      <c r="P372" s="165" t="s">
        <v>3110</v>
      </c>
      <c r="Q372" s="165" t="s">
        <v>3111</v>
      </c>
      <c r="R372" s="165" t="s">
        <v>3112</v>
      </c>
      <c r="S372" s="119" t="str">
        <f>_xlfn.DISPIMG("ID_865FFCD2F6414202A972206BA39BAB94",1)</f>
        <v>=DISPIMG("ID_865FFCD2F6414202A972206BA39BAB94",1)</v>
      </c>
      <c r="T372" s="120" t="s">
        <v>3113</v>
      </c>
      <c r="U372" s="27">
        <v>384</v>
      </c>
    </row>
    <row r="373" s="3" customFormat="1" customHeight="1" spans="1:21">
      <c r="A373" s="144">
        <v>44363.4831481481</v>
      </c>
      <c r="B373" s="27" t="s">
        <v>3114</v>
      </c>
      <c r="C373" s="27" t="s">
        <v>3115</v>
      </c>
      <c r="D373" s="162" t="s">
        <v>3116</v>
      </c>
      <c r="E373" s="162" t="s">
        <v>165</v>
      </c>
      <c r="F373" s="162" t="s">
        <v>3117</v>
      </c>
      <c r="G373" s="27">
        <v>15279286337</v>
      </c>
      <c r="H373" s="162" t="s">
        <v>3118</v>
      </c>
      <c r="I373" s="162" t="s">
        <v>268</v>
      </c>
      <c r="J373" s="162" t="s">
        <v>16</v>
      </c>
      <c r="K373" s="27">
        <v>202101011</v>
      </c>
      <c r="L373" s="162" t="s">
        <v>157</v>
      </c>
      <c r="M373" s="162" t="s">
        <v>385</v>
      </c>
      <c r="N373" s="162" t="s">
        <v>3119</v>
      </c>
      <c r="O373" s="162" t="s">
        <v>170</v>
      </c>
      <c r="P373" s="162" t="s">
        <v>161</v>
      </c>
      <c r="Q373" s="162" t="s">
        <v>190</v>
      </c>
      <c r="R373" s="27">
        <v>0</v>
      </c>
      <c r="S373" s="118" t="str">
        <f>_xlfn.DISPIMG("ID_BC4D6E67EBDF472A876E1598CD3DE965",1)</f>
        <v>=DISPIMG("ID_BC4D6E67EBDF472A876E1598CD3DE965",1)</v>
      </c>
      <c r="T373" s="115" t="s">
        <v>3120</v>
      </c>
      <c r="U373" s="27">
        <v>385</v>
      </c>
    </row>
    <row r="374" s="3" customFormat="1" customHeight="1" spans="1:21">
      <c r="A374" s="144">
        <v>44363.5033796296</v>
      </c>
      <c r="B374" s="27" t="s">
        <v>3121</v>
      </c>
      <c r="C374" s="27" t="s">
        <v>3122</v>
      </c>
      <c r="D374" s="162" t="s">
        <v>3123</v>
      </c>
      <c r="E374" s="162" t="s">
        <v>165</v>
      </c>
      <c r="F374" s="162" t="s">
        <v>3124</v>
      </c>
      <c r="G374" s="27">
        <v>19979611731</v>
      </c>
      <c r="H374" s="162" t="s">
        <v>3125</v>
      </c>
      <c r="I374" s="162" t="s">
        <v>156</v>
      </c>
      <c r="J374" s="162" t="s">
        <v>6</v>
      </c>
      <c r="K374" s="27">
        <v>202102012</v>
      </c>
      <c r="L374" s="162" t="s">
        <v>157</v>
      </c>
      <c r="M374" s="162" t="s">
        <v>3126</v>
      </c>
      <c r="N374" s="162" t="s">
        <v>404</v>
      </c>
      <c r="O374" s="162" t="s">
        <v>160</v>
      </c>
      <c r="P374" s="162" t="s">
        <v>199</v>
      </c>
      <c r="Q374" s="162" t="s">
        <v>18</v>
      </c>
      <c r="R374" s="27">
        <v>0</v>
      </c>
      <c r="S374" s="118" t="str">
        <f>_xlfn.DISPIMG("ID_A2488CA19AE844B4BBFD68619FFEAA1D",1)</f>
        <v>=DISPIMG("ID_A2488CA19AE844B4BBFD68619FFEAA1D",1)</v>
      </c>
      <c r="T374" s="115" t="s">
        <v>3127</v>
      </c>
      <c r="U374" s="27">
        <v>386</v>
      </c>
    </row>
    <row r="375" s="3" customFormat="1" customHeight="1" spans="1:21">
      <c r="A375" s="144">
        <v>44363.5122685185</v>
      </c>
      <c r="B375" s="27" t="s">
        <v>3128</v>
      </c>
      <c r="C375" s="27" t="s">
        <v>3129</v>
      </c>
      <c r="D375" s="162" t="s">
        <v>3130</v>
      </c>
      <c r="E375" s="162" t="s">
        <v>165</v>
      </c>
      <c r="F375" s="162" t="s">
        <v>3131</v>
      </c>
      <c r="G375" s="27">
        <v>13510703252</v>
      </c>
      <c r="H375" s="162" t="s">
        <v>731</v>
      </c>
      <c r="I375" s="162" t="s">
        <v>384</v>
      </c>
      <c r="J375" s="162" t="s">
        <v>25</v>
      </c>
      <c r="K375" s="27">
        <v>202101007</v>
      </c>
      <c r="L375" s="162" t="s">
        <v>157</v>
      </c>
      <c r="M375" s="162" t="s">
        <v>1203</v>
      </c>
      <c r="N375" s="162" t="s">
        <v>223</v>
      </c>
      <c r="O375" s="162" t="s">
        <v>170</v>
      </c>
      <c r="P375" s="162" t="s">
        <v>224</v>
      </c>
      <c r="Q375" s="162" t="s">
        <v>25</v>
      </c>
      <c r="R375" s="162" t="s">
        <v>3132</v>
      </c>
      <c r="S375" s="118" t="str">
        <f>_xlfn.DISPIMG("ID_DD2B22793A5D42C5A4C202130135D188",1)</f>
        <v>=DISPIMG("ID_DD2B22793A5D42C5A4C202130135D188",1)</v>
      </c>
      <c r="T375" s="115" t="s">
        <v>3133</v>
      </c>
      <c r="U375" s="27">
        <v>387</v>
      </c>
    </row>
    <row r="376" s="4" customFormat="1" customHeight="1" spans="1:21">
      <c r="A376" s="145">
        <v>44363.5167824074</v>
      </c>
      <c r="B376" s="22" t="s">
        <v>3134</v>
      </c>
      <c r="C376" s="22" t="s">
        <v>3135</v>
      </c>
      <c r="D376" s="164" t="s">
        <v>3136</v>
      </c>
      <c r="E376" s="164" t="s">
        <v>165</v>
      </c>
      <c r="F376" s="164" t="s">
        <v>3137</v>
      </c>
      <c r="G376" s="22">
        <v>13207912916</v>
      </c>
      <c r="H376" s="164" t="s">
        <v>3138</v>
      </c>
      <c r="I376" s="164" t="s">
        <v>278</v>
      </c>
      <c r="J376" s="164" t="s">
        <v>28</v>
      </c>
      <c r="K376" s="22">
        <v>202103001</v>
      </c>
      <c r="L376" s="164" t="s">
        <v>157</v>
      </c>
      <c r="M376" s="164" t="s">
        <v>233</v>
      </c>
      <c r="N376" s="164" t="s">
        <v>280</v>
      </c>
      <c r="O376" s="164" t="s">
        <v>170</v>
      </c>
      <c r="P376" s="164" t="s">
        <v>199</v>
      </c>
      <c r="Q376" s="164" t="s">
        <v>517</v>
      </c>
      <c r="R376" s="164" t="s">
        <v>3139</v>
      </c>
      <c r="S376" s="23" t="str">
        <f>_xlfn.DISPIMG("ID_5DD0D632EE9F43A696BEAC7A2AD60F9E",1)</f>
        <v>=DISPIMG("ID_5DD0D632EE9F43A696BEAC7A2AD60F9E",1)</v>
      </c>
      <c r="T376" s="103" t="s">
        <v>3140</v>
      </c>
      <c r="U376" s="27">
        <v>388</v>
      </c>
    </row>
    <row r="377" s="3" customFormat="1" customHeight="1" spans="1:21">
      <c r="A377" s="144">
        <v>44363.5286689815</v>
      </c>
      <c r="B377" s="27" t="s">
        <v>3141</v>
      </c>
      <c r="C377" s="27" t="s">
        <v>3142</v>
      </c>
      <c r="D377" s="162" t="s">
        <v>3143</v>
      </c>
      <c r="E377" s="162" t="s">
        <v>165</v>
      </c>
      <c r="F377" s="162" t="s">
        <v>3144</v>
      </c>
      <c r="G377" s="27">
        <v>18046721566</v>
      </c>
      <c r="H377" s="162" t="s">
        <v>3145</v>
      </c>
      <c r="I377" s="162" t="s">
        <v>278</v>
      </c>
      <c r="J377" s="162" t="s">
        <v>28</v>
      </c>
      <c r="K377" s="27">
        <v>202103001</v>
      </c>
      <c r="L377" s="162" t="s">
        <v>279</v>
      </c>
      <c r="M377" s="162" t="s">
        <v>367</v>
      </c>
      <c r="N377" s="162" t="s">
        <v>169</v>
      </c>
      <c r="O377" s="162" t="s">
        <v>170</v>
      </c>
      <c r="P377" s="162" t="s">
        <v>2685</v>
      </c>
      <c r="Q377" s="162" t="s">
        <v>3146</v>
      </c>
      <c r="R377" s="162" t="s">
        <v>3147</v>
      </c>
      <c r="S377" s="118" t="str">
        <f>_xlfn.DISPIMG("ID_A94A4E6038894CA88A82184D1877D675",1)</f>
        <v>=DISPIMG("ID_A94A4E6038894CA88A82184D1877D675",1)</v>
      </c>
      <c r="T377" s="115" t="s">
        <v>3148</v>
      </c>
      <c r="U377" s="27">
        <v>389</v>
      </c>
    </row>
    <row r="378" s="3" customFormat="1" customHeight="1" spans="1:21">
      <c r="A378" s="144">
        <v>44364.8834375</v>
      </c>
      <c r="B378" s="27" t="s">
        <v>3149</v>
      </c>
      <c r="C378" s="27" t="s">
        <v>3150</v>
      </c>
      <c r="D378" s="162" t="s">
        <v>3151</v>
      </c>
      <c r="E378" s="162" t="s">
        <v>165</v>
      </c>
      <c r="F378" s="162" t="s">
        <v>3152</v>
      </c>
      <c r="G378" s="27">
        <v>15807046137</v>
      </c>
      <c r="H378" s="162" t="s">
        <v>3153</v>
      </c>
      <c r="I378" s="162" t="s">
        <v>156</v>
      </c>
      <c r="J378" s="162" t="s">
        <v>13</v>
      </c>
      <c r="K378" s="27">
        <v>202102003</v>
      </c>
      <c r="L378" s="162" t="s">
        <v>157</v>
      </c>
      <c r="M378" s="162" t="s">
        <v>611</v>
      </c>
      <c r="N378" s="162" t="s">
        <v>179</v>
      </c>
      <c r="O378" s="162" t="s">
        <v>160</v>
      </c>
      <c r="P378" s="162" t="s">
        <v>261</v>
      </c>
      <c r="Q378" s="162" t="s">
        <v>13</v>
      </c>
      <c r="R378" s="162" t="s">
        <v>3154</v>
      </c>
      <c r="S378" s="118" t="str">
        <f>_xlfn.DISPIMG("ID_677BA8871B344518950747C60527229E",1)</f>
        <v>=DISPIMG("ID_677BA8871B344518950747C60527229E",1)</v>
      </c>
      <c r="T378" s="115" t="s">
        <v>3155</v>
      </c>
      <c r="U378" s="27">
        <v>390</v>
      </c>
    </row>
    <row r="379" s="3" customFormat="1" customHeight="1" spans="1:21">
      <c r="A379" s="144">
        <v>44363.5501736111</v>
      </c>
      <c r="B379" s="27" t="s">
        <v>3156</v>
      </c>
      <c r="C379" s="27" t="s">
        <v>1428</v>
      </c>
      <c r="D379" s="162" t="s">
        <v>1429</v>
      </c>
      <c r="E379" s="162" t="s">
        <v>165</v>
      </c>
      <c r="F379" s="162" t="s">
        <v>1430</v>
      </c>
      <c r="G379" s="27">
        <v>15779219115</v>
      </c>
      <c r="H379" s="162" t="s">
        <v>1431</v>
      </c>
      <c r="I379" s="162" t="s">
        <v>278</v>
      </c>
      <c r="J379" s="162" t="s">
        <v>28</v>
      </c>
      <c r="K379" s="27">
        <v>202103001</v>
      </c>
      <c r="L379" s="162" t="s">
        <v>279</v>
      </c>
      <c r="M379" s="162" t="s">
        <v>1432</v>
      </c>
      <c r="N379" s="162" t="s">
        <v>1433</v>
      </c>
      <c r="O379" s="162" t="s">
        <v>170</v>
      </c>
      <c r="P379" s="162" t="s">
        <v>261</v>
      </c>
      <c r="Q379" s="162" t="s">
        <v>1013</v>
      </c>
      <c r="R379" s="162" t="s">
        <v>1435</v>
      </c>
      <c r="S379" s="118" t="str">
        <f>_xlfn.DISPIMG("ID_2AA0C0867EDA4E25AC1B455524935955",1)</f>
        <v>=DISPIMG("ID_2AA0C0867EDA4E25AC1B455524935955",1)</v>
      </c>
      <c r="T379" s="115" t="s">
        <v>1436</v>
      </c>
      <c r="U379" s="27">
        <v>391</v>
      </c>
    </row>
    <row r="380" s="3" customFormat="1" customHeight="1" spans="1:21">
      <c r="A380" s="144">
        <v>44363.5979050926</v>
      </c>
      <c r="B380" s="27" t="s">
        <v>3157</v>
      </c>
      <c r="C380" s="27" t="s">
        <v>3158</v>
      </c>
      <c r="D380" s="162" t="s">
        <v>3159</v>
      </c>
      <c r="E380" s="162" t="s">
        <v>153</v>
      </c>
      <c r="F380" s="162" t="s">
        <v>3160</v>
      </c>
      <c r="G380" s="27">
        <v>15070024256</v>
      </c>
      <c r="H380" s="162" t="s">
        <v>3161</v>
      </c>
      <c r="I380" s="162" t="s">
        <v>268</v>
      </c>
      <c r="J380" s="162" t="s">
        <v>21</v>
      </c>
      <c r="K380" s="27">
        <v>202101022</v>
      </c>
      <c r="L380" s="162" t="s">
        <v>157</v>
      </c>
      <c r="M380" s="162" t="s">
        <v>827</v>
      </c>
      <c r="N380" s="162" t="s">
        <v>682</v>
      </c>
      <c r="O380" s="162" t="s">
        <v>170</v>
      </c>
      <c r="P380" s="162" t="s">
        <v>281</v>
      </c>
      <c r="Q380" s="162" t="s">
        <v>2244</v>
      </c>
      <c r="R380" s="162" t="s">
        <v>3162</v>
      </c>
      <c r="S380" s="118" t="str">
        <f>_xlfn.DISPIMG("ID_2F448B7CE8524D1AA48554771DC3D4AB",1)</f>
        <v>=DISPIMG("ID_2F448B7CE8524D1AA48554771DC3D4AB",1)</v>
      </c>
      <c r="T380" s="115" t="s">
        <v>3163</v>
      </c>
      <c r="U380" s="27">
        <v>392</v>
      </c>
    </row>
    <row r="381" s="3" customFormat="1" customHeight="1" spans="1:21">
      <c r="A381" s="144">
        <v>44363.6059259259</v>
      </c>
      <c r="B381" s="27" t="s">
        <v>3164</v>
      </c>
      <c r="C381" s="27" t="s">
        <v>3165</v>
      </c>
      <c r="D381" s="162" t="s">
        <v>3166</v>
      </c>
      <c r="E381" s="162" t="s">
        <v>165</v>
      </c>
      <c r="F381" s="162" t="s">
        <v>3167</v>
      </c>
      <c r="G381" s="27">
        <v>18797976473</v>
      </c>
      <c r="H381" s="162" t="s">
        <v>3168</v>
      </c>
      <c r="I381" s="162" t="s">
        <v>156</v>
      </c>
      <c r="J381" s="162" t="s">
        <v>14</v>
      </c>
      <c r="K381" s="27">
        <v>202102001</v>
      </c>
      <c r="L381" s="162" t="s">
        <v>157</v>
      </c>
      <c r="M381" s="162" t="s">
        <v>158</v>
      </c>
      <c r="N381" s="162" t="s">
        <v>395</v>
      </c>
      <c r="O381" s="162" t="s">
        <v>160</v>
      </c>
      <c r="P381" s="162" t="s">
        <v>587</v>
      </c>
      <c r="Q381" s="162" t="s">
        <v>14</v>
      </c>
      <c r="R381" s="27">
        <v>0</v>
      </c>
      <c r="S381" s="118" t="str">
        <f>_xlfn.DISPIMG("ID_F2E559AD12664A6E81B51441D537B134",1)</f>
        <v>=DISPIMG("ID_F2E559AD12664A6E81B51441D537B134",1)</v>
      </c>
      <c r="T381" s="115" t="s">
        <v>3169</v>
      </c>
      <c r="U381" s="27">
        <v>393</v>
      </c>
    </row>
    <row r="382" s="3" customFormat="1" customHeight="1" spans="1:21">
      <c r="A382" s="144">
        <v>44363.6138310185</v>
      </c>
      <c r="B382" s="27" t="s">
        <v>3170</v>
      </c>
      <c r="C382" s="27" t="s">
        <v>3171</v>
      </c>
      <c r="D382" s="162" t="s">
        <v>3172</v>
      </c>
      <c r="E382" s="162" t="s">
        <v>165</v>
      </c>
      <c r="F382" s="162" t="s">
        <v>3173</v>
      </c>
      <c r="G382" s="27">
        <v>18970280941</v>
      </c>
      <c r="H382" s="162" t="s">
        <v>2228</v>
      </c>
      <c r="I382" s="162" t="s">
        <v>278</v>
      </c>
      <c r="J382" s="162" t="s">
        <v>28</v>
      </c>
      <c r="K382" s="27">
        <v>202103001</v>
      </c>
      <c r="L382" s="162" t="s">
        <v>585</v>
      </c>
      <c r="M382" s="162" t="s">
        <v>3174</v>
      </c>
      <c r="N382" s="162" t="s">
        <v>586</v>
      </c>
      <c r="O382" s="162" t="s">
        <v>170</v>
      </c>
      <c r="P382" s="162" t="s">
        <v>3039</v>
      </c>
      <c r="Q382" s="162" t="s">
        <v>340</v>
      </c>
      <c r="R382" s="162" t="s">
        <v>3175</v>
      </c>
      <c r="S382" s="118" t="str">
        <f>_xlfn.DISPIMG("ID_0094E289D6FF483F911D447623CD2A7B",1)</f>
        <v>=DISPIMG("ID_0094E289D6FF483F911D447623CD2A7B",1)</v>
      </c>
      <c r="T382" s="115" t="s">
        <v>3176</v>
      </c>
      <c r="U382" s="27">
        <v>394</v>
      </c>
    </row>
    <row r="383" s="3" customFormat="1" customHeight="1" spans="1:21">
      <c r="A383" s="144">
        <v>44363.6182060185</v>
      </c>
      <c r="B383" s="27" t="s">
        <v>3177</v>
      </c>
      <c r="C383" s="27" t="s">
        <v>2472</v>
      </c>
      <c r="D383" s="162" t="s">
        <v>3178</v>
      </c>
      <c r="E383" s="162" t="s">
        <v>153</v>
      </c>
      <c r="F383" s="162" t="s">
        <v>3179</v>
      </c>
      <c r="G383" s="27">
        <v>15257934004</v>
      </c>
      <c r="H383" s="162" t="s">
        <v>3180</v>
      </c>
      <c r="I383" s="162" t="s">
        <v>384</v>
      </c>
      <c r="J383" s="162" t="s">
        <v>21</v>
      </c>
      <c r="K383" s="27">
        <v>202101023</v>
      </c>
      <c r="L383" s="162" t="s">
        <v>157</v>
      </c>
      <c r="M383" s="162" t="s">
        <v>1258</v>
      </c>
      <c r="N383" s="162" t="s">
        <v>682</v>
      </c>
      <c r="O383" s="162" t="s">
        <v>170</v>
      </c>
      <c r="P383" s="162" t="s">
        <v>587</v>
      </c>
      <c r="Q383" s="162" t="s">
        <v>1824</v>
      </c>
      <c r="R383" s="162" t="s">
        <v>3181</v>
      </c>
      <c r="S383" s="118" t="str">
        <f>_xlfn.DISPIMG("ID_D70CF13D201844A6B6408BAB9F88D034",1)</f>
        <v>=DISPIMG("ID_D70CF13D201844A6B6408BAB9F88D034",1)</v>
      </c>
      <c r="T383" s="115" t="s">
        <v>3182</v>
      </c>
      <c r="U383" s="27">
        <v>395</v>
      </c>
    </row>
    <row r="384" s="3" customFormat="1" customHeight="1" spans="1:21">
      <c r="A384" s="144">
        <v>44363.6333101852</v>
      </c>
      <c r="B384" s="27" t="s">
        <v>3183</v>
      </c>
      <c r="C384" s="27" t="s">
        <v>3184</v>
      </c>
      <c r="D384" s="162" t="s">
        <v>3185</v>
      </c>
      <c r="E384" s="162" t="s">
        <v>165</v>
      </c>
      <c r="F384" s="162" t="s">
        <v>3186</v>
      </c>
      <c r="G384" s="27">
        <v>15070259733</v>
      </c>
      <c r="H384" s="162" t="s">
        <v>3187</v>
      </c>
      <c r="I384" s="162" t="s">
        <v>297</v>
      </c>
      <c r="J384" s="162" t="s">
        <v>25</v>
      </c>
      <c r="K384" s="27">
        <v>202101008</v>
      </c>
      <c r="L384" s="162" t="s">
        <v>157</v>
      </c>
      <c r="M384" s="162" t="s">
        <v>646</v>
      </c>
      <c r="N384" s="162" t="s">
        <v>179</v>
      </c>
      <c r="O384" s="162" t="s">
        <v>170</v>
      </c>
      <c r="P384" s="162" t="s">
        <v>161</v>
      </c>
      <c r="Q384" s="162" t="s">
        <v>3188</v>
      </c>
      <c r="R384" s="27">
        <v>0</v>
      </c>
      <c r="S384" s="118" t="str">
        <f>_xlfn.DISPIMG("ID_76C776A08E8241118AA436F440F434C8",1)</f>
        <v>=DISPIMG("ID_76C776A08E8241118AA436F440F434C8",1)</v>
      </c>
      <c r="T384" s="115" t="s">
        <v>3189</v>
      </c>
      <c r="U384" s="27">
        <v>396</v>
      </c>
    </row>
    <row r="385" s="3" customFormat="1" customHeight="1" spans="1:21">
      <c r="A385" s="144">
        <v>44363.6362731481</v>
      </c>
      <c r="B385" s="27" t="s">
        <v>3190</v>
      </c>
      <c r="C385" s="27" t="s">
        <v>3191</v>
      </c>
      <c r="D385" s="162" t="s">
        <v>3192</v>
      </c>
      <c r="E385" s="162" t="s">
        <v>165</v>
      </c>
      <c r="F385" s="162" t="s">
        <v>3193</v>
      </c>
      <c r="G385" s="27">
        <v>13361729367</v>
      </c>
      <c r="H385" s="162" t="s">
        <v>3194</v>
      </c>
      <c r="I385" s="162" t="s">
        <v>268</v>
      </c>
      <c r="J385" s="162" t="s">
        <v>17</v>
      </c>
      <c r="K385" s="27">
        <v>202101017</v>
      </c>
      <c r="L385" s="162" t="s">
        <v>157</v>
      </c>
      <c r="M385" s="162" t="s">
        <v>1258</v>
      </c>
      <c r="N385" s="162" t="s">
        <v>3195</v>
      </c>
      <c r="O385" s="162" t="s">
        <v>170</v>
      </c>
      <c r="P385" s="162" t="s">
        <v>216</v>
      </c>
      <c r="Q385" s="162" t="s">
        <v>17</v>
      </c>
      <c r="R385" s="162" t="s">
        <v>3196</v>
      </c>
      <c r="S385" s="118" t="str">
        <f>_xlfn.DISPIMG("ID_F0B384F7F2BD4ECB81B75D08A62A8621",1)</f>
        <v>=DISPIMG("ID_F0B384F7F2BD4ECB81B75D08A62A8621",1)</v>
      </c>
      <c r="T385" s="115" t="s">
        <v>3197</v>
      </c>
      <c r="U385" s="27">
        <v>397</v>
      </c>
    </row>
    <row r="386" s="3" customFormat="1" customHeight="1" spans="1:21">
      <c r="A386" s="144">
        <v>44363.6372800926</v>
      </c>
      <c r="B386" s="27" t="s">
        <v>3198</v>
      </c>
      <c r="C386" s="27" t="s">
        <v>3199</v>
      </c>
      <c r="D386" s="162" t="s">
        <v>2831</v>
      </c>
      <c r="E386" s="162" t="s">
        <v>165</v>
      </c>
      <c r="F386" s="162" t="s">
        <v>3200</v>
      </c>
      <c r="G386" s="27">
        <v>15079253920</v>
      </c>
      <c r="H386" s="162" t="s">
        <v>3201</v>
      </c>
      <c r="I386" s="162" t="s">
        <v>384</v>
      </c>
      <c r="J386" s="162" t="s">
        <v>21</v>
      </c>
      <c r="K386" s="27">
        <v>202101023</v>
      </c>
      <c r="L386" s="162" t="s">
        <v>157</v>
      </c>
      <c r="M386" s="162" t="s">
        <v>1413</v>
      </c>
      <c r="N386" s="162" t="s">
        <v>682</v>
      </c>
      <c r="O386" s="162" t="s">
        <v>170</v>
      </c>
      <c r="P386" s="162" t="s">
        <v>261</v>
      </c>
      <c r="Q386" s="162" t="s">
        <v>1824</v>
      </c>
      <c r="R386" s="27">
        <v>0</v>
      </c>
      <c r="S386" s="118" t="str">
        <f>_xlfn.DISPIMG("ID_6FA15DDD4AA745CAA44305EB8A7C29E0",1)</f>
        <v>=DISPIMG("ID_6FA15DDD4AA745CAA44305EB8A7C29E0",1)</v>
      </c>
      <c r="T386" s="115" t="s">
        <v>4312</v>
      </c>
      <c r="U386" s="27">
        <v>398</v>
      </c>
    </row>
    <row r="387" s="3" customFormat="1" customHeight="1" spans="1:21">
      <c r="A387" s="144">
        <v>44363.6389467593</v>
      </c>
      <c r="B387" s="27" t="s">
        <v>3202</v>
      </c>
      <c r="C387" s="27" t="s">
        <v>3203</v>
      </c>
      <c r="D387" s="162" t="s">
        <v>3204</v>
      </c>
      <c r="E387" s="162" t="s">
        <v>165</v>
      </c>
      <c r="F387" s="162" t="s">
        <v>3205</v>
      </c>
      <c r="G387" s="27">
        <v>18270304769</v>
      </c>
      <c r="H387" s="162" t="s">
        <v>3206</v>
      </c>
      <c r="I387" s="162" t="s">
        <v>156</v>
      </c>
      <c r="J387" s="162" t="s">
        <v>13</v>
      </c>
      <c r="K387" s="27">
        <v>202102003</v>
      </c>
      <c r="L387" s="162" t="s">
        <v>279</v>
      </c>
      <c r="M387" s="162" t="s">
        <v>168</v>
      </c>
      <c r="N387" s="162" t="s">
        <v>223</v>
      </c>
      <c r="O387" s="162" t="s">
        <v>170</v>
      </c>
      <c r="P387" s="162" t="s">
        <v>171</v>
      </c>
      <c r="Q387" s="162" t="s">
        <v>13</v>
      </c>
      <c r="R387" s="162" t="s">
        <v>3207</v>
      </c>
      <c r="S387" s="118" t="str">
        <f>_xlfn.DISPIMG("ID_51BC672EACDF4F87BCFEE4B4000126C2",1)</f>
        <v>=DISPIMG("ID_51BC672EACDF4F87BCFEE4B4000126C2",1)</v>
      </c>
      <c r="T387" s="115" t="s">
        <v>3208</v>
      </c>
      <c r="U387" s="27">
        <v>399</v>
      </c>
    </row>
    <row r="388" s="3" customFormat="1" customHeight="1" spans="1:21">
      <c r="A388" s="144">
        <v>44363.6404398148</v>
      </c>
      <c r="B388" s="27" t="s">
        <v>3209</v>
      </c>
      <c r="C388" s="27" t="s">
        <v>3210</v>
      </c>
      <c r="D388" s="162" t="s">
        <v>3211</v>
      </c>
      <c r="E388" s="162" t="s">
        <v>165</v>
      </c>
      <c r="F388" s="162" t="s">
        <v>3212</v>
      </c>
      <c r="G388" s="27">
        <v>15779234299</v>
      </c>
      <c r="H388" s="162" t="s">
        <v>3213</v>
      </c>
      <c r="I388" s="162" t="s">
        <v>506</v>
      </c>
      <c r="J388" s="162" t="s">
        <v>15</v>
      </c>
      <c r="K388" s="27">
        <v>202101019</v>
      </c>
      <c r="L388" s="162" t="s">
        <v>157</v>
      </c>
      <c r="M388" s="162" t="s">
        <v>178</v>
      </c>
      <c r="N388" s="162" t="s">
        <v>215</v>
      </c>
      <c r="O388" s="162" t="s">
        <v>170</v>
      </c>
      <c r="P388" s="162" t="s">
        <v>199</v>
      </c>
      <c r="Q388" s="162" t="s">
        <v>3214</v>
      </c>
      <c r="R388" s="162" t="s">
        <v>3215</v>
      </c>
      <c r="S388" s="118" t="str">
        <f>_xlfn.DISPIMG("ID_C6192F8F8B3E4D2CBC3C30A06AF40B6E",1)</f>
        <v>=DISPIMG("ID_C6192F8F8B3E4D2CBC3C30A06AF40B6E",1)</v>
      </c>
      <c r="T388" s="115" t="s">
        <v>3216</v>
      </c>
      <c r="U388" s="27">
        <v>400</v>
      </c>
    </row>
    <row r="389" s="4" customFormat="1" customHeight="1" spans="1:21">
      <c r="A389" s="145">
        <v>44365.4468634259</v>
      </c>
      <c r="B389" s="22" t="s">
        <v>3217</v>
      </c>
      <c r="C389" s="22" t="s">
        <v>3218</v>
      </c>
      <c r="D389" s="164" t="s">
        <v>3219</v>
      </c>
      <c r="E389" s="164" t="s">
        <v>165</v>
      </c>
      <c r="F389" s="164" t="s">
        <v>3220</v>
      </c>
      <c r="G389" s="22">
        <v>18279832090</v>
      </c>
      <c r="H389" s="164" t="s">
        <v>3221</v>
      </c>
      <c r="I389" s="164" t="s">
        <v>384</v>
      </c>
      <c r="J389" s="164" t="s">
        <v>25</v>
      </c>
      <c r="K389" s="22">
        <v>202101007</v>
      </c>
      <c r="L389" s="164" t="s">
        <v>157</v>
      </c>
      <c r="M389" s="164" t="s">
        <v>507</v>
      </c>
      <c r="N389" s="164" t="s">
        <v>828</v>
      </c>
      <c r="O389" s="164" t="s">
        <v>170</v>
      </c>
      <c r="P389" s="164" t="s">
        <v>161</v>
      </c>
      <c r="Q389" s="164" t="s">
        <v>25</v>
      </c>
      <c r="R389" s="164" t="s">
        <v>3222</v>
      </c>
      <c r="S389" s="23" t="str">
        <f>_xlfn.DISPIMG("ID_31DA0D5E67EC49E4A7DA2145DC608874",1)</f>
        <v>=DISPIMG("ID_31DA0D5E67EC49E4A7DA2145DC608874",1)</v>
      </c>
      <c r="T389" s="103" t="s">
        <v>3223</v>
      </c>
      <c r="U389" s="27">
        <v>401</v>
      </c>
    </row>
    <row r="390" s="3" customFormat="1" customHeight="1" spans="1:21">
      <c r="A390" s="144">
        <v>44363.6502662037</v>
      </c>
      <c r="B390" s="27" t="s">
        <v>3224</v>
      </c>
      <c r="C390" s="27" t="s">
        <v>3225</v>
      </c>
      <c r="D390" s="162" t="s">
        <v>3226</v>
      </c>
      <c r="E390" s="162" t="s">
        <v>165</v>
      </c>
      <c r="F390" s="162" t="s">
        <v>3227</v>
      </c>
      <c r="G390" s="27">
        <v>18279226554</v>
      </c>
      <c r="H390" s="162" t="s">
        <v>3228</v>
      </c>
      <c r="I390" s="162" t="s">
        <v>156</v>
      </c>
      <c r="J390" s="162" t="s">
        <v>8</v>
      </c>
      <c r="K390" s="27">
        <v>202102002</v>
      </c>
      <c r="L390" s="162" t="s">
        <v>157</v>
      </c>
      <c r="M390" s="162" t="s">
        <v>3229</v>
      </c>
      <c r="N390" s="162" t="s">
        <v>1832</v>
      </c>
      <c r="O390" s="162" t="s">
        <v>160</v>
      </c>
      <c r="P390" s="162" t="s">
        <v>235</v>
      </c>
      <c r="Q390" s="162" t="s">
        <v>3230</v>
      </c>
      <c r="R390" s="27">
        <v>0</v>
      </c>
      <c r="S390" s="118" t="str">
        <f>_xlfn.DISPIMG("ID_E38CE29681DB4326A5DB290E49AD4AFC",1)</f>
        <v>=DISPIMG("ID_E38CE29681DB4326A5DB290E49AD4AFC",1)</v>
      </c>
      <c r="T390" s="115" t="s">
        <v>3231</v>
      </c>
      <c r="U390" s="27">
        <v>402</v>
      </c>
    </row>
    <row r="391" s="3" customFormat="1" customHeight="1" spans="1:21">
      <c r="A391" s="144">
        <v>44363.6791203704</v>
      </c>
      <c r="B391" s="27" t="s">
        <v>3232</v>
      </c>
      <c r="C391" s="27" t="s">
        <v>3233</v>
      </c>
      <c r="D391" s="162" t="s">
        <v>3234</v>
      </c>
      <c r="E391" s="162" t="s">
        <v>165</v>
      </c>
      <c r="F391" s="162" t="s">
        <v>3235</v>
      </c>
      <c r="G391" s="27">
        <v>15083801983</v>
      </c>
      <c r="H391" s="162" t="s">
        <v>3236</v>
      </c>
      <c r="I391" s="162" t="s">
        <v>278</v>
      </c>
      <c r="J391" s="162" t="s">
        <v>28</v>
      </c>
      <c r="K391" s="27">
        <v>202103001</v>
      </c>
      <c r="L391" s="162" t="s">
        <v>279</v>
      </c>
      <c r="M391" s="162" t="s">
        <v>339</v>
      </c>
      <c r="N391" s="162" t="s">
        <v>960</v>
      </c>
      <c r="O391" s="162" t="s">
        <v>170</v>
      </c>
      <c r="P391" s="162" t="s">
        <v>2935</v>
      </c>
      <c r="Q391" s="162" t="s">
        <v>376</v>
      </c>
      <c r="R391" s="162" t="s">
        <v>3237</v>
      </c>
      <c r="S391" s="118" t="str">
        <f>_xlfn.DISPIMG("ID_6E77F2441F654B1DACC44E4FDEC025B1",1)</f>
        <v>=DISPIMG("ID_6E77F2441F654B1DACC44E4FDEC025B1",1)</v>
      </c>
      <c r="T391" s="115" t="s">
        <v>3238</v>
      </c>
      <c r="U391" s="27">
        <v>403</v>
      </c>
    </row>
    <row r="392" s="3" customFormat="1" customHeight="1" spans="1:21">
      <c r="A392" s="144">
        <v>44363.7048611111</v>
      </c>
      <c r="B392" s="27" t="s">
        <v>3239</v>
      </c>
      <c r="C392" s="27" t="s">
        <v>3240</v>
      </c>
      <c r="D392" s="162" t="s">
        <v>3241</v>
      </c>
      <c r="E392" s="162" t="s">
        <v>165</v>
      </c>
      <c r="F392" s="162" t="s">
        <v>3242</v>
      </c>
      <c r="G392" s="27">
        <v>15390868523</v>
      </c>
      <c r="H392" s="162" t="s">
        <v>3243</v>
      </c>
      <c r="I392" s="162" t="s">
        <v>156</v>
      </c>
      <c r="J392" s="162" t="s">
        <v>13</v>
      </c>
      <c r="K392" s="27">
        <v>202102003</v>
      </c>
      <c r="L392" s="162" t="s">
        <v>157</v>
      </c>
      <c r="M392" s="162" t="s">
        <v>3244</v>
      </c>
      <c r="N392" s="162" t="s">
        <v>179</v>
      </c>
      <c r="O392" s="162" t="s">
        <v>160</v>
      </c>
      <c r="P392" s="162" t="s">
        <v>161</v>
      </c>
      <c r="Q392" s="162" t="s">
        <v>190</v>
      </c>
      <c r="R392" s="27">
        <v>0</v>
      </c>
      <c r="S392" s="118" t="str">
        <f>_xlfn.DISPIMG("ID_AED07D8F3E8D4336A7B785D8FBC52BF4",1)</f>
        <v>=DISPIMG("ID_AED07D8F3E8D4336A7B785D8FBC52BF4",1)</v>
      </c>
      <c r="T392" s="115" t="s">
        <v>3245</v>
      </c>
      <c r="U392" s="27">
        <v>404</v>
      </c>
    </row>
    <row r="393" s="3" customFormat="1" customHeight="1" spans="1:21">
      <c r="A393" s="144">
        <v>44363.7121412037</v>
      </c>
      <c r="B393" s="27" t="s">
        <v>3246</v>
      </c>
      <c r="C393" s="27" t="s">
        <v>3247</v>
      </c>
      <c r="D393" s="162" t="s">
        <v>3248</v>
      </c>
      <c r="E393" s="162" t="s">
        <v>153</v>
      </c>
      <c r="F393" s="162" t="s">
        <v>3249</v>
      </c>
      <c r="G393" s="27">
        <v>15180608216</v>
      </c>
      <c r="H393" s="162" t="s">
        <v>3250</v>
      </c>
      <c r="I393" s="162" t="s">
        <v>156</v>
      </c>
      <c r="J393" s="162" t="s">
        <v>11</v>
      </c>
      <c r="K393" s="27">
        <v>202102013</v>
      </c>
      <c r="L393" s="162" t="s">
        <v>157</v>
      </c>
      <c r="M393" s="162" t="s">
        <v>827</v>
      </c>
      <c r="N393" s="162" t="s">
        <v>3251</v>
      </c>
      <c r="O393" s="162" t="s">
        <v>160</v>
      </c>
      <c r="P393" s="162" t="s">
        <v>161</v>
      </c>
      <c r="Q393" s="162" t="s">
        <v>8</v>
      </c>
      <c r="R393" s="27">
        <v>0</v>
      </c>
      <c r="S393" s="118" t="str">
        <f>_xlfn.DISPIMG("ID_80F22CEDB358451BB7235F67F99FD33D",1)</f>
        <v>=DISPIMG("ID_80F22CEDB358451BB7235F67F99FD33D",1)</v>
      </c>
      <c r="T393" s="115" t="s">
        <v>3252</v>
      </c>
      <c r="U393" s="27">
        <v>405</v>
      </c>
    </row>
    <row r="394" s="4" customFormat="1" customHeight="1" spans="1:21">
      <c r="A394" s="145">
        <v>44365.6648842593</v>
      </c>
      <c r="B394" s="22" t="s">
        <v>3253</v>
      </c>
      <c r="C394" s="22" t="s">
        <v>3254</v>
      </c>
      <c r="D394" s="164" t="s">
        <v>3255</v>
      </c>
      <c r="E394" s="164" t="s">
        <v>165</v>
      </c>
      <c r="F394" s="164" t="s">
        <v>3256</v>
      </c>
      <c r="G394" s="22">
        <v>18770283607</v>
      </c>
      <c r="H394" s="164" t="s">
        <v>3257</v>
      </c>
      <c r="I394" s="164" t="s">
        <v>156</v>
      </c>
      <c r="J394" s="164" t="s">
        <v>13</v>
      </c>
      <c r="K394" s="22">
        <v>202102003</v>
      </c>
      <c r="L394" s="164" t="s">
        <v>157</v>
      </c>
      <c r="M394" s="164" t="s">
        <v>611</v>
      </c>
      <c r="N394" s="164" t="s">
        <v>179</v>
      </c>
      <c r="O394" s="164" t="s">
        <v>160</v>
      </c>
      <c r="P394" s="164" t="s">
        <v>577</v>
      </c>
      <c r="Q394" s="164" t="s">
        <v>3258</v>
      </c>
      <c r="R394" s="164" t="s">
        <v>3259</v>
      </c>
      <c r="S394" s="23" t="str">
        <f>_xlfn.DISPIMG("ID_9640DE1808F9498F8612547EA44506E8",1)</f>
        <v>=DISPIMG("ID_9640DE1808F9498F8612547EA44506E8",1)</v>
      </c>
      <c r="T394" s="103" t="s">
        <v>3260</v>
      </c>
      <c r="U394" s="27">
        <v>406</v>
      </c>
    </row>
    <row r="395" s="3" customFormat="1" customHeight="1" spans="1:21">
      <c r="A395" s="144">
        <v>44363.737037037</v>
      </c>
      <c r="B395" s="27" t="s">
        <v>3261</v>
      </c>
      <c r="C395" s="27" t="s">
        <v>3262</v>
      </c>
      <c r="D395" s="162" t="s">
        <v>3263</v>
      </c>
      <c r="E395" s="162" t="s">
        <v>165</v>
      </c>
      <c r="F395" s="162" t="s">
        <v>3264</v>
      </c>
      <c r="G395" s="27">
        <v>15297923055</v>
      </c>
      <c r="H395" s="162" t="s">
        <v>803</v>
      </c>
      <c r="I395" s="162" t="s">
        <v>156</v>
      </c>
      <c r="J395" s="162" t="s">
        <v>7</v>
      </c>
      <c r="K395" s="27">
        <v>202102006</v>
      </c>
      <c r="L395" s="162" t="s">
        <v>157</v>
      </c>
      <c r="M395" s="162" t="s">
        <v>507</v>
      </c>
      <c r="N395" s="162" t="s">
        <v>243</v>
      </c>
      <c r="O395" s="162" t="s">
        <v>160</v>
      </c>
      <c r="P395" s="162" t="s">
        <v>1089</v>
      </c>
      <c r="Q395" s="162" t="s">
        <v>13</v>
      </c>
      <c r="R395" s="27">
        <v>0</v>
      </c>
      <c r="S395" s="118" t="str">
        <f>_xlfn.DISPIMG("ID_E2A16755D9294F19AC6C5724406D1776",1)</f>
        <v>=DISPIMG("ID_E2A16755D9294F19AC6C5724406D1776",1)</v>
      </c>
      <c r="T395" s="27" t="s">
        <v>3265</v>
      </c>
      <c r="U395" s="27">
        <v>407</v>
      </c>
    </row>
    <row r="396" s="3" customFormat="1" customHeight="1" spans="1:21">
      <c r="A396" s="144">
        <v>44363.7372569444</v>
      </c>
      <c r="B396" s="27" t="s">
        <v>3266</v>
      </c>
      <c r="C396" s="27" t="s">
        <v>3267</v>
      </c>
      <c r="D396" s="162" t="s">
        <v>3268</v>
      </c>
      <c r="E396" s="162" t="s">
        <v>165</v>
      </c>
      <c r="F396" s="162" t="s">
        <v>3269</v>
      </c>
      <c r="G396" s="27">
        <v>18770914454</v>
      </c>
      <c r="H396" s="162" t="s">
        <v>3270</v>
      </c>
      <c r="I396" s="162" t="s">
        <v>156</v>
      </c>
      <c r="J396" s="162" t="s">
        <v>14</v>
      </c>
      <c r="K396" s="27">
        <v>202102001</v>
      </c>
      <c r="L396" s="162" t="s">
        <v>279</v>
      </c>
      <c r="M396" s="162" t="s">
        <v>178</v>
      </c>
      <c r="N396" s="162" t="s">
        <v>348</v>
      </c>
      <c r="O396" s="162" t="s">
        <v>170</v>
      </c>
      <c r="P396" s="162" t="s">
        <v>216</v>
      </c>
      <c r="Q396" s="162" t="s">
        <v>638</v>
      </c>
      <c r="R396" s="162" t="s">
        <v>3271</v>
      </c>
      <c r="S396" s="118" t="str">
        <f>_xlfn.DISPIMG("ID_A7E75D79E714426086202D465053808C",1)</f>
        <v>=DISPIMG("ID_A7E75D79E714426086202D465053808C",1)</v>
      </c>
      <c r="T396" s="115" t="s">
        <v>3272</v>
      </c>
      <c r="U396" s="27">
        <v>408</v>
      </c>
    </row>
    <row r="397" s="3" customFormat="1" customHeight="1" spans="1:21">
      <c r="A397" s="144">
        <v>44363.7380324074</v>
      </c>
      <c r="B397" s="27" t="s">
        <v>3273</v>
      </c>
      <c r="C397" s="27" t="s">
        <v>3274</v>
      </c>
      <c r="D397" s="162" t="s">
        <v>3274</v>
      </c>
      <c r="E397" s="162" t="s">
        <v>165</v>
      </c>
      <c r="F397" s="162" t="s">
        <v>3275</v>
      </c>
      <c r="G397" s="27">
        <v>15870802185</v>
      </c>
      <c r="H397" s="162" t="s">
        <v>959</v>
      </c>
      <c r="I397" s="162" t="s">
        <v>156</v>
      </c>
      <c r="J397" s="162" t="s">
        <v>12</v>
      </c>
      <c r="K397" s="27">
        <v>202102010</v>
      </c>
      <c r="L397" s="162" t="s">
        <v>157</v>
      </c>
      <c r="M397" s="162" t="s">
        <v>3276</v>
      </c>
      <c r="N397" s="162" t="s">
        <v>3277</v>
      </c>
      <c r="O397" s="162" t="s">
        <v>170</v>
      </c>
      <c r="P397" s="162" t="s">
        <v>516</v>
      </c>
      <c r="Q397" s="162" t="s">
        <v>3278</v>
      </c>
      <c r="R397" s="162" t="s">
        <v>3279</v>
      </c>
      <c r="S397" s="118" t="str">
        <f>_xlfn.DISPIMG("ID_CA7F81D47ACB4FA38E0278F330AEC9F9",1)</f>
        <v>=DISPIMG("ID_CA7F81D47ACB4FA38E0278F330AEC9F9",1)</v>
      </c>
      <c r="T397" s="115" t="s">
        <v>3280</v>
      </c>
      <c r="U397" s="27">
        <v>409</v>
      </c>
    </row>
    <row r="398" s="3" customFormat="1" customHeight="1" spans="1:21">
      <c r="A398" s="144">
        <v>44363.7433564815</v>
      </c>
      <c r="B398" s="27" t="s">
        <v>3281</v>
      </c>
      <c r="C398" s="27" t="s">
        <v>3282</v>
      </c>
      <c r="D398" s="162" t="s">
        <v>3283</v>
      </c>
      <c r="E398" s="162" t="s">
        <v>165</v>
      </c>
      <c r="F398" s="162" t="s">
        <v>3284</v>
      </c>
      <c r="G398" s="27">
        <v>18970283911</v>
      </c>
      <c r="H398" s="162" t="s">
        <v>3285</v>
      </c>
      <c r="I398" s="162" t="s">
        <v>156</v>
      </c>
      <c r="J398" s="162" t="s">
        <v>14</v>
      </c>
      <c r="K398" s="27">
        <v>202102001</v>
      </c>
      <c r="L398" s="162" t="s">
        <v>157</v>
      </c>
      <c r="M398" s="162" t="s">
        <v>178</v>
      </c>
      <c r="N398" s="162" t="s">
        <v>3286</v>
      </c>
      <c r="O398" s="162" t="s">
        <v>170</v>
      </c>
      <c r="P398" s="162" t="s">
        <v>199</v>
      </c>
      <c r="Q398" s="162" t="s">
        <v>14</v>
      </c>
      <c r="R398" s="162" t="s">
        <v>3287</v>
      </c>
      <c r="S398" s="118" t="str">
        <f>_xlfn.DISPIMG("ID_CEC6054CEEDC4B7EB64CEFDE8D077DB1",1)</f>
        <v>=DISPIMG("ID_CEC6054CEEDC4B7EB64CEFDE8D077DB1",1)</v>
      </c>
      <c r="T398" s="115" t="s">
        <v>3288</v>
      </c>
      <c r="U398" s="27">
        <v>410</v>
      </c>
    </row>
    <row r="399" s="3" customFormat="1" customHeight="1" spans="1:21">
      <c r="A399" s="144">
        <v>44363.7800347222</v>
      </c>
      <c r="B399" s="27" t="s">
        <v>3290</v>
      </c>
      <c r="C399" s="27" t="s">
        <v>3022</v>
      </c>
      <c r="D399" s="162" t="s">
        <v>3022</v>
      </c>
      <c r="E399" s="162" t="s">
        <v>165</v>
      </c>
      <c r="F399" s="162" t="s">
        <v>3023</v>
      </c>
      <c r="G399" s="27">
        <v>15870035090</v>
      </c>
      <c r="H399" s="162" t="s">
        <v>3024</v>
      </c>
      <c r="I399" s="162" t="s">
        <v>268</v>
      </c>
      <c r="J399" s="162" t="s">
        <v>16</v>
      </c>
      <c r="K399" s="27">
        <v>202101011</v>
      </c>
      <c r="L399" s="162" t="s">
        <v>157</v>
      </c>
      <c r="M399" s="162" t="s">
        <v>233</v>
      </c>
      <c r="N399" s="162" t="s">
        <v>1088</v>
      </c>
      <c r="O399" s="162" t="s">
        <v>170</v>
      </c>
      <c r="P399" s="162" t="s">
        <v>548</v>
      </c>
      <c r="Q399" s="162" t="s">
        <v>1579</v>
      </c>
      <c r="R399" s="162" t="s">
        <v>3025</v>
      </c>
      <c r="S399" s="118" t="str">
        <f>_xlfn.DISPIMG("ID_B71153A1EE7A48CF8E15967732B6C043",1)</f>
        <v>=DISPIMG("ID_B71153A1EE7A48CF8E15967732B6C043",1)</v>
      </c>
      <c r="T399" s="115" t="s">
        <v>3026</v>
      </c>
      <c r="U399" s="27">
        <v>412</v>
      </c>
    </row>
    <row r="400" s="3" customFormat="1" customHeight="1" spans="1:21">
      <c r="A400" s="144">
        <v>44364.8818518519</v>
      </c>
      <c r="B400" s="27" t="s">
        <v>3291</v>
      </c>
      <c r="C400" s="27" t="s">
        <v>3292</v>
      </c>
      <c r="D400" s="162" t="s">
        <v>3293</v>
      </c>
      <c r="E400" s="162" t="s">
        <v>165</v>
      </c>
      <c r="F400" s="162" t="s">
        <v>3294</v>
      </c>
      <c r="G400" s="27">
        <v>18170265828</v>
      </c>
      <c r="H400" s="162" t="s">
        <v>3295</v>
      </c>
      <c r="I400" s="162" t="s">
        <v>278</v>
      </c>
      <c r="J400" s="162" t="s">
        <v>28</v>
      </c>
      <c r="K400" s="27">
        <v>202103001</v>
      </c>
      <c r="L400" s="162" t="s">
        <v>157</v>
      </c>
      <c r="M400" s="162" t="s">
        <v>233</v>
      </c>
      <c r="N400" s="162" t="s">
        <v>280</v>
      </c>
      <c r="O400" s="162" t="s">
        <v>170</v>
      </c>
      <c r="P400" s="162" t="s">
        <v>3061</v>
      </c>
      <c r="Q400" s="162" t="s">
        <v>3296</v>
      </c>
      <c r="R400" s="162" t="s">
        <v>3297</v>
      </c>
      <c r="S400" s="118" t="str">
        <f>_xlfn.DISPIMG("ID_1A8F20F988244300AFCAF70BDC1F337C",1)</f>
        <v>=DISPIMG("ID_1A8F20F988244300AFCAF70BDC1F337C",1)</v>
      </c>
      <c r="T400" s="115" t="s">
        <v>3298</v>
      </c>
      <c r="U400" s="27">
        <v>413</v>
      </c>
    </row>
    <row r="401" s="3" customFormat="1" customHeight="1" spans="1:21">
      <c r="A401" s="144">
        <v>44363.8165509259</v>
      </c>
      <c r="B401" s="27" t="s">
        <v>3299</v>
      </c>
      <c r="C401" s="27" t="s">
        <v>3300</v>
      </c>
      <c r="D401" s="162" t="s">
        <v>3301</v>
      </c>
      <c r="E401" s="162" t="s">
        <v>165</v>
      </c>
      <c r="F401" s="162" t="s">
        <v>3302</v>
      </c>
      <c r="G401" s="27">
        <v>13870479934</v>
      </c>
      <c r="H401" s="162" t="s">
        <v>3303</v>
      </c>
      <c r="I401" s="162" t="s">
        <v>156</v>
      </c>
      <c r="J401" s="162" t="s">
        <v>3</v>
      </c>
      <c r="K401" s="27">
        <v>202102009</v>
      </c>
      <c r="L401" s="162" t="s">
        <v>157</v>
      </c>
      <c r="M401" s="162" t="s">
        <v>178</v>
      </c>
      <c r="N401" s="162" t="s">
        <v>454</v>
      </c>
      <c r="O401" s="162" t="s">
        <v>170</v>
      </c>
      <c r="P401" s="162" t="s">
        <v>261</v>
      </c>
      <c r="Q401" s="162" t="s">
        <v>1425</v>
      </c>
      <c r="R401" s="27">
        <v>0</v>
      </c>
      <c r="S401" s="118" t="str">
        <f>_xlfn.DISPIMG("ID_DD8D706699DA435AABD3242B003A06E3",1)</f>
        <v>=DISPIMG("ID_DD8D706699DA435AABD3242B003A06E3",1)</v>
      </c>
      <c r="T401" s="115" t="s">
        <v>3304</v>
      </c>
      <c r="U401" s="27">
        <v>414</v>
      </c>
    </row>
    <row r="402" s="3" customFormat="1" customHeight="1" spans="1:21">
      <c r="A402" s="144">
        <v>44363.8564467593</v>
      </c>
      <c r="B402" s="27" t="s">
        <v>3305</v>
      </c>
      <c r="C402" s="27" t="s">
        <v>3306</v>
      </c>
      <c r="D402" s="162" t="s">
        <v>3307</v>
      </c>
      <c r="E402" s="162" t="s">
        <v>165</v>
      </c>
      <c r="F402" s="162" t="s">
        <v>3308</v>
      </c>
      <c r="G402" s="27">
        <v>15570243314</v>
      </c>
      <c r="H402" s="162" t="s">
        <v>2482</v>
      </c>
      <c r="I402" s="162" t="s">
        <v>278</v>
      </c>
      <c r="J402" s="162" t="s">
        <v>28</v>
      </c>
      <c r="K402" s="27">
        <v>202103001</v>
      </c>
      <c r="L402" s="162" t="s">
        <v>279</v>
      </c>
      <c r="M402" s="162" t="s">
        <v>3309</v>
      </c>
      <c r="N402" s="162" t="s">
        <v>2326</v>
      </c>
      <c r="O402" s="162" t="s">
        <v>170</v>
      </c>
      <c r="P402" s="162" t="s">
        <v>396</v>
      </c>
      <c r="Q402" s="162" t="s">
        <v>517</v>
      </c>
      <c r="R402" s="162" t="s">
        <v>3310</v>
      </c>
      <c r="S402" s="118" t="str">
        <f>_xlfn.DISPIMG("ID_354EF343CD5243F482E0D228CE19598F",1)</f>
        <v>=DISPIMG("ID_354EF343CD5243F482E0D228CE19598F",1)</v>
      </c>
      <c r="T402" s="115" t="s">
        <v>3311</v>
      </c>
      <c r="U402" s="27">
        <v>415</v>
      </c>
    </row>
    <row r="403" s="3" customFormat="1" customHeight="1" spans="1:21">
      <c r="A403" s="144">
        <v>44363.8460532407</v>
      </c>
      <c r="B403" s="27" t="s">
        <v>3312</v>
      </c>
      <c r="C403" s="27" t="s">
        <v>3313</v>
      </c>
      <c r="D403" s="162" t="s">
        <v>3314</v>
      </c>
      <c r="E403" s="162" t="s">
        <v>165</v>
      </c>
      <c r="F403" s="162" t="s">
        <v>3315</v>
      </c>
      <c r="G403" s="27">
        <v>18070403284</v>
      </c>
      <c r="H403" s="162" t="s">
        <v>3316</v>
      </c>
      <c r="I403" s="162" t="s">
        <v>156</v>
      </c>
      <c r="J403" s="162" t="s">
        <v>13</v>
      </c>
      <c r="K403" s="27">
        <v>202102003</v>
      </c>
      <c r="L403" s="162" t="s">
        <v>157</v>
      </c>
      <c r="M403" s="162" t="s">
        <v>385</v>
      </c>
      <c r="N403" s="162" t="s">
        <v>2821</v>
      </c>
      <c r="O403" s="162" t="s">
        <v>170</v>
      </c>
      <c r="P403" s="162" t="s">
        <v>281</v>
      </c>
      <c r="Q403" s="162" t="s">
        <v>25</v>
      </c>
      <c r="R403" s="162" t="s">
        <v>3317</v>
      </c>
      <c r="S403" s="118" t="str">
        <f>_xlfn.DISPIMG("ID_395A3D0BD71445EA85EA2ACA292A2801",1)</f>
        <v>=DISPIMG("ID_395A3D0BD71445EA85EA2ACA292A2801",1)</v>
      </c>
      <c r="T403" s="115" t="s">
        <v>3318</v>
      </c>
      <c r="U403" s="27">
        <v>416</v>
      </c>
    </row>
    <row r="404" s="3" customFormat="1" customHeight="1" spans="1:21">
      <c r="A404" s="144">
        <v>44363.8569097222</v>
      </c>
      <c r="B404" s="27" t="s">
        <v>3319</v>
      </c>
      <c r="C404" s="27" t="s">
        <v>3306</v>
      </c>
      <c r="D404" s="162" t="s">
        <v>3320</v>
      </c>
      <c r="E404" s="162" t="s">
        <v>165</v>
      </c>
      <c r="F404" s="162" t="s">
        <v>3321</v>
      </c>
      <c r="G404" s="27">
        <v>13979205561</v>
      </c>
      <c r="H404" s="162" t="s">
        <v>959</v>
      </c>
      <c r="I404" s="162" t="s">
        <v>278</v>
      </c>
      <c r="J404" s="162" t="s">
        <v>28</v>
      </c>
      <c r="K404" s="27">
        <v>202103001</v>
      </c>
      <c r="L404" s="162" t="s">
        <v>585</v>
      </c>
      <c r="M404" s="162" t="s">
        <v>168</v>
      </c>
      <c r="N404" s="162" t="s">
        <v>280</v>
      </c>
      <c r="O404" s="162" t="s">
        <v>170</v>
      </c>
      <c r="P404" s="162" t="s">
        <v>2047</v>
      </c>
      <c r="Q404" s="162" t="s">
        <v>340</v>
      </c>
      <c r="R404" s="162" t="s">
        <v>3322</v>
      </c>
      <c r="S404" s="118" t="str">
        <f>_xlfn.DISPIMG("ID_98A98A82D5AD4E03ADF0E8FE54980276",1)</f>
        <v>=DISPIMG("ID_98A98A82D5AD4E03ADF0E8FE54980276",1)</v>
      </c>
      <c r="T404" s="115" t="s">
        <v>3323</v>
      </c>
      <c r="U404" s="27">
        <v>417</v>
      </c>
    </row>
    <row r="405" s="4" customFormat="1" customHeight="1" spans="1:21">
      <c r="A405" s="145">
        <v>44365.4204050926</v>
      </c>
      <c r="B405" s="22" t="s">
        <v>3324</v>
      </c>
      <c r="C405" s="22" t="s">
        <v>3325</v>
      </c>
      <c r="D405" s="164" t="s">
        <v>3326</v>
      </c>
      <c r="E405" s="164" t="s">
        <v>165</v>
      </c>
      <c r="F405" s="164" t="s">
        <v>3327</v>
      </c>
      <c r="G405" s="22">
        <v>15979970756</v>
      </c>
      <c r="H405" s="164" t="s">
        <v>3328</v>
      </c>
      <c r="I405" s="164" t="s">
        <v>278</v>
      </c>
      <c r="J405" s="164" t="s">
        <v>28</v>
      </c>
      <c r="K405" s="22">
        <v>202103001</v>
      </c>
      <c r="L405" s="164" t="s">
        <v>279</v>
      </c>
      <c r="M405" s="164" t="s">
        <v>3329</v>
      </c>
      <c r="N405" s="164" t="s">
        <v>280</v>
      </c>
      <c r="O405" s="164" t="s">
        <v>170</v>
      </c>
      <c r="P405" s="164" t="s">
        <v>368</v>
      </c>
      <c r="Q405" s="164" t="s">
        <v>376</v>
      </c>
      <c r="R405" s="164" t="s">
        <v>3330</v>
      </c>
      <c r="S405" s="23" t="str">
        <f>_xlfn.DISPIMG("ID_35E61F5727C7442282FC0637F60D57FC",1)</f>
        <v>=DISPIMG("ID_35E61F5727C7442282FC0637F60D57FC",1)</v>
      </c>
      <c r="T405" s="103" t="s">
        <v>3331</v>
      </c>
      <c r="U405" s="27">
        <v>418</v>
      </c>
    </row>
    <row r="406" s="3" customFormat="1" customHeight="1" spans="1:21">
      <c r="A406" s="144">
        <v>44363.8613888889</v>
      </c>
      <c r="B406" s="27" t="s">
        <v>3332</v>
      </c>
      <c r="C406" s="27" t="s">
        <v>2681</v>
      </c>
      <c r="D406" s="162" t="s">
        <v>2682</v>
      </c>
      <c r="E406" s="162" t="s">
        <v>165</v>
      </c>
      <c r="F406" s="162" t="s">
        <v>2683</v>
      </c>
      <c r="G406" s="27">
        <v>18079206353</v>
      </c>
      <c r="H406" s="162" t="s">
        <v>2684</v>
      </c>
      <c r="I406" s="162" t="s">
        <v>278</v>
      </c>
      <c r="J406" s="162" t="s">
        <v>28</v>
      </c>
      <c r="K406" s="27">
        <v>202103001</v>
      </c>
      <c r="L406" s="162" t="s">
        <v>585</v>
      </c>
      <c r="M406" s="162" t="s">
        <v>367</v>
      </c>
      <c r="N406" s="162" t="s">
        <v>586</v>
      </c>
      <c r="O406" s="162" t="s">
        <v>170</v>
      </c>
      <c r="P406" s="162" t="s">
        <v>2685</v>
      </c>
      <c r="Q406" s="162" t="s">
        <v>2686</v>
      </c>
      <c r="R406" s="162" t="s">
        <v>2687</v>
      </c>
      <c r="S406" s="118" t="str">
        <f>_xlfn.DISPIMG("ID_5B48971EF1B54F2AA5263A5C67E87781",1)</f>
        <v>=DISPIMG("ID_5B48971EF1B54F2AA5263A5C67E87781",1)</v>
      </c>
      <c r="T406" s="115" t="s">
        <v>2688</v>
      </c>
      <c r="U406" s="27">
        <v>419</v>
      </c>
    </row>
    <row r="407" s="3" customFormat="1" customHeight="1" spans="1:21">
      <c r="A407" s="144">
        <v>44363.8641319444</v>
      </c>
      <c r="B407" s="27" t="s">
        <v>3333</v>
      </c>
      <c r="C407" s="27" t="s">
        <v>3334</v>
      </c>
      <c r="D407" s="162" t="s">
        <v>3335</v>
      </c>
      <c r="E407" s="162" t="s">
        <v>165</v>
      </c>
      <c r="F407" s="162" t="s">
        <v>3336</v>
      </c>
      <c r="G407" s="27">
        <v>15170662594</v>
      </c>
      <c r="H407" s="162" t="s">
        <v>3337</v>
      </c>
      <c r="I407" s="162" t="s">
        <v>156</v>
      </c>
      <c r="J407" s="162" t="s">
        <v>11</v>
      </c>
      <c r="K407" s="27">
        <v>202102013</v>
      </c>
      <c r="L407" s="162" t="s">
        <v>157</v>
      </c>
      <c r="M407" s="162" t="s">
        <v>3070</v>
      </c>
      <c r="N407" s="162" t="s">
        <v>1147</v>
      </c>
      <c r="O407" s="162" t="s">
        <v>170</v>
      </c>
      <c r="P407" s="162" t="s">
        <v>306</v>
      </c>
      <c r="Q407" s="162" t="s">
        <v>23</v>
      </c>
      <c r="R407" s="162" t="s">
        <v>3338</v>
      </c>
      <c r="S407" s="118" t="str">
        <f>_xlfn.DISPIMG("ID_1086188647994FC4A050F44FE33ED3AF",1)</f>
        <v>=DISPIMG("ID_1086188647994FC4A050F44FE33ED3AF",1)</v>
      </c>
      <c r="T407" s="115" t="s">
        <v>3339</v>
      </c>
      <c r="U407" s="27">
        <v>420</v>
      </c>
    </row>
    <row r="408" s="3" customFormat="1" customHeight="1" spans="1:21">
      <c r="A408" s="144">
        <v>44363.8815972222</v>
      </c>
      <c r="B408" s="27" t="s">
        <v>3340</v>
      </c>
      <c r="C408" s="27" t="s">
        <v>3341</v>
      </c>
      <c r="D408" s="162" t="s">
        <v>3342</v>
      </c>
      <c r="E408" s="162" t="s">
        <v>165</v>
      </c>
      <c r="F408" s="162" t="s">
        <v>3343</v>
      </c>
      <c r="G408" s="27">
        <v>18320666217</v>
      </c>
      <c r="H408" s="162" t="s">
        <v>3344</v>
      </c>
      <c r="I408" s="162" t="s">
        <v>278</v>
      </c>
      <c r="J408" s="162" t="s">
        <v>28</v>
      </c>
      <c r="K408" s="27">
        <v>202103001</v>
      </c>
      <c r="L408" s="162" t="s">
        <v>157</v>
      </c>
      <c r="M408" s="162" t="s">
        <v>3345</v>
      </c>
      <c r="N408" s="162" t="s">
        <v>280</v>
      </c>
      <c r="O408" s="162" t="s">
        <v>170</v>
      </c>
      <c r="P408" s="162" t="s">
        <v>235</v>
      </c>
      <c r="Q408" s="162" t="s">
        <v>3346</v>
      </c>
      <c r="R408" s="162" t="s">
        <v>3347</v>
      </c>
      <c r="S408" s="118" t="str">
        <f>_xlfn.DISPIMG("ID_E18EEBC59F6A4BD3BA9929CD3773910D",1)</f>
        <v>=DISPIMG("ID_E18EEBC59F6A4BD3BA9929CD3773910D",1)</v>
      </c>
      <c r="T408" s="115" t="s">
        <v>3348</v>
      </c>
      <c r="U408" s="27">
        <v>421</v>
      </c>
    </row>
    <row r="409" s="3" customFormat="1" customHeight="1" spans="1:21">
      <c r="A409" s="144">
        <v>44363.9216782407</v>
      </c>
      <c r="B409" s="27" t="s">
        <v>3349</v>
      </c>
      <c r="C409" s="27" t="s">
        <v>3350</v>
      </c>
      <c r="D409" s="162" t="s">
        <v>3351</v>
      </c>
      <c r="E409" s="162" t="s">
        <v>165</v>
      </c>
      <c r="F409" s="162" t="s">
        <v>3352</v>
      </c>
      <c r="G409" s="27">
        <v>18720295129</v>
      </c>
      <c r="H409" s="162" t="s">
        <v>3353</v>
      </c>
      <c r="I409" s="162" t="s">
        <v>156</v>
      </c>
      <c r="J409" s="162" t="s">
        <v>13</v>
      </c>
      <c r="K409" s="27">
        <v>202102003</v>
      </c>
      <c r="L409" s="162" t="s">
        <v>279</v>
      </c>
      <c r="M409" s="162" t="s">
        <v>158</v>
      </c>
      <c r="N409" s="162" t="s">
        <v>223</v>
      </c>
      <c r="O409" s="162" t="s">
        <v>170</v>
      </c>
      <c r="P409" s="162" t="s">
        <v>180</v>
      </c>
      <c r="Q409" s="162" t="s">
        <v>3354</v>
      </c>
      <c r="R409" s="162" t="s">
        <v>3355</v>
      </c>
      <c r="S409" s="118" t="str">
        <f>_xlfn.DISPIMG("ID_74A8F2037BB844E7BAC2F04950084CD2",1)</f>
        <v>=DISPIMG("ID_74A8F2037BB844E7BAC2F04950084CD2",1)</v>
      </c>
      <c r="T409" s="115" t="s">
        <v>3356</v>
      </c>
      <c r="U409" s="27">
        <v>422</v>
      </c>
    </row>
    <row r="410" s="3" customFormat="1" customHeight="1" spans="1:21">
      <c r="A410" s="144">
        <v>44363.9575462963</v>
      </c>
      <c r="B410" s="27" t="s">
        <v>3357</v>
      </c>
      <c r="C410" s="27" t="s">
        <v>3358</v>
      </c>
      <c r="D410" s="162" t="s">
        <v>3359</v>
      </c>
      <c r="E410" s="162" t="s">
        <v>165</v>
      </c>
      <c r="F410" s="162" t="s">
        <v>3360</v>
      </c>
      <c r="G410" s="27">
        <v>18970285935</v>
      </c>
      <c r="H410" s="162" t="s">
        <v>3361</v>
      </c>
      <c r="I410" s="162" t="s">
        <v>297</v>
      </c>
      <c r="J410" s="162" t="s">
        <v>26</v>
      </c>
      <c r="K410" s="27">
        <v>202101003</v>
      </c>
      <c r="L410" s="162" t="s">
        <v>157</v>
      </c>
      <c r="M410" s="162" t="s">
        <v>1213</v>
      </c>
      <c r="N410" s="162" t="s">
        <v>3362</v>
      </c>
      <c r="O410" s="162" t="s">
        <v>160</v>
      </c>
      <c r="P410" s="162" t="s">
        <v>224</v>
      </c>
      <c r="Q410" s="162" t="s">
        <v>26</v>
      </c>
      <c r="R410" s="27">
        <v>0</v>
      </c>
      <c r="S410" s="118" t="str">
        <f>_xlfn.DISPIMG("ID_8997E37C597A4A678DEC3DE2B773630A",1)</f>
        <v>=DISPIMG("ID_8997E37C597A4A678DEC3DE2B773630A",1)</v>
      </c>
      <c r="T410" s="115" t="s">
        <v>3363</v>
      </c>
      <c r="U410" s="27">
        <v>423</v>
      </c>
    </row>
    <row r="411" s="3" customFormat="1" customHeight="1" spans="1:21">
      <c r="A411" s="144">
        <v>44364.0051273148</v>
      </c>
      <c r="B411" s="27" t="s">
        <v>3364</v>
      </c>
      <c r="C411" s="27" t="s">
        <v>3365</v>
      </c>
      <c r="D411" s="162" t="s">
        <v>3366</v>
      </c>
      <c r="E411" s="162" t="s">
        <v>153</v>
      </c>
      <c r="F411" s="162" t="s">
        <v>3367</v>
      </c>
      <c r="G411" s="27">
        <v>13755682208</v>
      </c>
      <c r="H411" s="162" t="s">
        <v>3368</v>
      </c>
      <c r="I411" s="162" t="s">
        <v>506</v>
      </c>
      <c r="J411" s="162" t="s">
        <v>6</v>
      </c>
      <c r="K411" s="27">
        <v>202102021</v>
      </c>
      <c r="L411" s="162" t="s">
        <v>279</v>
      </c>
      <c r="M411" s="162" t="s">
        <v>178</v>
      </c>
      <c r="N411" s="162" t="s">
        <v>1138</v>
      </c>
      <c r="O411" s="162" t="s">
        <v>170</v>
      </c>
      <c r="P411" s="162" t="s">
        <v>216</v>
      </c>
      <c r="Q411" s="162" t="s">
        <v>3369</v>
      </c>
      <c r="R411" s="162" t="s">
        <v>3370</v>
      </c>
      <c r="S411" s="118" t="str">
        <f>_xlfn.DISPIMG("ID_5C988A3540504C69ADD9A8ABF15446E0",1)</f>
        <v>=DISPIMG("ID_5C988A3540504C69ADD9A8ABF15446E0",1)</v>
      </c>
      <c r="T411" s="115" t="s">
        <v>3371</v>
      </c>
      <c r="U411" s="27">
        <v>424</v>
      </c>
    </row>
    <row r="412" s="3" customFormat="1" customHeight="1" spans="1:21">
      <c r="A412" s="144">
        <v>44364.014837963</v>
      </c>
      <c r="B412" s="27" t="s">
        <v>3372</v>
      </c>
      <c r="C412" s="27" t="s">
        <v>3373</v>
      </c>
      <c r="D412" s="162" t="s">
        <v>3374</v>
      </c>
      <c r="E412" s="162" t="s">
        <v>165</v>
      </c>
      <c r="F412" s="162" t="s">
        <v>3375</v>
      </c>
      <c r="G412" s="27">
        <v>18879135233</v>
      </c>
      <c r="H412" s="162" t="s">
        <v>3376</v>
      </c>
      <c r="I412" s="162" t="s">
        <v>156</v>
      </c>
      <c r="J412" s="162" t="s">
        <v>14</v>
      </c>
      <c r="K412" s="27">
        <v>202102001</v>
      </c>
      <c r="L412" s="162" t="s">
        <v>279</v>
      </c>
      <c r="M412" s="162" t="s">
        <v>339</v>
      </c>
      <c r="N412" s="162" t="s">
        <v>1950</v>
      </c>
      <c r="O412" s="162" t="s">
        <v>170</v>
      </c>
      <c r="P412" s="162" t="s">
        <v>216</v>
      </c>
      <c r="Q412" s="162" t="s">
        <v>350</v>
      </c>
      <c r="R412" s="162" t="s">
        <v>3377</v>
      </c>
      <c r="S412" s="118" t="str">
        <f>_xlfn.DISPIMG("ID_A4F86B02E8AC4C77B083B94B4997B486",1)</f>
        <v>=DISPIMG("ID_A4F86B02E8AC4C77B083B94B4997B486",1)</v>
      </c>
      <c r="T412" s="115" t="s">
        <v>3378</v>
      </c>
      <c r="U412" s="27">
        <v>425</v>
      </c>
    </row>
    <row r="413" s="3" customFormat="1" customHeight="1" spans="1:21">
      <c r="A413" s="144">
        <v>44364.0187268518</v>
      </c>
      <c r="B413" s="27" t="s">
        <v>3379</v>
      </c>
      <c r="C413" s="27" t="s">
        <v>3380</v>
      </c>
      <c r="D413" s="162" t="s">
        <v>3381</v>
      </c>
      <c r="E413" s="162" t="s">
        <v>165</v>
      </c>
      <c r="F413" s="162" t="s">
        <v>3382</v>
      </c>
      <c r="G413" s="27">
        <v>15070017489</v>
      </c>
      <c r="H413" s="162" t="s">
        <v>3383</v>
      </c>
      <c r="I413" s="162" t="s">
        <v>156</v>
      </c>
      <c r="J413" s="162" t="s">
        <v>14</v>
      </c>
      <c r="K413" s="27">
        <v>202102001</v>
      </c>
      <c r="L413" s="162" t="s">
        <v>157</v>
      </c>
      <c r="M413" s="162" t="s">
        <v>1121</v>
      </c>
      <c r="N413" s="162" t="s">
        <v>1832</v>
      </c>
      <c r="O413" s="162" t="s">
        <v>160</v>
      </c>
      <c r="P413" s="162" t="s">
        <v>199</v>
      </c>
      <c r="Q413" s="162" t="s">
        <v>14</v>
      </c>
      <c r="R413" s="27">
        <v>0</v>
      </c>
      <c r="S413" s="118" t="str">
        <f>_xlfn.DISPIMG("ID_755EB9C887424753BE38DCDA04F5D53F",1)</f>
        <v>=DISPIMG("ID_755EB9C887424753BE38DCDA04F5D53F",1)</v>
      </c>
      <c r="T413" s="115" t="s">
        <v>3384</v>
      </c>
      <c r="U413" s="27">
        <v>426</v>
      </c>
    </row>
    <row r="414" s="3" customFormat="1" customHeight="1" spans="1:21">
      <c r="A414" s="144">
        <v>44364.2901388889</v>
      </c>
      <c r="B414" s="27" t="s">
        <v>3385</v>
      </c>
      <c r="C414" s="27" t="s">
        <v>1293</v>
      </c>
      <c r="D414" s="162" t="s">
        <v>3386</v>
      </c>
      <c r="E414" s="162" t="s">
        <v>165</v>
      </c>
      <c r="F414" s="162" t="s">
        <v>3387</v>
      </c>
      <c r="G414" s="27">
        <v>15070657835</v>
      </c>
      <c r="H414" s="162" t="s">
        <v>3388</v>
      </c>
      <c r="I414" s="162" t="s">
        <v>384</v>
      </c>
      <c r="J414" s="162" t="s">
        <v>25</v>
      </c>
      <c r="K414" s="27">
        <v>202101007</v>
      </c>
      <c r="L414" s="162" t="s">
        <v>705</v>
      </c>
      <c r="M414" s="162" t="s">
        <v>233</v>
      </c>
      <c r="N414" s="162" t="s">
        <v>3389</v>
      </c>
      <c r="O414" s="162" t="s">
        <v>160</v>
      </c>
      <c r="P414" s="162" t="s">
        <v>261</v>
      </c>
      <c r="Q414" s="162" t="s">
        <v>1506</v>
      </c>
      <c r="R414" s="27">
        <v>0</v>
      </c>
      <c r="S414" s="118" t="str">
        <f>_xlfn.DISPIMG("ID_E7900D53DC2C42DFA545534A1C33490B",1)</f>
        <v>=DISPIMG("ID_E7900D53DC2C42DFA545534A1C33490B",1)</v>
      </c>
      <c r="T414" s="115" t="s">
        <v>3390</v>
      </c>
      <c r="U414" s="27">
        <v>427</v>
      </c>
    </row>
    <row r="415" s="4" customFormat="1" customHeight="1" spans="1:21">
      <c r="A415" s="145">
        <v>44364.3271064815</v>
      </c>
      <c r="B415" s="22" t="s">
        <v>3391</v>
      </c>
      <c r="C415" s="22" t="s">
        <v>3392</v>
      </c>
      <c r="D415" s="164" t="s">
        <v>3393</v>
      </c>
      <c r="E415" s="164" t="s">
        <v>165</v>
      </c>
      <c r="F415" s="164" t="s">
        <v>3394</v>
      </c>
      <c r="G415" s="22">
        <v>13755222258</v>
      </c>
      <c r="H415" s="164" t="s">
        <v>3395</v>
      </c>
      <c r="I415" s="164" t="s">
        <v>278</v>
      </c>
      <c r="J415" s="164" t="s">
        <v>28</v>
      </c>
      <c r="K415" s="22">
        <v>202101003</v>
      </c>
      <c r="L415" s="164" t="s">
        <v>585</v>
      </c>
      <c r="M415" s="164" t="s">
        <v>3396</v>
      </c>
      <c r="N415" s="164" t="s">
        <v>586</v>
      </c>
      <c r="O415" s="164" t="s">
        <v>170</v>
      </c>
      <c r="P415" s="164" t="s">
        <v>3397</v>
      </c>
      <c r="Q415" s="164" t="s">
        <v>3398</v>
      </c>
      <c r="R415" s="164" t="s">
        <v>3399</v>
      </c>
      <c r="S415" s="23" t="str">
        <f>_xlfn.DISPIMG("ID_7B9E4020F2C94CC099858598DA5339A8",1)</f>
        <v>=DISPIMG("ID_7B9E4020F2C94CC099858598DA5339A8",1)</v>
      </c>
      <c r="T415" s="103" t="s">
        <v>3400</v>
      </c>
      <c r="U415" s="27">
        <v>428</v>
      </c>
    </row>
    <row r="416" s="4" customFormat="1" customHeight="1" spans="1:21">
      <c r="A416" s="145">
        <v>44364.3401736111</v>
      </c>
      <c r="B416" s="22" t="s">
        <v>3401</v>
      </c>
      <c r="C416" s="22" t="s">
        <v>3402</v>
      </c>
      <c r="D416" s="164" t="s">
        <v>3403</v>
      </c>
      <c r="E416" s="164" t="s">
        <v>165</v>
      </c>
      <c r="F416" s="164" t="s">
        <v>3404</v>
      </c>
      <c r="G416" s="22">
        <v>18000721221</v>
      </c>
      <c r="H416" s="164" t="s">
        <v>959</v>
      </c>
      <c r="I416" s="164" t="s">
        <v>278</v>
      </c>
      <c r="J416" s="164" t="s">
        <v>28</v>
      </c>
      <c r="K416" s="22">
        <v>202103001</v>
      </c>
      <c r="L416" s="164" t="s">
        <v>279</v>
      </c>
      <c r="M416" s="164" t="s">
        <v>168</v>
      </c>
      <c r="N416" s="164" t="s">
        <v>280</v>
      </c>
      <c r="O416" s="164" t="s">
        <v>170</v>
      </c>
      <c r="P416" s="164" t="s">
        <v>516</v>
      </c>
      <c r="Q416" s="164" t="s">
        <v>280</v>
      </c>
      <c r="R416" s="164" t="s">
        <v>3405</v>
      </c>
      <c r="S416" s="23" t="str">
        <f>_xlfn.DISPIMG("ID_7EFAC0679406489199323C08AE652767",1)</f>
        <v>=DISPIMG("ID_7EFAC0679406489199323C08AE652767",1)</v>
      </c>
      <c r="T416" s="103" t="s">
        <v>3406</v>
      </c>
      <c r="U416" s="27">
        <v>429</v>
      </c>
    </row>
    <row r="417" s="3" customFormat="1" customHeight="1" spans="1:21">
      <c r="A417" s="144">
        <v>44364.3634375</v>
      </c>
      <c r="B417" s="27" t="s">
        <v>3407</v>
      </c>
      <c r="C417" s="27" t="s">
        <v>3408</v>
      </c>
      <c r="D417" s="162" t="s">
        <v>3409</v>
      </c>
      <c r="E417" s="162" t="s">
        <v>165</v>
      </c>
      <c r="F417" s="162" t="s">
        <v>3410</v>
      </c>
      <c r="G417" s="27">
        <v>15079270221</v>
      </c>
      <c r="H417" s="162" t="s">
        <v>3411</v>
      </c>
      <c r="I417" s="162" t="s">
        <v>156</v>
      </c>
      <c r="J417" s="162" t="s">
        <v>13</v>
      </c>
      <c r="K417" s="27">
        <v>202102003</v>
      </c>
      <c r="L417" s="162" t="s">
        <v>157</v>
      </c>
      <c r="M417" s="162" t="s">
        <v>158</v>
      </c>
      <c r="N417" s="162" t="s">
        <v>298</v>
      </c>
      <c r="O417" s="162" t="s">
        <v>160</v>
      </c>
      <c r="P417" s="162" t="s">
        <v>306</v>
      </c>
      <c r="Q417" s="162" t="s">
        <v>13</v>
      </c>
      <c r="R417" s="162" t="s">
        <v>3412</v>
      </c>
      <c r="S417" s="118" t="str">
        <f>_xlfn.DISPIMG("ID_36F8A707A81B40EC83CC116E77C5C07D",1)</f>
        <v>=DISPIMG("ID_36F8A707A81B40EC83CC116E77C5C07D",1)</v>
      </c>
      <c r="T417" s="115" t="s">
        <v>3413</v>
      </c>
      <c r="U417" s="27">
        <v>430</v>
      </c>
    </row>
    <row r="418" s="3" customFormat="1" customHeight="1" spans="1:21">
      <c r="A418" s="144">
        <v>44364.3653935185</v>
      </c>
      <c r="B418" s="27" t="s">
        <v>3414</v>
      </c>
      <c r="C418" s="27" t="s">
        <v>3415</v>
      </c>
      <c r="D418" s="162" t="s">
        <v>3416</v>
      </c>
      <c r="E418" s="162" t="s">
        <v>165</v>
      </c>
      <c r="F418" s="162" t="s">
        <v>3417</v>
      </c>
      <c r="G418" s="27">
        <v>15179885806</v>
      </c>
      <c r="H418" s="162" t="s">
        <v>3316</v>
      </c>
      <c r="I418" s="162" t="s">
        <v>156</v>
      </c>
      <c r="J418" s="162" t="s">
        <v>8</v>
      </c>
      <c r="K418" s="27">
        <v>202102002</v>
      </c>
      <c r="L418" s="162" t="s">
        <v>157</v>
      </c>
      <c r="M418" s="162" t="s">
        <v>242</v>
      </c>
      <c r="N418" s="162" t="s">
        <v>3087</v>
      </c>
      <c r="O418" s="162" t="s">
        <v>160</v>
      </c>
      <c r="P418" s="162" t="s">
        <v>180</v>
      </c>
      <c r="Q418" s="162" t="s">
        <v>3418</v>
      </c>
      <c r="R418" s="162" t="s">
        <v>3419</v>
      </c>
      <c r="S418" s="118" t="str">
        <f>_xlfn.DISPIMG("ID_7663A71771F44500AC5AF2DBC8366CB5",1)</f>
        <v>=DISPIMG("ID_7663A71771F44500AC5AF2DBC8366CB5",1)</v>
      </c>
      <c r="T418" s="115" t="s">
        <v>3420</v>
      </c>
      <c r="U418" s="27">
        <v>431</v>
      </c>
    </row>
    <row r="419" s="3" customFormat="1" customHeight="1" spans="1:21">
      <c r="A419" s="144">
        <v>44364.3668287037</v>
      </c>
      <c r="B419" s="27" t="s">
        <v>3421</v>
      </c>
      <c r="C419" s="27" t="s">
        <v>3422</v>
      </c>
      <c r="D419" s="162" t="s">
        <v>3423</v>
      </c>
      <c r="E419" s="162" t="s">
        <v>165</v>
      </c>
      <c r="F419" s="162" t="s">
        <v>3424</v>
      </c>
      <c r="G419" s="27">
        <v>18720214779</v>
      </c>
      <c r="H419" s="162" t="s">
        <v>2228</v>
      </c>
      <c r="I419" s="162" t="s">
        <v>156</v>
      </c>
      <c r="J419" s="162" t="s">
        <v>6</v>
      </c>
      <c r="K419" s="27">
        <v>202102012</v>
      </c>
      <c r="L419" s="162" t="s">
        <v>157</v>
      </c>
      <c r="M419" s="162" t="s">
        <v>1424</v>
      </c>
      <c r="N419" s="162" t="s">
        <v>404</v>
      </c>
      <c r="O419" s="162" t="s">
        <v>160</v>
      </c>
      <c r="P419" s="162" t="s">
        <v>171</v>
      </c>
      <c r="Q419" s="162" t="s">
        <v>18</v>
      </c>
      <c r="R419" s="162" t="s">
        <v>3425</v>
      </c>
      <c r="S419" s="118" t="str">
        <f>_xlfn.DISPIMG("ID_F35EB404C32C41B8B6B9DFFF6A73D9A8",1)</f>
        <v>=DISPIMG("ID_F35EB404C32C41B8B6B9DFFF6A73D9A8",1)</v>
      </c>
      <c r="T419" s="115" t="s">
        <v>3426</v>
      </c>
      <c r="U419" s="27">
        <v>432</v>
      </c>
    </row>
    <row r="420" s="3" customFormat="1" customHeight="1" spans="1:21">
      <c r="A420" s="144">
        <v>44364.3683564815</v>
      </c>
      <c r="B420" s="27" t="s">
        <v>3427</v>
      </c>
      <c r="C420" s="27" t="s">
        <v>3428</v>
      </c>
      <c r="D420" s="162" t="s">
        <v>3429</v>
      </c>
      <c r="E420" s="162" t="s">
        <v>165</v>
      </c>
      <c r="F420" s="162" t="s">
        <v>3430</v>
      </c>
      <c r="G420" s="27">
        <v>18279285118</v>
      </c>
      <c r="H420" s="162" t="s">
        <v>3010</v>
      </c>
      <c r="I420" s="162" t="s">
        <v>278</v>
      </c>
      <c r="J420" s="162" t="s">
        <v>28</v>
      </c>
      <c r="K420" s="27">
        <v>202103001</v>
      </c>
      <c r="L420" s="162" t="s">
        <v>585</v>
      </c>
      <c r="M420" s="162" t="s">
        <v>3018</v>
      </c>
      <c r="N420" s="162" t="s">
        <v>586</v>
      </c>
      <c r="O420" s="162" t="s">
        <v>170</v>
      </c>
      <c r="P420" s="162" t="s">
        <v>3431</v>
      </c>
      <c r="Q420" s="162" t="s">
        <v>586</v>
      </c>
      <c r="R420" s="162" t="s">
        <v>3432</v>
      </c>
      <c r="S420" s="118" t="str">
        <f>_xlfn.DISPIMG("ID_E1216B8DC47A44DFAB6AC1BAFDBCD62B",1)</f>
        <v>=DISPIMG("ID_E1216B8DC47A44DFAB6AC1BAFDBCD62B",1)</v>
      </c>
      <c r="T420" s="115" t="s">
        <v>3433</v>
      </c>
      <c r="U420" s="27">
        <v>433</v>
      </c>
    </row>
    <row r="421" s="3" customFormat="1" customHeight="1" spans="1:21">
      <c r="A421" s="144">
        <v>44364.394537037</v>
      </c>
      <c r="B421" s="27" t="s">
        <v>3434</v>
      </c>
      <c r="C421" s="27" t="s">
        <v>3435</v>
      </c>
      <c r="D421" s="162" t="s">
        <v>3436</v>
      </c>
      <c r="E421" s="162" t="s">
        <v>165</v>
      </c>
      <c r="F421" s="162" t="s">
        <v>3437</v>
      </c>
      <c r="G421" s="27">
        <v>15396816962</v>
      </c>
      <c r="H421" s="162" t="s">
        <v>3438</v>
      </c>
      <c r="I421" s="162" t="s">
        <v>156</v>
      </c>
      <c r="J421" s="162" t="s">
        <v>14</v>
      </c>
      <c r="K421" s="27">
        <v>202102001</v>
      </c>
      <c r="L421" s="162" t="s">
        <v>279</v>
      </c>
      <c r="M421" s="162" t="s">
        <v>367</v>
      </c>
      <c r="N421" s="162" t="s">
        <v>348</v>
      </c>
      <c r="O421" s="162" t="s">
        <v>170</v>
      </c>
      <c r="P421" s="162" t="s">
        <v>180</v>
      </c>
      <c r="Q421" s="162" t="s">
        <v>638</v>
      </c>
      <c r="R421" s="162" t="s">
        <v>3439</v>
      </c>
      <c r="S421" s="118" t="str">
        <f>_xlfn.DISPIMG("ID_82244367FBEE45C5B0219468F4CFBAF4",1)</f>
        <v>=DISPIMG("ID_82244367FBEE45C5B0219468F4CFBAF4",1)</v>
      </c>
      <c r="T421" s="115" t="s">
        <v>3440</v>
      </c>
      <c r="U421" s="27">
        <v>434</v>
      </c>
    </row>
    <row r="422" s="3" customFormat="1" customHeight="1" spans="1:21">
      <c r="A422" s="144">
        <v>44364.402349537</v>
      </c>
      <c r="B422" s="27" t="s">
        <v>3441</v>
      </c>
      <c r="C422" s="27" t="s">
        <v>3442</v>
      </c>
      <c r="D422" s="162" t="s">
        <v>3443</v>
      </c>
      <c r="E422" s="162" t="s">
        <v>165</v>
      </c>
      <c r="F422" s="162" t="s">
        <v>3444</v>
      </c>
      <c r="G422" s="27">
        <v>18607912074</v>
      </c>
      <c r="H422" s="162" t="s">
        <v>3445</v>
      </c>
      <c r="I422" s="162" t="s">
        <v>278</v>
      </c>
      <c r="J422" s="162" t="s">
        <v>28</v>
      </c>
      <c r="K422" s="27">
        <v>202103001</v>
      </c>
      <c r="L422" s="162" t="s">
        <v>279</v>
      </c>
      <c r="M422" s="162" t="s">
        <v>515</v>
      </c>
      <c r="N422" s="162" t="s">
        <v>280</v>
      </c>
      <c r="O422" s="162" t="s">
        <v>170</v>
      </c>
      <c r="P422" s="162" t="s">
        <v>224</v>
      </c>
      <c r="Q422" s="162" t="s">
        <v>517</v>
      </c>
      <c r="R422" s="162" t="s">
        <v>3446</v>
      </c>
      <c r="S422" s="118" t="str">
        <f>_xlfn.DISPIMG("ID_BD52B8A2C60C41F6B5F6C165401F5CB1",1)</f>
        <v>=DISPIMG("ID_BD52B8A2C60C41F6B5F6C165401F5CB1",1)</v>
      </c>
      <c r="T422" s="115" t="s">
        <v>3447</v>
      </c>
      <c r="U422" s="27">
        <v>435</v>
      </c>
    </row>
    <row r="423" s="3" customFormat="1" customHeight="1" spans="1:21">
      <c r="A423" s="144">
        <v>44364.4057060185</v>
      </c>
      <c r="B423" s="27" t="s">
        <v>3448</v>
      </c>
      <c r="C423" s="27" t="s">
        <v>3449</v>
      </c>
      <c r="D423" s="162" t="s">
        <v>3450</v>
      </c>
      <c r="E423" s="162" t="s">
        <v>165</v>
      </c>
      <c r="F423" s="162" t="s">
        <v>3451</v>
      </c>
      <c r="G423" s="27">
        <v>13122970585</v>
      </c>
      <c r="H423" s="162" t="s">
        <v>3452</v>
      </c>
      <c r="I423" s="162" t="s">
        <v>156</v>
      </c>
      <c r="J423" s="162" t="s">
        <v>6</v>
      </c>
      <c r="K423" s="27">
        <v>202102012</v>
      </c>
      <c r="L423" s="162" t="s">
        <v>157</v>
      </c>
      <c r="M423" s="162" t="s">
        <v>3453</v>
      </c>
      <c r="N423" s="162" t="s">
        <v>323</v>
      </c>
      <c r="O423" s="162" t="s">
        <v>170</v>
      </c>
      <c r="P423" s="162" t="s">
        <v>396</v>
      </c>
      <c r="Q423" s="162" t="s">
        <v>2244</v>
      </c>
      <c r="R423" s="162" t="s">
        <v>3454</v>
      </c>
      <c r="S423" s="118" t="str">
        <f>_xlfn.DISPIMG("ID_75AF34168E0448D4A462EFA2E90CB632",1)</f>
        <v>=DISPIMG("ID_75AF34168E0448D4A462EFA2E90CB632",1)</v>
      </c>
      <c r="T423" s="115" t="s">
        <v>3455</v>
      </c>
      <c r="U423" s="27">
        <v>436</v>
      </c>
    </row>
    <row r="424" s="3" customFormat="1" customHeight="1" spans="1:21">
      <c r="A424" s="144">
        <v>44364.4123842593</v>
      </c>
      <c r="B424" s="27" t="s">
        <v>3456</v>
      </c>
      <c r="C424" s="27" t="s">
        <v>3457</v>
      </c>
      <c r="D424" s="162" t="s">
        <v>3458</v>
      </c>
      <c r="E424" s="162" t="s">
        <v>165</v>
      </c>
      <c r="F424" s="162" t="s">
        <v>3459</v>
      </c>
      <c r="G424" s="27">
        <v>18207577354</v>
      </c>
      <c r="H424" s="162" t="s">
        <v>3460</v>
      </c>
      <c r="I424" s="162" t="s">
        <v>156</v>
      </c>
      <c r="J424" s="162" t="s">
        <v>13</v>
      </c>
      <c r="K424" s="27">
        <v>202102003</v>
      </c>
      <c r="L424" s="162" t="s">
        <v>157</v>
      </c>
      <c r="M424" s="162" t="s">
        <v>385</v>
      </c>
      <c r="N424" s="162" t="s">
        <v>3461</v>
      </c>
      <c r="O424" s="162" t="s">
        <v>160</v>
      </c>
      <c r="P424" s="162" t="s">
        <v>368</v>
      </c>
      <c r="Q424" s="162" t="s">
        <v>3011</v>
      </c>
      <c r="R424" s="162" t="s">
        <v>3462</v>
      </c>
      <c r="S424" s="118" t="str">
        <f>_xlfn.DISPIMG("ID_D2C4D691F93F4717949BB5BBCD3994DD",1)</f>
        <v>=DISPIMG("ID_D2C4D691F93F4717949BB5BBCD3994DD",1)</v>
      </c>
      <c r="T424" s="115" t="s">
        <v>3463</v>
      </c>
      <c r="U424" s="27">
        <v>437</v>
      </c>
    </row>
    <row r="425" s="3" customFormat="1" customHeight="1" spans="1:21">
      <c r="A425" s="144">
        <v>44364.4175115741</v>
      </c>
      <c r="B425" s="27" t="s">
        <v>3464</v>
      </c>
      <c r="C425" s="27" t="s">
        <v>3465</v>
      </c>
      <c r="D425" s="162" t="s">
        <v>3466</v>
      </c>
      <c r="E425" s="162" t="s">
        <v>165</v>
      </c>
      <c r="F425" s="162" t="s">
        <v>3467</v>
      </c>
      <c r="G425" s="27">
        <v>15879126790</v>
      </c>
      <c r="H425" s="162" t="s">
        <v>3468</v>
      </c>
      <c r="I425" s="162" t="s">
        <v>156</v>
      </c>
      <c r="J425" s="162" t="s">
        <v>6</v>
      </c>
      <c r="K425" s="27">
        <v>202102012</v>
      </c>
      <c r="L425" s="162" t="s">
        <v>157</v>
      </c>
      <c r="M425" s="162" t="s">
        <v>901</v>
      </c>
      <c r="N425" s="162" t="s">
        <v>188</v>
      </c>
      <c r="O425" s="162" t="s">
        <v>160</v>
      </c>
      <c r="P425" s="162" t="s">
        <v>281</v>
      </c>
      <c r="Q425" s="162" t="s">
        <v>1579</v>
      </c>
      <c r="R425" s="162" t="s">
        <v>3469</v>
      </c>
      <c r="S425" s="118" t="str">
        <f>_xlfn.DISPIMG("ID_F4E1B2AC46944606B0ACE14F8CC9918C",1)</f>
        <v>=DISPIMG("ID_F4E1B2AC46944606B0ACE14F8CC9918C",1)</v>
      </c>
      <c r="T425" s="115" t="s">
        <v>3470</v>
      </c>
      <c r="U425" s="27">
        <v>438</v>
      </c>
    </row>
    <row r="426" s="3" customFormat="1" customHeight="1" spans="1:21">
      <c r="A426" s="144">
        <v>44364.4698263889</v>
      </c>
      <c r="B426" s="27" t="s">
        <v>3471</v>
      </c>
      <c r="C426" s="27" t="s">
        <v>3472</v>
      </c>
      <c r="D426" s="162" t="s">
        <v>3473</v>
      </c>
      <c r="E426" s="162" t="s">
        <v>165</v>
      </c>
      <c r="F426" s="162" t="s">
        <v>3474</v>
      </c>
      <c r="G426" s="27">
        <v>16605630524</v>
      </c>
      <c r="H426" s="162" t="s">
        <v>3475</v>
      </c>
      <c r="I426" s="162" t="s">
        <v>384</v>
      </c>
      <c r="J426" s="162" t="s">
        <v>20</v>
      </c>
      <c r="K426" s="27">
        <v>202101005</v>
      </c>
      <c r="L426" s="162" t="s">
        <v>705</v>
      </c>
      <c r="M426" s="162" t="s">
        <v>1112</v>
      </c>
      <c r="N426" s="162" t="s">
        <v>3476</v>
      </c>
      <c r="O426" s="162" t="s">
        <v>160</v>
      </c>
      <c r="P426" s="162" t="s">
        <v>455</v>
      </c>
      <c r="Q426" s="162" t="s">
        <v>3477</v>
      </c>
      <c r="R426" s="27">
        <v>0</v>
      </c>
      <c r="S426" s="118" t="str">
        <f>_xlfn.DISPIMG("ID_BFF35F7767BD4AFE8B2C782755AFDE14",1)</f>
        <v>=DISPIMG("ID_BFF35F7767BD4AFE8B2C782755AFDE14",1)</v>
      </c>
      <c r="T426" s="115" t="s">
        <v>3478</v>
      </c>
      <c r="U426" s="27">
        <v>439</v>
      </c>
    </row>
    <row r="427" s="3" customFormat="1" customHeight="1" spans="1:21">
      <c r="A427" s="144">
        <v>44364.4783680556</v>
      </c>
      <c r="B427" s="27" t="s">
        <v>3479</v>
      </c>
      <c r="C427" s="147" t="s">
        <v>3480</v>
      </c>
      <c r="D427" s="162" t="s">
        <v>3481</v>
      </c>
      <c r="E427" s="162" t="s">
        <v>153</v>
      </c>
      <c r="F427" s="162" t="s">
        <v>3482</v>
      </c>
      <c r="G427" s="27">
        <v>13119548929</v>
      </c>
      <c r="H427" s="162" t="s">
        <v>3483</v>
      </c>
      <c r="I427" s="162" t="s">
        <v>506</v>
      </c>
      <c r="J427" s="162" t="s">
        <v>13</v>
      </c>
      <c r="K427" s="27">
        <v>202102016</v>
      </c>
      <c r="L427" s="162" t="s">
        <v>157</v>
      </c>
      <c r="M427" s="162" t="s">
        <v>1112</v>
      </c>
      <c r="N427" s="162" t="s">
        <v>3484</v>
      </c>
      <c r="O427" s="162" t="s">
        <v>160</v>
      </c>
      <c r="P427" s="162" t="s">
        <v>216</v>
      </c>
      <c r="Q427" s="162" t="s">
        <v>2284</v>
      </c>
      <c r="R427" s="162" t="s">
        <v>3485</v>
      </c>
      <c r="S427" s="118" t="str">
        <f>_xlfn.DISPIMG("ID_9C9702A9D71D49F4A0D4283BE0B57A8D",1)</f>
        <v>=DISPIMG("ID_9C9702A9D71D49F4A0D4283BE0B57A8D",1)</v>
      </c>
      <c r="T427" s="115" t="s">
        <v>3486</v>
      </c>
      <c r="U427" s="27">
        <v>440</v>
      </c>
    </row>
    <row r="428" s="3" customFormat="1" customHeight="1" spans="1:21">
      <c r="A428" s="144">
        <v>44364.5069560185</v>
      </c>
      <c r="B428" s="27" t="s">
        <v>3487</v>
      </c>
      <c r="C428" s="147" t="s">
        <v>2225</v>
      </c>
      <c r="D428" s="162" t="s">
        <v>3488</v>
      </c>
      <c r="E428" s="162" t="s">
        <v>165</v>
      </c>
      <c r="F428" s="162" t="s">
        <v>3489</v>
      </c>
      <c r="G428" s="27">
        <v>13755200519</v>
      </c>
      <c r="H428" s="162" t="s">
        <v>2228</v>
      </c>
      <c r="I428" s="162" t="s">
        <v>278</v>
      </c>
      <c r="J428" s="162" t="s">
        <v>28</v>
      </c>
      <c r="K428" s="27">
        <v>202103001</v>
      </c>
      <c r="L428" s="162" t="s">
        <v>279</v>
      </c>
      <c r="M428" s="162" t="s">
        <v>3490</v>
      </c>
      <c r="N428" s="162" t="s">
        <v>404</v>
      </c>
      <c r="O428" s="162" t="s">
        <v>160</v>
      </c>
      <c r="P428" s="162" t="s">
        <v>1346</v>
      </c>
      <c r="Q428" s="162" t="s">
        <v>517</v>
      </c>
      <c r="R428" s="162" t="s">
        <v>3491</v>
      </c>
      <c r="S428" s="118" t="str">
        <f>_xlfn.DISPIMG("ID_6A8C51914B494C9CBD5F245F39A2E519",1)</f>
        <v>=DISPIMG("ID_6A8C51914B494C9CBD5F245F39A2E519",1)</v>
      </c>
      <c r="T428" s="115" t="s">
        <v>3492</v>
      </c>
      <c r="U428" s="27">
        <v>441</v>
      </c>
    </row>
    <row r="429" s="3" customFormat="1" customHeight="1" spans="1:21">
      <c r="A429" s="144">
        <v>44364.5173842593</v>
      </c>
      <c r="B429" s="27" t="s">
        <v>3493</v>
      </c>
      <c r="C429" s="147" t="s">
        <v>3494</v>
      </c>
      <c r="D429" s="162" t="s">
        <v>3494</v>
      </c>
      <c r="E429" s="162" t="s">
        <v>165</v>
      </c>
      <c r="F429" s="162" t="s">
        <v>3495</v>
      </c>
      <c r="G429" s="27">
        <v>18000225971</v>
      </c>
      <c r="H429" s="162" t="s">
        <v>3445</v>
      </c>
      <c r="I429" s="162" t="s">
        <v>156</v>
      </c>
      <c r="J429" s="162" t="s">
        <v>14</v>
      </c>
      <c r="K429" s="27">
        <v>202102001</v>
      </c>
      <c r="L429" s="162" t="s">
        <v>157</v>
      </c>
      <c r="M429" s="162" t="s">
        <v>158</v>
      </c>
      <c r="N429" s="162" t="s">
        <v>348</v>
      </c>
      <c r="O429" s="162" t="s">
        <v>170</v>
      </c>
      <c r="P429" s="162" t="s">
        <v>349</v>
      </c>
      <c r="Q429" s="162" t="s">
        <v>689</v>
      </c>
      <c r="R429" s="162" t="s">
        <v>3496</v>
      </c>
      <c r="S429" s="118" t="str">
        <f>_xlfn.DISPIMG("ID_92399A40D7B44F3B89AA85711A99D812",1)</f>
        <v>=DISPIMG("ID_92399A40D7B44F3B89AA85711A99D812",1)</v>
      </c>
      <c r="T429" s="115" t="s">
        <v>3497</v>
      </c>
      <c r="U429" s="27">
        <v>442</v>
      </c>
    </row>
    <row r="430" s="4" customFormat="1" customHeight="1" spans="1:21">
      <c r="A430" s="145">
        <v>44364.5288773148</v>
      </c>
      <c r="B430" s="22" t="s">
        <v>3498</v>
      </c>
      <c r="C430" s="22" t="s">
        <v>3499</v>
      </c>
      <c r="D430" s="164" t="s">
        <v>3500</v>
      </c>
      <c r="E430" s="164" t="s">
        <v>165</v>
      </c>
      <c r="F430" s="164" t="s">
        <v>3501</v>
      </c>
      <c r="G430" s="22">
        <v>15070192175</v>
      </c>
      <c r="H430" s="164" t="s">
        <v>3502</v>
      </c>
      <c r="I430" s="164" t="s">
        <v>156</v>
      </c>
      <c r="J430" s="164" t="s">
        <v>14</v>
      </c>
      <c r="K430" s="22">
        <v>202102001</v>
      </c>
      <c r="L430" s="164" t="s">
        <v>279</v>
      </c>
      <c r="M430" s="164" t="s">
        <v>1545</v>
      </c>
      <c r="N430" s="164" t="s">
        <v>348</v>
      </c>
      <c r="O430" s="164" t="s">
        <v>170</v>
      </c>
      <c r="P430" s="164" t="s">
        <v>577</v>
      </c>
      <c r="Q430" s="164" t="s">
        <v>638</v>
      </c>
      <c r="R430" s="164" t="s">
        <v>3503</v>
      </c>
      <c r="S430" s="23" t="str">
        <f>_xlfn.DISPIMG("ID_582DA32893494A1CB2F261C9DF30C5FF",1)</f>
        <v>=DISPIMG("ID_582DA32893494A1CB2F261C9DF30C5FF",1)</v>
      </c>
      <c r="T430" s="103" t="s">
        <v>3504</v>
      </c>
      <c r="U430" s="27">
        <v>443</v>
      </c>
    </row>
    <row r="431" s="3" customFormat="1" customHeight="1" spans="1:21">
      <c r="A431" s="144">
        <v>44364.5439814815</v>
      </c>
      <c r="B431" s="27" t="s">
        <v>3512</v>
      </c>
      <c r="C431" s="27" t="s">
        <v>3506</v>
      </c>
      <c r="D431" s="162" t="s">
        <v>3507</v>
      </c>
      <c r="E431" s="162" t="s">
        <v>165</v>
      </c>
      <c r="F431" s="162" t="s">
        <v>3508</v>
      </c>
      <c r="G431" s="27">
        <v>15179282402</v>
      </c>
      <c r="H431" s="162" t="s">
        <v>3509</v>
      </c>
      <c r="I431" s="162" t="s">
        <v>384</v>
      </c>
      <c r="J431" s="162" t="s">
        <v>16</v>
      </c>
      <c r="K431" s="27">
        <v>202101012</v>
      </c>
      <c r="L431" s="162" t="s">
        <v>157</v>
      </c>
      <c r="M431" s="162" t="s">
        <v>158</v>
      </c>
      <c r="N431" s="162" t="s">
        <v>2742</v>
      </c>
      <c r="O431" s="162" t="s">
        <v>160</v>
      </c>
      <c r="P431" s="162" t="s">
        <v>281</v>
      </c>
      <c r="Q431" s="162" t="s">
        <v>3510</v>
      </c>
      <c r="R431" s="27">
        <v>0</v>
      </c>
      <c r="S431" s="118" t="str">
        <f>_xlfn.DISPIMG("ID_F203C9D79BED4D608F3184BA9064F545",1)</f>
        <v>=DISPIMG("ID_F203C9D79BED4D608F3184BA9064F545",1)</v>
      </c>
      <c r="T431" s="115" t="s">
        <v>3511</v>
      </c>
      <c r="U431" s="27">
        <v>445</v>
      </c>
    </row>
    <row r="432" s="4" customFormat="1" customHeight="1" spans="1:21">
      <c r="A432" s="145">
        <v>44364.5600810185</v>
      </c>
      <c r="B432" s="22" t="s">
        <v>3513</v>
      </c>
      <c r="C432" s="22" t="s">
        <v>3514</v>
      </c>
      <c r="D432" s="164" t="s">
        <v>3515</v>
      </c>
      <c r="E432" s="164" t="s">
        <v>153</v>
      </c>
      <c r="F432" s="164" t="s">
        <v>3516</v>
      </c>
      <c r="G432" s="22">
        <v>17770840211</v>
      </c>
      <c r="H432" s="164" t="s">
        <v>3517</v>
      </c>
      <c r="I432" s="164" t="s">
        <v>384</v>
      </c>
      <c r="J432" s="164" t="s">
        <v>9</v>
      </c>
      <c r="K432" s="22">
        <v>202101001</v>
      </c>
      <c r="L432" s="164" t="s">
        <v>157</v>
      </c>
      <c r="M432" s="164" t="s">
        <v>3518</v>
      </c>
      <c r="N432" s="164" t="s">
        <v>472</v>
      </c>
      <c r="O432" s="164" t="s">
        <v>160</v>
      </c>
      <c r="P432" s="164" t="s">
        <v>455</v>
      </c>
      <c r="Q432" s="164" t="s">
        <v>3519</v>
      </c>
      <c r="R432" s="22">
        <v>202101023</v>
      </c>
      <c r="S432" s="23" t="str">
        <f>_xlfn.DISPIMG("ID_C58F0E7AF40D45868F2F2F76C4EDE485",1)</f>
        <v>=DISPIMG("ID_C58F0E7AF40D45868F2F2F76C4EDE485",1)</v>
      </c>
      <c r="T432" s="103" t="s">
        <v>3520</v>
      </c>
      <c r="U432" s="27">
        <v>446</v>
      </c>
    </row>
    <row r="433" s="3" customFormat="1" customHeight="1" spans="1:21">
      <c r="A433" s="144">
        <v>44364.5633101852</v>
      </c>
      <c r="B433" s="27" t="s">
        <v>3530</v>
      </c>
      <c r="C433" s="27" t="s">
        <v>1293</v>
      </c>
      <c r="D433" s="162" t="s">
        <v>3531</v>
      </c>
      <c r="E433" s="162" t="s">
        <v>153</v>
      </c>
      <c r="F433" s="162" t="s">
        <v>3532</v>
      </c>
      <c r="G433" s="27">
        <v>17687910769</v>
      </c>
      <c r="H433" s="162" t="s">
        <v>3533</v>
      </c>
      <c r="I433" s="162" t="s">
        <v>384</v>
      </c>
      <c r="J433" s="162" t="s">
        <v>21</v>
      </c>
      <c r="K433" s="27">
        <v>202101023</v>
      </c>
      <c r="L433" s="162" t="s">
        <v>157</v>
      </c>
      <c r="M433" s="162" t="s">
        <v>3518</v>
      </c>
      <c r="N433" s="162" t="s">
        <v>3534</v>
      </c>
      <c r="O433" s="162" t="s">
        <v>160</v>
      </c>
      <c r="P433" s="162" t="s">
        <v>455</v>
      </c>
      <c r="Q433" s="162" t="s">
        <v>2462</v>
      </c>
      <c r="R433" s="27">
        <v>0</v>
      </c>
      <c r="S433" s="118" t="str">
        <f>_xlfn.DISPIMG("ID_B9B540B424394A6290A83DEC0AB8F385",1)</f>
        <v>=DISPIMG("ID_B9B540B424394A6290A83DEC0AB8F385",1)</v>
      </c>
      <c r="T433" s="115" t="s">
        <v>3535</v>
      </c>
      <c r="U433" s="27">
        <v>448</v>
      </c>
    </row>
    <row r="434" s="4" customFormat="1" customHeight="1" spans="1:21">
      <c r="A434" s="145">
        <v>44364.5665972222</v>
      </c>
      <c r="B434" s="22" t="s">
        <v>3536</v>
      </c>
      <c r="C434" s="22" t="s">
        <v>3537</v>
      </c>
      <c r="D434" s="164" t="s">
        <v>3538</v>
      </c>
      <c r="E434" s="164" t="s">
        <v>153</v>
      </c>
      <c r="F434" s="164" t="s">
        <v>3539</v>
      </c>
      <c r="G434" s="22">
        <v>15770899535</v>
      </c>
      <c r="H434" s="164" t="s">
        <v>3540</v>
      </c>
      <c r="I434" s="164" t="s">
        <v>156</v>
      </c>
      <c r="J434" s="164" t="s">
        <v>9</v>
      </c>
      <c r="K434" s="22">
        <v>202102011</v>
      </c>
      <c r="L434" s="164" t="s">
        <v>157</v>
      </c>
      <c r="M434" s="164" t="s">
        <v>3518</v>
      </c>
      <c r="N434" s="164" t="s">
        <v>472</v>
      </c>
      <c r="O434" s="164" t="s">
        <v>160</v>
      </c>
      <c r="P434" s="164" t="s">
        <v>455</v>
      </c>
      <c r="Q434" s="164" t="s">
        <v>3519</v>
      </c>
      <c r="R434" s="164" t="s">
        <v>3519</v>
      </c>
      <c r="S434" s="23" t="str">
        <f>_xlfn.DISPIMG("ID_0BCC1778ACA14DBF957E729E6605C713",1)</f>
        <v>=DISPIMG("ID_0BCC1778ACA14DBF957E729E6605C713",1)</v>
      </c>
      <c r="T434" s="103" t="s">
        <v>3541</v>
      </c>
      <c r="U434" s="27">
        <v>449</v>
      </c>
    </row>
    <row r="435" s="3" customFormat="1" customHeight="1" spans="1:21">
      <c r="A435" s="144">
        <v>44364.5680439815</v>
      </c>
      <c r="B435" s="27" t="s">
        <v>3542</v>
      </c>
      <c r="C435" s="27" t="s">
        <v>1946</v>
      </c>
      <c r="D435" s="162" t="s">
        <v>3543</v>
      </c>
      <c r="E435" s="162" t="s">
        <v>153</v>
      </c>
      <c r="F435" s="162" t="s">
        <v>3544</v>
      </c>
      <c r="G435" s="27">
        <v>17683950767</v>
      </c>
      <c r="H435" s="162" t="s">
        <v>3545</v>
      </c>
      <c r="I435" s="162" t="s">
        <v>156</v>
      </c>
      <c r="J435" s="162" t="s">
        <v>9</v>
      </c>
      <c r="K435" s="27">
        <v>202102011</v>
      </c>
      <c r="L435" s="162" t="s">
        <v>157</v>
      </c>
      <c r="M435" s="162" t="s">
        <v>3518</v>
      </c>
      <c r="N435" s="162" t="s">
        <v>472</v>
      </c>
      <c r="O435" s="162" t="s">
        <v>160</v>
      </c>
      <c r="P435" s="162" t="s">
        <v>455</v>
      </c>
      <c r="Q435" s="162" t="s">
        <v>3519</v>
      </c>
      <c r="R435" s="27">
        <v>0</v>
      </c>
      <c r="S435" s="118" t="str">
        <f>_xlfn.DISPIMG("ID_2D99CEE979EF4ECAAD8A877BAF74FBA6",1)</f>
        <v>=DISPIMG("ID_2D99CEE979EF4ECAAD8A877BAF74FBA6",1)</v>
      </c>
      <c r="T435" s="115" t="s">
        <v>3546</v>
      </c>
      <c r="U435" s="27">
        <v>450</v>
      </c>
    </row>
    <row r="436" s="3" customFormat="1" customHeight="1" spans="1:21">
      <c r="A436" s="144">
        <v>44364.5715972222</v>
      </c>
      <c r="B436" s="27" t="s">
        <v>3547</v>
      </c>
      <c r="C436" s="27" t="s">
        <v>3548</v>
      </c>
      <c r="D436" s="162" t="s">
        <v>3549</v>
      </c>
      <c r="E436" s="162" t="s">
        <v>153</v>
      </c>
      <c r="F436" s="162" t="s">
        <v>3550</v>
      </c>
      <c r="G436" s="27">
        <v>15879724111</v>
      </c>
      <c r="H436" s="162" t="s">
        <v>3551</v>
      </c>
      <c r="I436" s="162" t="s">
        <v>156</v>
      </c>
      <c r="J436" s="162" t="s">
        <v>9</v>
      </c>
      <c r="K436" s="27">
        <v>202102011</v>
      </c>
      <c r="L436" s="162" t="s">
        <v>157</v>
      </c>
      <c r="M436" s="162" t="s">
        <v>1413</v>
      </c>
      <c r="N436" s="162" t="s">
        <v>682</v>
      </c>
      <c r="O436" s="162" t="s">
        <v>170</v>
      </c>
      <c r="P436" s="162" t="s">
        <v>261</v>
      </c>
      <c r="Q436" s="162" t="s">
        <v>3552</v>
      </c>
      <c r="R436" s="27">
        <v>0</v>
      </c>
      <c r="S436" s="118" t="str">
        <f>_xlfn.DISPIMG("ID_DB61A8C4A58C4CD3A7E5339498EDC8D8",1)</f>
        <v>=DISPIMG("ID_DB61A8C4A58C4CD3A7E5339498EDC8D8",1)</v>
      </c>
      <c r="T436" s="115" t="s">
        <v>3553</v>
      </c>
      <c r="U436" s="27">
        <v>451</v>
      </c>
    </row>
    <row r="437" s="3" customFormat="1" customHeight="1" spans="1:21">
      <c r="A437" s="144">
        <v>44364.5748263889</v>
      </c>
      <c r="B437" s="27" t="s">
        <v>3554</v>
      </c>
      <c r="C437" s="27" t="s">
        <v>3555</v>
      </c>
      <c r="D437" s="162" t="s">
        <v>3556</v>
      </c>
      <c r="E437" s="162" t="s">
        <v>153</v>
      </c>
      <c r="F437" s="162" t="s">
        <v>3557</v>
      </c>
      <c r="G437" s="27">
        <v>17346719580</v>
      </c>
      <c r="H437" s="162" t="s">
        <v>3558</v>
      </c>
      <c r="I437" s="162" t="s">
        <v>156</v>
      </c>
      <c r="J437" s="162" t="s">
        <v>9</v>
      </c>
      <c r="K437" s="27">
        <v>202102011</v>
      </c>
      <c r="L437" s="162" t="s">
        <v>157</v>
      </c>
      <c r="M437" s="162" t="s">
        <v>3518</v>
      </c>
      <c r="N437" s="162" t="s">
        <v>3559</v>
      </c>
      <c r="O437" s="162" t="s">
        <v>160</v>
      </c>
      <c r="P437" s="162" t="s">
        <v>455</v>
      </c>
      <c r="Q437" s="162" t="s">
        <v>3519</v>
      </c>
      <c r="R437" s="27">
        <v>0</v>
      </c>
      <c r="S437" s="118" t="str">
        <f>_xlfn.DISPIMG("ID_21EB11AFC3FB431C8DEC9B4C05162E66",1)</f>
        <v>=DISPIMG("ID_21EB11AFC3FB431C8DEC9B4C05162E66",1)</v>
      </c>
      <c r="T437" s="115" t="s">
        <v>3560</v>
      </c>
      <c r="U437" s="27">
        <v>452</v>
      </c>
    </row>
    <row r="438" s="4" customFormat="1" customHeight="1" spans="1:21">
      <c r="A438" s="145">
        <v>44364.5776041667</v>
      </c>
      <c r="B438" s="22" t="s">
        <v>3561</v>
      </c>
      <c r="C438" s="22" t="s">
        <v>3562</v>
      </c>
      <c r="D438" s="164" t="s">
        <v>3563</v>
      </c>
      <c r="E438" s="164" t="s">
        <v>153</v>
      </c>
      <c r="F438" s="164" t="s">
        <v>3564</v>
      </c>
      <c r="G438" s="22">
        <v>15907977787</v>
      </c>
      <c r="H438" s="164" t="s">
        <v>3565</v>
      </c>
      <c r="I438" s="164" t="s">
        <v>156</v>
      </c>
      <c r="J438" s="164" t="s">
        <v>9</v>
      </c>
      <c r="K438" s="22">
        <v>202102011</v>
      </c>
      <c r="L438" s="164" t="s">
        <v>157</v>
      </c>
      <c r="M438" s="164" t="s">
        <v>233</v>
      </c>
      <c r="N438" s="164" t="s">
        <v>3566</v>
      </c>
      <c r="O438" s="164" t="s">
        <v>170</v>
      </c>
      <c r="P438" s="164" t="s">
        <v>261</v>
      </c>
      <c r="Q438" s="164" t="s">
        <v>1579</v>
      </c>
      <c r="R438" s="22">
        <v>0</v>
      </c>
      <c r="S438" s="23" t="str">
        <f>_xlfn.DISPIMG("ID_3C6447D057EF4BF7AE9ECFE35CBC5ECF",1)</f>
        <v>=DISPIMG("ID_3C6447D057EF4BF7AE9ECFE35CBC5ECF",1)</v>
      </c>
      <c r="T438" s="103" t="s">
        <v>3567</v>
      </c>
      <c r="U438" s="27">
        <v>453</v>
      </c>
    </row>
    <row r="439" s="3" customFormat="1" customHeight="1" spans="1:21">
      <c r="A439" s="144">
        <v>44364.6397106481</v>
      </c>
      <c r="B439" s="27" t="s">
        <v>3568</v>
      </c>
      <c r="C439" s="27" t="s">
        <v>3569</v>
      </c>
      <c r="D439" s="162" t="s">
        <v>3570</v>
      </c>
      <c r="E439" s="162" t="s">
        <v>165</v>
      </c>
      <c r="F439" s="162" t="s">
        <v>3571</v>
      </c>
      <c r="G439" s="27">
        <v>13879176428</v>
      </c>
      <c r="H439" s="162" t="s">
        <v>3572</v>
      </c>
      <c r="I439" s="162" t="s">
        <v>156</v>
      </c>
      <c r="J439" s="162" t="s">
        <v>15</v>
      </c>
      <c r="K439" s="27">
        <v>202102007</v>
      </c>
      <c r="L439" s="162" t="s">
        <v>157</v>
      </c>
      <c r="M439" s="162" t="s">
        <v>233</v>
      </c>
      <c r="N439" s="162" t="s">
        <v>454</v>
      </c>
      <c r="O439" s="162" t="s">
        <v>170</v>
      </c>
      <c r="P439" s="162" t="s">
        <v>3573</v>
      </c>
      <c r="Q439" s="162" t="s">
        <v>3574</v>
      </c>
      <c r="R439" s="162" t="s">
        <v>3575</v>
      </c>
      <c r="S439" s="118" t="str">
        <f>_xlfn.DISPIMG("ID_4E9B8A157E55446AAA9BAC9D6541DF67",1)</f>
        <v>=DISPIMG("ID_4E9B8A157E55446AAA9BAC9D6541DF67",1)</v>
      </c>
      <c r="T439" s="115" t="s">
        <v>3576</v>
      </c>
      <c r="U439" s="27">
        <v>454</v>
      </c>
    </row>
    <row r="440" s="3" customFormat="1" customHeight="1" spans="1:21">
      <c r="A440" s="144">
        <v>44364.6714583333</v>
      </c>
      <c r="B440" s="27" t="s">
        <v>3577</v>
      </c>
      <c r="C440" s="27" t="s">
        <v>3578</v>
      </c>
      <c r="D440" s="162" t="s">
        <v>3579</v>
      </c>
      <c r="E440" s="162" t="s">
        <v>153</v>
      </c>
      <c r="F440" s="162" t="s">
        <v>3580</v>
      </c>
      <c r="G440" s="27">
        <v>15179270292</v>
      </c>
      <c r="H440" s="27" t="s">
        <v>3581</v>
      </c>
      <c r="I440" s="162" t="s">
        <v>156</v>
      </c>
      <c r="J440" s="162" t="s">
        <v>15</v>
      </c>
      <c r="K440" s="27">
        <v>202102007</v>
      </c>
      <c r="L440" s="162" t="s">
        <v>157</v>
      </c>
      <c r="M440" s="162" t="s">
        <v>158</v>
      </c>
      <c r="N440" s="162" t="s">
        <v>1832</v>
      </c>
      <c r="O440" s="162" t="s">
        <v>160</v>
      </c>
      <c r="P440" s="162" t="s">
        <v>368</v>
      </c>
      <c r="Q440" s="162" t="s">
        <v>3582</v>
      </c>
      <c r="R440" s="27">
        <v>0</v>
      </c>
      <c r="S440" s="118" t="str">
        <f>_xlfn.DISPIMG("ID_10B7637016814F53B0B0689821F0D756",1)</f>
        <v>=DISPIMG("ID_10B7637016814F53B0B0689821F0D756",1)</v>
      </c>
      <c r="T440" s="115" t="s">
        <v>3583</v>
      </c>
      <c r="U440" s="27">
        <v>455</v>
      </c>
    </row>
    <row r="441" s="3" customFormat="1" customHeight="1" spans="1:21">
      <c r="A441" s="144">
        <v>44364.6823263889</v>
      </c>
      <c r="B441" s="27" t="s">
        <v>3584</v>
      </c>
      <c r="C441" s="27" t="s">
        <v>3585</v>
      </c>
      <c r="D441" s="162" t="s">
        <v>3586</v>
      </c>
      <c r="E441" s="162" t="s">
        <v>165</v>
      </c>
      <c r="F441" s="162" t="s">
        <v>3587</v>
      </c>
      <c r="G441" s="27">
        <v>13970222797</v>
      </c>
      <c r="H441" s="162" t="s">
        <v>3588</v>
      </c>
      <c r="I441" s="162" t="s">
        <v>156</v>
      </c>
      <c r="J441" s="162" t="s">
        <v>4</v>
      </c>
      <c r="K441" s="27">
        <v>202102006</v>
      </c>
      <c r="L441" s="162" t="s">
        <v>157</v>
      </c>
      <c r="M441" s="162" t="s">
        <v>158</v>
      </c>
      <c r="N441" s="162" t="s">
        <v>3589</v>
      </c>
      <c r="O441" s="162" t="s">
        <v>160</v>
      </c>
      <c r="P441" s="162" t="s">
        <v>235</v>
      </c>
      <c r="Q441" s="162" t="s">
        <v>4</v>
      </c>
      <c r="R441" s="162" t="s">
        <v>3590</v>
      </c>
      <c r="S441" s="118" t="str">
        <f>_xlfn.DISPIMG("ID_1E4E55AF2274433A8809E53B95627C78",1)</f>
        <v>=DISPIMG("ID_1E4E55AF2274433A8809E53B95627C78",1)</v>
      </c>
      <c r="T441" s="115" t="s">
        <v>3591</v>
      </c>
      <c r="U441" s="27">
        <v>456</v>
      </c>
    </row>
    <row r="442" s="3" customFormat="1" customHeight="1" spans="1:21">
      <c r="A442" s="144">
        <v>44364.6944328704</v>
      </c>
      <c r="B442" s="27" t="s">
        <v>3592</v>
      </c>
      <c r="C442" s="27" t="s">
        <v>3593</v>
      </c>
      <c r="D442" s="162" t="s">
        <v>3594</v>
      </c>
      <c r="E442" s="162" t="s">
        <v>165</v>
      </c>
      <c r="F442" s="162" t="s">
        <v>3595</v>
      </c>
      <c r="G442" s="27">
        <v>13635983416</v>
      </c>
      <c r="H442" s="162" t="s">
        <v>3596</v>
      </c>
      <c r="I442" s="162" t="s">
        <v>156</v>
      </c>
      <c r="J442" s="162" t="s">
        <v>8</v>
      </c>
      <c r="K442" s="27">
        <v>202102002</v>
      </c>
      <c r="L442" s="162" t="s">
        <v>279</v>
      </c>
      <c r="M442" s="162" t="s">
        <v>3597</v>
      </c>
      <c r="N442" s="162" t="s">
        <v>497</v>
      </c>
      <c r="O442" s="162" t="s">
        <v>170</v>
      </c>
      <c r="P442" s="162" t="s">
        <v>189</v>
      </c>
      <c r="Q442" s="162" t="s">
        <v>989</v>
      </c>
      <c r="R442" s="162" t="s">
        <v>3598</v>
      </c>
      <c r="S442" s="118" t="str">
        <f>_xlfn.DISPIMG("ID_DB80027A676342B6B8178A0E756378C3",1)</f>
        <v>=DISPIMG("ID_DB80027A676342B6B8178A0E756378C3",1)</v>
      </c>
      <c r="T442" s="115" t="s">
        <v>3599</v>
      </c>
      <c r="U442" s="27">
        <v>457</v>
      </c>
    </row>
    <row r="443" s="3" customFormat="1" customHeight="1" spans="1:21">
      <c r="A443" s="144">
        <v>44364.6980092593</v>
      </c>
      <c r="B443" s="27" t="s">
        <v>3600</v>
      </c>
      <c r="C443" s="27" t="s">
        <v>3601</v>
      </c>
      <c r="D443" s="162" t="s">
        <v>3602</v>
      </c>
      <c r="E443" s="162" t="s">
        <v>165</v>
      </c>
      <c r="F443" s="162" t="s">
        <v>3603</v>
      </c>
      <c r="G443" s="27">
        <v>18507927596</v>
      </c>
      <c r="H443" s="162" t="s">
        <v>2228</v>
      </c>
      <c r="I443" s="162" t="s">
        <v>156</v>
      </c>
      <c r="J443" s="162" t="s">
        <v>14</v>
      </c>
      <c r="K443" s="27">
        <v>202102001</v>
      </c>
      <c r="L443" s="162" t="s">
        <v>279</v>
      </c>
      <c r="M443" s="162" t="s">
        <v>158</v>
      </c>
      <c r="N443" s="162" t="s">
        <v>348</v>
      </c>
      <c r="O443" s="162" t="s">
        <v>170</v>
      </c>
      <c r="P443" s="162" t="s">
        <v>281</v>
      </c>
      <c r="Q443" s="162" t="s">
        <v>14</v>
      </c>
      <c r="R443" s="162" t="s">
        <v>3604</v>
      </c>
      <c r="S443" s="118" t="str">
        <f>_xlfn.DISPIMG("ID_ADF263347E1B436A9E9869CDB170C299",1)</f>
        <v>=DISPIMG("ID_ADF263347E1B436A9E9869CDB170C299",1)</v>
      </c>
      <c r="T443" s="115" t="s">
        <v>3605</v>
      </c>
      <c r="U443" s="27">
        <v>458</v>
      </c>
    </row>
    <row r="444" s="3" customFormat="1" customHeight="1" spans="1:21">
      <c r="A444" s="144">
        <v>44364.7059837963</v>
      </c>
      <c r="B444" s="27" t="s">
        <v>3606</v>
      </c>
      <c r="C444" s="27" t="s">
        <v>3607</v>
      </c>
      <c r="D444" s="162" t="s">
        <v>3608</v>
      </c>
      <c r="E444" s="162" t="s">
        <v>165</v>
      </c>
      <c r="F444" s="162" t="s">
        <v>3609</v>
      </c>
      <c r="G444" s="27">
        <v>18279283769</v>
      </c>
      <c r="H444" s="162" t="s">
        <v>3610</v>
      </c>
      <c r="I444" s="162" t="s">
        <v>278</v>
      </c>
      <c r="J444" s="162" t="s">
        <v>28</v>
      </c>
      <c r="K444" s="27">
        <v>202103001</v>
      </c>
      <c r="L444" s="162" t="s">
        <v>585</v>
      </c>
      <c r="M444" s="162" t="s">
        <v>3174</v>
      </c>
      <c r="N444" s="162" t="s">
        <v>280</v>
      </c>
      <c r="O444" s="162" t="s">
        <v>170</v>
      </c>
      <c r="P444" s="162" t="s">
        <v>3039</v>
      </c>
      <c r="Q444" s="162" t="s">
        <v>2686</v>
      </c>
      <c r="R444" s="162" t="s">
        <v>3611</v>
      </c>
      <c r="S444" s="118" t="str">
        <f>_xlfn.DISPIMG("ID_39BF594A37E3442B8E4FFF60E8863D45",1)</f>
        <v>=DISPIMG("ID_39BF594A37E3442B8E4FFF60E8863D45",1)</v>
      </c>
      <c r="T444" s="115" t="s">
        <v>3612</v>
      </c>
      <c r="U444" s="27">
        <v>459</v>
      </c>
    </row>
    <row r="445" s="4" customFormat="1" customHeight="1" spans="1:21">
      <c r="A445" s="145">
        <v>44364.7096527778</v>
      </c>
      <c r="B445" s="22" t="s">
        <v>3613</v>
      </c>
      <c r="C445" s="22" t="s">
        <v>3614</v>
      </c>
      <c r="D445" s="164" t="s">
        <v>3615</v>
      </c>
      <c r="E445" s="164" t="s">
        <v>165</v>
      </c>
      <c r="F445" s="164" t="s">
        <v>3616</v>
      </c>
      <c r="G445" s="22">
        <v>18676661873</v>
      </c>
      <c r="H445" s="164" t="s">
        <v>3617</v>
      </c>
      <c r="I445" s="164" t="s">
        <v>156</v>
      </c>
      <c r="J445" s="164" t="s">
        <v>13</v>
      </c>
      <c r="K445" s="22">
        <v>202101003</v>
      </c>
      <c r="L445" s="164" t="s">
        <v>157</v>
      </c>
      <c r="M445" s="164" t="s">
        <v>2243</v>
      </c>
      <c r="N445" s="164" t="s">
        <v>179</v>
      </c>
      <c r="O445" s="164" t="s">
        <v>160</v>
      </c>
      <c r="P445" s="164" t="s">
        <v>910</v>
      </c>
      <c r="Q445" s="164" t="s">
        <v>2244</v>
      </c>
      <c r="R445" s="164" t="s">
        <v>3618</v>
      </c>
      <c r="S445" s="23" t="str">
        <f>_xlfn.DISPIMG("ID_33D1BE3856DC4BDE83B623418C60EC26",1)</f>
        <v>=DISPIMG("ID_33D1BE3856DC4BDE83B623418C60EC26",1)</v>
      </c>
      <c r="T445" s="103" t="s">
        <v>3619</v>
      </c>
      <c r="U445" s="27">
        <v>460</v>
      </c>
    </row>
    <row r="446" s="3" customFormat="1" customHeight="1" spans="1:21">
      <c r="A446" s="144">
        <v>44364.7171759259</v>
      </c>
      <c r="B446" s="27" t="s">
        <v>3620</v>
      </c>
      <c r="C446" s="27" t="s">
        <v>3621</v>
      </c>
      <c r="D446" s="162" t="s">
        <v>3622</v>
      </c>
      <c r="E446" s="162" t="s">
        <v>165</v>
      </c>
      <c r="F446" s="162" t="s">
        <v>3623</v>
      </c>
      <c r="G446" s="27">
        <v>13077975587</v>
      </c>
      <c r="H446" s="162" t="s">
        <v>3624</v>
      </c>
      <c r="I446" s="162" t="s">
        <v>268</v>
      </c>
      <c r="J446" s="162" t="s">
        <v>8</v>
      </c>
      <c r="K446" s="27">
        <v>202102002</v>
      </c>
      <c r="L446" s="162" t="s">
        <v>157</v>
      </c>
      <c r="M446" s="162" t="s">
        <v>3625</v>
      </c>
      <c r="N446" s="162" t="s">
        <v>3626</v>
      </c>
      <c r="O446" s="162" t="s">
        <v>160</v>
      </c>
      <c r="P446" s="162" t="s">
        <v>673</v>
      </c>
      <c r="Q446" s="162" t="s">
        <v>20</v>
      </c>
      <c r="R446" s="27">
        <v>0</v>
      </c>
      <c r="S446" s="118" t="str">
        <f>_xlfn.DISPIMG("ID_892B76E7BF3A4E06A1CCC00A4DBCC4C6",1)</f>
        <v>=DISPIMG("ID_892B76E7BF3A4E06A1CCC00A4DBCC4C6",1)</v>
      </c>
      <c r="T446" s="115" t="s">
        <v>3627</v>
      </c>
      <c r="U446" s="27">
        <v>461</v>
      </c>
    </row>
    <row r="447" s="3" customFormat="1" customHeight="1" spans="1:21">
      <c r="A447" s="144">
        <v>44364.7320833333</v>
      </c>
      <c r="B447" s="27" t="s">
        <v>3628</v>
      </c>
      <c r="C447" s="27" t="s">
        <v>3629</v>
      </c>
      <c r="D447" s="162" t="s">
        <v>3630</v>
      </c>
      <c r="E447" s="162" t="s">
        <v>153</v>
      </c>
      <c r="F447" s="162" t="s">
        <v>3631</v>
      </c>
      <c r="G447" s="27">
        <v>19979468695</v>
      </c>
      <c r="H447" s="162" t="s">
        <v>3632</v>
      </c>
      <c r="I447" s="162" t="s">
        <v>506</v>
      </c>
      <c r="J447" s="162" t="s">
        <v>6</v>
      </c>
      <c r="K447" s="27">
        <v>202102021</v>
      </c>
      <c r="L447" s="162" t="s">
        <v>157</v>
      </c>
      <c r="M447" s="162" t="s">
        <v>3633</v>
      </c>
      <c r="N447" s="162" t="s">
        <v>323</v>
      </c>
      <c r="O447" s="162" t="s">
        <v>170</v>
      </c>
      <c r="P447" s="162" t="s">
        <v>171</v>
      </c>
      <c r="Q447" s="162" t="s">
        <v>3634</v>
      </c>
      <c r="R447" s="162" t="s">
        <v>3635</v>
      </c>
      <c r="S447" s="118" t="str">
        <f>_xlfn.DISPIMG("ID_7CE83E02BD574BEF88ED6441327C41EF",1)</f>
        <v>=DISPIMG("ID_7CE83E02BD574BEF88ED6441327C41EF",1)</v>
      </c>
      <c r="T447" s="115" t="s">
        <v>3636</v>
      </c>
      <c r="U447" s="27">
        <v>462</v>
      </c>
    </row>
    <row r="448" s="3" customFormat="1" customHeight="1" spans="1:21">
      <c r="A448" s="144">
        <v>44364.741087963</v>
      </c>
      <c r="B448" s="27" t="s">
        <v>3637</v>
      </c>
      <c r="C448" s="27" t="s">
        <v>3638</v>
      </c>
      <c r="D448" s="162" t="s">
        <v>3639</v>
      </c>
      <c r="E448" s="162" t="s">
        <v>165</v>
      </c>
      <c r="F448" s="162" t="s">
        <v>3640</v>
      </c>
      <c r="G448" s="27">
        <v>18370771770</v>
      </c>
      <c r="H448" s="162" t="s">
        <v>3641</v>
      </c>
      <c r="I448" s="162" t="s">
        <v>268</v>
      </c>
      <c r="J448" s="162" t="s">
        <v>14</v>
      </c>
      <c r="K448" s="27">
        <v>202102001</v>
      </c>
      <c r="L448" s="162" t="s">
        <v>157</v>
      </c>
      <c r="M448" s="162" t="s">
        <v>1413</v>
      </c>
      <c r="N448" s="162" t="s">
        <v>3642</v>
      </c>
      <c r="O448" s="162" t="s">
        <v>170</v>
      </c>
      <c r="P448" s="162" t="s">
        <v>161</v>
      </c>
      <c r="Q448" s="162" t="s">
        <v>350</v>
      </c>
      <c r="R448" s="162" t="s">
        <v>3643</v>
      </c>
      <c r="S448" s="118" t="str">
        <f>_xlfn.DISPIMG("ID_711901E3E72645DEB928FFCE78C71328",1)</f>
        <v>=DISPIMG("ID_711901E3E72645DEB928FFCE78C71328",1)</v>
      </c>
      <c r="T448" s="115" t="s">
        <v>3644</v>
      </c>
      <c r="U448" s="27">
        <v>463</v>
      </c>
    </row>
    <row r="449" s="3" customFormat="1" customHeight="1" spans="1:21">
      <c r="A449" s="144">
        <v>44364.777337963</v>
      </c>
      <c r="B449" s="27" t="s">
        <v>3645</v>
      </c>
      <c r="C449" s="27" t="s">
        <v>3646</v>
      </c>
      <c r="D449" s="162" t="s">
        <v>3647</v>
      </c>
      <c r="E449" s="162" t="s">
        <v>165</v>
      </c>
      <c r="F449" s="162" t="s">
        <v>3648</v>
      </c>
      <c r="G449" s="27">
        <v>19914728112</v>
      </c>
      <c r="H449" s="162" t="s">
        <v>3649</v>
      </c>
      <c r="I449" s="162" t="s">
        <v>156</v>
      </c>
      <c r="J449" s="162" t="s">
        <v>13</v>
      </c>
      <c r="K449" s="27">
        <v>202102003</v>
      </c>
      <c r="L449" s="162" t="s">
        <v>705</v>
      </c>
      <c r="M449" s="162" t="s">
        <v>1413</v>
      </c>
      <c r="N449" s="162" t="s">
        <v>3650</v>
      </c>
      <c r="O449" s="162" t="s">
        <v>170</v>
      </c>
      <c r="P449" s="162" t="s">
        <v>455</v>
      </c>
      <c r="Q449" s="162" t="s">
        <v>3651</v>
      </c>
      <c r="R449" s="27">
        <v>0</v>
      </c>
      <c r="S449" s="118" t="str">
        <f>_xlfn.DISPIMG("ID_5D17E050202348DFAA14EEF8D985F66D",1)</f>
        <v>=DISPIMG("ID_5D17E050202348DFAA14EEF8D985F66D",1)</v>
      </c>
      <c r="T449" s="115" t="s">
        <v>3652</v>
      </c>
      <c r="U449" s="27">
        <v>464</v>
      </c>
    </row>
    <row r="450" s="3" customFormat="1" customHeight="1" spans="1:21">
      <c r="A450" s="144">
        <v>44364.8113888889</v>
      </c>
      <c r="B450" s="27" t="s">
        <v>3653</v>
      </c>
      <c r="C450" s="27" t="s">
        <v>3654</v>
      </c>
      <c r="D450" s="162" t="s">
        <v>3655</v>
      </c>
      <c r="E450" s="162" t="s">
        <v>153</v>
      </c>
      <c r="F450" s="162" t="s">
        <v>3656</v>
      </c>
      <c r="G450" s="27">
        <v>13177872440</v>
      </c>
      <c r="H450" s="162" t="s">
        <v>3657</v>
      </c>
      <c r="I450" s="162" t="s">
        <v>156</v>
      </c>
      <c r="J450" s="162" t="s">
        <v>4</v>
      </c>
      <c r="K450" s="27">
        <v>202102005</v>
      </c>
      <c r="L450" s="162" t="s">
        <v>157</v>
      </c>
      <c r="M450" s="162" t="s">
        <v>385</v>
      </c>
      <c r="N450" s="162" t="s">
        <v>179</v>
      </c>
      <c r="O450" s="162" t="s">
        <v>170</v>
      </c>
      <c r="P450" s="162" t="s">
        <v>368</v>
      </c>
      <c r="Q450" s="162" t="s">
        <v>4</v>
      </c>
      <c r="R450" s="27">
        <v>0</v>
      </c>
      <c r="S450" s="118" t="str">
        <f>_xlfn.DISPIMG("ID_252B07FFDA0E4134A421E2449004C504",1)</f>
        <v>=DISPIMG("ID_252B07FFDA0E4134A421E2449004C504",1)</v>
      </c>
      <c r="T450" s="115" t="s">
        <v>3658</v>
      </c>
      <c r="U450" s="27">
        <v>465</v>
      </c>
    </row>
    <row r="451" s="3" customFormat="1" customHeight="1" spans="1:21">
      <c r="A451" s="144">
        <v>44364.8141435185</v>
      </c>
      <c r="B451" s="27" t="s">
        <v>3659</v>
      </c>
      <c r="C451" s="27" t="s">
        <v>3660</v>
      </c>
      <c r="D451" s="162" t="s">
        <v>3661</v>
      </c>
      <c r="E451" s="162" t="s">
        <v>165</v>
      </c>
      <c r="F451" s="162" t="s">
        <v>3662</v>
      </c>
      <c r="G451" s="27">
        <v>15623206169</v>
      </c>
      <c r="H451" s="162" t="s">
        <v>926</v>
      </c>
      <c r="I451" s="162" t="s">
        <v>297</v>
      </c>
      <c r="J451" s="162" t="s">
        <v>20</v>
      </c>
      <c r="K451" s="27">
        <v>202101006</v>
      </c>
      <c r="L451" s="162" t="s">
        <v>157</v>
      </c>
      <c r="M451" s="162" t="s">
        <v>3663</v>
      </c>
      <c r="N451" s="162" t="s">
        <v>1832</v>
      </c>
      <c r="O451" s="162" t="s">
        <v>160</v>
      </c>
      <c r="P451" s="162" t="s">
        <v>455</v>
      </c>
      <c r="Q451" s="162" t="s">
        <v>20</v>
      </c>
      <c r="R451" s="27">
        <v>0</v>
      </c>
      <c r="S451" s="118" t="str">
        <f>_xlfn.DISPIMG("ID_2A9E22A9ABC949F8A9FA9AA3239D48CC",1)</f>
        <v>=DISPIMG("ID_2A9E22A9ABC949F8A9FA9AA3239D48CC",1)</v>
      </c>
      <c r="T451" s="115" t="s">
        <v>3664</v>
      </c>
      <c r="U451" s="27">
        <v>466</v>
      </c>
    </row>
    <row r="452" s="3" customFormat="1" customHeight="1" spans="1:21">
      <c r="A452" s="144">
        <v>44364.8153703704</v>
      </c>
      <c r="B452" s="27" t="s">
        <v>3665</v>
      </c>
      <c r="C452" s="27" t="s">
        <v>3666</v>
      </c>
      <c r="D452" s="162" t="s">
        <v>3667</v>
      </c>
      <c r="E452" s="162" t="s">
        <v>153</v>
      </c>
      <c r="F452" s="162" t="s">
        <v>3668</v>
      </c>
      <c r="G452" s="27">
        <v>15604248160</v>
      </c>
      <c r="H452" s="162" t="s">
        <v>3669</v>
      </c>
      <c r="I452" s="162" t="s">
        <v>384</v>
      </c>
      <c r="J452" s="162" t="s">
        <v>27</v>
      </c>
      <c r="K452" s="27">
        <v>202101016</v>
      </c>
      <c r="L452" s="162" t="s">
        <v>705</v>
      </c>
      <c r="M452" s="162" t="s">
        <v>3670</v>
      </c>
      <c r="N452" s="162" t="s">
        <v>215</v>
      </c>
      <c r="O452" s="162" t="s">
        <v>160</v>
      </c>
      <c r="P452" s="162" t="s">
        <v>910</v>
      </c>
      <c r="Q452" s="162" t="s">
        <v>3671</v>
      </c>
      <c r="R452" s="162" t="s">
        <v>3672</v>
      </c>
      <c r="S452" s="118" t="str">
        <f>_xlfn.DISPIMG("ID_FBBE15C9E10944F892C3BCC99A8EDA31",1)</f>
        <v>=DISPIMG("ID_FBBE15C9E10944F892C3BCC99A8EDA31",1)</v>
      </c>
      <c r="T452" s="115" t="s">
        <v>3673</v>
      </c>
      <c r="U452" s="27">
        <v>467</v>
      </c>
    </row>
    <row r="453" s="3" customFormat="1" customHeight="1" spans="1:21">
      <c r="A453" s="144">
        <v>44364.8214814815</v>
      </c>
      <c r="B453" s="27" t="s">
        <v>3674</v>
      </c>
      <c r="C453" s="27" t="s">
        <v>3675</v>
      </c>
      <c r="D453" s="162" t="s">
        <v>3676</v>
      </c>
      <c r="E453" s="162" t="s">
        <v>165</v>
      </c>
      <c r="F453" s="162" t="s">
        <v>3677</v>
      </c>
      <c r="G453" s="27">
        <v>18296221374</v>
      </c>
      <c r="H453" s="162" t="s">
        <v>3678</v>
      </c>
      <c r="I453" s="162" t="s">
        <v>278</v>
      </c>
      <c r="J453" s="162" t="s">
        <v>28</v>
      </c>
      <c r="K453" s="27">
        <v>202103001</v>
      </c>
      <c r="L453" s="162" t="s">
        <v>585</v>
      </c>
      <c r="M453" s="162" t="s">
        <v>3679</v>
      </c>
      <c r="N453" s="162" t="s">
        <v>586</v>
      </c>
      <c r="O453" s="162" t="s">
        <v>170</v>
      </c>
      <c r="P453" s="162" t="s">
        <v>1089</v>
      </c>
      <c r="Q453" s="162" t="s">
        <v>3680</v>
      </c>
      <c r="R453" s="162" t="s">
        <v>3681</v>
      </c>
      <c r="S453" s="118" t="str">
        <f>_xlfn.DISPIMG("ID_B6A72806890947DEB45EA914FD393A84",1)</f>
        <v>=DISPIMG("ID_B6A72806890947DEB45EA914FD393A84",1)</v>
      </c>
      <c r="T453" s="115" t="s">
        <v>3682</v>
      </c>
      <c r="U453" s="27">
        <v>468</v>
      </c>
    </row>
    <row r="454" s="3" customFormat="1" customHeight="1" spans="1:21">
      <c r="A454" s="144">
        <v>44364.8222685185</v>
      </c>
      <c r="B454" s="27" t="s">
        <v>3683</v>
      </c>
      <c r="C454" s="27" t="s">
        <v>3684</v>
      </c>
      <c r="D454" s="162" t="s">
        <v>3685</v>
      </c>
      <c r="E454" s="162" t="s">
        <v>165</v>
      </c>
      <c r="F454" s="162" t="s">
        <v>3686</v>
      </c>
      <c r="G454" s="27">
        <v>18270929326</v>
      </c>
      <c r="H454" s="162" t="s">
        <v>402</v>
      </c>
      <c r="I454" s="162" t="s">
        <v>156</v>
      </c>
      <c r="J454" s="162" t="s">
        <v>7</v>
      </c>
      <c r="K454" s="27">
        <v>202102006</v>
      </c>
      <c r="L454" s="162" t="s">
        <v>157</v>
      </c>
      <c r="M454" s="162" t="s">
        <v>884</v>
      </c>
      <c r="N454" s="162" t="s">
        <v>454</v>
      </c>
      <c r="O454" s="162" t="s">
        <v>170</v>
      </c>
      <c r="P454" s="162" t="s">
        <v>3687</v>
      </c>
      <c r="Q454" s="162" t="s">
        <v>7</v>
      </c>
      <c r="R454" s="162" t="s">
        <v>3688</v>
      </c>
      <c r="S454" s="118" t="str">
        <f>_xlfn.DISPIMG("ID_E15A59AE3AB3482DA375DB6FC21D8F4C",1)</f>
        <v>=DISPIMG("ID_E15A59AE3AB3482DA375DB6FC21D8F4C",1)</v>
      </c>
      <c r="T454" s="27" t="s">
        <v>3689</v>
      </c>
      <c r="U454" s="27">
        <v>469</v>
      </c>
    </row>
    <row r="455" s="3" customFormat="1" customHeight="1" spans="1:21">
      <c r="A455" s="144">
        <v>44364.8227314815</v>
      </c>
      <c r="B455" s="27" t="s">
        <v>3690</v>
      </c>
      <c r="C455" s="27" t="s">
        <v>3691</v>
      </c>
      <c r="D455" s="162" t="s">
        <v>1027</v>
      </c>
      <c r="E455" s="162" t="s">
        <v>165</v>
      </c>
      <c r="F455" s="162" t="s">
        <v>3692</v>
      </c>
      <c r="G455" s="27">
        <v>15779259710</v>
      </c>
      <c r="H455" s="162" t="s">
        <v>3693</v>
      </c>
      <c r="I455" s="162" t="s">
        <v>156</v>
      </c>
      <c r="J455" s="162" t="s">
        <v>8</v>
      </c>
      <c r="K455" s="27">
        <v>202102002</v>
      </c>
      <c r="L455" s="162" t="s">
        <v>279</v>
      </c>
      <c r="M455" s="162" t="s">
        <v>3694</v>
      </c>
      <c r="N455" s="162" t="s">
        <v>497</v>
      </c>
      <c r="O455" s="162" t="s">
        <v>170</v>
      </c>
      <c r="P455" s="162" t="s">
        <v>180</v>
      </c>
      <c r="Q455" s="162" t="s">
        <v>8</v>
      </c>
      <c r="R455" s="162" t="s">
        <v>3695</v>
      </c>
      <c r="S455" s="118" t="str">
        <f>_xlfn.DISPIMG("ID_57DB6C2F5BCD45498E344599D2C7D1D8",1)</f>
        <v>=DISPIMG("ID_57DB6C2F5BCD45498E344599D2C7D1D8",1)</v>
      </c>
      <c r="T455" s="115" t="s">
        <v>3696</v>
      </c>
      <c r="U455" s="27">
        <v>470</v>
      </c>
    </row>
    <row r="456" s="3" customFormat="1" customHeight="1" spans="1:21">
      <c r="A456" s="144">
        <v>44364.8525</v>
      </c>
      <c r="B456" s="27" t="s">
        <v>3697</v>
      </c>
      <c r="C456" s="27" t="s">
        <v>3698</v>
      </c>
      <c r="D456" s="162" t="s">
        <v>3699</v>
      </c>
      <c r="E456" s="162" t="s">
        <v>153</v>
      </c>
      <c r="F456" s="162" t="s">
        <v>3700</v>
      </c>
      <c r="G456" s="27">
        <v>18046710217</v>
      </c>
      <c r="H456" s="162" t="s">
        <v>3701</v>
      </c>
      <c r="I456" s="162" t="s">
        <v>384</v>
      </c>
      <c r="J456" s="162" t="s">
        <v>21</v>
      </c>
      <c r="K456" s="27">
        <v>202101023</v>
      </c>
      <c r="L456" s="162" t="s">
        <v>157</v>
      </c>
      <c r="M456" s="162" t="s">
        <v>233</v>
      </c>
      <c r="N456" s="162" t="s">
        <v>682</v>
      </c>
      <c r="O456" s="162" t="s">
        <v>170</v>
      </c>
      <c r="P456" s="162" t="s">
        <v>306</v>
      </c>
      <c r="Q456" s="162" t="s">
        <v>1579</v>
      </c>
      <c r="R456" s="162" t="s">
        <v>3702</v>
      </c>
      <c r="S456" s="118" t="str">
        <f>_xlfn.DISPIMG("ID_E2F022B7DBF04DECBE980BB970833FC7",1)</f>
        <v>=DISPIMG("ID_E2F022B7DBF04DECBE980BB970833FC7",1)</v>
      </c>
      <c r="T456" s="115" t="s">
        <v>3703</v>
      </c>
      <c r="U456" s="127">
        <v>471</v>
      </c>
    </row>
    <row r="457" s="3" customFormat="1" customHeight="1" spans="1:21">
      <c r="A457" s="144">
        <v>44364.8531018519</v>
      </c>
      <c r="B457" s="27" t="s">
        <v>3704</v>
      </c>
      <c r="C457" s="27" t="s">
        <v>3705</v>
      </c>
      <c r="D457" s="162" t="s">
        <v>3705</v>
      </c>
      <c r="E457" s="162" t="s">
        <v>165</v>
      </c>
      <c r="F457" s="162" t="s">
        <v>3706</v>
      </c>
      <c r="G457" s="27">
        <v>15079123471</v>
      </c>
      <c r="H457" s="162" t="s">
        <v>3707</v>
      </c>
      <c r="I457" s="162" t="s">
        <v>156</v>
      </c>
      <c r="J457" s="162" t="s">
        <v>14</v>
      </c>
      <c r="K457" s="27">
        <v>202102011</v>
      </c>
      <c r="L457" s="162" t="s">
        <v>157</v>
      </c>
      <c r="M457" s="162" t="s">
        <v>233</v>
      </c>
      <c r="N457" s="162" t="s">
        <v>3708</v>
      </c>
      <c r="O457" s="162" t="s">
        <v>170</v>
      </c>
      <c r="P457" s="162" t="s">
        <v>216</v>
      </c>
      <c r="Q457" s="162" t="s">
        <v>14</v>
      </c>
      <c r="R457" s="162" t="s">
        <v>3709</v>
      </c>
      <c r="S457" s="118" t="str">
        <f>_xlfn.DISPIMG("ID_BF7D6285C9C043E7887E7AA2FA4C62A7",1)</f>
        <v>=DISPIMG("ID_BF7D6285C9C043E7887E7AA2FA4C62A7",1)</v>
      </c>
      <c r="T457" s="115" t="s">
        <v>3710</v>
      </c>
      <c r="U457" s="127">
        <v>472</v>
      </c>
    </row>
    <row r="458" s="3" customFormat="1" customHeight="1" spans="1:21">
      <c r="A458" s="144">
        <v>44364.8590509259</v>
      </c>
      <c r="B458" s="27" t="s">
        <v>3711</v>
      </c>
      <c r="C458" s="27" t="s">
        <v>1827</v>
      </c>
      <c r="D458" s="162" t="s">
        <v>3712</v>
      </c>
      <c r="E458" s="162" t="s">
        <v>165</v>
      </c>
      <c r="F458" s="162" t="s">
        <v>3713</v>
      </c>
      <c r="G458" s="27">
        <v>18720196269</v>
      </c>
      <c r="H458" s="162" t="s">
        <v>3714</v>
      </c>
      <c r="I458" s="162" t="s">
        <v>278</v>
      </c>
      <c r="J458" s="162" t="s">
        <v>28</v>
      </c>
      <c r="K458" s="27">
        <v>202103001</v>
      </c>
      <c r="L458" s="162" t="s">
        <v>585</v>
      </c>
      <c r="M458" s="162" t="s">
        <v>367</v>
      </c>
      <c r="N458" s="162" t="s">
        <v>2686</v>
      </c>
      <c r="O458" s="162" t="s">
        <v>160</v>
      </c>
      <c r="P458" s="162" t="s">
        <v>3039</v>
      </c>
      <c r="Q458" s="162" t="s">
        <v>3715</v>
      </c>
      <c r="R458" s="162" t="s">
        <v>3716</v>
      </c>
      <c r="S458" s="118" t="str">
        <f>_xlfn.DISPIMG("ID_059DAEED1F3E457C93C0A1610046F2A5",1)</f>
        <v>=DISPIMG("ID_059DAEED1F3E457C93C0A1610046F2A5",1)</v>
      </c>
      <c r="T458" s="115" t="s">
        <v>3717</v>
      </c>
      <c r="U458" s="127">
        <v>473</v>
      </c>
    </row>
    <row r="459" s="3" customFormat="1" customHeight="1" spans="1:21">
      <c r="A459" s="144">
        <v>44364.8660069444</v>
      </c>
      <c r="B459" s="27" t="s">
        <v>3718</v>
      </c>
      <c r="C459" s="27" t="s">
        <v>3719</v>
      </c>
      <c r="D459" s="162" t="s">
        <v>3720</v>
      </c>
      <c r="E459" s="162" t="s">
        <v>165</v>
      </c>
      <c r="F459" s="162" t="s">
        <v>3721</v>
      </c>
      <c r="G459" s="27">
        <v>15970603423</v>
      </c>
      <c r="H459" s="162" t="s">
        <v>3722</v>
      </c>
      <c r="I459" s="162" t="s">
        <v>278</v>
      </c>
      <c r="J459" s="162" t="s">
        <v>28</v>
      </c>
      <c r="K459" s="27">
        <v>202103001</v>
      </c>
      <c r="L459" s="162" t="s">
        <v>157</v>
      </c>
      <c r="M459" s="162" t="s">
        <v>178</v>
      </c>
      <c r="N459" s="162" t="s">
        <v>960</v>
      </c>
      <c r="O459" s="162" t="s">
        <v>170</v>
      </c>
      <c r="P459" s="162" t="s">
        <v>180</v>
      </c>
      <c r="Q459" s="162" t="s">
        <v>340</v>
      </c>
      <c r="R459" s="162" t="s">
        <v>3723</v>
      </c>
      <c r="S459" s="118" t="str">
        <f>_xlfn.DISPIMG("ID_38A4C94876C044A5A6F3E884E1CD36B4",1)</f>
        <v>=DISPIMG("ID_38A4C94876C044A5A6F3E884E1CD36B4",1)</v>
      </c>
      <c r="T459" s="115" t="s">
        <v>3724</v>
      </c>
      <c r="U459" s="127">
        <v>474</v>
      </c>
    </row>
    <row r="460" s="3" customFormat="1" customHeight="1" spans="1:21">
      <c r="A460" s="144">
        <v>44364.8782638889</v>
      </c>
      <c r="B460" s="27" t="s">
        <v>3725</v>
      </c>
      <c r="C460" s="27" t="s">
        <v>3726</v>
      </c>
      <c r="D460" s="162" t="s">
        <v>3727</v>
      </c>
      <c r="E460" s="162" t="s">
        <v>165</v>
      </c>
      <c r="F460" s="162" t="s">
        <v>3728</v>
      </c>
      <c r="G460" s="27">
        <v>18270897422</v>
      </c>
      <c r="H460" s="162" t="s">
        <v>3729</v>
      </c>
      <c r="I460" s="162" t="s">
        <v>297</v>
      </c>
      <c r="J460" s="162" t="s">
        <v>11</v>
      </c>
      <c r="K460" s="27">
        <v>202101031</v>
      </c>
      <c r="L460" s="162" t="s">
        <v>157</v>
      </c>
      <c r="M460" s="162" t="s">
        <v>385</v>
      </c>
      <c r="N460" s="162" t="s">
        <v>1147</v>
      </c>
      <c r="O460" s="162" t="s">
        <v>170</v>
      </c>
      <c r="P460" s="162" t="s">
        <v>368</v>
      </c>
      <c r="Q460" s="162" t="s">
        <v>2882</v>
      </c>
      <c r="R460" s="162" t="s">
        <v>3730</v>
      </c>
      <c r="S460" s="118" t="str">
        <f>_xlfn.DISPIMG("ID_9A8E5B0A21704ED9ACFE9C7380F006F7",1)</f>
        <v>=DISPIMG("ID_9A8E5B0A21704ED9ACFE9C7380F006F7",1)</v>
      </c>
      <c r="T460" s="115" t="s">
        <v>3731</v>
      </c>
      <c r="U460" s="127">
        <v>475</v>
      </c>
    </row>
    <row r="461" s="3" customFormat="1" customHeight="1" spans="1:21">
      <c r="A461" s="144">
        <v>44364.8863078704</v>
      </c>
      <c r="B461" s="27" t="s">
        <v>3732</v>
      </c>
      <c r="C461" s="27" t="s">
        <v>3733</v>
      </c>
      <c r="D461" s="162" t="s">
        <v>3734</v>
      </c>
      <c r="E461" s="162" t="s">
        <v>165</v>
      </c>
      <c r="F461" s="162" t="s">
        <v>3735</v>
      </c>
      <c r="G461" s="27">
        <v>15070233072</v>
      </c>
      <c r="H461" s="162" t="s">
        <v>3736</v>
      </c>
      <c r="I461" s="162" t="s">
        <v>156</v>
      </c>
      <c r="J461" s="162" t="s">
        <v>8</v>
      </c>
      <c r="K461" s="27">
        <v>202102002</v>
      </c>
      <c r="L461" s="162" t="s">
        <v>157</v>
      </c>
      <c r="M461" s="162" t="s">
        <v>3737</v>
      </c>
      <c r="N461" s="162" t="s">
        <v>3738</v>
      </c>
      <c r="O461" s="162" t="s">
        <v>160</v>
      </c>
      <c r="P461" s="162" t="s">
        <v>171</v>
      </c>
      <c r="Q461" s="162" t="s">
        <v>8</v>
      </c>
      <c r="R461" s="162" t="s">
        <v>3739</v>
      </c>
      <c r="S461" s="118" t="str">
        <f>_xlfn.DISPIMG("ID_B7F470084B4940CBBF67BF60A043E6F0",1)</f>
        <v>=DISPIMG("ID_B7F470084B4940CBBF67BF60A043E6F0",1)</v>
      </c>
      <c r="T461" s="115" t="s">
        <v>3740</v>
      </c>
      <c r="U461" s="127">
        <v>476</v>
      </c>
    </row>
    <row r="462" s="3" customFormat="1" customHeight="1" spans="1:21">
      <c r="A462" s="144">
        <v>44364.8897569444</v>
      </c>
      <c r="B462" s="27" t="s">
        <v>3741</v>
      </c>
      <c r="C462" s="27" t="s">
        <v>3742</v>
      </c>
      <c r="D462" s="162" t="s">
        <v>3743</v>
      </c>
      <c r="E462" s="162" t="s">
        <v>165</v>
      </c>
      <c r="F462" s="162" t="s">
        <v>3744</v>
      </c>
      <c r="G462" s="27">
        <v>15679201300</v>
      </c>
      <c r="H462" s="162" t="s">
        <v>3745</v>
      </c>
      <c r="I462" s="162" t="s">
        <v>156</v>
      </c>
      <c r="J462" s="162" t="s">
        <v>6</v>
      </c>
      <c r="K462" s="27">
        <v>202102012</v>
      </c>
      <c r="L462" s="162" t="s">
        <v>157</v>
      </c>
      <c r="M462" s="162" t="s">
        <v>437</v>
      </c>
      <c r="N462" s="162" t="s">
        <v>3746</v>
      </c>
      <c r="O462" s="162" t="s">
        <v>160</v>
      </c>
      <c r="P462" s="162" t="s">
        <v>216</v>
      </c>
      <c r="Q462" s="162" t="s">
        <v>18</v>
      </c>
      <c r="R462" s="162" t="s">
        <v>3747</v>
      </c>
      <c r="S462" s="118" t="str">
        <f>_xlfn.DISPIMG("ID_B41ADE81115D4115B428E62357BC8F70",1)</f>
        <v>=DISPIMG("ID_B41ADE81115D4115B428E62357BC8F70",1)</v>
      </c>
      <c r="T462" s="115" t="s">
        <v>3748</v>
      </c>
      <c r="U462" s="127">
        <v>477</v>
      </c>
    </row>
    <row r="463" s="3" customFormat="1" customHeight="1" spans="1:21">
      <c r="A463" s="144">
        <v>44364.902025463</v>
      </c>
      <c r="B463" s="27" t="s">
        <v>3749</v>
      </c>
      <c r="C463" s="27" t="s">
        <v>3750</v>
      </c>
      <c r="D463" s="162" t="s">
        <v>3751</v>
      </c>
      <c r="E463" s="162" t="s">
        <v>153</v>
      </c>
      <c r="F463" s="162" t="s">
        <v>3752</v>
      </c>
      <c r="G463" s="27">
        <v>15180696881</v>
      </c>
      <c r="H463" s="162" t="s">
        <v>3753</v>
      </c>
      <c r="I463" s="162" t="s">
        <v>384</v>
      </c>
      <c r="J463" s="162" t="s">
        <v>21</v>
      </c>
      <c r="K463" s="27">
        <v>202101023</v>
      </c>
      <c r="L463" s="162" t="s">
        <v>157</v>
      </c>
      <c r="M463" s="162" t="s">
        <v>827</v>
      </c>
      <c r="N463" s="162" t="s">
        <v>682</v>
      </c>
      <c r="O463" s="162" t="s">
        <v>170</v>
      </c>
      <c r="P463" s="162" t="s">
        <v>161</v>
      </c>
      <c r="Q463" s="162" t="s">
        <v>3754</v>
      </c>
      <c r="R463" s="27">
        <v>0</v>
      </c>
      <c r="S463" s="118" t="str">
        <f>_xlfn.DISPIMG("ID_0C4C873C986C4E8A8DE913748576F208",1)</f>
        <v>=DISPIMG("ID_0C4C873C986C4E8A8DE913748576F208",1)</v>
      </c>
      <c r="T463" s="115" t="s">
        <v>3755</v>
      </c>
      <c r="U463" s="127">
        <v>478</v>
      </c>
    </row>
    <row r="464" s="3" customFormat="1" customHeight="1" spans="1:21">
      <c r="A464" s="144">
        <v>44364.9114583333</v>
      </c>
      <c r="B464" s="27" t="s">
        <v>3756</v>
      </c>
      <c r="C464" s="27" t="s">
        <v>3757</v>
      </c>
      <c r="D464" s="162" t="s">
        <v>3758</v>
      </c>
      <c r="E464" s="162" t="s">
        <v>165</v>
      </c>
      <c r="F464" s="162" t="s">
        <v>3759</v>
      </c>
      <c r="G464" s="27">
        <v>15946993908</v>
      </c>
      <c r="H464" s="162" t="s">
        <v>3760</v>
      </c>
      <c r="I464" s="162" t="s">
        <v>156</v>
      </c>
      <c r="J464" s="162" t="s">
        <v>6</v>
      </c>
      <c r="K464" s="27">
        <v>202102012</v>
      </c>
      <c r="L464" s="162" t="s">
        <v>157</v>
      </c>
      <c r="M464" s="162" t="s">
        <v>3761</v>
      </c>
      <c r="N464" s="162" t="s">
        <v>404</v>
      </c>
      <c r="O464" s="162" t="s">
        <v>160</v>
      </c>
      <c r="P464" s="162" t="s">
        <v>252</v>
      </c>
      <c r="Q464" s="162" t="s">
        <v>6</v>
      </c>
      <c r="R464" s="162" t="s">
        <v>3762</v>
      </c>
      <c r="S464" s="118" t="str">
        <f>_xlfn.DISPIMG("ID_C2F02D4F7B2D4545A16075F83680F752",1)</f>
        <v>=DISPIMG("ID_C2F02D4F7B2D4545A16075F83680F752",1)</v>
      </c>
      <c r="T464" s="115" t="s">
        <v>3763</v>
      </c>
      <c r="U464" s="127">
        <v>479</v>
      </c>
    </row>
    <row r="465" s="3" customFormat="1" customHeight="1" spans="1:21">
      <c r="A465" s="144">
        <v>44364.9224421296</v>
      </c>
      <c r="B465" s="27" t="s">
        <v>3764</v>
      </c>
      <c r="C465" s="27" t="s">
        <v>3765</v>
      </c>
      <c r="D465" s="162" t="s">
        <v>3766</v>
      </c>
      <c r="E465" s="162" t="s">
        <v>165</v>
      </c>
      <c r="F465" s="162" t="s">
        <v>3767</v>
      </c>
      <c r="G465" s="27">
        <v>18079224740</v>
      </c>
      <c r="H465" s="162" t="s">
        <v>3768</v>
      </c>
      <c r="I465" s="162" t="s">
        <v>156</v>
      </c>
      <c r="J465" s="162" t="s">
        <v>8</v>
      </c>
      <c r="K465" s="27">
        <v>202102002</v>
      </c>
      <c r="L465" s="162" t="s">
        <v>157</v>
      </c>
      <c r="M465" s="162" t="s">
        <v>233</v>
      </c>
      <c r="N465" s="162" t="s">
        <v>3769</v>
      </c>
      <c r="O465" s="162" t="s">
        <v>160</v>
      </c>
      <c r="P465" s="162" t="s">
        <v>1089</v>
      </c>
      <c r="Q465" s="162" t="s">
        <v>8</v>
      </c>
      <c r="R465" s="27">
        <v>0</v>
      </c>
      <c r="S465" s="118" t="str">
        <f>_xlfn.DISPIMG("ID_2E7FF83B7D12427491B1BA1300A2CD7A",1)</f>
        <v>=DISPIMG("ID_2E7FF83B7D12427491B1BA1300A2CD7A",1)</v>
      </c>
      <c r="T465" s="115" t="s">
        <v>3770</v>
      </c>
      <c r="U465" s="127">
        <v>480</v>
      </c>
    </row>
    <row r="466" s="3" customFormat="1" customHeight="1" spans="1:21">
      <c r="A466" s="144">
        <v>44364.9230092593</v>
      </c>
      <c r="B466" s="27" t="s">
        <v>3771</v>
      </c>
      <c r="C466" s="27" t="s">
        <v>3772</v>
      </c>
      <c r="D466" s="162" t="s">
        <v>3773</v>
      </c>
      <c r="E466" s="162" t="s">
        <v>165</v>
      </c>
      <c r="F466" s="162" t="s">
        <v>3774</v>
      </c>
      <c r="G466" s="27">
        <v>15083553694</v>
      </c>
      <c r="H466" s="162" t="s">
        <v>3775</v>
      </c>
      <c r="I466" s="162" t="s">
        <v>156</v>
      </c>
      <c r="J466" s="162" t="s">
        <v>14</v>
      </c>
      <c r="K466" s="27">
        <v>202102001</v>
      </c>
      <c r="L466" s="162" t="s">
        <v>279</v>
      </c>
      <c r="M466" s="162" t="s">
        <v>178</v>
      </c>
      <c r="N466" s="162" t="s">
        <v>348</v>
      </c>
      <c r="O466" s="162" t="s">
        <v>170</v>
      </c>
      <c r="P466" s="162" t="s">
        <v>180</v>
      </c>
      <c r="Q466" s="162" t="s">
        <v>14</v>
      </c>
      <c r="R466" s="162" t="s">
        <v>3776</v>
      </c>
      <c r="S466" s="118" t="str">
        <f>_xlfn.DISPIMG("ID_CF1C1431032D4C21956EAEFBC2630095",1)</f>
        <v>=DISPIMG("ID_CF1C1431032D4C21956EAEFBC2630095",1)</v>
      </c>
      <c r="T466" s="115" t="s">
        <v>3777</v>
      </c>
      <c r="U466" s="127">
        <v>481</v>
      </c>
    </row>
    <row r="467" s="3" customFormat="1" customHeight="1" spans="1:21">
      <c r="A467" s="144">
        <v>44364.9244328704</v>
      </c>
      <c r="B467" s="27" t="s">
        <v>3778</v>
      </c>
      <c r="C467" s="27" t="s">
        <v>3779</v>
      </c>
      <c r="D467" s="162" t="s">
        <v>3780</v>
      </c>
      <c r="E467" s="162" t="s">
        <v>165</v>
      </c>
      <c r="F467" s="162" t="s">
        <v>3781</v>
      </c>
      <c r="G467" s="27">
        <v>18372112404</v>
      </c>
      <c r="H467" s="162" t="s">
        <v>3782</v>
      </c>
      <c r="I467" s="162" t="s">
        <v>156</v>
      </c>
      <c r="J467" s="162" t="s">
        <v>6</v>
      </c>
      <c r="K467" s="27">
        <v>202102012</v>
      </c>
      <c r="L467" s="162" t="s">
        <v>157</v>
      </c>
      <c r="M467" s="162" t="s">
        <v>3783</v>
      </c>
      <c r="N467" s="162" t="s">
        <v>3784</v>
      </c>
      <c r="O467" s="162" t="s">
        <v>160</v>
      </c>
      <c r="P467" s="162" t="s">
        <v>252</v>
      </c>
      <c r="Q467" s="162" t="s">
        <v>6</v>
      </c>
      <c r="R467" s="162" t="s">
        <v>3785</v>
      </c>
      <c r="S467" s="118" t="str">
        <f>_xlfn.DISPIMG("ID_D2BC3DB6B6B24D07A1729D0ECE731594",1)</f>
        <v>=DISPIMG("ID_D2BC3DB6B6B24D07A1729D0ECE731594",1)</v>
      </c>
      <c r="T467" s="115" t="s">
        <v>3786</v>
      </c>
      <c r="U467" s="127">
        <v>482</v>
      </c>
    </row>
    <row r="468" s="3" customFormat="1" customHeight="1" spans="1:21">
      <c r="A468" s="144">
        <v>44364.9341319444</v>
      </c>
      <c r="B468" s="27" t="s">
        <v>3787</v>
      </c>
      <c r="C468" s="27" t="s">
        <v>3788</v>
      </c>
      <c r="D468" s="162" t="s">
        <v>3789</v>
      </c>
      <c r="E468" s="162" t="s">
        <v>165</v>
      </c>
      <c r="F468" s="162" t="s">
        <v>3790</v>
      </c>
      <c r="G468" s="27">
        <v>15979943806</v>
      </c>
      <c r="H468" s="162" t="s">
        <v>3791</v>
      </c>
      <c r="I468" s="162" t="s">
        <v>384</v>
      </c>
      <c r="J468" s="162" t="s">
        <v>25</v>
      </c>
      <c r="K468" s="27">
        <v>202101007</v>
      </c>
      <c r="L468" s="162" t="s">
        <v>157</v>
      </c>
      <c r="M468" s="162" t="s">
        <v>2874</v>
      </c>
      <c r="N468" s="162" t="s">
        <v>3792</v>
      </c>
      <c r="O468" s="162" t="s">
        <v>170</v>
      </c>
      <c r="P468" s="162" t="s">
        <v>216</v>
      </c>
      <c r="Q468" s="162" t="s">
        <v>25</v>
      </c>
      <c r="R468" s="162" t="s">
        <v>3793</v>
      </c>
      <c r="S468" s="118" t="str">
        <f>_xlfn.DISPIMG("ID_7E3A3C48C46B4922B18A5C2AD1587AC0",1)</f>
        <v>=DISPIMG("ID_7E3A3C48C46B4922B18A5C2AD1587AC0",1)</v>
      </c>
      <c r="T468" s="115" t="s">
        <v>3794</v>
      </c>
      <c r="U468" s="127">
        <v>483</v>
      </c>
    </row>
    <row r="469" s="3" customFormat="1" customHeight="1" spans="1:21">
      <c r="A469" s="144">
        <v>44364.9346875</v>
      </c>
      <c r="B469" s="27" t="s">
        <v>3795</v>
      </c>
      <c r="C469" s="27" t="s">
        <v>3796</v>
      </c>
      <c r="D469" s="162" t="s">
        <v>3797</v>
      </c>
      <c r="E469" s="162" t="s">
        <v>165</v>
      </c>
      <c r="F469" s="162" t="s">
        <v>3798</v>
      </c>
      <c r="G469" s="27">
        <v>15879245873</v>
      </c>
      <c r="H469" s="162" t="s">
        <v>3799</v>
      </c>
      <c r="I469" s="162" t="s">
        <v>506</v>
      </c>
      <c r="J469" s="162" t="s">
        <v>6</v>
      </c>
      <c r="K469" s="27">
        <v>202102021</v>
      </c>
      <c r="L469" s="162" t="s">
        <v>157</v>
      </c>
      <c r="M469" s="162" t="s">
        <v>158</v>
      </c>
      <c r="N469" s="162" t="s">
        <v>188</v>
      </c>
      <c r="O469" s="162" t="s">
        <v>160</v>
      </c>
      <c r="P469" s="162" t="s">
        <v>306</v>
      </c>
      <c r="Q469" s="162" t="s">
        <v>3800</v>
      </c>
      <c r="R469" s="27">
        <v>0</v>
      </c>
      <c r="S469" s="118" t="str">
        <f>_xlfn.DISPIMG("ID_B80DCC3A028B4FB2A6977287EC2BFAD8",1)</f>
        <v>=DISPIMG("ID_B80DCC3A028B4FB2A6977287EC2BFAD8",1)</v>
      </c>
      <c r="T469" s="115" t="s">
        <v>3801</v>
      </c>
      <c r="U469" s="127">
        <v>484</v>
      </c>
    </row>
    <row r="470" s="3" customFormat="1" customHeight="1" spans="1:21">
      <c r="A470" s="144">
        <v>44364.9381597222</v>
      </c>
      <c r="B470" s="27" t="s">
        <v>3802</v>
      </c>
      <c r="C470" s="27" t="s">
        <v>3803</v>
      </c>
      <c r="D470" s="162" t="s">
        <v>3804</v>
      </c>
      <c r="E470" s="162" t="s">
        <v>165</v>
      </c>
      <c r="F470" s="162" t="s">
        <v>3805</v>
      </c>
      <c r="G470" s="27">
        <v>18859568610</v>
      </c>
      <c r="H470" s="162" t="s">
        <v>3806</v>
      </c>
      <c r="I470" s="162" t="s">
        <v>156</v>
      </c>
      <c r="J470" s="162" t="s">
        <v>13</v>
      </c>
      <c r="K470" s="27">
        <v>202102003</v>
      </c>
      <c r="L470" s="162" t="s">
        <v>157</v>
      </c>
      <c r="M470" s="162" t="s">
        <v>2943</v>
      </c>
      <c r="N470" s="162" t="s">
        <v>179</v>
      </c>
      <c r="O470" s="162" t="s">
        <v>160</v>
      </c>
      <c r="P470" s="162" t="s">
        <v>235</v>
      </c>
      <c r="Q470" s="162" t="s">
        <v>1187</v>
      </c>
      <c r="R470" s="162" t="s">
        <v>3807</v>
      </c>
      <c r="S470" s="118" t="str">
        <f>_xlfn.DISPIMG("ID_958C237DE20E4119882FD97115456597",1)</f>
        <v>=DISPIMG("ID_958C237DE20E4119882FD97115456597",1)</v>
      </c>
      <c r="T470" s="115" t="s">
        <v>3808</v>
      </c>
      <c r="U470" s="127">
        <v>485</v>
      </c>
    </row>
    <row r="471" s="3" customFormat="1" customHeight="1" spans="1:21">
      <c r="A471" s="144">
        <v>44364.9436689815</v>
      </c>
      <c r="B471" s="27" t="s">
        <v>3809</v>
      </c>
      <c r="C471" s="27" t="s">
        <v>3810</v>
      </c>
      <c r="D471" s="162" t="s">
        <v>3811</v>
      </c>
      <c r="E471" s="162" t="s">
        <v>165</v>
      </c>
      <c r="F471" s="162" t="s">
        <v>3812</v>
      </c>
      <c r="G471" s="27">
        <v>18970830560</v>
      </c>
      <c r="H471" s="162" t="s">
        <v>3813</v>
      </c>
      <c r="I471" s="162" t="s">
        <v>156</v>
      </c>
      <c r="J471" s="162" t="s">
        <v>8</v>
      </c>
      <c r="K471" s="27">
        <v>202102002</v>
      </c>
      <c r="L471" s="162" t="s">
        <v>157</v>
      </c>
      <c r="M471" s="162" t="s">
        <v>2483</v>
      </c>
      <c r="N471" s="162" t="s">
        <v>1832</v>
      </c>
      <c r="O471" s="162" t="s">
        <v>160</v>
      </c>
      <c r="P471" s="162" t="s">
        <v>349</v>
      </c>
      <c r="Q471" s="162" t="s">
        <v>8</v>
      </c>
      <c r="R471" s="27">
        <v>0</v>
      </c>
      <c r="S471" s="118" t="str">
        <f>_xlfn.DISPIMG("ID_E15E0A7D91AC4C3983241BCD063880D6",1)</f>
        <v>=DISPIMG("ID_E15E0A7D91AC4C3983241BCD063880D6",1)</v>
      </c>
      <c r="T471" s="115" t="s">
        <v>3814</v>
      </c>
      <c r="U471" s="127">
        <v>486</v>
      </c>
    </row>
    <row r="472" s="3" customFormat="1" customHeight="1" spans="1:21">
      <c r="A472" s="144">
        <v>44364.9557523148</v>
      </c>
      <c r="B472" s="27" t="s">
        <v>3815</v>
      </c>
      <c r="C472" s="27" t="s">
        <v>3816</v>
      </c>
      <c r="D472" s="162" t="s">
        <v>3817</v>
      </c>
      <c r="E472" s="162" t="s">
        <v>165</v>
      </c>
      <c r="F472" s="162" t="s">
        <v>3818</v>
      </c>
      <c r="G472" s="27">
        <v>13002997695</v>
      </c>
      <c r="H472" s="162" t="s">
        <v>3819</v>
      </c>
      <c r="I472" s="162" t="s">
        <v>156</v>
      </c>
      <c r="J472" s="162" t="s">
        <v>4</v>
      </c>
      <c r="K472" s="27">
        <v>202102005</v>
      </c>
      <c r="L472" s="162" t="s">
        <v>157</v>
      </c>
      <c r="M472" s="162" t="s">
        <v>3820</v>
      </c>
      <c r="N472" s="162" t="s">
        <v>3821</v>
      </c>
      <c r="O472" s="162" t="s">
        <v>160</v>
      </c>
      <c r="P472" s="162" t="s">
        <v>199</v>
      </c>
      <c r="Q472" s="162" t="s">
        <v>4</v>
      </c>
      <c r="R472" s="162" t="s">
        <v>3822</v>
      </c>
      <c r="S472" s="118" t="str">
        <f>_xlfn.DISPIMG("ID_F12BD6FEE7C74060A499738E5A967A51",1)</f>
        <v>=DISPIMG("ID_F12BD6FEE7C74060A499738E5A967A51",1)</v>
      </c>
      <c r="T472" s="115" t="s">
        <v>3823</v>
      </c>
      <c r="U472" s="127">
        <v>487</v>
      </c>
    </row>
    <row r="473" s="3" customFormat="1" customHeight="1" spans="1:21">
      <c r="A473" s="144">
        <v>44364.9589583333</v>
      </c>
      <c r="B473" s="27" t="s">
        <v>3824</v>
      </c>
      <c r="C473" s="27" t="s">
        <v>3825</v>
      </c>
      <c r="D473" s="162" t="s">
        <v>3826</v>
      </c>
      <c r="E473" s="162" t="s">
        <v>165</v>
      </c>
      <c r="F473" s="162" t="s">
        <v>3827</v>
      </c>
      <c r="G473" s="27">
        <v>18379207307</v>
      </c>
      <c r="H473" s="162" t="s">
        <v>3828</v>
      </c>
      <c r="I473" s="162" t="s">
        <v>156</v>
      </c>
      <c r="J473" s="162" t="s">
        <v>13</v>
      </c>
      <c r="K473" s="27">
        <v>202102003</v>
      </c>
      <c r="L473" s="162" t="s">
        <v>279</v>
      </c>
      <c r="M473" s="162" t="s">
        <v>158</v>
      </c>
      <c r="N473" s="162" t="s">
        <v>223</v>
      </c>
      <c r="O473" s="162" t="s">
        <v>170</v>
      </c>
      <c r="P473" s="162" t="s">
        <v>180</v>
      </c>
      <c r="Q473" s="162" t="s">
        <v>487</v>
      </c>
      <c r="R473" s="162" t="s">
        <v>3829</v>
      </c>
      <c r="S473" s="118" t="str">
        <f>_xlfn.DISPIMG("ID_0F27C17184DB40E4ADCCEAF2E242F8D5",1)</f>
        <v>=DISPIMG("ID_0F27C17184DB40E4ADCCEAF2E242F8D5",1)</v>
      </c>
      <c r="T473" s="115" t="s">
        <v>3830</v>
      </c>
      <c r="U473" s="127">
        <v>488</v>
      </c>
    </row>
    <row r="474" s="3" customFormat="1" customHeight="1" spans="1:21">
      <c r="A474" s="144">
        <v>44364.9748032407</v>
      </c>
      <c r="B474" s="27" t="s">
        <v>3831</v>
      </c>
      <c r="C474" s="27" t="s">
        <v>3832</v>
      </c>
      <c r="D474" s="162" t="s">
        <v>3833</v>
      </c>
      <c r="E474" s="162" t="s">
        <v>153</v>
      </c>
      <c r="F474" s="162" t="s">
        <v>3834</v>
      </c>
      <c r="G474" s="27">
        <v>15970472554</v>
      </c>
      <c r="H474" s="162" t="s">
        <v>3835</v>
      </c>
      <c r="I474" s="162" t="s">
        <v>268</v>
      </c>
      <c r="J474" s="162" t="s">
        <v>16</v>
      </c>
      <c r="K474" s="27">
        <v>202101011</v>
      </c>
      <c r="L474" s="162" t="s">
        <v>705</v>
      </c>
      <c r="M474" s="162" t="s">
        <v>1654</v>
      </c>
      <c r="N474" s="162" t="s">
        <v>3836</v>
      </c>
      <c r="O474" s="162" t="s">
        <v>160</v>
      </c>
      <c r="P474" s="162" t="s">
        <v>235</v>
      </c>
      <c r="Q474" s="162" t="s">
        <v>16</v>
      </c>
      <c r="R474" s="162" t="s">
        <v>3837</v>
      </c>
      <c r="S474" s="118" t="str">
        <f>_xlfn.DISPIMG("ID_34928AEB616641BE854DC3D58FC2EECD",1)</f>
        <v>=DISPIMG("ID_34928AEB616641BE854DC3D58FC2EECD",1)</v>
      </c>
      <c r="T474" s="115" t="s">
        <v>3838</v>
      </c>
      <c r="U474" s="127">
        <v>489</v>
      </c>
    </row>
    <row r="475" s="3" customFormat="1" customHeight="1" spans="1:21">
      <c r="A475" s="144">
        <v>44365.0083217593</v>
      </c>
      <c r="B475" s="27" t="s">
        <v>3839</v>
      </c>
      <c r="C475" s="27" t="s">
        <v>3840</v>
      </c>
      <c r="D475" s="162" t="s">
        <v>3841</v>
      </c>
      <c r="E475" s="162" t="s">
        <v>165</v>
      </c>
      <c r="F475" s="162" t="s">
        <v>3842</v>
      </c>
      <c r="G475" s="27">
        <v>13177873876</v>
      </c>
      <c r="H475" s="162" t="s">
        <v>3843</v>
      </c>
      <c r="I475" s="162" t="s">
        <v>156</v>
      </c>
      <c r="J475" s="162" t="s">
        <v>15</v>
      </c>
      <c r="K475" s="27">
        <v>202102007</v>
      </c>
      <c r="L475" s="162" t="s">
        <v>157</v>
      </c>
      <c r="M475" s="162" t="s">
        <v>233</v>
      </c>
      <c r="N475" s="162" t="s">
        <v>169</v>
      </c>
      <c r="O475" s="162" t="s">
        <v>170</v>
      </c>
      <c r="P475" s="162" t="s">
        <v>3844</v>
      </c>
      <c r="Q475" s="162" t="s">
        <v>3845</v>
      </c>
      <c r="R475" s="162" t="s">
        <v>3846</v>
      </c>
      <c r="S475" s="118" t="str">
        <f>_xlfn.DISPIMG("ID_0D39E07DE3FA4F1EAFE382357648332E",1)</f>
        <v>=DISPIMG("ID_0D39E07DE3FA4F1EAFE382357648332E",1)</v>
      </c>
      <c r="T475" s="115" t="s">
        <v>3847</v>
      </c>
      <c r="U475" s="127">
        <v>490</v>
      </c>
    </row>
    <row r="476" s="3" customFormat="1" customHeight="1" spans="1:21">
      <c r="A476" s="144">
        <v>44365.0769212963</v>
      </c>
      <c r="B476" s="27" t="s">
        <v>3848</v>
      </c>
      <c r="C476" s="27" t="s">
        <v>3849</v>
      </c>
      <c r="D476" s="162" t="s">
        <v>3850</v>
      </c>
      <c r="E476" s="162" t="s">
        <v>165</v>
      </c>
      <c r="F476" s="162" t="s">
        <v>3851</v>
      </c>
      <c r="G476" s="27">
        <v>15797695028</v>
      </c>
      <c r="H476" s="162" t="s">
        <v>3852</v>
      </c>
      <c r="I476" s="162" t="s">
        <v>156</v>
      </c>
      <c r="J476" s="162" t="s">
        <v>8</v>
      </c>
      <c r="K476" s="27">
        <v>202102002</v>
      </c>
      <c r="L476" s="162" t="s">
        <v>157</v>
      </c>
      <c r="M476" s="162" t="s">
        <v>233</v>
      </c>
      <c r="N476" s="162" t="s">
        <v>3853</v>
      </c>
      <c r="O476" s="162" t="s">
        <v>160</v>
      </c>
      <c r="P476" s="162" t="s">
        <v>235</v>
      </c>
      <c r="Q476" s="162" t="s">
        <v>3854</v>
      </c>
      <c r="R476" s="27">
        <v>0</v>
      </c>
      <c r="S476" s="118" t="str">
        <f>_xlfn.DISPIMG("ID_84872379004C4F22BC15C75702A4DBC9",1)</f>
        <v>=DISPIMG("ID_84872379004C4F22BC15C75702A4DBC9",1)</v>
      </c>
      <c r="T476" s="115" t="s">
        <v>3855</v>
      </c>
      <c r="U476" s="127">
        <v>491</v>
      </c>
    </row>
    <row r="477" s="3" customFormat="1" customHeight="1" spans="1:21">
      <c r="A477" s="144">
        <v>44365.2715625</v>
      </c>
      <c r="B477" s="27" t="s">
        <v>3856</v>
      </c>
      <c r="C477" s="27" t="s">
        <v>3857</v>
      </c>
      <c r="D477" s="162" t="s">
        <v>3858</v>
      </c>
      <c r="E477" s="162" t="s">
        <v>165</v>
      </c>
      <c r="F477" s="162" t="s">
        <v>3859</v>
      </c>
      <c r="G477" s="27">
        <v>15374225748</v>
      </c>
      <c r="H477" s="162" t="s">
        <v>3860</v>
      </c>
      <c r="I477" s="162" t="s">
        <v>156</v>
      </c>
      <c r="J477" s="162" t="s">
        <v>14</v>
      </c>
      <c r="K477" s="27">
        <v>202102001</v>
      </c>
      <c r="L477" s="162" t="s">
        <v>279</v>
      </c>
      <c r="M477" s="162" t="s">
        <v>3861</v>
      </c>
      <c r="N477" s="162" t="s">
        <v>298</v>
      </c>
      <c r="O477" s="162" t="s">
        <v>160</v>
      </c>
      <c r="P477" s="162" t="s">
        <v>805</v>
      </c>
      <c r="Q477" s="162" t="s">
        <v>121</v>
      </c>
      <c r="R477" s="27">
        <v>0</v>
      </c>
      <c r="S477" s="118" t="str">
        <f>_xlfn.DISPIMG("ID_8CF8C6C0A559454996AB6FB606BDA1DD",1)</f>
        <v>=DISPIMG("ID_8CF8C6C0A559454996AB6FB606BDA1DD",1)</v>
      </c>
      <c r="T477" s="115" t="s">
        <v>3862</v>
      </c>
      <c r="U477" s="127">
        <v>492</v>
      </c>
    </row>
    <row r="478" s="3" customFormat="1" customHeight="1" spans="1:21">
      <c r="A478" s="144">
        <v>44365.3315162037</v>
      </c>
      <c r="B478" s="27" t="s">
        <v>3863</v>
      </c>
      <c r="C478" s="27" t="s">
        <v>3864</v>
      </c>
      <c r="D478" s="162" t="s">
        <v>3865</v>
      </c>
      <c r="E478" s="162" t="s">
        <v>165</v>
      </c>
      <c r="F478" s="162" t="s">
        <v>3866</v>
      </c>
      <c r="G478" s="27">
        <v>18879267212</v>
      </c>
      <c r="H478" s="162" t="s">
        <v>3867</v>
      </c>
      <c r="I478" s="162" t="s">
        <v>156</v>
      </c>
      <c r="J478" s="162" t="s">
        <v>8</v>
      </c>
      <c r="K478" s="27">
        <v>202102002</v>
      </c>
      <c r="L478" s="162" t="s">
        <v>157</v>
      </c>
      <c r="M478" s="162" t="s">
        <v>827</v>
      </c>
      <c r="N478" s="162" t="s">
        <v>270</v>
      </c>
      <c r="O478" s="162" t="s">
        <v>170</v>
      </c>
      <c r="P478" s="162" t="s">
        <v>171</v>
      </c>
      <c r="Q478" s="162" t="s">
        <v>3868</v>
      </c>
      <c r="R478" s="162" t="s">
        <v>3869</v>
      </c>
      <c r="S478" s="118" t="str">
        <f>_xlfn.DISPIMG("ID_60BA691C89BB46A3A629500DC48B1B82",1)</f>
        <v>=DISPIMG("ID_60BA691C89BB46A3A629500DC48B1B82",1)</v>
      </c>
      <c r="T478" s="115" t="s">
        <v>3870</v>
      </c>
      <c r="U478" s="127">
        <v>493</v>
      </c>
    </row>
    <row r="479" s="3" customFormat="1" customHeight="1" spans="1:21">
      <c r="A479" s="144">
        <v>44365.3502662037</v>
      </c>
      <c r="B479" s="27" t="s">
        <v>3871</v>
      </c>
      <c r="C479" s="27" t="s">
        <v>3872</v>
      </c>
      <c r="D479" s="162" t="s">
        <v>3873</v>
      </c>
      <c r="E479" s="162" t="s">
        <v>153</v>
      </c>
      <c r="F479" s="162" t="s">
        <v>3874</v>
      </c>
      <c r="G479" s="27">
        <v>13317434772</v>
      </c>
      <c r="H479" s="162" t="s">
        <v>3875</v>
      </c>
      <c r="I479" s="162" t="s">
        <v>156</v>
      </c>
      <c r="J479" s="162" t="s">
        <v>5</v>
      </c>
      <c r="K479" s="27">
        <v>202102008</v>
      </c>
      <c r="L479" s="162" t="s">
        <v>157</v>
      </c>
      <c r="M479" s="162" t="s">
        <v>3876</v>
      </c>
      <c r="N479" s="162" t="s">
        <v>290</v>
      </c>
      <c r="O479" s="162" t="s">
        <v>170</v>
      </c>
      <c r="P479" s="162" t="s">
        <v>171</v>
      </c>
      <c r="Q479" s="162" t="s">
        <v>1064</v>
      </c>
      <c r="R479" s="162" t="s">
        <v>3877</v>
      </c>
      <c r="S479" s="118" t="str">
        <f>_xlfn.DISPIMG("ID_707B86616C5E4D0A96852FA2ECC7652E",1)</f>
        <v>=DISPIMG("ID_707B86616C5E4D0A96852FA2ECC7652E",1)</v>
      </c>
      <c r="T479" s="115" t="s">
        <v>3878</v>
      </c>
      <c r="U479" s="127">
        <v>494</v>
      </c>
    </row>
    <row r="480" s="3" customFormat="1" customHeight="1" spans="1:21">
      <c r="A480" s="144">
        <v>44365.3771527778</v>
      </c>
      <c r="B480" s="27" t="s">
        <v>3879</v>
      </c>
      <c r="C480" s="27" t="s">
        <v>3880</v>
      </c>
      <c r="D480" s="162" t="s">
        <v>3881</v>
      </c>
      <c r="E480" s="162" t="s">
        <v>165</v>
      </c>
      <c r="F480" s="162" t="s">
        <v>3882</v>
      </c>
      <c r="G480" s="27">
        <v>18770914505</v>
      </c>
      <c r="H480" s="162" t="s">
        <v>3883</v>
      </c>
      <c r="I480" s="162" t="s">
        <v>156</v>
      </c>
      <c r="J480" s="162" t="s">
        <v>14</v>
      </c>
      <c r="K480" s="27">
        <v>202102001</v>
      </c>
      <c r="L480" s="162" t="s">
        <v>279</v>
      </c>
      <c r="M480" s="162" t="s">
        <v>178</v>
      </c>
      <c r="N480" s="162" t="s">
        <v>348</v>
      </c>
      <c r="O480" s="162" t="s">
        <v>170</v>
      </c>
      <c r="P480" s="162" t="s">
        <v>281</v>
      </c>
      <c r="Q480" s="162" t="s">
        <v>498</v>
      </c>
      <c r="R480" s="162" t="s">
        <v>3884</v>
      </c>
      <c r="S480" s="118" t="str">
        <f>_xlfn.DISPIMG("ID_3C6B462D1CF047DC951D0874F80418DC",1)</f>
        <v>=DISPIMG("ID_3C6B462D1CF047DC951D0874F80418DC",1)</v>
      </c>
      <c r="T480" s="115" t="s">
        <v>3885</v>
      </c>
      <c r="U480" s="127">
        <v>495</v>
      </c>
    </row>
    <row r="481" s="3" customFormat="1" customHeight="1" spans="1:21">
      <c r="A481" s="144">
        <v>44365.3990509259</v>
      </c>
      <c r="B481" s="27" t="s">
        <v>3886</v>
      </c>
      <c r="C481" s="27" t="s">
        <v>3887</v>
      </c>
      <c r="D481" s="162" t="s">
        <v>3888</v>
      </c>
      <c r="E481" s="162" t="s">
        <v>165</v>
      </c>
      <c r="F481" s="162" t="s">
        <v>3889</v>
      </c>
      <c r="G481" s="27">
        <v>15949598955</v>
      </c>
      <c r="H481" s="162" t="s">
        <v>3890</v>
      </c>
      <c r="I481" s="162" t="s">
        <v>156</v>
      </c>
      <c r="J481" s="162" t="s">
        <v>14</v>
      </c>
      <c r="K481" s="27">
        <v>202102001</v>
      </c>
      <c r="L481" s="162" t="s">
        <v>279</v>
      </c>
      <c r="M481" s="162" t="s">
        <v>367</v>
      </c>
      <c r="N481" s="162" t="s">
        <v>348</v>
      </c>
      <c r="O481" s="162" t="s">
        <v>170</v>
      </c>
      <c r="P481" s="162" t="s">
        <v>587</v>
      </c>
      <c r="Q481" s="162" t="s">
        <v>14</v>
      </c>
      <c r="R481" s="162" t="s">
        <v>3891</v>
      </c>
      <c r="S481" s="118" t="str">
        <f>_xlfn.DISPIMG("ID_2410E866E9B946F380BB65E1492A0355",1)</f>
        <v>=DISPIMG("ID_2410E866E9B946F380BB65E1492A0355",1)</v>
      </c>
      <c r="T481" s="115" t="s">
        <v>3892</v>
      </c>
      <c r="U481" s="127">
        <v>496</v>
      </c>
    </row>
    <row r="482" s="3" customFormat="1" customHeight="1" spans="1:21">
      <c r="A482" s="144">
        <v>44365.3993634259</v>
      </c>
      <c r="B482" s="27" t="s">
        <v>3893</v>
      </c>
      <c r="C482" s="27" t="s">
        <v>3894</v>
      </c>
      <c r="D482" s="162" t="s">
        <v>3895</v>
      </c>
      <c r="E482" s="162" t="s">
        <v>165</v>
      </c>
      <c r="F482" s="162" t="s">
        <v>3896</v>
      </c>
      <c r="G482" s="27">
        <v>17859733350</v>
      </c>
      <c r="H482" s="162" t="s">
        <v>3897</v>
      </c>
      <c r="I482" s="162" t="s">
        <v>156</v>
      </c>
      <c r="J482" s="162" t="s">
        <v>6</v>
      </c>
      <c r="K482" s="27">
        <v>202102012</v>
      </c>
      <c r="L482" s="162" t="s">
        <v>157</v>
      </c>
      <c r="M482" s="162" t="s">
        <v>3898</v>
      </c>
      <c r="N482" s="162" t="s">
        <v>3784</v>
      </c>
      <c r="O482" s="162" t="s">
        <v>160</v>
      </c>
      <c r="P482" s="162" t="s">
        <v>235</v>
      </c>
      <c r="Q482" s="162" t="s">
        <v>3899</v>
      </c>
      <c r="R482" s="162" t="s">
        <v>3900</v>
      </c>
      <c r="S482" s="118" t="str">
        <f>_xlfn.DISPIMG("ID_BC241117C250469C89F85CEC4B64E8AA",1)</f>
        <v>=DISPIMG("ID_BC241117C250469C89F85CEC4B64E8AA",1)</v>
      </c>
      <c r="T482" s="115" t="s">
        <v>3901</v>
      </c>
      <c r="U482" s="127">
        <v>497</v>
      </c>
    </row>
    <row r="483" s="3" customFormat="1" customHeight="1" spans="1:21">
      <c r="A483" s="144">
        <v>44365.4000810185</v>
      </c>
      <c r="B483" s="27" t="s">
        <v>3902</v>
      </c>
      <c r="C483" s="27" t="s">
        <v>3903</v>
      </c>
      <c r="D483" s="162" t="s">
        <v>3904</v>
      </c>
      <c r="E483" s="162" t="s">
        <v>153</v>
      </c>
      <c r="F483" s="162" t="s">
        <v>3905</v>
      </c>
      <c r="G483" s="27">
        <v>15007027769</v>
      </c>
      <c r="H483" s="162" t="s">
        <v>3906</v>
      </c>
      <c r="I483" s="162" t="s">
        <v>156</v>
      </c>
      <c r="J483" s="162" t="s">
        <v>8</v>
      </c>
      <c r="K483" s="27">
        <v>202102002</v>
      </c>
      <c r="L483" s="162" t="s">
        <v>157</v>
      </c>
      <c r="M483" s="162" t="s">
        <v>158</v>
      </c>
      <c r="N483" s="162" t="s">
        <v>1481</v>
      </c>
      <c r="O483" s="162" t="s">
        <v>160</v>
      </c>
      <c r="P483" s="162" t="s">
        <v>216</v>
      </c>
      <c r="Q483" s="162" t="s">
        <v>8</v>
      </c>
      <c r="R483" s="27">
        <v>0</v>
      </c>
      <c r="S483" s="118" t="str">
        <f>_xlfn.DISPIMG("ID_9F8C123E434549AABE94648B98FC4902",1)</f>
        <v>=DISPIMG("ID_9F8C123E434549AABE94648B98FC4902",1)</v>
      </c>
      <c r="T483" s="115" t="s">
        <v>3907</v>
      </c>
      <c r="U483" s="127">
        <v>498</v>
      </c>
    </row>
    <row r="484" s="3" customFormat="1" customHeight="1" spans="1:21">
      <c r="A484" s="144">
        <v>44365.4041203704</v>
      </c>
      <c r="B484" s="27" t="s">
        <v>3908</v>
      </c>
      <c r="C484" s="27" t="s">
        <v>3909</v>
      </c>
      <c r="D484" s="162" t="s">
        <v>3910</v>
      </c>
      <c r="E484" s="162" t="s">
        <v>165</v>
      </c>
      <c r="F484" s="162" t="s">
        <v>3911</v>
      </c>
      <c r="G484" s="27">
        <v>13627096197</v>
      </c>
      <c r="H484" s="162" t="s">
        <v>3912</v>
      </c>
      <c r="I484" s="162" t="s">
        <v>156</v>
      </c>
      <c r="J484" s="162" t="s">
        <v>14</v>
      </c>
      <c r="K484" s="27">
        <v>202102001</v>
      </c>
      <c r="L484" s="162" t="s">
        <v>157</v>
      </c>
      <c r="M484" s="162" t="s">
        <v>233</v>
      </c>
      <c r="N484" s="162" t="s">
        <v>454</v>
      </c>
      <c r="O484" s="162" t="s">
        <v>170</v>
      </c>
      <c r="P484" s="162" t="s">
        <v>516</v>
      </c>
      <c r="Q484" s="162" t="s">
        <v>3913</v>
      </c>
      <c r="R484" s="162" t="s">
        <v>3914</v>
      </c>
      <c r="S484" s="118" t="str">
        <f>_xlfn.DISPIMG("ID_2CCA277749F14624BD11838DCC078340",1)</f>
        <v>=DISPIMG("ID_2CCA277749F14624BD11838DCC078340",1)</v>
      </c>
      <c r="T484" s="115" t="s">
        <v>3915</v>
      </c>
      <c r="U484" s="127">
        <v>499</v>
      </c>
    </row>
    <row r="485" s="3" customFormat="1" customHeight="1" spans="1:21">
      <c r="A485" s="144">
        <v>44365.4083449074</v>
      </c>
      <c r="B485" s="27" t="s">
        <v>3916</v>
      </c>
      <c r="C485" s="27" t="s">
        <v>3917</v>
      </c>
      <c r="D485" s="162" t="s">
        <v>3918</v>
      </c>
      <c r="E485" s="162" t="s">
        <v>165</v>
      </c>
      <c r="F485" s="162" t="s">
        <v>3919</v>
      </c>
      <c r="G485" s="27">
        <v>18979261626</v>
      </c>
      <c r="H485" s="162" t="s">
        <v>1111</v>
      </c>
      <c r="I485" s="162" t="s">
        <v>384</v>
      </c>
      <c r="J485" s="162" t="s">
        <v>25</v>
      </c>
      <c r="K485" s="27">
        <v>202101007</v>
      </c>
      <c r="L485" s="162" t="s">
        <v>157</v>
      </c>
      <c r="M485" s="162" t="s">
        <v>178</v>
      </c>
      <c r="N485" s="162" t="s">
        <v>179</v>
      </c>
      <c r="O485" s="162" t="s">
        <v>170</v>
      </c>
      <c r="P485" s="162" t="s">
        <v>161</v>
      </c>
      <c r="Q485" s="162" t="s">
        <v>952</v>
      </c>
      <c r="R485" s="162" t="s">
        <v>3920</v>
      </c>
      <c r="S485" s="118" t="str">
        <f>_xlfn.DISPIMG("ID_64C458B5785C4AE8B3EB4D932C0866CC",1)</f>
        <v>=DISPIMG("ID_64C458B5785C4AE8B3EB4D932C0866CC",1)</v>
      </c>
      <c r="T485" s="115" t="s">
        <v>3921</v>
      </c>
      <c r="U485" s="127">
        <v>500</v>
      </c>
    </row>
    <row r="486" s="3" customFormat="1" customHeight="1" spans="1:21">
      <c r="A486" s="144">
        <v>44365.4103819444</v>
      </c>
      <c r="B486" s="27" t="s">
        <v>3922</v>
      </c>
      <c r="C486" s="27" t="s">
        <v>3923</v>
      </c>
      <c r="D486" s="162" t="s">
        <v>3924</v>
      </c>
      <c r="E486" s="162" t="s">
        <v>165</v>
      </c>
      <c r="F486" s="162" t="s">
        <v>3925</v>
      </c>
      <c r="G486" s="27">
        <v>15797691720</v>
      </c>
      <c r="H486" s="162" t="s">
        <v>3926</v>
      </c>
      <c r="I486" s="162" t="s">
        <v>156</v>
      </c>
      <c r="J486" s="162" t="s">
        <v>8</v>
      </c>
      <c r="K486" s="27">
        <v>202102002</v>
      </c>
      <c r="L486" s="162" t="s">
        <v>157</v>
      </c>
      <c r="M486" s="162" t="s">
        <v>603</v>
      </c>
      <c r="N486" s="162" t="s">
        <v>2379</v>
      </c>
      <c r="O486" s="162" t="s">
        <v>160</v>
      </c>
      <c r="P486" s="162" t="s">
        <v>306</v>
      </c>
      <c r="Q486" s="162" t="s">
        <v>989</v>
      </c>
      <c r="R486" s="162" t="s">
        <v>3927</v>
      </c>
      <c r="S486" s="118" t="str">
        <f>_xlfn.DISPIMG("ID_514B3145E6BD4A2498C42CFECAEF98E2",1)</f>
        <v>=DISPIMG("ID_514B3145E6BD4A2498C42CFECAEF98E2",1)</v>
      </c>
      <c r="T486" s="115" t="s">
        <v>3928</v>
      </c>
      <c r="U486" s="127">
        <v>501</v>
      </c>
    </row>
    <row r="487" s="3" customFormat="1" customHeight="1" spans="1:21">
      <c r="A487" s="144">
        <v>44365.422025463</v>
      </c>
      <c r="B487" s="27" t="s">
        <v>3929</v>
      </c>
      <c r="C487" s="27" t="s">
        <v>3930</v>
      </c>
      <c r="D487" s="162" t="s">
        <v>3931</v>
      </c>
      <c r="E487" s="162" t="s">
        <v>165</v>
      </c>
      <c r="F487" s="162" t="s">
        <v>3932</v>
      </c>
      <c r="G487" s="27">
        <v>13064153607</v>
      </c>
      <c r="H487" s="162" t="s">
        <v>3933</v>
      </c>
      <c r="I487" s="162" t="s">
        <v>156</v>
      </c>
      <c r="J487" s="162" t="s">
        <v>14</v>
      </c>
      <c r="K487" s="27">
        <v>202102001</v>
      </c>
      <c r="L487" s="162" t="s">
        <v>279</v>
      </c>
      <c r="M487" s="162" t="s">
        <v>3934</v>
      </c>
      <c r="N487" s="162" t="s">
        <v>348</v>
      </c>
      <c r="O487" s="162" t="s">
        <v>170</v>
      </c>
      <c r="P487" s="162" t="s">
        <v>349</v>
      </c>
      <c r="Q487" s="162" t="s">
        <v>3935</v>
      </c>
      <c r="R487" s="162" t="s">
        <v>3936</v>
      </c>
      <c r="S487" s="118" t="str">
        <f>_xlfn.DISPIMG("ID_FD6A12B7DDFB4497A1625AEB18B6C93E",1)</f>
        <v>=DISPIMG("ID_FD6A12B7DDFB4497A1625AEB18B6C93E",1)</v>
      </c>
      <c r="T487" s="115" t="s">
        <v>3937</v>
      </c>
      <c r="U487" s="127">
        <v>502</v>
      </c>
    </row>
    <row r="488" s="3" customFormat="1" customHeight="1" spans="1:21">
      <c r="A488" s="144">
        <v>44365.4222453704</v>
      </c>
      <c r="B488" s="27" t="s">
        <v>3938</v>
      </c>
      <c r="C488" s="27" t="s">
        <v>3939</v>
      </c>
      <c r="D488" s="162" t="s">
        <v>3940</v>
      </c>
      <c r="E488" s="162" t="s">
        <v>165</v>
      </c>
      <c r="F488" s="162" t="s">
        <v>3941</v>
      </c>
      <c r="G488" s="27">
        <v>13699503652</v>
      </c>
      <c r="H488" s="162" t="s">
        <v>3942</v>
      </c>
      <c r="I488" s="162" t="s">
        <v>156</v>
      </c>
      <c r="J488" s="162" t="s">
        <v>4</v>
      </c>
      <c r="K488" s="27">
        <v>202102005</v>
      </c>
      <c r="L488" s="162" t="s">
        <v>157</v>
      </c>
      <c r="M488" s="162" t="s">
        <v>385</v>
      </c>
      <c r="N488" s="162" t="s">
        <v>3943</v>
      </c>
      <c r="O488" s="162" t="s">
        <v>170</v>
      </c>
      <c r="P488" s="162" t="s">
        <v>180</v>
      </c>
      <c r="Q488" s="162" t="s">
        <v>4</v>
      </c>
      <c r="R488" s="162" t="s">
        <v>3944</v>
      </c>
      <c r="S488" s="118" t="str">
        <f>_xlfn.DISPIMG("ID_5F49521312D540BAA0750C7E0D3B723B",1)</f>
        <v>=DISPIMG("ID_5F49521312D540BAA0750C7E0D3B723B",1)</v>
      </c>
      <c r="T488" s="115" t="s">
        <v>3945</v>
      </c>
      <c r="U488" s="127">
        <v>503</v>
      </c>
    </row>
    <row r="489" s="3" customFormat="1" customHeight="1" spans="1:21">
      <c r="A489" s="144">
        <v>44365.4269444444</v>
      </c>
      <c r="B489" s="27" t="s">
        <v>3946</v>
      </c>
      <c r="C489" s="27" t="s">
        <v>3947</v>
      </c>
      <c r="D489" s="162" t="s">
        <v>3948</v>
      </c>
      <c r="E489" s="162" t="s">
        <v>165</v>
      </c>
      <c r="F489" s="162" t="s">
        <v>3949</v>
      </c>
      <c r="G489" s="27">
        <v>13803563575</v>
      </c>
      <c r="H489" s="162" t="s">
        <v>3950</v>
      </c>
      <c r="I489" s="162" t="s">
        <v>156</v>
      </c>
      <c r="J489" s="162" t="s">
        <v>8</v>
      </c>
      <c r="K489" s="27">
        <v>202102002</v>
      </c>
      <c r="L489" s="162" t="s">
        <v>279</v>
      </c>
      <c r="M489" s="162" t="s">
        <v>158</v>
      </c>
      <c r="N489" s="162" t="s">
        <v>497</v>
      </c>
      <c r="O489" s="162" t="s">
        <v>170</v>
      </c>
      <c r="P489" s="162" t="s">
        <v>180</v>
      </c>
      <c r="Q489" s="162" t="s">
        <v>3230</v>
      </c>
      <c r="R489" s="162" t="s">
        <v>3951</v>
      </c>
      <c r="S489" s="118" t="str">
        <f>_xlfn.DISPIMG("ID_997BB006A29449FB8D35751C6152A872",1)</f>
        <v>=DISPIMG("ID_997BB006A29449FB8D35751C6152A872",1)</v>
      </c>
      <c r="T489" s="115" t="s">
        <v>3952</v>
      </c>
      <c r="U489" s="127">
        <v>504</v>
      </c>
    </row>
    <row r="490" s="3" customFormat="1" customHeight="1" spans="1:21">
      <c r="A490" s="144">
        <v>44365.4338541667</v>
      </c>
      <c r="B490" s="27" t="s">
        <v>3953</v>
      </c>
      <c r="C490" s="27" t="s">
        <v>3954</v>
      </c>
      <c r="D490" s="162" t="s">
        <v>3955</v>
      </c>
      <c r="E490" s="162" t="s">
        <v>153</v>
      </c>
      <c r="F490" s="162" t="s">
        <v>3956</v>
      </c>
      <c r="G490" s="27">
        <v>18379670015</v>
      </c>
      <c r="H490" s="162" t="s">
        <v>3957</v>
      </c>
      <c r="I490" s="162" t="s">
        <v>384</v>
      </c>
      <c r="J490" s="162" t="s">
        <v>20</v>
      </c>
      <c r="K490" s="27">
        <v>202101005</v>
      </c>
      <c r="L490" s="162" t="s">
        <v>157</v>
      </c>
      <c r="M490" s="162" t="s">
        <v>507</v>
      </c>
      <c r="N490" s="162" t="s">
        <v>270</v>
      </c>
      <c r="O490" s="162" t="s">
        <v>170</v>
      </c>
      <c r="P490" s="162" t="s">
        <v>235</v>
      </c>
      <c r="Q490" s="162" t="s">
        <v>1322</v>
      </c>
      <c r="R490" s="162" t="s">
        <v>3958</v>
      </c>
      <c r="S490" s="118" t="str">
        <f>_xlfn.DISPIMG("ID_C25C6B154C2847C9934F6981B40FCD0C",1)</f>
        <v>=DISPIMG("ID_C25C6B154C2847C9934F6981B40FCD0C",1)</v>
      </c>
      <c r="T490" s="115" t="s">
        <v>3959</v>
      </c>
      <c r="U490" s="127">
        <v>505</v>
      </c>
    </row>
    <row r="491" s="3" customFormat="1" customHeight="1" spans="1:21">
      <c r="A491" s="144">
        <v>44365.4340856482</v>
      </c>
      <c r="B491" s="27" t="s">
        <v>3960</v>
      </c>
      <c r="C491" s="27" t="s">
        <v>3961</v>
      </c>
      <c r="D491" s="162" t="s">
        <v>3962</v>
      </c>
      <c r="E491" s="162" t="s">
        <v>165</v>
      </c>
      <c r="F491" s="162" t="s">
        <v>3963</v>
      </c>
      <c r="G491" s="27">
        <v>18870866549</v>
      </c>
      <c r="H491" s="162" t="s">
        <v>3964</v>
      </c>
      <c r="I491" s="162" t="s">
        <v>156</v>
      </c>
      <c r="J491" s="162" t="s">
        <v>4</v>
      </c>
      <c r="K491" s="27">
        <v>202102005</v>
      </c>
      <c r="L491" s="162" t="s">
        <v>157</v>
      </c>
      <c r="M491" s="162" t="s">
        <v>3965</v>
      </c>
      <c r="N491" s="162" t="s">
        <v>3966</v>
      </c>
      <c r="O491" s="162" t="s">
        <v>160</v>
      </c>
      <c r="P491" s="162" t="s">
        <v>216</v>
      </c>
      <c r="Q491" s="162" t="s">
        <v>4</v>
      </c>
      <c r="R491" s="27">
        <v>0</v>
      </c>
      <c r="S491" s="118" t="str">
        <f>_xlfn.DISPIMG("ID_B16A7073492C47F799EB61B1BAB98F3E",1)</f>
        <v>=DISPIMG("ID_B16A7073492C47F799EB61B1BAB98F3E",1)</v>
      </c>
      <c r="T491" s="115" t="s">
        <v>3967</v>
      </c>
      <c r="U491" s="127">
        <v>506</v>
      </c>
    </row>
    <row r="492" s="3" customFormat="1" customHeight="1" spans="1:21">
      <c r="A492" s="144">
        <v>44365.4388194444</v>
      </c>
      <c r="B492" s="27" t="s">
        <v>3968</v>
      </c>
      <c r="C492" s="27" t="s">
        <v>3969</v>
      </c>
      <c r="D492" s="162" t="s">
        <v>3970</v>
      </c>
      <c r="E492" s="162" t="s">
        <v>165</v>
      </c>
      <c r="F492" s="162" t="s">
        <v>3971</v>
      </c>
      <c r="G492" s="27">
        <v>18279298177</v>
      </c>
      <c r="H492" s="162" t="s">
        <v>3972</v>
      </c>
      <c r="I492" s="162" t="s">
        <v>156</v>
      </c>
      <c r="J492" s="162" t="s">
        <v>13</v>
      </c>
      <c r="K492" s="27">
        <v>202102003</v>
      </c>
      <c r="L492" s="162" t="s">
        <v>157</v>
      </c>
      <c r="M492" s="162" t="s">
        <v>233</v>
      </c>
      <c r="N492" s="162" t="s">
        <v>3973</v>
      </c>
      <c r="O492" s="162" t="s">
        <v>160</v>
      </c>
      <c r="P492" s="162" t="s">
        <v>161</v>
      </c>
      <c r="Q492" s="162" t="s">
        <v>25</v>
      </c>
      <c r="R492" s="162" t="s">
        <v>3974</v>
      </c>
      <c r="S492" s="118" t="str">
        <f>_xlfn.DISPIMG("ID_B1F0BA2C377444B08B7692E1B53E42C5",1)</f>
        <v>=DISPIMG("ID_B1F0BA2C377444B08B7692E1B53E42C5",1)</v>
      </c>
      <c r="T492" s="115" t="s">
        <v>3975</v>
      </c>
      <c r="U492" s="127">
        <v>507</v>
      </c>
    </row>
    <row r="493" s="3" customFormat="1" customHeight="1" spans="1:21">
      <c r="A493" s="144">
        <v>44365.4410416667</v>
      </c>
      <c r="B493" s="27" t="s">
        <v>3976</v>
      </c>
      <c r="C493" s="27" t="s">
        <v>3977</v>
      </c>
      <c r="D493" s="162" t="s">
        <v>3978</v>
      </c>
      <c r="E493" s="162" t="s">
        <v>165</v>
      </c>
      <c r="F493" s="162" t="s">
        <v>3979</v>
      </c>
      <c r="G493" s="27">
        <v>15070298026</v>
      </c>
      <c r="H493" s="162" t="s">
        <v>3980</v>
      </c>
      <c r="I493" s="162" t="s">
        <v>268</v>
      </c>
      <c r="J493" s="162" t="s">
        <v>20</v>
      </c>
      <c r="K493" s="27">
        <v>202101004</v>
      </c>
      <c r="L493" s="162" t="s">
        <v>157</v>
      </c>
      <c r="M493" s="162" t="s">
        <v>178</v>
      </c>
      <c r="N493" s="162" t="s">
        <v>270</v>
      </c>
      <c r="O493" s="162" t="s">
        <v>170</v>
      </c>
      <c r="P493" s="162" t="s">
        <v>261</v>
      </c>
      <c r="Q493" s="162" t="s">
        <v>20</v>
      </c>
      <c r="R493" s="27">
        <v>0</v>
      </c>
      <c r="S493" s="118" t="str">
        <f>_xlfn.DISPIMG("ID_41FDB18DF8F04859BBDC981BC12AE5F4",1)</f>
        <v>=DISPIMG("ID_41FDB18DF8F04859BBDC981BC12AE5F4",1)</v>
      </c>
      <c r="T493" s="115" t="s">
        <v>3981</v>
      </c>
      <c r="U493" s="127">
        <v>508</v>
      </c>
    </row>
    <row r="494" s="3" customFormat="1" customHeight="1" spans="1:21">
      <c r="A494" s="144">
        <v>44365.5994212963</v>
      </c>
      <c r="B494" s="27" t="s">
        <v>3982</v>
      </c>
      <c r="C494" s="27" t="s">
        <v>3983</v>
      </c>
      <c r="D494" s="162" t="s">
        <v>3983</v>
      </c>
      <c r="E494" s="162" t="s">
        <v>165</v>
      </c>
      <c r="F494" s="162" t="s">
        <v>3984</v>
      </c>
      <c r="G494" s="27">
        <v>15818583027</v>
      </c>
      <c r="H494" s="162" t="s">
        <v>3985</v>
      </c>
      <c r="I494" s="162" t="s">
        <v>156</v>
      </c>
      <c r="J494" s="162" t="s">
        <v>13</v>
      </c>
      <c r="K494" s="27">
        <v>202101003</v>
      </c>
      <c r="L494" s="162" t="s">
        <v>157</v>
      </c>
      <c r="M494" s="162" t="s">
        <v>158</v>
      </c>
      <c r="N494" s="162" t="s">
        <v>298</v>
      </c>
      <c r="O494" s="162" t="s">
        <v>160</v>
      </c>
      <c r="P494" s="162" t="s">
        <v>587</v>
      </c>
      <c r="Q494" s="162" t="s">
        <v>3986</v>
      </c>
      <c r="R494" s="162" t="s">
        <v>3987</v>
      </c>
      <c r="S494" s="118" t="str">
        <f>_xlfn.DISPIMG("ID_FF960F7406E14486AD9AB0EFE51B3C2E",1)</f>
        <v>=DISPIMG("ID_FF960F7406E14486AD9AB0EFE51B3C2E",1)</v>
      </c>
      <c r="T494" s="115" t="s">
        <v>3988</v>
      </c>
      <c r="U494" s="127">
        <v>509</v>
      </c>
    </row>
    <row r="495" s="3" customFormat="1" customHeight="1" spans="1:21">
      <c r="A495" s="144">
        <v>44365.4540393519</v>
      </c>
      <c r="B495" s="27" t="s">
        <v>3989</v>
      </c>
      <c r="C495" s="27" t="s">
        <v>3990</v>
      </c>
      <c r="D495" s="162" t="s">
        <v>3991</v>
      </c>
      <c r="E495" s="162" t="s">
        <v>165</v>
      </c>
      <c r="F495" s="162" t="s">
        <v>3992</v>
      </c>
      <c r="G495" s="27">
        <v>15779276924</v>
      </c>
      <c r="H495" s="162" t="s">
        <v>3993</v>
      </c>
      <c r="I495" s="162" t="s">
        <v>156</v>
      </c>
      <c r="J495" s="162" t="s">
        <v>13</v>
      </c>
      <c r="K495" s="27">
        <v>202102003</v>
      </c>
      <c r="L495" s="162" t="s">
        <v>157</v>
      </c>
      <c r="M495" s="162" t="s">
        <v>158</v>
      </c>
      <c r="N495" s="162" t="s">
        <v>298</v>
      </c>
      <c r="O495" s="162" t="s">
        <v>160</v>
      </c>
      <c r="P495" s="162" t="s">
        <v>171</v>
      </c>
      <c r="Q495" s="162" t="s">
        <v>1692</v>
      </c>
      <c r="R495" s="162" t="s">
        <v>3994</v>
      </c>
      <c r="S495" s="118" t="str">
        <f>_xlfn.DISPIMG("ID_78A88502741143D5850B496E71BE5DA0",1)</f>
        <v>=DISPIMG("ID_78A88502741143D5850B496E71BE5DA0",1)</v>
      </c>
      <c r="T495" s="115" t="s">
        <v>3995</v>
      </c>
      <c r="U495" s="127">
        <v>510</v>
      </c>
    </row>
    <row r="496" s="3" customFormat="1" customHeight="1" spans="1:21">
      <c r="A496" s="144">
        <v>44365.4558564815</v>
      </c>
      <c r="B496" s="27" t="s">
        <v>3996</v>
      </c>
      <c r="C496" s="27" t="s">
        <v>3997</v>
      </c>
      <c r="D496" s="162" t="s">
        <v>3998</v>
      </c>
      <c r="E496" s="162" t="s">
        <v>165</v>
      </c>
      <c r="F496" s="162" t="s">
        <v>3999</v>
      </c>
      <c r="G496" s="27">
        <v>13426625013</v>
      </c>
      <c r="H496" s="162" t="s">
        <v>4000</v>
      </c>
      <c r="I496" s="162" t="s">
        <v>156</v>
      </c>
      <c r="J496" s="162" t="s">
        <v>3</v>
      </c>
      <c r="K496" s="27">
        <v>202101009</v>
      </c>
      <c r="L496" s="162" t="s">
        <v>157</v>
      </c>
      <c r="M496" s="162" t="s">
        <v>507</v>
      </c>
      <c r="N496" s="162" t="s">
        <v>4001</v>
      </c>
      <c r="O496" s="162" t="s">
        <v>170</v>
      </c>
      <c r="P496" s="162" t="s">
        <v>541</v>
      </c>
      <c r="Q496" s="162" t="s">
        <v>1425</v>
      </c>
      <c r="R496" s="162" t="s">
        <v>4002</v>
      </c>
      <c r="S496" s="118" t="str">
        <f>_xlfn.DISPIMG("ID_8B0AF6F7619941E4B32785C8E970DA4D",1)</f>
        <v>=DISPIMG("ID_8B0AF6F7619941E4B32785C8E970DA4D",1)</v>
      </c>
      <c r="T496" s="115" t="s">
        <v>4003</v>
      </c>
      <c r="U496" s="127">
        <v>511</v>
      </c>
    </row>
    <row r="497" s="3" customFormat="1" customHeight="1" spans="1:21">
      <c r="A497" s="144">
        <v>44365.4693055556</v>
      </c>
      <c r="B497" s="27" t="s">
        <v>4004</v>
      </c>
      <c r="C497" s="27" t="s">
        <v>4005</v>
      </c>
      <c r="D497" s="162" t="s">
        <v>4006</v>
      </c>
      <c r="E497" s="162" t="s">
        <v>165</v>
      </c>
      <c r="F497" s="162" t="s">
        <v>4007</v>
      </c>
      <c r="G497" s="27">
        <v>15979112724</v>
      </c>
      <c r="H497" s="162" t="s">
        <v>4008</v>
      </c>
      <c r="I497" s="162" t="s">
        <v>297</v>
      </c>
      <c r="J497" s="162" t="s">
        <v>25</v>
      </c>
      <c r="K497" s="27">
        <v>202101008</v>
      </c>
      <c r="L497" s="162" t="s">
        <v>157</v>
      </c>
      <c r="M497" s="162" t="s">
        <v>3070</v>
      </c>
      <c r="N497" s="162" t="s">
        <v>179</v>
      </c>
      <c r="O497" s="162" t="s">
        <v>170</v>
      </c>
      <c r="P497" s="162" t="s">
        <v>306</v>
      </c>
      <c r="Q497" s="162" t="s">
        <v>1692</v>
      </c>
      <c r="R497" s="162" t="s">
        <v>4009</v>
      </c>
      <c r="S497" s="118" t="str">
        <f>_xlfn.DISPIMG("ID_410BA329CDB34577BE3D2E13C6D8589F",1)</f>
        <v>=DISPIMG("ID_410BA329CDB34577BE3D2E13C6D8589F",1)</v>
      </c>
      <c r="T497" s="115" t="s">
        <v>4010</v>
      </c>
      <c r="U497" s="127">
        <v>512</v>
      </c>
    </row>
    <row r="498" s="3" customFormat="1" customHeight="1" spans="1:21">
      <c r="A498" s="144">
        <v>44365.4752662037</v>
      </c>
      <c r="B498" s="27" t="s">
        <v>4011</v>
      </c>
      <c r="C498" s="27" t="s">
        <v>4012</v>
      </c>
      <c r="D498" s="162" t="s">
        <v>4013</v>
      </c>
      <c r="E498" s="162" t="s">
        <v>165</v>
      </c>
      <c r="F498" s="162" t="s">
        <v>4014</v>
      </c>
      <c r="G498" s="27">
        <v>18870236365</v>
      </c>
      <c r="H498" s="162" t="s">
        <v>4015</v>
      </c>
      <c r="I498" s="162" t="s">
        <v>156</v>
      </c>
      <c r="J498" s="162" t="s">
        <v>13</v>
      </c>
      <c r="K498" s="27">
        <v>202102003</v>
      </c>
      <c r="L498" s="162" t="s">
        <v>279</v>
      </c>
      <c r="M498" s="162" t="s">
        <v>158</v>
      </c>
      <c r="N498" s="162" t="s">
        <v>223</v>
      </c>
      <c r="O498" s="162" t="s">
        <v>170</v>
      </c>
      <c r="P498" s="162" t="s">
        <v>306</v>
      </c>
      <c r="Q498" s="162" t="s">
        <v>4016</v>
      </c>
      <c r="R498" s="162" t="s">
        <v>4017</v>
      </c>
      <c r="S498" s="118" t="str">
        <f>_xlfn.DISPIMG("ID_4B6C2F7765194334A42FC9F1088827FE",1)</f>
        <v>=DISPIMG("ID_4B6C2F7765194334A42FC9F1088827FE",1)</v>
      </c>
      <c r="T498" s="115" t="s">
        <v>4018</v>
      </c>
      <c r="U498" s="127">
        <v>513</v>
      </c>
    </row>
    <row r="499" s="3" customFormat="1" customHeight="1" spans="1:21">
      <c r="A499" s="144">
        <v>44365.4757986111</v>
      </c>
      <c r="B499" s="27" t="s">
        <v>4019</v>
      </c>
      <c r="C499" s="27" t="s">
        <v>4020</v>
      </c>
      <c r="D499" s="162" t="s">
        <v>4021</v>
      </c>
      <c r="E499" s="162" t="s">
        <v>165</v>
      </c>
      <c r="F499" s="162" t="s">
        <v>4022</v>
      </c>
      <c r="G499" s="27">
        <v>15870639139</v>
      </c>
      <c r="H499" s="162" t="s">
        <v>4023</v>
      </c>
      <c r="I499" s="162" t="s">
        <v>156</v>
      </c>
      <c r="J499" s="162" t="s">
        <v>13</v>
      </c>
      <c r="K499" s="27">
        <v>202102003</v>
      </c>
      <c r="L499" s="162" t="s">
        <v>157</v>
      </c>
      <c r="M499" s="162" t="s">
        <v>1413</v>
      </c>
      <c r="N499" s="162" t="s">
        <v>1122</v>
      </c>
      <c r="O499" s="162" t="s">
        <v>160</v>
      </c>
      <c r="P499" s="162" t="s">
        <v>235</v>
      </c>
      <c r="Q499" s="162" t="s">
        <v>487</v>
      </c>
      <c r="R499" s="162" t="s">
        <v>4024</v>
      </c>
      <c r="S499" s="118" t="str">
        <f>_xlfn.DISPIMG("ID_678965A481D64CEABA15E59CA2B84698",1)</f>
        <v>=DISPIMG("ID_678965A481D64CEABA15E59CA2B84698",1)</v>
      </c>
      <c r="T499" s="115" t="s">
        <v>4025</v>
      </c>
      <c r="U499" s="127">
        <v>514</v>
      </c>
    </row>
    <row r="500" s="3" customFormat="1" customHeight="1" spans="1:21">
      <c r="A500" s="144">
        <v>44365.4825</v>
      </c>
      <c r="B500" s="27" t="s">
        <v>4026</v>
      </c>
      <c r="C500" s="27" t="s">
        <v>4027</v>
      </c>
      <c r="D500" s="162" t="s">
        <v>4028</v>
      </c>
      <c r="E500" s="162" t="s">
        <v>165</v>
      </c>
      <c r="F500" s="162" t="s">
        <v>4029</v>
      </c>
      <c r="G500" s="27">
        <v>13820505031</v>
      </c>
      <c r="H500" s="162" t="s">
        <v>4030</v>
      </c>
      <c r="I500" s="162" t="s">
        <v>384</v>
      </c>
      <c r="J500" s="162" t="s">
        <v>23</v>
      </c>
      <c r="K500" s="27">
        <v>202101025</v>
      </c>
      <c r="L500" s="162" t="s">
        <v>157</v>
      </c>
      <c r="M500" s="162" t="s">
        <v>3737</v>
      </c>
      <c r="N500" s="162" t="s">
        <v>1616</v>
      </c>
      <c r="O500" s="162" t="s">
        <v>170</v>
      </c>
      <c r="P500" s="162" t="s">
        <v>235</v>
      </c>
      <c r="Q500" s="162" t="s">
        <v>4031</v>
      </c>
      <c r="R500" s="162" t="s">
        <v>4032</v>
      </c>
      <c r="S500" s="118" t="str">
        <f>_xlfn.DISPIMG("ID_4D845800D3864A2B99D106DDD9FD3F5D",1)</f>
        <v>=DISPIMG("ID_4D845800D3864A2B99D106DDD9FD3F5D",1)</v>
      </c>
      <c r="T500" s="115" t="s">
        <v>4033</v>
      </c>
      <c r="U500" s="127">
        <v>515</v>
      </c>
    </row>
    <row r="501" s="3" customFormat="1" customHeight="1" spans="1:21">
      <c r="A501" s="144">
        <v>44365.4972453704</v>
      </c>
      <c r="B501" s="27" t="s">
        <v>4034</v>
      </c>
      <c r="C501" s="27" t="s">
        <v>4035</v>
      </c>
      <c r="D501" s="162" t="s">
        <v>4036</v>
      </c>
      <c r="E501" s="162" t="s">
        <v>165</v>
      </c>
      <c r="F501" s="162" t="s">
        <v>4037</v>
      </c>
      <c r="G501" s="27">
        <v>13755593629</v>
      </c>
      <c r="H501" s="162" t="s">
        <v>4038</v>
      </c>
      <c r="I501" s="162" t="s">
        <v>156</v>
      </c>
      <c r="J501" s="162" t="s">
        <v>14</v>
      </c>
      <c r="K501" s="27">
        <v>202102001</v>
      </c>
      <c r="L501" s="162" t="s">
        <v>279</v>
      </c>
      <c r="M501" s="162" t="s">
        <v>1545</v>
      </c>
      <c r="N501" s="162" t="s">
        <v>348</v>
      </c>
      <c r="O501" s="162" t="s">
        <v>170</v>
      </c>
      <c r="P501" s="162" t="s">
        <v>216</v>
      </c>
      <c r="Q501" s="162" t="s">
        <v>14</v>
      </c>
      <c r="R501" s="162" t="s">
        <v>4039</v>
      </c>
      <c r="S501" s="118" t="str">
        <f>_xlfn.DISPIMG("ID_25A2772C2A4349D4AAD4F2B8F942612C",1)</f>
        <v>=DISPIMG("ID_25A2772C2A4349D4AAD4F2B8F942612C",1)</v>
      </c>
      <c r="T501" s="115" t="s">
        <v>4040</v>
      </c>
      <c r="U501" s="127">
        <v>516</v>
      </c>
    </row>
    <row r="502" s="3" customFormat="1" customHeight="1" spans="1:21">
      <c r="A502" s="144">
        <v>44365.5048726852</v>
      </c>
      <c r="B502" s="27" t="s">
        <v>4041</v>
      </c>
      <c r="C502" s="27" t="s">
        <v>4042</v>
      </c>
      <c r="D502" s="162" t="s">
        <v>4043</v>
      </c>
      <c r="E502" s="162" t="s">
        <v>165</v>
      </c>
      <c r="F502" s="162" t="s">
        <v>4044</v>
      </c>
      <c r="G502" s="27">
        <v>18046771974</v>
      </c>
      <c r="H502" s="162" t="s">
        <v>4045</v>
      </c>
      <c r="I502" s="162" t="s">
        <v>156</v>
      </c>
      <c r="J502" s="162" t="s">
        <v>8</v>
      </c>
      <c r="K502" s="27">
        <v>202102002</v>
      </c>
      <c r="L502" s="162" t="s">
        <v>157</v>
      </c>
      <c r="M502" s="162" t="s">
        <v>1368</v>
      </c>
      <c r="N502" s="162" t="s">
        <v>4046</v>
      </c>
      <c r="O502" s="162" t="s">
        <v>170</v>
      </c>
      <c r="P502" s="162" t="s">
        <v>281</v>
      </c>
      <c r="Q502" s="162" t="s">
        <v>20</v>
      </c>
      <c r="R502" s="162" t="s">
        <v>4047</v>
      </c>
      <c r="S502" s="118" t="str">
        <f>_xlfn.DISPIMG("ID_5DC4628448F54176A5FF91EC25B128F5",1)</f>
        <v>=DISPIMG("ID_5DC4628448F54176A5FF91EC25B128F5",1)</v>
      </c>
      <c r="T502" s="115" t="s">
        <v>4048</v>
      </c>
      <c r="U502" s="127">
        <v>517</v>
      </c>
    </row>
    <row r="503" s="3" customFormat="1" customHeight="1" spans="1:21">
      <c r="A503" s="144">
        <v>44365.508587963</v>
      </c>
      <c r="B503" s="27" t="s">
        <v>4049</v>
      </c>
      <c r="C503" s="27" t="s">
        <v>4050</v>
      </c>
      <c r="D503" s="162" t="s">
        <v>4051</v>
      </c>
      <c r="E503" s="162" t="s">
        <v>153</v>
      </c>
      <c r="F503" s="162" t="s">
        <v>4052</v>
      </c>
      <c r="G503" s="27">
        <v>15170932237</v>
      </c>
      <c r="H503" s="162" t="s">
        <v>1456</v>
      </c>
      <c r="I503" s="162" t="s">
        <v>384</v>
      </c>
      <c r="J503" s="162" t="s">
        <v>23</v>
      </c>
      <c r="K503" s="27">
        <v>202101025</v>
      </c>
      <c r="L503" s="162" t="s">
        <v>157</v>
      </c>
      <c r="M503" s="162" t="s">
        <v>269</v>
      </c>
      <c r="N503" s="162" t="s">
        <v>1147</v>
      </c>
      <c r="O503" s="162" t="s">
        <v>170</v>
      </c>
      <c r="P503" s="162" t="s">
        <v>235</v>
      </c>
      <c r="Q503" s="162" t="s">
        <v>4053</v>
      </c>
      <c r="R503" s="162" t="s">
        <v>4054</v>
      </c>
      <c r="S503" s="118" t="str">
        <f>_xlfn.DISPIMG("ID_D924765B597248FDA57FB5DFF006BD17",1)</f>
        <v>=DISPIMG("ID_D924765B597248FDA57FB5DFF006BD17",1)</v>
      </c>
      <c r="T503" s="115" t="s">
        <v>4055</v>
      </c>
      <c r="U503" s="127">
        <v>518</v>
      </c>
    </row>
    <row r="504" s="3" customFormat="1" customHeight="1" spans="1:21">
      <c r="A504" s="144">
        <v>44365.5197106482</v>
      </c>
      <c r="B504" s="27" t="s">
        <v>4056</v>
      </c>
      <c r="C504" s="27" t="s">
        <v>4057</v>
      </c>
      <c r="D504" s="162" t="s">
        <v>4058</v>
      </c>
      <c r="E504" s="162" t="s">
        <v>165</v>
      </c>
      <c r="F504" s="162" t="s">
        <v>4059</v>
      </c>
      <c r="G504" s="27">
        <v>15679268911</v>
      </c>
      <c r="H504" s="162" t="s">
        <v>4060</v>
      </c>
      <c r="I504" s="162" t="s">
        <v>156</v>
      </c>
      <c r="J504" s="162" t="s">
        <v>6</v>
      </c>
      <c r="K504" s="27">
        <v>202102022</v>
      </c>
      <c r="L504" s="162" t="s">
        <v>157</v>
      </c>
      <c r="M504" s="162" t="s">
        <v>3054</v>
      </c>
      <c r="N504" s="162" t="s">
        <v>404</v>
      </c>
      <c r="O504" s="162" t="s">
        <v>160</v>
      </c>
      <c r="P504" s="162" t="s">
        <v>261</v>
      </c>
      <c r="Q504" s="162" t="s">
        <v>4061</v>
      </c>
      <c r="R504" s="27">
        <v>0</v>
      </c>
      <c r="S504" s="118" t="str">
        <f>_xlfn.DISPIMG("ID_9ECCE1798899427AA809C16B6659E359",1)</f>
        <v>=DISPIMG("ID_9ECCE1798899427AA809C16B6659E359",1)</v>
      </c>
      <c r="T504" s="115" t="s">
        <v>4062</v>
      </c>
      <c r="U504" s="127">
        <v>519</v>
      </c>
    </row>
    <row r="505" s="3" customFormat="1" customHeight="1" spans="1:21">
      <c r="A505" s="144">
        <v>44365.521875</v>
      </c>
      <c r="B505" s="27" t="s">
        <v>4063</v>
      </c>
      <c r="C505" s="27" t="s">
        <v>4064</v>
      </c>
      <c r="D505" s="162" t="s">
        <v>4065</v>
      </c>
      <c r="E505" s="162" t="s">
        <v>165</v>
      </c>
      <c r="F505" s="162" t="s">
        <v>4066</v>
      </c>
      <c r="G505" s="27">
        <v>15797987795</v>
      </c>
      <c r="H505" s="162" t="s">
        <v>4067</v>
      </c>
      <c r="I505" s="162" t="s">
        <v>506</v>
      </c>
      <c r="J505" s="162" t="s">
        <v>13</v>
      </c>
      <c r="K505" s="27">
        <v>202102016</v>
      </c>
      <c r="L505" s="162" t="s">
        <v>279</v>
      </c>
      <c r="M505" s="162" t="s">
        <v>158</v>
      </c>
      <c r="N505" s="162" t="s">
        <v>223</v>
      </c>
      <c r="O505" s="162" t="s">
        <v>170</v>
      </c>
      <c r="P505" s="162" t="s">
        <v>368</v>
      </c>
      <c r="Q505" s="162" t="s">
        <v>4068</v>
      </c>
      <c r="R505" s="162" t="s">
        <v>4069</v>
      </c>
      <c r="S505" s="118" t="str">
        <f>_xlfn.DISPIMG("ID_699B420D06BD4D209FB40A52E07C758F",1)</f>
        <v>=DISPIMG("ID_699B420D06BD4D209FB40A52E07C758F",1)</v>
      </c>
      <c r="T505" s="115" t="s">
        <v>4070</v>
      </c>
      <c r="U505" s="127">
        <v>520</v>
      </c>
    </row>
    <row r="506" s="3" customFormat="1" customHeight="1" spans="1:21">
      <c r="A506" s="144">
        <v>44365.5241666667</v>
      </c>
      <c r="B506" s="27" t="s">
        <v>4071</v>
      </c>
      <c r="C506" s="27" t="s">
        <v>4072</v>
      </c>
      <c r="D506" s="162" t="s">
        <v>4073</v>
      </c>
      <c r="E506" s="162" t="s">
        <v>165</v>
      </c>
      <c r="F506" s="162" t="s">
        <v>4074</v>
      </c>
      <c r="G506" s="27">
        <v>18379233389</v>
      </c>
      <c r="H506" s="162" t="s">
        <v>4075</v>
      </c>
      <c r="I506" s="162" t="s">
        <v>297</v>
      </c>
      <c r="J506" s="162" t="s">
        <v>25</v>
      </c>
      <c r="K506" s="27">
        <v>202101008</v>
      </c>
      <c r="L506" s="162" t="s">
        <v>157</v>
      </c>
      <c r="M506" s="162" t="s">
        <v>4076</v>
      </c>
      <c r="N506" s="162" t="s">
        <v>179</v>
      </c>
      <c r="O506" s="162" t="s">
        <v>160</v>
      </c>
      <c r="P506" s="162" t="s">
        <v>919</v>
      </c>
      <c r="Q506" s="162" t="s">
        <v>4077</v>
      </c>
      <c r="R506" s="162" t="s">
        <v>4078</v>
      </c>
      <c r="S506" s="118" t="str">
        <f>_xlfn.DISPIMG("ID_5240EB7A8E6D4B1A8B52378BBD0117F8",1)</f>
        <v>=DISPIMG("ID_5240EB7A8E6D4B1A8B52378BBD0117F8",1)</v>
      </c>
      <c r="T506" s="115" t="s">
        <v>4079</v>
      </c>
      <c r="U506" s="127">
        <v>521</v>
      </c>
    </row>
    <row r="507" s="3" customFormat="1" customHeight="1" spans="1:21">
      <c r="A507" s="144">
        <v>44365.5333333333</v>
      </c>
      <c r="B507" s="27" t="s">
        <v>4080</v>
      </c>
      <c r="C507" s="27" t="s">
        <v>4081</v>
      </c>
      <c r="D507" s="162" t="s">
        <v>4082</v>
      </c>
      <c r="E507" s="162" t="s">
        <v>165</v>
      </c>
      <c r="F507" s="162" t="s">
        <v>4083</v>
      </c>
      <c r="G507" s="27">
        <v>17352963741</v>
      </c>
      <c r="H507" s="162" t="s">
        <v>2158</v>
      </c>
      <c r="I507" s="162" t="s">
        <v>506</v>
      </c>
      <c r="J507" s="162" t="s">
        <v>14</v>
      </c>
      <c r="K507" s="27">
        <v>202102014</v>
      </c>
      <c r="L507" s="162" t="s">
        <v>157</v>
      </c>
      <c r="M507" s="162" t="s">
        <v>178</v>
      </c>
      <c r="N507" s="162" t="s">
        <v>348</v>
      </c>
      <c r="O507" s="162" t="s">
        <v>170</v>
      </c>
      <c r="P507" s="162" t="s">
        <v>548</v>
      </c>
      <c r="Q507" s="162" t="s">
        <v>4084</v>
      </c>
      <c r="R507" s="162" t="s">
        <v>4085</v>
      </c>
      <c r="S507" s="118" t="str">
        <f>_xlfn.DISPIMG("ID_C5311387C2FF404D8FA717D4979E175B",1)</f>
        <v>=DISPIMG("ID_C5311387C2FF404D8FA717D4979E175B",1)</v>
      </c>
      <c r="T507" s="115" t="s">
        <v>4086</v>
      </c>
      <c r="U507" s="127">
        <v>522</v>
      </c>
    </row>
    <row r="508" s="3" customFormat="1" customHeight="1" spans="1:21">
      <c r="A508" s="144">
        <v>44365.5359606482</v>
      </c>
      <c r="B508" s="27" t="s">
        <v>4087</v>
      </c>
      <c r="C508" s="27" t="s">
        <v>4088</v>
      </c>
      <c r="D508" s="162" t="s">
        <v>4089</v>
      </c>
      <c r="E508" s="162" t="s">
        <v>165</v>
      </c>
      <c r="F508" s="162" t="s">
        <v>4090</v>
      </c>
      <c r="G508" s="27">
        <v>15979951702</v>
      </c>
      <c r="H508" s="162" t="s">
        <v>4091</v>
      </c>
      <c r="I508" s="162" t="s">
        <v>156</v>
      </c>
      <c r="J508" s="162" t="s">
        <v>8</v>
      </c>
      <c r="K508" s="27">
        <v>202102002</v>
      </c>
      <c r="L508" s="162" t="s">
        <v>157</v>
      </c>
      <c r="M508" s="162" t="s">
        <v>385</v>
      </c>
      <c r="N508" s="162" t="s">
        <v>270</v>
      </c>
      <c r="O508" s="162" t="s">
        <v>170</v>
      </c>
      <c r="P508" s="162" t="s">
        <v>161</v>
      </c>
      <c r="Q508" s="162" t="s">
        <v>20</v>
      </c>
      <c r="R508" s="162" t="s">
        <v>4092</v>
      </c>
      <c r="S508" s="118" t="str">
        <f>_xlfn.DISPIMG("ID_9B43E41106094708AAB8E2C3D51BAF21",1)</f>
        <v>=DISPIMG("ID_9B43E41106094708AAB8E2C3D51BAF21",1)</v>
      </c>
      <c r="T508" s="115" t="s">
        <v>4093</v>
      </c>
      <c r="U508" s="127">
        <v>523</v>
      </c>
    </row>
    <row r="509" s="3" customFormat="1" customHeight="1" spans="1:21">
      <c r="A509" s="144">
        <v>44365.5397106481</v>
      </c>
      <c r="B509" s="27" t="s">
        <v>4094</v>
      </c>
      <c r="C509" s="27" t="s">
        <v>4095</v>
      </c>
      <c r="D509" s="162" t="s">
        <v>4096</v>
      </c>
      <c r="E509" s="162" t="s">
        <v>165</v>
      </c>
      <c r="F509" s="162" t="s">
        <v>4097</v>
      </c>
      <c r="G509" s="27">
        <v>18279205166</v>
      </c>
      <c r="H509" s="162" t="s">
        <v>4098</v>
      </c>
      <c r="I509" s="162" t="s">
        <v>506</v>
      </c>
      <c r="J509" s="162" t="s">
        <v>13</v>
      </c>
      <c r="K509" s="27">
        <v>202102016</v>
      </c>
      <c r="L509" s="162" t="s">
        <v>157</v>
      </c>
      <c r="M509" s="162" t="s">
        <v>1121</v>
      </c>
      <c r="N509" s="162" t="s">
        <v>179</v>
      </c>
      <c r="O509" s="162" t="s">
        <v>160</v>
      </c>
      <c r="P509" s="162" t="s">
        <v>199</v>
      </c>
      <c r="Q509" s="162" t="s">
        <v>13</v>
      </c>
      <c r="R509" s="162" t="s">
        <v>4099</v>
      </c>
      <c r="S509" s="118" t="str">
        <f>_xlfn.DISPIMG("ID_AF2EA5B71B5B4904B17F83B386FDD8B5",1)</f>
        <v>=DISPIMG("ID_AF2EA5B71B5B4904B17F83B386FDD8B5",1)</v>
      </c>
      <c r="T509" s="115" t="s">
        <v>4100</v>
      </c>
      <c r="U509" s="127">
        <v>524</v>
      </c>
    </row>
    <row r="510" s="3" customFormat="1" customHeight="1" spans="1:21">
      <c r="A510" s="144">
        <v>44365.5442824074</v>
      </c>
      <c r="B510" s="27" t="s">
        <v>4101</v>
      </c>
      <c r="C510" s="27" t="s">
        <v>4102</v>
      </c>
      <c r="D510" s="162" t="s">
        <v>4103</v>
      </c>
      <c r="E510" s="162" t="s">
        <v>165</v>
      </c>
      <c r="F510" s="162" t="s">
        <v>4104</v>
      </c>
      <c r="G510" s="27">
        <v>15270173371</v>
      </c>
      <c r="H510" s="162" t="s">
        <v>4105</v>
      </c>
      <c r="I510" s="162" t="s">
        <v>384</v>
      </c>
      <c r="J510" s="162" t="s">
        <v>14</v>
      </c>
      <c r="K510" s="27">
        <v>202102001</v>
      </c>
      <c r="L510" s="162" t="s">
        <v>157</v>
      </c>
      <c r="M510" s="162" t="s">
        <v>233</v>
      </c>
      <c r="N510" s="162" t="s">
        <v>454</v>
      </c>
      <c r="O510" s="162" t="s">
        <v>170</v>
      </c>
      <c r="P510" s="162" t="s">
        <v>4106</v>
      </c>
      <c r="Q510" s="162" t="s">
        <v>14</v>
      </c>
      <c r="R510" s="162" t="s">
        <v>4107</v>
      </c>
      <c r="S510" s="118" t="str">
        <f>_xlfn.DISPIMG("ID_EDE9A315C64A4BE2AC2F986557EA53FC",1)</f>
        <v>=DISPIMG("ID_EDE9A315C64A4BE2AC2F986557EA53FC",1)</v>
      </c>
      <c r="T510" s="115" t="s">
        <v>4108</v>
      </c>
      <c r="U510" s="127">
        <v>525</v>
      </c>
    </row>
    <row r="511" s="3" customFormat="1" customHeight="1" spans="1:21">
      <c r="A511" s="144">
        <v>44365.5556944444</v>
      </c>
      <c r="B511" s="27" t="s">
        <v>4109</v>
      </c>
      <c r="C511" s="27" t="s">
        <v>4110</v>
      </c>
      <c r="D511" s="162" t="s">
        <v>4111</v>
      </c>
      <c r="E511" s="162" t="s">
        <v>153</v>
      </c>
      <c r="F511" s="162" t="s">
        <v>4112</v>
      </c>
      <c r="G511" s="27">
        <v>15155149842</v>
      </c>
      <c r="H511" s="162" t="s">
        <v>4113</v>
      </c>
      <c r="I511" s="162" t="s">
        <v>268</v>
      </c>
      <c r="J511" s="162" t="s">
        <v>16</v>
      </c>
      <c r="K511" s="27">
        <v>202101011</v>
      </c>
      <c r="L511" s="162" t="s">
        <v>705</v>
      </c>
      <c r="M511" s="162" t="s">
        <v>4114</v>
      </c>
      <c r="N511" s="162" t="s">
        <v>4115</v>
      </c>
      <c r="O511" s="162" t="s">
        <v>160</v>
      </c>
      <c r="P511" s="162" t="s">
        <v>161</v>
      </c>
      <c r="Q511" s="162" t="s">
        <v>16</v>
      </c>
      <c r="R511" s="162" t="s">
        <v>4116</v>
      </c>
      <c r="S511" s="118" t="str">
        <f>_xlfn.DISPIMG("ID_AB3A7CA2D44F41A18DEECB4F4C161234",1)</f>
        <v>=DISPIMG("ID_AB3A7CA2D44F41A18DEECB4F4C161234",1)</v>
      </c>
      <c r="T511" s="115" t="s">
        <v>4117</v>
      </c>
      <c r="U511" s="127">
        <v>526</v>
      </c>
    </row>
    <row r="512" s="3" customFormat="1" customHeight="1" spans="1:21">
      <c r="A512" s="144">
        <v>44365.5559953704</v>
      </c>
      <c r="B512" s="27" t="s">
        <v>4118</v>
      </c>
      <c r="C512" s="27" t="s">
        <v>4119</v>
      </c>
      <c r="D512" s="162" t="s">
        <v>4120</v>
      </c>
      <c r="E512" s="162" t="s">
        <v>153</v>
      </c>
      <c r="F512" s="162" t="s">
        <v>4121</v>
      </c>
      <c r="G512" s="27">
        <v>15070281790</v>
      </c>
      <c r="H512" s="162" t="s">
        <v>4122</v>
      </c>
      <c r="I512" s="162" t="s">
        <v>506</v>
      </c>
      <c r="J512" s="162" t="s">
        <v>13</v>
      </c>
      <c r="K512" s="27">
        <v>202102016</v>
      </c>
      <c r="L512" s="162" t="s">
        <v>157</v>
      </c>
      <c r="M512" s="162" t="s">
        <v>269</v>
      </c>
      <c r="N512" s="162" t="s">
        <v>179</v>
      </c>
      <c r="O512" s="162" t="s">
        <v>170</v>
      </c>
      <c r="P512" s="162" t="s">
        <v>3039</v>
      </c>
      <c r="Q512" s="162" t="s">
        <v>307</v>
      </c>
      <c r="R512" s="162" t="s">
        <v>4123</v>
      </c>
      <c r="S512" s="118" t="str">
        <f>_xlfn.DISPIMG("ID_E27C6548F4194D02B9DC397724E0FA4F",1)</f>
        <v>=DISPIMG("ID_E27C6548F4194D02B9DC397724E0FA4F",1)</v>
      </c>
      <c r="T512" s="115" t="s">
        <v>4124</v>
      </c>
      <c r="U512" s="127">
        <v>527</v>
      </c>
    </row>
    <row r="513" s="3" customFormat="1" customHeight="1" spans="1:21">
      <c r="A513" s="144">
        <v>44365.5564351852</v>
      </c>
      <c r="B513" s="27" t="s">
        <v>4125</v>
      </c>
      <c r="C513" s="27" t="s">
        <v>4126</v>
      </c>
      <c r="D513" s="162" t="s">
        <v>4127</v>
      </c>
      <c r="E513" s="162" t="s">
        <v>165</v>
      </c>
      <c r="F513" s="162" t="s">
        <v>4128</v>
      </c>
      <c r="G513" s="27">
        <v>18779230962</v>
      </c>
      <c r="H513" s="162" t="s">
        <v>4129</v>
      </c>
      <c r="I513" s="162" t="s">
        <v>268</v>
      </c>
      <c r="J513" s="162" t="s">
        <v>26</v>
      </c>
      <c r="K513" s="27">
        <v>202101001</v>
      </c>
      <c r="L513" s="162" t="s">
        <v>157</v>
      </c>
      <c r="M513" s="162" t="s">
        <v>233</v>
      </c>
      <c r="N513" s="162" t="s">
        <v>454</v>
      </c>
      <c r="O513" s="162" t="s">
        <v>170</v>
      </c>
      <c r="P513" s="162" t="s">
        <v>252</v>
      </c>
      <c r="Q513" s="162" t="s">
        <v>26</v>
      </c>
      <c r="R513" s="162" t="s">
        <v>4130</v>
      </c>
      <c r="S513" s="118" t="str">
        <f>_xlfn.DISPIMG("ID_135AA7394FE044C981CB1DCD13A764A0",1)</f>
        <v>=DISPIMG("ID_135AA7394FE044C981CB1DCD13A764A0",1)</v>
      </c>
      <c r="T513" s="115" t="s">
        <v>4131</v>
      </c>
      <c r="U513" s="127">
        <v>528</v>
      </c>
    </row>
    <row r="514" s="3" customFormat="1" customHeight="1" spans="1:21">
      <c r="A514" s="144">
        <v>44365.5636226852</v>
      </c>
      <c r="B514" s="27" t="s">
        <v>4132</v>
      </c>
      <c r="C514" s="27" t="s">
        <v>4133</v>
      </c>
      <c r="D514" s="162" t="s">
        <v>4134</v>
      </c>
      <c r="E514" s="162" t="s">
        <v>165</v>
      </c>
      <c r="F514" s="162" t="s">
        <v>4135</v>
      </c>
      <c r="G514" s="27">
        <v>15207926555</v>
      </c>
      <c r="H514" s="162" t="s">
        <v>4136</v>
      </c>
      <c r="I514" s="162" t="s">
        <v>156</v>
      </c>
      <c r="J514" s="162" t="s">
        <v>12</v>
      </c>
      <c r="K514" s="27">
        <v>202102010</v>
      </c>
      <c r="L514" s="162" t="s">
        <v>157</v>
      </c>
      <c r="M514" s="162" t="s">
        <v>4137</v>
      </c>
      <c r="N514" s="162" t="s">
        <v>1442</v>
      </c>
      <c r="O514" s="162" t="s">
        <v>160</v>
      </c>
      <c r="P514" s="162" t="s">
        <v>368</v>
      </c>
      <c r="Q514" s="162" t="s">
        <v>4138</v>
      </c>
      <c r="R514" s="27">
        <v>0</v>
      </c>
      <c r="S514" s="118" t="str">
        <f>_xlfn.DISPIMG("ID_911EFC838815489D872B9030D6735741",1)</f>
        <v>=DISPIMG("ID_911EFC838815489D872B9030D6735741",1)</v>
      </c>
      <c r="T514" s="115" t="s">
        <v>4139</v>
      </c>
      <c r="U514" s="127">
        <v>529</v>
      </c>
    </row>
    <row r="515" s="3" customFormat="1" customHeight="1" spans="1:21">
      <c r="A515" s="144">
        <v>44365.5666087963</v>
      </c>
      <c r="B515" s="27" t="s">
        <v>4140</v>
      </c>
      <c r="C515" s="27" t="s">
        <v>4141</v>
      </c>
      <c r="D515" s="162" t="s">
        <v>4142</v>
      </c>
      <c r="E515" s="162" t="s">
        <v>153</v>
      </c>
      <c r="F515" s="162" t="s">
        <v>4143</v>
      </c>
      <c r="G515" s="27">
        <v>13330123354</v>
      </c>
      <c r="H515" s="162" t="s">
        <v>4144</v>
      </c>
      <c r="I515" s="162" t="s">
        <v>297</v>
      </c>
      <c r="J515" s="162" t="s">
        <v>30</v>
      </c>
      <c r="K515" s="27">
        <v>202101032</v>
      </c>
      <c r="L515" s="162" t="s">
        <v>705</v>
      </c>
      <c r="M515" s="162" t="s">
        <v>4145</v>
      </c>
      <c r="N515" s="162" t="s">
        <v>4146</v>
      </c>
      <c r="O515" s="162" t="s">
        <v>160</v>
      </c>
      <c r="P515" s="162" t="s">
        <v>235</v>
      </c>
      <c r="Q515" s="162" t="s">
        <v>4147</v>
      </c>
      <c r="R515" s="162" t="s">
        <v>4148</v>
      </c>
      <c r="S515" s="118" t="str">
        <f>_xlfn.DISPIMG("ID_28A32B60C96343E48DA79AC0817DB8B2",1)</f>
        <v>=DISPIMG("ID_28A32B60C96343E48DA79AC0817DB8B2",1)</v>
      </c>
      <c r="T515" s="115" t="s">
        <v>4149</v>
      </c>
      <c r="U515" s="127">
        <v>530</v>
      </c>
    </row>
    <row r="516" s="3" customFormat="1" customHeight="1" spans="1:21">
      <c r="A516" s="144">
        <v>44365.5707060185</v>
      </c>
      <c r="B516" s="27" t="s">
        <v>4150</v>
      </c>
      <c r="C516" s="27" t="s">
        <v>4151</v>
      </c>
      <c r="D516" s="162" t="s">
        <v>4152</v>
      </c>
      <c r="E516" s="162" t="s">
        <v>165</v>
      </c>
      <c r="F516" s="162" t="s">
        <v>4153</v>
      </c>
      <c r="G516" s="27">
        <v>13979229512</v>
      </c>
      <c r="H516" s="162" t="s">
        <v>4154</v>
      </c>
      <c r="I516" s="162" t="s">
        <v>156</v>
      </c>
      <c r="J516" s="162" t="s">
        <v>24</v>
      </c>
      <c r="K516" s="27">
        <v>202102010</v>
      </c>
      <c r="L516" s="162" t="s">
        <v>157</v>
      </c>
      <c r="M516" s="162" t="s">
        <v>4155</v>
      </c>
      <c r="N516" s="162" t="s">
        <v>445</v>
      </c>
      <c r="O516" s="162" t="s">
        <v>170</v>
      </c>
      <c r="P516" s="162" t="s">
        <v>199</v>
      </c>
      <c r="Q516" s="162" t="s">
        <v>4156</v>
      </c>
      <c r="R516" s="162" t="s">
        <v>4157</v>
      </c>
      <c r="S516" s="118" t="str">
        <f>_xlfn.DISPIMG("ID_7BA4E5E144144DF79E326679F08F6F4B",1)</f>
        <v>=DISPIMG("ID_7BA4E5E144144DF79E326679F08F6F4B",1)</v>
      </c>
      <c r="T516" s="115" t="s">
        <v>4158</v>
      </c>
      <c r="U516" s="127">
        <v>531</v>
      </c>
    </row>
    <row r="517" s="3" customFormat="1" customHeight="1" spans="1:21">
      <c r="A517" s="144">
        <v>44365.5872453704</v>
      </c>
      <c r="B517" s="27" t="s">
        <v>4159</v>
      </c>
      <c r="C517" s="27" t="s">
        <v>4160</v>
      </c>
      <c r="D517" s="162" t="s">
        <v>4161</v>
      </c>
      <c r="E517" s="162" t="s">
        <v>165</v>
      </c>
      <c r="F517" s="162" t="s">
        <v>4162</v>
      </c>
      <c r="G517" s="27">
        <v>15999192756</v>
      </c>
      <c r="H517" s="162" t="s">
        <v>4163</v>
      </c>
      <c r="I517" s="162" t="s">
        <v>297</v>
      </c>
      <c r="J517" s="162" t="s">
        <v>20</v>
      </c>
      <c r="K517" s="27">
        <v>202101006</v>
      </c>
      <c r="L517" s="162" t="s">
        <v>157</v>
      </c>
      <c r="M517" s="162" t="s">
        <v>4164</v>
      </c>
      <c r="N517" s="162" t="s">
        <v>4165</v>
      </c>
      <c r="O517" s="162" t="s">
        <v>160</v>
      </c>
      <c r="P517" s="162" t="s">
        <v>1089</v>
      </c>
      <c r="Q517" s="162" t="s">
        <v>20</v>
      </c>
      <c r="R517" s="162" t="s">
        <v>4166</v>
      </c>
      <c r="S517" s="118" t="str">
        <f>_xlfn.DISPIMG("ID_0FB1CC236BB0441E8D7B28856D597318",1)</f>
        <v>=DISPIMG("ID_0FB1CC236BB0441E8D7B28856D597318",1)</v>
      </c>
      <c r="T517" s="115" t="s">
        <v>4167</v>
      </c>
      <c r="U517" s="127">
        <v>532</v>
      </c>
    </row>
    <row r="518" s="3" customFormat="1" customHeight="1" spans="1:21">
      <c r="A518" s="144">
        <v>44365.6009375</v>
      </c>
      <c r="B518" s="27" t="s">
        <v>4168</v>
      </c>
      <c r="C518" s="27" t="s">
        <v>3392</v>
      </c>
      <c r="D518" s="162" t="s">
        <v>4169</v>
      </c>
      <c r="E518" s="162" t="s">
        <v>165</v>
      </c>
      <c r="F518" s="162" t="s">
        <v>4170</v>
      </c>
      <c r="G518" s="27">
        <v>13970241382</v>
      </c>
      <c r="H518" s="162" t="s">
        <v>4171</v>
      </c>
      <c r="I518" s="162" t="s">
        <v>156</v>
      </c>
      <c r="J518" s="162" t="s">
        <v>13</v>
      </c>
      <c r="K518" s="27">
        <v>202102003</v>
      </c>
      <c r="L518" s="162" t="s">
        <v>157</v>
      </c>
      <c r="M518" s="162" t="s">
        <v>233</v>
      </c>
      <c r="N518" s="162" t="s">
        <v>4172</v>
      </c>
      <c r="O518" s="162" t="s">
        <v>170</v>
      </c>
      <c r="P518" s="162" t="s">
        <v>161</v>
      </c>
      <c r="Q518" s="162" t="s">
        <v>4173</v>
      </c>
      <c r="R518" s="27">
        <v>0</v>
      </c>
      <c r="S518" s="118" t="str">
        <f>_xlfn.DISPIMG("ID_5B6CA2E5A2044344BC4069C94E27DF22",1)</f>
        <v>=DISPIMG("ID_5B6CA2E5A2044344BC4069C94E27DF22",1)</v>
      </c>
      <c r="T518" s="115" t="s">
        <v>4174</v>
      </c>
      <c r="U518" s="127">
        <v>533</v>
      </c>
    </row>
    <row r="519" s="3" customFormat="1" customHeight="1" spans="1:21">
      <c r="A519" s="144">
        <v>44365.6129050926</v>
      </c>
      <c r="B519" s="27" t="s">
        <v>4175</v>
      </c>
      <c r="C519" s="27" t="s">
        <v>4176</v>
      </c>
      <c r="D519" s="162" t="s">
        <v>4177</v>
      </c>
      <c r="E519" s="162" t="s">
        <v>165</v>
      </c>
      <c r="F519" s="162" t="s">
        <v>4178</v>
      </c>
      <c r="G519" s="27">
        <v>18759251284</v>
      </c>
      <c r="H519" s="162" t="s">
        <v>4179</v>
      </c>
      <c r="I519" s="162" t="s">
        <v>156</v>
      </c>
      <c r="J519" s="162" t="s">
        <v>14</v>
      </c>
      <c r="K519" s="27">
        <v>202102001</v>
      </c>
      <c r="L519" s="162" t="s">
        <v>157</v>
      </c>
      <c r="M519" s="162" t="s">
        <v>2363</v>
      </c>
      <c r="N519" s="162" t="s">
        <v>454</v>
      </c>
      <c r="O519" s="162" t="s">
        <v>170</v>
      </c>
      <c r="P519" s="162" t="s">
        <v>455</v>
      </c>
      <c r="Q519" s="162" t="s">
        <v>26</v>
      </c>
      <c r="R519" s="162" t="s">
        <v>4180</v>
      </c>
      <c r="S519" s="118" t="str">
        <f>_xlfn.DISPIMG("ID_E9338F1098B64D83A2AE0E9576D18B92",1)</f>
        <v>=DISPIMG("ID_E9338F1098B64D83A2AE0E9576D18B92",1)</v>
      </c>
      <c r="T519" s="115" t="s">
        <v>4181</v>
      </c>
      <c r="U519" s="127">
        <v>534</v>
      </c>
    </row>
    <row r="520" s="3" customFormat="1" customHeight="1" spans="1:21">
      <c r="A520" s="144">
        <v>44365.6175810185</v>
      </c>
      <c r="B520" s="27" t="s">
        <v>4182</v>
      </c>
      <c r="C520" s="27" t="s">
        <v>4183</v>
      </c>
      <c r="D520" s="162" t="s">
        <v>4184</v>
      </c>
      <c r="E520" s="162" t="s">
        <v>153</v>
      </c>
      <c r="F520" s="162" t="s">
        <v>4185</v>
      </c>
      <c r="G520" s="27">
        <v>15779857764</v>
      </c>
      <c r="H520" s="162" t="s">
        <v>4186</v>
      </c>
      <c r="I520" s="162" t="s">
        <v>384</v>
      </c>
      <c r="J520" s="162" t="s">
        <v>16</v>
      </c>
      <c r="K520" s="27">
        <v>202101012</v>
      </c>
      <c r="L520" s="162" t="s">
        <v>157</v>
      </c>
      <c r="M520" s="162" t="s">
        <v>507</v>
      </c>
      <c r="N520" s="162" t="s">
        <v>977</v>
      </c>
      <c r="O520" s="162" t="s">
        <v>170</v>
      </c>
      <c r="P520" s="162" t="s">
        <v>281</v>
      </c>
      <c r="Q520" s="162" t="s">
        <v>16</v>
      </c>
      <c r="R520" s="162" t="s">
        <v>4187</v>
      </c>
      <c r="S520" s="118" t="str">
        <f>_xlfn.DISPIMG("ID_CB7789B563324522805F1ED9D1BFD221",1)</f>
        <v>=DISPIMG("ID_CB7789B563324522805F1ED9D1BFD221",1)</v>
      </c>
      <c r="T520" s="115" t="s">
        <v>4188</v>
      </c>
      <c r="U520" s="127">
        <v>535</v>
      </c>
    </row>
    <row r="521" s="3" customFormat="1" customHeight="1" spans="1:21">
      <c r="A521" s="144">
        <v>44365.6276967593</v>
      </c>
      <c r="B521" s="27" t="s">
        <v>4189</v>
      </c>
      <c r="C521" s="27" t="s">
        <v>4190</v>
      </c>
      <c r="D521" s="162" t="s">
        <v>4191</v>
      </c>
      <c r="E521" s="162" t="s">
        <v>153</v>
      </c>
      <c r="F521" s="162" t="s">
        <v>4192</v>
      </c>
      <c r="G521" s="27">
        <v>15979988511</v>
      </c>
      <c r="H521" s="162" t="s">
        <v>4193</v>
      </c>
      <c r="I521" s="162" t="s">
        <v>156</v>
      </c>
      <c r="J521" s="162" t="s">
        <v>8</v>
      </c>
      <c r="K521" s="27">
        <v>202102002</v>
      </c>
      <c r="L521" s="162" t="s">
        <v>157</v>
      </c>
      <c r="M521" s="162" t="s">
        <v>789</v>
      </c>
      <c r="N521" s="162" t="s">
        <v>270</v>
      </c>
      <c r="O521" s="162" t="s">
        <v>160</v>
      </c>
      <c r="P521" s="162" t="s">
        <v>180</v>
      </c>
      <c r="Q521" s="162" t="s">
        <v>8</v>
      </c>
      <c r="R521" s="162" t="s">
        <v>4194</v>
      </c>
      <c r="S521" s="118" t="str">
        <f>_xlfn.DISPIMG("ID_0D01E0F1A35045CF8FA47A6F17C3312E",1)</f>
        <v>=DISPIMG("ID_0D01E0F1A35045CF8FA47A6F17C3312E",1)</v>
      </c>
      <c r="T521" s="115" t="s">
        <v>4195</v>
      </c>
      <c r="U521" s="127">
        <v>536</v>
      </c>
    </row>
    <row r="522" s="3" customFormat="1" customHeight="1" spans="1:21">
      <c r="A522" s="144">
        <v>44365.6461574074</v>
      </c>
      <c r="B522" s="27" t="s">
        <v>4196</v>
      </c>
      <c r="C522" s="27" t="s">
        <v>4197</v>
      </c>
      <c r="D522" s="162" t="s">
        <v>4198</v>
      </c>
      <c r="E522" s="162" t="s">
        <v>165</v>
      </c>
      <c r="F522" s="162" t="s">
        <v>4199</v>
      </c>
      <c r="G522" s="27">
        <v>18160796883</v>
      </c>
      <c r="H522" s="162" t="s">
        <v>4200</v>
      </c>
      <c r="I522" s="162" t="s">
        <v>156</v>
      </c>
      <c r="J522" s="162" t="s">
        <v>12</v>
      </c>
      <c r="K522" s="27">
        <v>202102010</v>
      </c>
      <c r="L522" s="162" t="s">
        <v>157</v>
      </c>
      <c r="M522" s="162" t="s">
        <v>4201</v>
      </c>
      <c r="N522" s="162" t="s">
        <v>445</v>
      </c>
      <c r="O522" s="162" t="s">
        <v>170</v>
      </c>
      <c r="P522" s="162" t="s">
        <v>199</v>
      </c>
      <c r="Q522" s="162" t="s">
        <v>359</v>
      </c>
      <c r="R522" s="162" t="s">
        <v>4202</v>
      </c>
      <c r="S522" s="118" t="str">
        <f>_xlfn.DISPIMG("ID_85E134BF0AB1468FAAB0CB1A9F9C4F34",1)</f>
        <v>=DISPIMG("ID_85E134BF0AB1468FAAB0CB1A9F9C4F34",1)</v>
      </c>
      <c r="T522" s="115" t="s">
        <v>4203</v>
      </c>
      <c r="U522" s="127">
        <v>537</v>
      </c>
    </row>
    <row r="523" s="3" customFormat="1" customHeight="1" spans="1:21">
      <c r="A523" s="144">
        <v>44365.6506134259</v>
      </c>
      <c r="B523" s="27" t="s">
        <v>4204</v>
      </c>
      <c r="C523" s="27" t="s">
        <v>4205</v>
      </c>
      <c r="D523" s="162" t="s">
        <v>4206</v>
      </c>
      <c r="E523" s="162" t="s">
        <v>153</v>
      </c>
      <c r="F523" s="162" t="s">
        <v>4207</v>
      </c>
      <c r="G523" s="27">
        <v>19942126864</v>
      </c>
      <c r="H523" s="162" t="s">
        <v>4208</v>
      </c>
      <c r="I523" s="162" t="s">
        <v>506</v>
      </c>
      <c r="J523" s="162" t="s">
        <v>13</v>
      </c>
      <c r="K523" s="27">
        <v>202101016</v>
      </c>
      <c r="L523" s="162" t="s">
        <v>157</v>
      </c>
      <c r="M523" s="162" t="s">
        <v>4209</v>
      </c>
      <c r="N523" s="162" t="s">
        <v>179</v>
      </c>
      <c r="O523" s="162" t="s">
        <v>160</v>
      </c>
      <c r="P523" s="162" t="s">
        <v>396</v>
      </c>
      <c r="Q523" s="162" t="s">
        <v>25</v>
      </c>
      <c r="R523" s="162" t="s">
        <v>4210</v>
      </c>
      <c r="S523" s="118" t="str">
        <f>_xlfn.DISPIMG("ID_7372970AEB0B4E9DBEDB39C293267296",1)</f>
        <v>=DISPIMG("ID_7372970AEB0B4E9DBEDB39C293267296",1)</v>
      </c>
      <c r="T523" s="115" t="s">
        <v>4211</v>
      </c>
      <c r="U523" s="127">
        <v>538</v>
      </c>
    </row>
    <row r="524" s="3" customFormat="1" customHeight="1" spans="1:21">
      <c r="A524" s="144">
        <v>44365.6539351852</v>
      </c>
      <c r="B524" s="27" t="s">
        <v>4212</v>
      </c>
      <c r="C524" s="27" t="s">
        <v>4213</v>
      </c>
      <c r="D524" s="162" t="s">
        <v>4214</v>
      </c>
      <c r="E524" s="162" t="s">
        <v>165</v>
      </c>
      <c r="F524" s="162" t="s">
        <v>4215</v>
      </c>
      <c r="G524" s="27">
        <v>19979263918</v>
      </c>
      <c r="H524" s="162" t="s">
        <v>4216</v>
      </c>
      <c r="I524" s="162" t="s">
        <v>156</v>
      </c>
      <c r="J524" s="162" t="s">
        <v>14</v>
      </c>
      <c r="K524" s="27">
        <v>202102001</v>
      </c>
      <c r="L524" s="162" t="s">
        <v>157</v>
      </c>
      <c r="M524" s="162" t="s">
        <v>412</v>
      </c>
      <c r="N524" s="162" t="s">
        <v>4217</v>
      </c>
      <c r="O524" s="162" t="s">
        <v>160</v>
      </c>
      <c r="P524" s="162" t="s">
        <v>180</v>
      </c>
      <c r="Q524" s="162" t="s">
        <v>26</v>
      </c>
      <c r="R524" s="162" t="s">
        <v>4218</v>
      </c>
      <c r="S524" s="118" t="str">
        <f>_xlfn.DISPIMG("ID_458825B7ED724C7B8EAA7308C4517BC8",1)</f>
        <v>=DISPIMG("ID_458825B7ED724C7B8EAA7308C4517BC8",1)</v>
      </c>
      <c r="T524" s="115" t="s">
        <v>4219</v>
      </c>
      <c r="U524" s="127">
        <v>539</v>
      </c>
    </row>
    <row r="525" s="3" customFormat="1" customHeight="1" spans="1:21">
      <c r="A525" s="144">
        <v>44365.6652199074</v>
      </c>
      <c r="B525" s="27" t="s">
        <v>4220</v>
      </c>
      <c r="C525" s="27" t="s">
        <v>4221</v>
      </c>
      <c r="D525" s="162" t="s">
        <v>4222</v>
      </c>
      <c r="E525" s="162" t="s">
        <v>165</v>
      </c>
      <c r="F525" s="162" t="s">
        <v>4223</v>
      </c>
      <c r="G525" s="27">
        <v>18170013045</v>
      </c>
      <c r="H525" s="162" t="s">
        <v>4224</v>
      </c>
      <c r="I525" s="162" t="s">
        <v>268</v>
      </c>
      <c r="J525" s="162" t="s">
        <v>16</v>
      </c>
      <c r="K525" s="27">
        <v>202101011</v>
      </c>
      <c r="L525" s="162" t="s">
        <v>157</v>
      </c>
      <c r="M525" s="162" t="s">
        <v>385</v>
      </c>
      <c r="N525" s="162" t="s">
        <v>4225</v>
      </c>
      <c r="O525" s="162" t="s">
        <v>170</v>
      </c>
      <c r="P525" s="162" t="s">
        <v>224</v>
      </c>
      <c r="Q525" s="162" t="s">
        <v>16</v>
      </c>
      <c r="R525" s="162" t="s">
        <v>4226</v>
      </c>
      <c r="S525" s="118" t="str">
        <f>_xlfn.DISPIMG("ID_6A583EA485744871AED4CEE0D95D9DC4",1)</f>
        <v>=DISPIMG("ID_6A583EA485744871AED4CEE0D95D9DC4",1)</v>
      </c>
      <c r="T525" s="115" t="s">
        <v>4227</v>
      </c>
      <c r="U525" s="127">
        <v>540</v>
      </c>
    </row>
    <row r="526" s="3" customFormat="1" customHeight="1" spans="1:21">
      <c r="A526" s="144">
        <v>44365.6659606481</v>
      </c>
      <c r="B526" s="27" t="s">
        <v>4228</v>
      </c>
      <c r="C526" s="27" t="s">
        <v>4229</v>
      </c>
      <c r="D526" s="162" t="s">
        <v>4230</v>
      </c>
      <c r="E526" s="162" t="s">
        <v>165</v>
      </c>
      <c r="F526" s="162" t="s">
        <v>4231</v>
      </c>
      <c r="G526" s="27">
        <v>15797679627</v>
      </c>
      <c r="H526" s="162" t="s">
        <v>4232</v>
      </c>
      <c r="I526" s="162" t="s">
        <v>156</v>
      </c>
      <c r="J526" s="162" t="s">
        <v>8</v>
      </c>
      <c r="K526" s="27">
        <v>202102002</v>
      </c>
      <c r="L526" s="162" t="s">
        <v>157</v>
      </c>
      <c r="M526" s="162" t="s">
        <v>876</v>
      </c>
      <c r="N526" s="162" t="s">
        <v>1204</v>
      </c>
      <c r="O526" s="162" t="s">
        <v>160</v>
      </c>
      <c r="P526" s="162" t="s">
        <v>171</v>
      </c>
      <c r="Q526" s="162" t="s">
        <v>4233</v>
      </c>
      <c r="R526" s="27">
        <v>0</v>
      </c>
      <c r="S526" s="118" t="str">
        <f>_xlfn.DISPIMG("ID_866D1667729041288352BAC0C5E9F611",1)</f>
        <v>=DISPIMG("ID_866D1667729041288352BAC0C5E9F611",1)</v>
      </c>
      <c r="T526" s="115" t="s">
        <v>4234</v>
      </c>
      <c r="U526" s="127">
        <v>541</v>
      </c>
    </row>
    <row r="527" s="3" customFormat="1" customHeight="1" spans="1:21">
      <c r="A527" s="144">
        <v>44365.6701851852</v>
      </c>
      <c r="B527" s="27" t="s">
        <v>4235</v>
      </c>
      <c r="C527" s="27" t="s">
        <v>4236</v>
      </c>
      <c r="D527" s="162" t="s">
        <v>4237</v>
      </c>
      <c r="E527" s="162" t="s">
        <v>165</v>
      </c>
      <c r="F527" s="162" t="s">
        <v>4238</v>
      </c>
      <c r="G527" s="27">
        <v>15170274665</v>
      </c>
      <c r="H527" s="162" t="s">
        <v>4239</v>
      </c>
      <c r="I527" s="162" t="s">
        <v>278</v>
      </c>
      <c r="J527" s="162" t="s">
        <v>28</v>
      </c>
      <c r="K527" s="27">
        <v>202103001</v>
      </c>
      <c r="L527" s="162" t="s">
        <v>585</v>
      </c>
      <c r="M527" s="162" t="s">
        <v>367</v>
      </c>
      <c r="N527" s="162" t="s">
        <v>280</v>
      </c>
      <c r="O527" s="162" t="s">
        <v>170</v>
      </c>
      <c r="P527" s="162" t="s">
        <v>368</v>
      </c>
      <c r="Q527" s="162" t="s">
        <v>376</v>
      </c>
      <c r="R527" s="162" t="s">
        <v>4240</v>
      </c>
      <c r="S527" s="118" t="str">
        <f>_xlfn.DISPIMG("ID_7116E6EB313E4CDBB6AEC2C13A4D6810",1)</f>
        <v>=DISPIMG("ID_7116E6EB313E4CDBB6AEC2C13A4D6810",1)</v>
      </c>
      <c r="T527" s="115" t="s">
        <v>4241</v>
      </c>
      <c r="U527" s="127">
        <v>542</v>
      </c>
    </row>
    <row r="528" s="3" customFormat="1" customHeight="1" spans="1:21">
      <c r="A528" s="144">
        <v>44365.6705324074</v>
      </c>
      <c r="B528" s="27" t="s">
        <v>4242</v>
      </c>
      <c r="C528" s="27" t="s">
        <v>4243</v>
      </c>
      <c r="D528" s="162" t="s">
        <v>4244</v>
      </c>
      <c r="E528" s="162" t="s">
        <v>165</v>
      </c>
      <c r="F528" s="162" t="s">
        <v>4245</v>
      </c>
      <c r="G528" s="27">
        <v>18296230426</v>
      </c>
      <c r="H528" s="162" t="s">
        <v>4246</v>
      </c>
      <c r="I528" s="162" t="s">
        <v>156</v>
      </c>
      <c r="J528" s="162" t="s">
        <v>13</v>
      </c>
      <c r="K528" s="27">
        <v>202102003</v>
      </c>
      <c r="L528" s="162" t="s">
        <v>157</v>
      </c>
      <c r="M528" s="162" t="s">
        <v>646</v>
      </c>
      <c r="N528" s="162" t="s">
        <v>179</v>
      </c>
      <c r="O528" s="162" t="s">
        <v>160</v>
      </c>
      <c r="P528" s="162" t="s">
        <v>180</v>
      </c>
      <c r="Q528" s="162" t="s">
        <v>25</v>
      </c>
      <c r="R528" s="162" t="s">
        <v>4247</v>
      </c>
      <c r="S528" s="118" t="str">
        <f>_xlfn.DISPIMG("ID_36DA19808F4346CB8F6359485B7E0248",1)</f>
        <v>=DISPIMG("ID_36DA19808F4346CB8F6359485B7E0248",1)</v>
      </c>
      <c r="T528" s="115" t="s">
        <v>4248</v>
      </c>
      <c r="U528" s="127">
        <v>543</v>
      </c>
    </row>
    <row r="529" s="3" customFormat="1" customHeight="1" spans="1:21">
      <c r="A529" s="144">
        <v>44365.6740625</v>
      </c>
      <c r="B529" s="27" t="s">
        <v>4249</v>
      </c>
      <c r="C529" s="27" t="s">
        <v>4250</v>
      </c>
      <c r="D529" s="162" t="s">
        <v>4251</v>
      </c>
      <c r="E529" s="162" t="s">
        <v>153</v>
      </c>
      <c r="F529" s="162" t="s">
        <v>4252</v>
      </c>
      <c r="G529" s="27">
        <v>13340012018</v>
      </c>
      <c r="H529" s="162" t="s">
        <v>4253</v>
      </c>
      <c r="I529" s="162" t="s">
        <v>268</v>
      </c>
      <c r="J529" s="162" t="s">
        <v>16</v>
      </c>
      <c r="K529" s="27">
        <v>202101011</v>
      </c>
      <c r="L529" s="162" t="s">
        <v>705</v>
      </c>
      <c r="M529" s="162" t="s">
        <v>233</v>
      </c>
      <c r="N529" s="162" t="s">
        <v>4254</v>
      </c>
      <c r="O529" s="162" t="s">
        <v>160</v>
      </c>
      <c r="P529" s="162" t="s">
        <v>455</v>
      </c>
      <c r="Q529" s="162" t="s">
        <v>16</v>
      </c>
      <c r="R529" s="162" t="s">
        <v>4255</v>
      </c>
      <c r="S529" s="118" t="str">
        <f>_xlfn.DISPIMG("ID_7B994A5EE1894E46909466AD8B994299",1)</f>
        <v>=DISPIMG("ID_7B994A5EE1894E46909466AD8B994299",1)</v>
      </c>
      <c r="T529" s="115" t="s">
        <v>4256</v>
      </c>
      <c r="U529" s="127">
        <v>544</v>
      </c>
    </row>
    <row r="530" s="3" customFormat="1" customHeight="1" spans="1:21">
      <c r="A530" s="144">
        <v>44365.6827430556</v>
      </c>
      <c r="B530" s="27" t="s">
        <v>4257</v>
      </c>
      <c r="C530" s="27" t="s">
        <v>4258</v>
      </c>
      <c r="D530" s="162" t="s">
        <v>4259</v>
      </c>
      <c r="E530" s="162" t="s">
        <v>165</v>
      </c>
      <c r="F530" s="162" t="s">
        <v>4260</v>
      </c>
      <c r="G530" s="27">
        <v>15270817874</v>
      </c>
      <c r="H530" s="162" t="s">
        <v>4261</v>
      </c>
      <c r="I530" s="162" t="s">
        <v>278</v>
      </c>
      <c r="J530" s="162" t="s">
        <v>28</v>
      </c>
      <c r="K530" s="27">
        <v>202103001</v>
      </c>
      <c r="L530" s="162" t="s">
        <v>279</v>
      </c>
      <c r="M530" s="162" t="s">
        <v>339</v>
      </c>
      <c r="N530" s="162" t="s">
        <v>280</v>
      </c>
      <c r="O530" s="162" t="s">
        <v>170</v>
      </c>
      <c r="P530" s="162" t="s">
        <v>368</v>
      </c>
      <c r="Q530" s="162" t="s">
        <v>4262</v>
      </c>
      <c r="R530" s="162" t="s">
        <v>4263</v>
      </c>
      <c r="S530" s="118" t="str">
        <f>_xlfn.DISPIMG("ID_7ED866D6DEDB4511B970FE38712BEDF5",1)</f>
        <v>=DISPIMG("ID_7ED866D6DEDB4511B970FE38712BEDF5",1)</v>
      </c>
      <c r="T530" s="115" t="s">
        <v>4264</v>
      </c>
      <c r="U530" s="127">
        <v>545</v>
      </c>
    </row>
    <row r="531" s="3" customFormat="1" customHeight="1" spans="1:21">
      <c r="A531" s="144">
        <v>44365.6892939815</v>
      </c>
      <c r="B531" s="27" t="s">
        <v>4265</v>
      </c>
      <c r="C531" s="27" t="s">
        <v>4266</v>
      </c>
      <c r="D531" s="162" t="s">
        <v>4267</v>
      </c>
      <c r="E531" s="162" t="s">
        <v>165</v>
      </c>
      <c r="F531" s="162" t="s">
        <v>4268</v>
      </c>
      <c r="G531" s="27">
        <v>15979953990</v>
      </c>
      <c r="H531" s="162" t="s">
        <v>4269</v>
      </c>
      <c r="I531" s="162" t="s">
        <v>156</v>
      </c>
      <c r="J531" s="162" t="s">
        <v>4</v>
      </c>
      <c r="K531" s="27">
        <v>202102005</v>
      </c>
      <c r="L531" s="162" t="s">
        <v>279</v>
      </c>
      <c r="M531" s="162" t="s">
        <v>269</v>
      </c>
      <c r="N531" s="162" t="s">
        <v>1088</v>
      </c>
      <c r="O531" s="162" t="s">
        <v>170</v>
      </c>
      <c r="P531" s="162" t="s">
        <v>235</v>
      </c>
      <c r="Q531" s="162" t="s">
        <v>4</v>
      </c>
      <c r="R531" s="27">
        <v>0</v>
      </c>
      <c r="S531" s="118" t="str">
        <f>_xlfn.DISPIMG("ID_6B663AA29D5341758E4C0EAB0E013B9E",1)</f>
        <v>=DISPIMG("ID_6B663AA29D5341758E4C0EAB0E013B9E",1)</v>
      </c>
      <c r="T531" s="115" t="s">
        <v>4270</v>
      </c>
      <c r="U531" s="127">
        <v>546</v>
      </c>
    </row>
    <row r="532" customHeight="1" spans="1:21">
      <c r="A532" s="144">
        <v>44365.6913425926</v>
      </c>
      <c r="B532" s="27" t="s">
        <v>4271</v>
      </c>
      <c r="C532" s="27" t="s">
        <v>4272</v>
      </c>
      <c r="D532" s="162" t="s">
        <v>4273</v>
      </c>
      <c r="E532" s="162" t="s">
        <v>165</v>
      </c>
      <c r="F532" s="162" t="s">
        <v>4274</v>
      </c>
      <c r="G532" s="27">
        <v>18317912297</v>
      </c>
      <c r="H532" s="162" t="s">
        <v>4275</v>
      </c>
      <c r="I532" s="162" t="s">
        <v>156</v>
      </c>
      <c r="J532" s="162" t="s">
        <v>13</v>
      </c>
      <c r="K532" s="27">
        <v>202102003</v>
      </c>
      <c r="L532" s="162" t="s">
        <v>157</v>
      </c>
      <c r="M532" s="162" t="s">
        <v>1513</v>
      </c>
      <c r="N532" s="162" t="s">
        <v>1331</v>
      </c>
      <c r="O532" s="162" t="s">
        <v>160</v>
      </c>
      <c r="P532" s="162" t="s">
        <v>368</v>
      </c>
      <c r="Q532" s="162" t="s">
        <v>13</v>
      </c>
      <c r="R532" s="162" t="s">
        <v>4276</v>
      </c>
      <c r="S532" s="118" t="str">
        <f>_xlfn.DISPIMG("ID_BFA48D3AEAE641428A104A2BB93F50F8",1)</f>
        <v>=DISPIMG("ID_BFA48D3AEAE641428A104A2BB93F50F8",1)</v>
      </c>
      <c r="T532" s="115" t="s">
        <v>4277</v>
      </c>
      <c r="U532" s="127">
        <v>547</v>
      </c>
    </row>
    <row r="533" customHeight="1" spans="1:21">
      <c r="A533" s="144">
        <v>44365.6914583333</v>
      </c>
      <c r="B533" s="27" t="s">
        <v>4278</v>
      </c>
      <c r="C533" s="27" t="s">
        <v>4279</v>
      </c>
      <c r="D533" s="162" t="s">
        <v>4280</v>
      </c>
      <c r="E533" s="162" t="s">
        <v>165</v>
      </c>
      <c r="F533" s="162" t="s">
        <v>4281</v>
      </c>
      <c r="G533" s="27">
        <v>15949551660</v>
      </c>
      <c r="H533" s="162" t="s">
        <v>4282</v>
      </c>
      <c r="I533" s="162" t="s">
        <v>156</v>
      </c>
      <c r="J533" s="162" t="s">
        <v>13</v>
      </c>
      <c r="K533" s="27">
        <v>202102003</v>
      </c>
      <c r="L533" s="162" t="s">
        <v>157</v>
      </c>
      <c r="M533" s="162" t="s">
        <v>158</v>
      </c>
      <c r="N533" s="162" t="s">
        <v>298</v>
      </c>
      <c r="O533" s="162" t="s">
        <v>160</v>
      </c>
      <c r="P533" s="162" t="s">
        <v>252</v>
      </c>
      <c r="Q533" s="162" t="s">
        <v>13</v>
      </c>
      <c r="R533" s="162" t="s">
        <v>4283</v>
      </c>
      <c r="S533" s="118" t="str">
        <f>_xlfn.DISPIMG("ID_0A7C024448EB4671A840FBA92AB35983",1)</f>
        <v>=DISPIMG("ID_0A7C024448EB4671A840FBA92AB35983",1)</v>
      </c>
      <c r="T533" s="115" t="s">
        <v>4284</v>
      </c>
      <c r="U533" s="127">
        <v>548</v>
      </c>
    </row>
    <row r="534" customHeight="1" spans="1:21">
      <c r="A534" s="144">
        <v>44365.6980671296</v>
      </c>
      <c r="B534" s="27" t="s">
        <v>4285</v>
      </c>
      <c r="C534" s="27" t="s">
        <v>4286</v>
      </c>
      <c r="D534" s="162" t="s">
        <v>4287</v>
      </c>
      <c r="E534" s="162" t="s">
        <v>165</v>
      </c>
      <c r="F534" s="162" t="s">
        <v>4288</v>
      </c>
      <c r="G534" s="27">
        <v>15067121965</v>
      </c>
      <c r="H534" s="162" t="s">
        <v>4289</v>
      </c>
      <c r="I534" s="162" t="s">
        <v>156</v>
      </c>
      <c r="J534" s="162" t="s">
        <v>13</v>
      </c>
      <c r="K534" s="27">
        <v>202102003</v>
      </c>
      <c r="L534" s="162" t="s">
        <v>279</v>
      </c>
      <c r="M534" s="162" t="s">
        <v>4290</v>
      </c>
      <c r="N534" s="162" t="s">
        <v>4291</v>
      </c>
      <c r="O534" s="162" t="s">
        <v>170</v>
      </c>
      <c r="P534" s="162" t="s">
        <v>224</v>
      </c>
      <c r="Q534" s="162" t="s">
        <v>1398</v>
      </c>
      <c r="R534" s="27">
        <v>0</v>
      </c>
      <c r="S534" s="118" t="str">
        <f>_xlfn.DISPIMG("ID_722A9A1419ED4209B5078EB200B4615A",1)</f>
        <v>=DISPIMG("ID_722A9A1419ED4209B5078EB200B4615A",1)</v>
      </c>
      <c r="T534" s="115" t="s">
        <v>4292</v>
      </c>
      <c r="U534" s="127">
        <v>549</v>
      </c>
    </row>
    <row r="535" customHeight="1" spans="1:21">
      <c r="A535" s="144">
        <v>44365.6997106482</v>
      </c>
      <c r="B535" s="27" t="s">
        <v>4293</v>
      </c>
      <c r="C535" s="27" t="s">
        <v>4294</v>
      </c>
      <c r="D535" s="162" t="s">
        <v>4295</v>
      </c>
      <c r="E535" s="162" t="s">
        <v>165</v>
      </c>
      <c r="F535" s="162" t="s">
        <v>4296</v>
      </c>
      <c r="G535" s="27">
        <v>18174018729</v>
      </c>
      <c r="H535" s="162" t="s">
        <v>4297</v>
      </c>
      <c r="I535" s="162" t="s">
        <v>156</v>
      </c>
      <c r="J535" s="162" t="s">
        <v>13</v>
      </c>
      <c r="K535" s="27">
        <v>202102003</v>
      </c>
      <c r="L535" s="162" t="s">
        <v>157</v>
      </c>
      <c r="M535" s="162" t="s">
        <v>3054</v>
      </c>
      <c r="N535" s="162" t="s">
        <v>4298</v>
      </c>
      <c r="O535" s="162" t="s">
        <v>160</v>
      </c>
      <c r="P535" s="162" t="s">
        <v>261</v>
      </c>
      <c r="Q535" s="162" t="s">
        <v>13</v>
      </c>
      <c r="R535" s="27">
        <v>0</v>
      </c>
      <c r="S535" s="118" t="str">
        <f>_xlfn.DISPIMG("ID_AB63EA744ECF442183CACE9AA5A6EA85",1)</f>
        <v>=DISPIMG("ID_AB63EA744ECF442183CACE9AA5A6EA85",1)</v>
      </c>
      <c r="T535" s="115" t="s">
        <v>4299</v>
      </c>
      <c r="U535" s="127">
        <v>550</v>
      </c>
    </row>
    <row r="536" customHeight="1" spans="1:21">
      <c r="A536" s="144">
        <v>44365.7015625</v>
      </c>
      <c r="B536" s="27" t="s">
        <v>4300</v>
      </c>
      <c r="C536" s="27" t="s">
        <v>4301</v>
      </c>
      <c r="D536" s="162" t="s">
        <v>4302</v>
      </c>
      <c r="E536" s="162" t="s">
        <v>165</v>
      </c>
      <c r="F536" s="162" t="s">
        <v>4303</v>
      </c>
      <c r="G536" s="27">
        <v>15279209806</v>
      </c>
      <c r="H536" s="162" t="s">
        <v>357</v>
      </c>
      <c r="I536" s="162" t="s">
        <v>506</v>
      </c>
      <c r="J536" s="162" t="s">
        <v>13</v>
      </c>
      <c r="K536" s="27">
        <v>202102016</v>
      </c>
      <c r="L536" s="162" t="s">
        <v>279</v>
      </c>
      <c r="M536" s="162" t="s">
        <v>168</v>
      </c>
      <c r="N536" s="162" t="s">
        <v>223</v>
      </c>
      <c r="O536" s="162" t="s">
        <v>170</v>
      </c>
      <c r="P536" s="162" t="s">
        <v>577</v>
      </c>
      <c r="Q536" s="162" t="s">
        <v>487</v>
      </c>
      <c r="R536" s="162" t="s">
        <v>4304</v>
      </c>
      <c r="S536" s="118" t="str">
        <f>_xlfn.DISPIMG("ID_2F1FB7C94C004C5BAD8EEBBBB9C7D0C9",1)</f>
        <v>=DISPIMG("ID_2F1FB7C94C004C5BAD8EEBBBB9C7D0C9",1)</v>
      </c>
      <c r="T536" s="115" t="s">
        <v>4305</v>
      </c>
      <c r="U536" s="127">
        <v>551</v>
      </c>
    </row>
    <row r="537" customHeight="1" spans="1:21">
      <c r="A537" s="144">
        <v>44365.7037615741</v>
      </c>
      <c r="B537" s="27" t="s">
        <v>4306</v>
      </c>
      <c r="C537" s="27" t="s">
        <v>4307</v>
      </c>
      <c r="D537" s="162" t="s">
        <v>4308</v>
      </c>
      <c r="E537" s="162" t="s">
        <v>165</v>
      </c>
      <c r="F537" s="162" t="s">
        <v>4309</v>
      </c>
      <c r="G537" s="27">
        <v>17770159034</v>
      </c>
      <c r="H537" s="162" t="s">
        <v>2503</v>
      </c>
      <c r="I537" s="162" t="s">
        <v>156</v>
      </c>
      <c r="J537" s="162" t="s">
        <v>14</v>
      </c>
      <c r="K537" s="27">
        <v>202102001</v>
      </c>
      <c r="L537" s="162" t="s">
        <v>279</v>
      </c>
      <c r="M537" s="162" t="s">
        <v>1237</v>
      </c>
      <c r="N537" s="162" t="s">
        <v>348</v>
      </c>
      <c r="O537" s="162" t="s">
        <v>170</v>
      </c>
      <c r="P537" s="162" t="s">
        <v>180</v>
      </c>
      <c r="Q537" s="162" t="s">
        <v>2395</v>
      </c>
      <c r="R537" s="162" t="s">
        <v>4310</v>
      </c>
      <c r="S537" s="118" t="str">
        <f>_xlfn.DISPIMG("ID_E6307ECF32B442B8A8FC80EADAF6E26D",1)</f>
        <v>=DISPIMG("ID_E6307ECF32B442B8A8FC80EADAF6E26D",1)</v>
      </c>
      <c r="T537" s="115" t="s">
        <v>4311</v>
      </c>
      <c r="U537" s="127">
        <v>552</v>
      </c>
    </row>
  </sheetData>
  <sheetProtection formatCells="0" insertHyperlinks="0" autoFilter="0"/>
  <autoFilter ref="A1:S537">
    <extLst/>
  </autoFilter>
  <hyperlinks>
    <hyperlink ref="C427" r:id="rId1" display="Dr.Lu"/>
  </hyperlink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01"/>
  <sheetViews>
    <sheetView workbookViewId="0">
      <pane xSplit="1" ySplit="1" topLeftCell="B122" activePane="bottomRight" state="frozen"/>
      <selection/>
      <selection pane="topRight"/>
      <selection pane="bottomLeft"/>
      <selection pane="bottomRight" activeCell="A1" sqref="$A1:$XFD1048576"/>
    </sheetView>
  </sheetViews>
  <sheetFormatPr defaultColWidth="9" defaultRowHeight="14.4"/>
  <cols>
    <col min="1" max="1" width="13.25" style="7" customWidth="1"/>
    <col min="2" max="2" width="9" style="7"/>
    <col min="3" max="5" width="9" customWidth="1"/>
    <col min="6" max="6" width="10.3796296296296" customWidth="1"/>
    <col min="7" max="14" width="9" customWidth="1"/>
    <col min="15" max="15" width="17.75" customWidth="1"/>
    <col min="16" max="16" width="9" customWidth="1"/>
    <col min="17" max="17" width="20.1296296296296" style="113" customWidth="1"/>
    <col min="18" max="18" width="9" customWidth="1"/>
    <col min="19" max="19" width="16.5" style="114" customWidth="1"/>
  </cols>
  <sheetData>
    <row r="1" s="2" customFormat="1" ht="43.2" spans="1:19">
      <c r="A1" s="9" t="s">
        <v>133</v>
      </c>
      <c r="B1" s="9" t="s">
        <v>134</v>
      </c>
      <c r="C1" s="115" t="s">
        <v>135</v>
      </c>
      <c r="D1" s="115" t="s">
        <v>138</v>
      </c>
      <c r="E1" s="115" t="s">
        <v>1</v>
      </c>
      <c r="F1" s="115" t="s">
        <v>139</v>
      </c>
      <c r="G1" s="115" t="s">
        <v>140</v>
      </c>
      <c r="H1" s="115" t="s">
        <v>141</v>
      </c>
      <c r="I1" s="115" t="s">
        <v>142</v>
      </c>
      <c r="J1" s="115" t="s">
        <v>143</v>
      </c>
      <c r="K1" s="115" t="s">
        <v>144</v>
      </c>
      <c r="L1" s="115" t="s">
        <v>145</v>
      </c>
      <c r="M1" s="115" t="s">
        <v>146</v>
      </c>
      <c r="N1" s="115" t="s">
        <v>147</v>
      </c>
      <c r="O1" s="115" t="s">
        <v>148</v>
      </c>
      <c r="P1" s="117" t="s">
        <v>149</v>
      </c>
      <c r="Q1" s="121" t="s">
        <v>4313</v>
      </c>
      <c r="R1" s="121" t="s">
        <v>32</v>
      </c>
      <c r="S1" s="121" t="s">
        <v>4314</v>
      </c>
    </row>
    <row r="2" s="3" customFormat="1" ht="20" customHeight="1" spans="1:19">
      <c r="A2" s="166" t="s">
        <v>275</v>
      </c>
      <c r="B2" s="166" t="s">
        <v>165</v>
      </c>
      <c r="C2" s="162" t="s">
        <v>276</v>
      </c>
      <c r="D2" s="162" t="s">
        <v>278</v>
      </c>
      <c r="E2" s="162" t="s">
        <v>28</v>
      </c>
      <c r="F2" s="27">
        <v>202103001</v>
      </c>
      <c r="G2" s="162" t="s">
        <v>279</v>
      </c>
      <c r="H2" s="162" t="s">
        <v>233</v>
      </c>
      <c r="I2" s="162" t="s">
        <v>280</v>
      </c>
      <c r="J2" s="162" t="s">
        <v>170</v>
      </c>
      <c r="K2" s="162" t="s">
        <v>281</v>
      </c>
      <c r="L2" s="162" t="s">
        <v>280</v>
      </c>
      <c r="M2" s="162" t="s">
        <v>282</v>
      </c>
      <c r="N2" s="118" t="str">
        <f>_xlfn.DISPIMG("ID_B65C52FC26C14A83A9F7B47ADDC75EF7",1)</f>
        <v>=DISPIMG("ID_B65C52FC26C14A83A9F7B47ADDC75EF7",1)</v>
      </c>
      <c r="O2" s="115" t="s">
        <v>283</v>
      </c>
      <c r="P2" s="27">
        <v>15</v>
      </c>
      <c r="Q2" s="122" t="s">
        <v>4315</v>
      </c>
      <c r="R2" s="123" t="s">
        <v>36</v>
      </c>
      <c r="S2" s="124">
        <v>6</v>
      </c>
    </row>
    <row r="3" s="3" customFormat="1" ht="20" customHeight="1" spans="1:19">
      <c r="A3" s="166" t="s">
        <v>336</v>
      </c>
      <c r="B3" s="166" t="s">
        <v>165</v>
      </c>
      <c r="C3" s="162" t="s">
        <v>337</v>
      </c>
      <c r="D3" s="162" t="s">
        <v>278</v>
      </c>
      <c r="E3" s="162" t="s">
        <v>28</v>
      </c>
      <c r="F3" s="27">
        <v>202103001</v>
      </c>
      <c r="G3" s="162" t="s">
        <v>279</v>
      </c>
      <c r="H3" s="162" t="s">
        <v>339</v>
      </c>
      <c r="I3" s="162" t="s">
        <v>280</v>
      </c>
      <c r="J3" s="162" t="s">
        <v>170</v>
      </c>
      <c r="K3" s="162" t="s">
        <v>180</v>
      </c>
      <c r="L3" s="162" t="s">
        <v>340</v>
      </c>
      <c r="M3" s="162" t="s">
        <v>341</v>
      </c>
      <c r="N3" s="118" t="str">
        <f>_xlfn.DISPIMG("ID_FA546082303144F6A5FD61F335F92D18",1)</f>
        <v>=DISPIMG("ID_FA546082303144F6A5FD61F335F92D18",1)</v>
      </c>
      <c r="O3" s="115" t="s">
        <v>342</v>
      </c>
      <c r="P3" s="27">
        <v>22</v>
      </c>
      <c r="Q3" s="125" t="s">
        <v>4316</v>
      </c>
      <c r="R3" s="126" t="s">
        <v>36</v>
      </c>
      <c r="S3" s="124">
        <v>7</v>
      </c>
    </row>
    <row r="4" s="3" customFormat="1" ht="20" customHeight="1" spans="1:19">
      <c r="A4" s="166" t="s">
        <v>373</v>
      </c>
      <c r="B4" s="166" t="s">
        <v>165</v>
      </c>
      <c r="C4" s="162" t="s">
        <v>374</v>
      </c>
      <c r="D4" s="162" t="s">
        <v>278</v>
      </c>
      <c r="E4" s="162" t="s">
        <v>28</v>
      </c>
      <c r="F4" s="27">
        <v>202103001</v>
      </c>
      <c r="G4" s="162" t="s">
        <v>279</v>
      </c>
      <c r="H4" s="162" t="s">
        <v>367</v>
      </c>
      <c r="I4" s="162" t="s">
        <v>280</v>
      </c>
      <c r="J4" s="162" t="s">
        <v>170</v>
      </c>
      <c r="K4" s="162" t="s">
        <v>224</v>
      </c>
      <c r="L4" s="162" t="s">
        <v>376</v>
      </c>
      <c r="M4" s="162" t="s">
        <v>377</v>
      </c>
      <c r="N4" s="118" t="str">
        <f>_xlfn.DISPIMG("ID_C8327FEC732A4CC39200F90994F97069",1)</f>
        <v>=DISPIMG("ID_C8327FEC732A4CC39200F90994F97069",1)</v>
      </c>
      <c r="O4" s="115" t="s">
        <v>378</v>
      </c>
      <c r="P4" s="27">
        <v>26</v>
      </c>
      <c r="Q4" s="125" t="s">
        <v>4317</v>
      </c>
      <c r="R4" s="126" t="s">
        <v>36</v>
      </c>
      <c r="S4" s="124">
        <v>18</v>
      </c>
    </row>
    <row r="5" s="3" customFormat="1" ht="20" customHeight="1" spans="1:19">
      <c r="A5" s="166" t="s">
        <v>418</v>
      </c>
      <c r="B5" s="166" t="s">
        <v>165</v>
      </c>
      <c r="C5" s="162" t="s">
        <v>419</v>
      </c>
      <c r="D5" s="162" t="s">
        <v>278</v>
      </c>
      <c r="E5" s="162" t="s">
        <v>28</v>
      </c>
      <c r="F5" s="27">
        <v>202103001</v>
      </c>
      <c r="G5" s="162" t="s">
        <v>279</v>
      </c>
      <c r="H5" s="162" t="s">
        <v>367</v>
      </c>
      <c r="I5" s="162" t="s">
        <v>280</v>
      </c>
      <c r="J5" s="162" t="s">
        <v>170</v>
      </c>
      <c r="K5" s="162" t="s">
        <v>224</v>
      </c>
      <c r="L5" s="162" t="s">
        <v>28</v>
      </c>
      <c r="M5" s="162" t="s">
        <v>421</v>
      </c>
      <c r="N5" s="118" t="str">
        <f>_xlfn.DISPIMG("ID_37FC201A56874EEA918314432BBE8D22",1)</f>
        <v>=DISPIMG("ID_37FC201A56874EEA918314432BBE8D22",1)</v>
      </c>
      <c r="O5" s="115" t="s">
        <v>422</v>
      </c>
      <c r="P5" s="27">
        <v>31</v>
      </c>
      <c r="Q5" s="125" t="s">
        <v>4318</v>
      </c>
      <c r="R5" s="126" t="s">
        <v>36</v>
      </c>
      <c r="S5" s="124">
        <v>19</v>
      </c>
    </row>
    <row r="6" s="3" customFormat="1" ht="20" customHeight="1" spans="1:19">
      <c r="A6" s="166" t="s">
        <v>477</v>
      </c>
      <c r="B6" s="166" t="s">
        <v>165</v>
      </c>
      <c r="C6" s="162" t="s">
        <v>478</v>
      </c>
      <c r="D6" s="162" t="s">
        <v>278</v>
      </c>
      <c r="E6" s="162" t="s">
        <v>28</v>
      </c>
      <c r="F6" s="27">
        <v>202103001</v>
      </c>
      <c r="G6" s="162" t="s">
        <v>279</v>
      </c>
      <c r="H6" s="162" t="s">
        <v>367</v>
      </c>
      <c r="I6" s="162" t="s">
        <v>280</v>
      </c>
      <c r="J6" s="162" t="s">
        <v>170</v>
      </c>
      <c r="K6" s="162" t="s">
        <v>216</v>
      </c>
      <c r="L6" s="162" t="s">
        <v>340</v>
      </c>
      <c r="M6" s="162" t="s">
        <v>480</v>
      </c>
      <c r="N6" s="118" t="str">
        <f>_xlfn.DISPIMG("ID_CA960935E07F423087EFDE1A92D5AFE3",1)</f>
        <v>=DISPIMG("ID_CA960935E07F423087EFDE1A92D5AFE3",1)</v>
      </c>
      <c r="O6" s="115" t="s">
        <v>481</v>
      </c>
      <c r="P6" s="27">
        <v>38</v>
      </c>
      <c r="Q6" s="125" t="s">
        <v>4319</v>
      </c>
      <c r="R6" s="126" t="s">
        <v>36</v>
      </c>
      <c r="S6" s="124">
        <v>30</v>
      </c>
    </row>
    <row r="7" s="3" customFormat="1" ht="20" customHeight="1" spans="1:19">
      <c r="A7" s="166" t="s">
        <v>512</v>
      </c>
      <c r="B7" s="166" t="s">
        <v>165</v>
      </c>
      <c r="C7" s="162" t="s">
        <v>513</v>
      </c>
      <c r="D7" s="162" t="s">
        <v>278</v>
      </c>
      <c r="E7" s="162" t="s">
        <v>28</v>
      </c>
      <c r="F7" s="27">
        <v>202103001</v>
      </c>
      <c r="G7" s="162" t="s">
        <v>279</v>
      </c>
      <c r="H7" s="162" t="s">
        <v>515</v>
      </c>
      <c r="I7" s="162" t="s">
        <v>280</v>
      </c>
      <c r="J7" s="162" t="s">
        <v>170</v>
      </c>
      <c r="K7" s="162" t="s">
        <v>516</v>
      </c>
      <c r="L7" s="162" t="s">
        <v>517</v>
      </c>
      <c r="M7" s="162" t="s">
        <v>518</v>
      </c>
      <c r="N7" s="118" t="str">
        <f>_xlfn.DISPIMG("ID_07A071EC50BE4110A9ABC6B339CCBE2D",1)</f>
        <v>=DISPIMG("ID_07A071EC50BE4110A9ABC6B339CCBE2D",1)</v>
      </c>
      <c r="O7" s="115" t="s">
        <v>519</v>
      </c>
      <c r="P7" s="27">
        <v>43</v>
      </c>
      <c r="Q7" s="125" t="s">
        <v>4320</v>
      </c>
      <c r="R7" s="126" t="s">
        <v>36</v>
      </c>
      <c r="S7" s="124">
        <v>5</v>
      </c>
    </row>
    <row r="8" s="3" customFormat="1" ht="20" customHeight="1" spans="1:19">
      <c r="A8" s="166" t="s">
        <v>573</v>
      </c>
      <c r="B8" s="166" t="s">
        <v>165</v>
      </c>
      <c r="C8" s="162" t="s">
        <v>574</v>
      </c>
      <c r="D8" s="162" t="s">
        <v>278</v>
      </c>
      <c r="E8" s="162" t="s">
        <v>28</v>
      </c>
      <c r="F8" s="27">
        <v>202103001</v>
      </c>
      <c r="G8" s="162" t="s">
        <v>279</v>
      </c>
      <c r="H8" s="162" t="s">
        <v>576</v>
      </c>
      <c r="I8" s="162" t="s">
        <v>280</v>
      </c>
      <c r="J8" s="162" t="s">
        <v>170</v>
      </c>
      <c r="K8" s="162" t="s">
        <v>577</v>
      </c>
      <c r="L8" s="162" t="s">
        <v>280</v>
      </c>
      <c r="M8" s="162" t="s">
        <v>578</v>
      </c>
      <c r="N8" s="118" t="str">
        <f>_xlfn.DISPIMG("ID_82D3A4866E584D37A328F1F75C226980",1)</f>
        <v>=DISPIMG("ID_82D3A4866E584D37A328F1F75C226980",1)</v>
      </c>
      <c r="O8" s="115" t="s">
        <v>579</v>
      </c>
      <c r="P8" s="27">
        <v>50</v>
      </c>
      <c r="Q8" s="125" t="s">
        <v>4321</v>
      </c>
      <c r="R8" s="126" t="s">
        <v>36</v>
      </c>
      <c r="S8" s="124">
        <v>8</v>
      </c>
    </row>
    <row r="9" s="4" customFormat="1" ht="20" customHeight="1" spans="1:19">
      <c r="A9" s="166" t="s">
        <v>582</v>
      </c>
      <c r="B9" s="166" t="s">
        <v>165</v>
      </c>
      <c r="C9" s="164" t="s">
        <v>583</v>
      </c>
      <c r="D9" s="164" t="s">
        <v>278</v>
      </c>
      <c r="E9" s="164" t="s">
        <v>28</v>
      </c>
      <c r="F9" s="22">
        <v>202103001</v>
      </c>
      <c r="G9" s="164" t="s">
        <v>585</v>
      </c>
      <c r="H9" s="164" t="s">
        <v>367</v>
      </c>
      <c r="I9" s="164" t="s">
        <v>586</v>
      </c>
      <c r="J9" s="164" t="s">
        <v>170</v>
      </c>
      <c r="K9" s="164" t="s">
        <v>587</v>
      </c>
      <c r="L9" s="164" t="s">
        <v>588</v>
      </c>
      <c r="M9" s="164" t="s">
        <v>589</v>
      </c>
      <c r="N9" s="23" t="str">
        <f>_xlfn.DISPIMG("ID_6DA92F60F38D4176A8885E139DCAD5AE",1)</f>
        <v>=DISPIMG("ID_6DA92F60F38D4176A8885E139DCAD5AE",1)</v>
      </c>
      <c r="O9" s="103" t="s">
        <v>590</v>
      </c>
      <c r="P9" s="27">
        <v>51</v>
      </c>
      <c r="Q9" s="125" t="s">
        <v>4322</v>
      </c>
      <c r="R9" s="126" t="s">
        <v>36</v>
      </c>
      <c r="S9" s="124">
        <v>17</v>
      </c>
    </row>
    <row r="10" s="3" customFormat="1" ht="20" customHeight="1" spans="1:19">
      <c r="A10" s="166" t="s">
        <v>592</v>
      </c>
      <c r="B10" s="166" t="s">
        <v>165</v>
      </c>
      <c r="C10" s="162" t="s">
        <v>593</v>
      </c>
      <c r="D10" s="162" t="s">
        <v>278</v>
      </c>
      <c r="E10" s="162" t="s">
        <v>28</v>
      </c>
      <c r="F10" s="27">
        <v>202103001</v>
      </c>
      <c r="G10" s="162" t="s">
        <v>279</v>
      </c>
      <c r="H10" s="162" t="s">
        <v>595</v>
      </c>
      <c r="I10" s="162" t="s">
        <v>280</v>
      </c>
      <c r="J10" s="162" t="s">
        <v>170</v>
      </c>
      <c r="K10" s="162" t="s">
        <v>281</v>
      </c>
      <c r="L10" s="162" t="s">
        <v>28</v>
      </c>
      <c r="M10" s="162" t="s">
        <v>596</v>
      </c>
      <c r="N10" s="118" t="str">
        <f>_xlfn.DISPIMG("ID_4A2B45245E6541EDAAF502188C295214",1)</f>
        <v>=DISPIMG("ID_4A2B45245E6541EDAAF502188C295214",1)</v>
      </c>
      <c r="O10" s="115" t="s">
        <v>597</v>
      </c>
      <c r="P10" s="27">
        <v>52</v>
      </c>
      <c r="Q10" s="125" t="s">
        <v>4323</v>
      </c>
      <c r="R10" s="126" t="s">
        <v>36</v>
      </c>
      <c r="S10" s="124">
        <v>20</v>
      </c>
    </row>
    <row r="11" s="3" customFormat="1" ht="20" customHeight="1" spans="1:19">
      <c r="A11" s="166" t="s">
        <v>614</v>
      </c>
      <c r="B11" s="166" t="s">
        <v>165</v>
      </c>
      <c r="C11" s="162" t="s">
        <v>615</v>
      </c>
      <c r="D11" s="162" t="s">
        <v>278</v>
      </c>
      <c r="E11" s="162" t="s">
        <v>28</v>
      </c>
      <c r="F11" s="27">
        <v>202103001</v>
      </c>
      <c r="G11" s="162" t="s">
        <v>585</v>
      </c>
      <c r="H11" s="162" t="s">
        <v>595</v>
      </c>
      <c r="I11" s="162" t="s">
        <v>280</v>
      </c>
      <c r="J11" s="162" t="s">
        <v>170</v>
      </c>
      <c r="K11" s="162" t="s">
        <v>281</v>
      </c>
      <c r="L11" s="162" t="s">
        <v>28</v>
      </c>
      <c r="M11" s="162" t="s">
        <v>617</v>
      </c>
      <c r="N11" s="118" t="str">
        <f>_xlfn.DISPIMG("ID_85355BEE288D4456A9F8FBBF22F43B44",1)</f>
        <v>=DISPIMG("ID_85355BEE288D4456A9F8FBBF22F43B44",1)</v>
      </c>
      <c r="O11" s="115" t="s">
        <v>618</v>
      </c>
      <c r="P11" s="27">
        <v>55</v>
      </c>
      <c r="Q11" s="125" t="s">
        <v>4324</v>
      </c>
      <c r="R11" s="126" t="s">
        <v>36</v>
      </c>
      <c r="S11" s="124">
        <v>29</v>
      </c>
    </row>
    <row r="12" s="3" customFormat="1" ht="20" customHeight="1" spans="1:19">
      <c r="A12" s="166" t="s">
        <v>620</v>
      </c>
      <c r="B12" s="166" t="s">
        <v>165</v>
      </c>
      <c r="C12" s="162" t="s">
        <v>621</v>
      </c>
      <c r="D12" s="162" t="s">
        <v>278</v>
      </c>
      <c r="E12" s="162" t="s">
        <v>28</v>
      </c>
      <c r="F12" s="27">
        <v>202103001</v>
      </c>
      <c r="G12" s="162" t="s">
        <v>585</v>
      </c>
      <c r="H12" s="162" t="s">
        <v>595</v>
      </c>
      <c r="I12" s="162" t="s">
        <v>280</v>
      </c>
      <c r="J12" s="162" t="s">
        <v>170</v>
      </c>
      <c r="K12" s="162" t="s">
        <v>368</v>
      </c>
      <c r="L12" s="162" t="s">
        <v>28</v>
      </c>
      <c r="M12" s="162" t="s">
        <v>623</v>
      </c>
      <c r="N12" s="118" t="str">
        <f>_xlfn.DISPIMG("ID_109F9871D9934FD3B362EB8D2EAFD060",1)</f>
        <v>=DISPIMG("ID_109F9871D9934FD3B362EB8D2EAFD060",1)</v>
      </c>
      <c r="O12" s="115" t="s">
        <v>624</v>
      </c>
      <c r="P12" s="27">
        <v>56</v>
      </c>
      <c r="Q12" s="125" t="s">
        <v>4325</v>
      </c>
      <c r="R12" s="126" t="s">
        <v>36</v>
      </c>
      <c r="S12" s="124">
        <v>4</v>
      </c>
    </row>
    <row r="13" s="3" customFormat="1" ht="20" customHeight="1" spans="1:19">
      <c r="A13" s="166" t="s">
        <v>659</v>
      </c>
      <c r="B13" s="166" t="s">
        <v>165</v>
      </c>
      <c r="C13" s="162" t="s">
        <v>660</v>
      </c>
      <c r="D13" s="162" t="s">
        <v>278</v>
      </c>
      <c r="E13" s="162" t="s">
        <v>28</v>
      </c>
      <c r="F13" s="27">
        <v>202103001</v>
      </c>
      <c r="G13" s="162" t="s">
        <v>279</v>
      </c>
      <c r="H13" s="162" t="s">
        <v>662</v>
      </c>
      <c r="I13" s="162" t="s">
        <v>280</v>
      </c>
      <c r="J13" s="162" t="s">
        <v>170</v>
      </c>
      <c r="K13" s="162" t="s">
        <v>368</v>
      </c>
      <c r="L13" s="162" t="s">
        <v>663</v>
      </c>
      <c r="M13" s="162" t="s">
        <v>664</v>
      </c>
      <c r="N13" s="118" t="str">
        <f>_xlfn.DISPIMG("ID_4AE3C77D21184B118F491A1655043931",1)</f>
        <v>=DISPIMG("ID_4AE3C77D21184B118F491A1655043931",1)</v>
      </c>
      <c r="O13" s="115" t="s">
        <v>665</v>
      </c>
      <c r="P13" s="27">
        <v>61</v>
      </c>
      <c r="Q13" s="125" t="s">
        <v>4326</v>
      </c>
      <c r="R13" s="126" t="s">
        <v>36</v>
      </c>
      <c r="S13" s="124">
        <v>9</v>
      </c>
    </row>
    <row r="14" s="3" customFormat="1" ht="20" customHeight="1" spans="1:19">
      <c r="A14" s="166" t="s">
        <v>694</v>
      </c>
      <c r="B14" s="166" t="s">
        <v>165</v>
      </c>
      <c r="C14" s="162" t="s">
        <v>695</v>
      </c>
      <c r="D14" s="162" t="s">
        <v>278</v>
      </c>
      <c r="E14" s="162" t="s">
        <v>28</v>
      </c>
      <c r="F14" s="27">
        <v>202103001</v>
      </c>
      <c r="G14" s="162" t="s">
        <v>279</v>
      </c>
      <c r="H14" s="162" t="s">
        <v>697</v>
      </c>
      <c r="I14" s="162" t="s">
        <v>280</v>
      </c>
      <c r="J14" s="162" t="s">
        <v>160</v>
      </c>
      <c r="K14" s="162" t="s">
        <v>180</v>
      </c>
      <c r="L14" s="162" t="s">
        <v>28</v>
      </c>
      <c r="M14" s="162" t="s">
        <v>698</v>
      </c>
      <c r="N14" s="118" t="str">
        <f>_xlfn.DISPIMG("ID_E6AFBB076E18415F8E4E8CB1E3BFC1A0",1)</f>
        <v>=DISPIMG("ID_E6AFBB076E18415F8E4E8CB1E3BFC1A0",1)</v>
      </c>
      <c r="O14" s="115" t="s">
        <v>699</v>
      </c>
      <c r="P14" s="27">
        <v>65</v>
      </c>
      <c r="Q14" s="125" t="s">
        <v>4327</v>
      </c>
      <c r="R14" s="126" t="s">
        <v>36</v>
      </c>
      <c r="S14" s="124">
        <v>16</v>
      </c>
    </row>
    <row r="15" s="3" customFormat="1" ht="20" customHeight="1" spans="1:19">
      <c r="A15" s="166" t="s">
        <v>712</v>
      </c>
      <c r="B15" s="166" t="s">
        <v>165</v>
      </c>
      <c r="C15" s="162" t="s">
        <v>713</v>
      </c>
      <c r="D15" s="162" t="s">
        <v>278</v>
      </c>
      <c r="E15" s="162" t="s">
        <v>28</v>
      </c>
      <c r="F15" s="27">
        <v>202103001</v>
      </c>
      <c r="G15" s="162" t="s">
        <v>279</v>
      </c>
      <c r="H15" s="162" t="s">
        <v>168</v>
      </c>
      <c r="I15" s="162" t="s">
        <v>280</v>
      </c>
      <c r="J15" s="162" t="s">
        <v>170</v>
      </c>
      <c r="K15" s="162" t="s">
        <v>199</v>
      </c>
      <c r="L15" s="162" t="s">
        <v>715</v>
      </c>
      <c r="M15" s="162" t="s">
        <v>716</v>
      </c>
      <c r="N15" s="118" t="str">
        <f>_xlfn.DISPIMG("ID_CF0B9D1514D24BCEBECEF1FC59445AFE",1)</f>
        <v>=DISPIMG("ID_CF0B9D1514D24BCEBECEF1FC59445AFE",1)</v>
      </c>
      <c r="O15" s="115" t="s">
        <v>717</v>
      </c>
      <c r="P15" s="27">
        <v>67</v>
      </c>
      <c r="Q15" s="125" t="s">
        <v>4328</v>
      </c>
      <c r="R15" s="126" t="s">
        <v>36</v>
      </c>
      <c r="S15" s="124">
        <v>21</v>
      </c>
    </row>
    <row r="16" s="3" customFormat="1" ht="20" customHeight="1" spans="1:19">
      <c r="A16" s="166" t="s">
        <v>729</v>
      </c>
      <c r="B16" s="166" t="s">
        <v>165</v>
      </c>
      <c r="C16" s="162" t="s">
        <v>730</v>
      </c>
      <c r="D16" s="162" t="s">
        <v>278</v>
      </c>
      <c r="E16" s="162" t="s">
        <v>28</v>
      </c>
      <c r="F16" s="27">
        <v>202103001</v>
      </c>
      <c r="G16" s="162" t="s">
        <v>279</v>
      </c>
      <c r="H16" s="162" t="s">
        <v>732</v>
      </c>
      <c r="I16" s="162" t="s">
        <v>280</v>
      </c>
      <c r="J16" s="162" t="s">
        <v>170</v>
      </c>
      <c r="K16" s="162" t="s">
        <v>733</v>
      </c>
      <c r="L16" s="162" t="s">
        <v>517</v>
      </c>
      <c r="M16" s="162" t="s">
        <v>734</v>
      </c>
      <c r="N16" s="118" t="str">
        <f>_xlfn.DISPIMG("ID_9786F64DF5E04D0EBFF7257960884627",1)</f>
        <v>=DISPIMG("ID_9786F64DF5E04D0EBFF7257960884627",1)</v>
      </c>
      <c r="O16" s="115" t="s">
        <v>735</v>
      </c>
      <c r="P16" s="27">
        <v>69</v>
      </c>
      <c r="Q16" s="125" t="s">
        <v>4329</v>
      </c>
      <c r="R16" s="126" t="s">
        <v>36</v>
      </c>
      <c r="S16" s="124">
        <v>28</v>
      </c>
    </row>
    <row r="17" s="3" customFormat="1" ht="20" customHeight="1" spans="1:19">
      <c r="A17" s="166" t="s">
        <v>754</v>
      </c>
      <c r="B17" s="166" t="s">
        <v>165</v>
      </c>
      <c r="C17" s="162" t="s">
        <v>755</v>
      </c>
      <c r="D17" s="162" t="s">
        <v>278</v>
      </c>
      <c r="E17" s="162" t="s">
        <v>28</v>
      </c>
      <c r="F17" s="27">
        <v>202103001</v>
      </c>
      <c r="G17" s="162" t="s">
        <v>585</v>
      </c>
      <c r="H17" s="162" t="s">
        <v>576</v>
      </c>
      <c r="I17" s="162" t="s">
        <v>757</v>
      </c>
      <c r="J17" s="162" t="s">
        <v>170</v>
      </c>
      <c r="K17" s="162" t="s">
        <v>224</v>
      </c>
      <c r="L17" s="162" t="s">
        <v>376</v>
      </c>
      <c r="M17" s="162" t="s">
        <v>758</v>
      </c>
      <c r="N17" s="118" t="str">
        <f>_xlfn.DISPIMG("ID_7BB67F893C7640E3B6FEA6424D027990",1)</f>
        <v>=DISPIMG("ID_7BB67F893C7640E3B6FEA6424D027990",1)</v>
      </c>
      <c r="O17" s="115" t="s">
        <v>759</v>
      </c>
      <c r="P17" s="27">
        <v>72</v>
      </c>
      <c r="Q17" s="125" t="s">
        <v>4330</v>
      </c>
      <c r="R17" s="126" t="s">
        <v>36</v>
      </c>
      <c r="S17" s="124">
        <v>3</v>
      </c>
    </row>
    <row r="18" s="3" customFormat="1" ht="20" customHeight="1" spans="1:19">
      <c r="A18" s="166" t="s">
        <v>762</v>
      </c>
      <c r="B18" s="166" t="s">
        <v>165</v>
      </c>
      <c r="C18" s="162" t="s">
        <v>763</v>
      </c>
      <c r="D18" s="162" t="s">
        <v>278</v>
      </c>
      <c r="E18" s="162" t="s">
        <v>28</v>
      </c>
      <c r="F18" s="27">
        <v>202103001</v>
      </c>
      <c r="G18" s="162" t="s">
        <v>279</v>
      </c>
      <c r="H18" s="162" t="s">
        <v>765</v>
      </c>
      <c r="I18" s="162" t="s">
        <v>280</v>
      </c>
      <c r="J18" s="162" t="s">
        <v>170</v>
      </c>
      <c r="K18" s="162" t="s">
        <v>235</v>
      </c>
      <c r="L18" s="162" t="s">
        <v>340</v>
      </c>
      <c r="M18" s="162" t="s">
        <v>766</v>
      </c>
      <c r="N18" s="118" t="str">
        <f>_xlfn.DISPIMG("ID_4E1CCA66E504445CA5B7AB8D0FB70FB1",1)</f>
        <v>=DISPIMG("ID_4E1CCA66E504445CA5B7AB8D0FB70FB1",1)</v>
      </c>
      <c r="O18" s="115" t="s">
        <v>767</v>
      </c>
      <c r="P18" s="27">
        <v>73</v>
      </c>
      <c r="Q18" s="125" t="s">
        <v>4331</v>
      </c>
      <c r="R18" s="126" t="s">
        <v>36</v>
      </c>
      <c r="S18" s="124">
        <v>10</v>
      </c>
    </row>
    <row r="19" s="3" customFormat="1" ht="20" customHeight="1" spans="1:19">
      <c r="A19" s="166" t="s">
        <v>794</v>
      </c>
      <c r="B19" s="166" t="s">
        <v>165</v>
      </c>
      <c r="C19" s="162" t="s">
        <v>795</v>
      </c>
      <c r="D19" s="162" t="s">
        <v>278</v>
      </c>
      <c r="E19" s="162" t="s">
        <v>28</v>
      </c>
      <c r="F19" s="27">
        <v>202103001</v>
      </c>
      <c r="G19" s="162" t="s">
        <v>279</v>
      </c>
      <c r="H19" s="162" t="s">
        <v>367</v>
      </c>
      <c r="I19" s="162" t="s">
        <v>280</v>
      </c>
      <c r="J19" s="162" t="s">
        <v>170</v>
      </c>
      <c r="K19" s="162" t="s">
        <v>306</v>
      </c>
      <c r="L19" s="162" t="s">
        <v>376</v>
      </c>
      <c r="M19" s="162" t="s">
        <v>797</v>
      </c>
      <c r="N19" s="118" t="str">
        <f>_xlfn.DISPIMG("ID_639B898E1B304FC0A6FA0E13C551BEC4",1)</f>
        <v>=DISPIMG("ID_639B898E1B304FC0A6FA0E13C551BEC4",1)</v>
      </c>
      <c r="O19" s="115" t="s">
        <v>798</v>
      </c>
      <c r="P19" s="27">
        <v>77</v>
      </c>
      <c r="Q19" s="125" t="s">
        <v>4332</v>
      </c>
      <c r="R19" s="126" t="s">
        <v>36</v>
      </c>
      <c r="S19" s="124">
        <v>15</v>
      </c>
    </row>
    <row r="20" s="3" customFormat="1" ht="20" customHeight="1" spans="1:19">
      <c r="A20" s="166" t="s">
        <v>801</v>
      </c>
      <c r="B20" s="166" t="s">
        <v>165</v>
      </c>
      <c r="C20" s="162" t="s">
        <v>802</v>
      </c>
      <c r="D20" s="162" t="s">
        <v>278</v>
      </c>
      <c r="E20" s="162" t="s">
        <v>28</v>
      </c>
      <c r="F20" s="27">
        <v>202103001</v>
      </c>
      <c r="G20" s="162" t="s">
        <v>585</v>
      </c>
      <c r="H20" s="162" t="s">
        <v>804</v>
      </c>
      <c r="I20" s="162" t="s">
        <v>280</v>
      </c>
      <c r="J20" s="162" t="s">
        <v>170</v>
      </c>
      <c r="K20" s="162" t="s">
        <v>805</v>
      </c>
      <c r="L20" s="162" t="s">
        <v>376</v>
      </c>
      <c r="M20" s="162" t="s">
        <v>806</v>
      </c>
      <c r="N20" s="118" t="str">
        <f>_xlfn.DISPIMG("ID_AEB241E66C41495DBC633E36C32A72C8",1)</f>
        <v>=DISPIMG("ID_AEB241E66C41495DBC633E36C32A72C8",1)</v>
      </c>
      <c r="O20" s="115" t="s">
        <v>807</v>
      </c>
      <c r="P20" s="27">
        <v>78</v>
      </c>
      <c r="Q20" s="125" t="s">
        <v>4333</v>
      </c>
      <c r="R20" s="126" t="s">
        <v>36</v>
      </c>
      <c r="S20" s="124">
        <v>22</v>
      </c>
    </row>
    <row r="21" s="3" customFormat="1" ht="20" customHeight="1" spans="1:19">
      <c r="A21" s="166" t="s">
        <v>840</v>
      </c>
      <c r="B21" s="166" t="s">
        <v>165</v>
      </c>
      <c r="C21" s="162" t="s">
        <v>841</v>
      </c>
      <c r="D21" s="162" t="s">
        <v>278</v>
      </c>
      <c r="E21" s="162" t="s">
        <v>28</v>
      </c>
      <c r="F21" s="27">
        <v>202103001</v>
      </c>
      <c r="G21" s="162" t="s">
        <v>279</v>
      </c>
      <c r="H21" s="162" t="s">
        <v>339</v>
      </c>
      <c r="I21" s="162" t="s">
        <v>280</v>
      </c>
      <c r="J21" s="162" t="s">
        <v>170</v>
      </c>
      <c r="K21" s="162" t="s">
        <v>843</v>
      </c>
      <c r="L21" s="162" t="s">
        <v>376</v>
      </c>
      <c r="M21" s="162" t="s">
        <v>844</v>
      </c>
      <c r="N21" s="118" t="str">
        <f>_xlfn.DISPIMG("ID_424B9BE152D1418A818313627A199A3A",1)</f>
        <v>=DISPIMG("ID_424B9BE152D1418A818313627A199A3A",1)</v>
      </c>
      <c r="O21" s="115" t="s">
        <v>845</v>
      </c>
      <c r="P21" s="27">
        <v>83</v>
      </c>
      <c r="Q21" s="125" t="s">
        <v>4334</v>
      </c>
      <c r="R21" s="126" t="s">
        <v>36</v>
      </c>
      <c r="S21" s="124">
        <v>27</v>
      </c>
    </row>
    <row r="22" s="3" customFormat="1" ht="20" customHeight="1" spans="1:19">
      <c r="A22" s="166" t="s">
        <v>848</v>
      </c>
      <c r="B22" s="166" t="s">
        <v>165</v>
      </c>
      <c r="C22" s="162" t="s">
        <v>849</v>
      </c>
      <c r="D22" s="162" t="s">
        <v>278</v>
      </c>
      <c r="E22" s="162" t="s">
        <v>28</v>
      </c>
      <c r="F22" s="27">
        <v>202103001</v>
      </c>
      <c r="G22" s="162" t="s">
        <v>279</v>
      </c>
      <c r="H22" s="162" t="s">
        <v>851</v>
      </c>
      <c r="I22" s="162" t="s">
        <v>280</v>
      </c>
      <c r="J22" s="162" t="s">
        <v>170</v>
      </c>
      <c r="K22" s="162" t="s">
        <v>235</v>
      </c>
      <c r="L22" s="162" t="s">
        <v>340</v>
      </c>
      <c r="M22" s="162" t="s">
        <v>852</v>
      </c>
      <c r="N22" s="118" t="str">
        <f>_xlfn.DISPIMG("ID_42372BFB4B414C38BA1598FF5C930944",1)</f>
        <v>=DISPIMG("ID_42372BFB4B414C38BA1598FF5C930944",1)</v>
      </c>
      <c r="O22" s="115" t="s">
        <v>853</v>
      </c>
      <c r="P22" s="27">
        <v>84</v>
      </c>
      <c r="Q22" s="125" t="s">
        <v>4335</v>
      </c>
      <c r="R22" s="126" t="s">
        <v>36</v>
      </c>
      <c r="S22" s="124">
        <v>2</v>
      </c>
    </row>
    <row r="23" s="3" customFormat="1" ht="20" customHeight="1" spans="1:19">
      <c r="A23" s="166" t="s">
        <v>873</v>
      </c>
      <c r="B23" s="166" t="s">
        <v>165</v>
      </c>
      <c r="C23" s="162" t="s">
        <v>874</v>
      </c>
      <c r="D23" s="162" t="s">
        <v>278</v>
      </c>
      <c r="E23" s="162" t="s">
        <v>28</v>
      </c>
      <c r="F23" s="27">
        <v>202103001</v>
      </c>
      <c r="G23" s="162" t="s">
        <v>279</v>
      </c>
      <c r="H23" s="162" t="s">
        <v>876</v>
      </c>
      <c r="I23" s="162" t="s">
        <v>280</v>
      </c>
      <c r="J23" s="162" t="s">
        <v>170</v>
      </c>
      <c r="K23" s="162" t="s">
        <v>180</v>
      </c>
      <c r="L23" s="162" t="s">
        <v>517</v>
      </c>
      <c r="M23" s="162" t="s">
        <v>877</v>
      </c>
      <c r="N23" s="118" t="str">
        <f>_xlfn.DISPIMG("ID_FA24C7A6F2FA44B892B9DF563FC4E960",1)</f>
        <v>=DISPIMG("ID_FA24C7A6F2FA44B892B9DF563FC4E960",1)</v>
      </c>
      <c r="O23" s="115" t="s">
        <v>878</v>
      </c>
      <c r="P23" s="27">
        <v>87</v>
      </c>
      <c r="Q23" s="125" t="s">
        <v>4336</v>
      </c>
      <c r="R23" s="126" t="s">
        <v>36</v>
      </c>
      <c r="S23" s="124">
        <v>11</v>
      </c>
    </row>
    <row r="24" s="5" customFormat="1" ht="20" customHeight="1" spans="1:19">
      <c r="A24" s="166" t="s">
        <v>881</v>
      </c>
      <c r="B24" s="166" t="s">
        <v>165</v>
      </c>
      <c r="C24" s="165" t="s">
        <v>882</v>
      </c>
      <c r="D24" s="165" t="s">
        <v>278</v>
      </c>
      <c r="E24" s="165" t="s">
        <v>28</v>
      </c>
      <c r="F24" s="116">
        <v>202103001</v>
      </c>
      <c r="G24" s="165" t="s">
        <v>279</v>
      </c>
      <c r="H24" s="165" t="s">
        <v>884</v>
      </c>
      <c r="I24" s="165" t="s">
        <v>223</v>
      </c>
      <c r="J24" s="165" t="s">
        <v>170</v>
      </c>
      <c r="K24" s="165" t="s">
        <v>733</v>
      </c>
      <c r="L24" s="165" t="s">
        <v>885</v>
      </c>
      <c r="M24" s="165" t="s">
        <v>886</v>
      </c>
      <c r="N24" s="119" t="str">
        <f>_xlfn.DISPIMG("ID_79374B2C837849A79ABAFBB6FF76D11C",1)</f>
        <v>=DISPIMG("ID_79374B2C837849A79ABAFBB6FF76D11C",1)</v>
      </c>
      <c r="O24" s="120" t="s">
        <v>887</v>
      </c>
      <c r="P24" s="27">
        <v>88</v>
      </c>
      <c r="Q24" s="125" t="s">
        <v>4337</v>
      </c>
      <c r="R24" s="126" t="s">
        <v>36</v>
      </c>
      <c r="S24" s="124">
        <v>14</v>
      </c>
    </row>
    <row r="25" s="3" customFormat="1" ht="20" customHeight="1" spans="1:19">
      <c r="A25" s="166" t="s">
        <v>890</v>
      </c>
      <c r="B25" s="166" t="s">
        <v>165</v>
      </c>
      <c r="C25" s="162" t="s">
        <v>891</v>
      </c>
      <c r="D25" s="162" t="s">
        <v>278</v>
      </c>
      <c r="E25" s="162" t="s">
        <v>28</v>
      </c>
      <c r="F25" s="27">
        <v>202103001</v>
      </c>
      <c r="G25" s="162" t="s">
        <v>279</v>
      </c>
      <c r="H25" s="162" t="s">
        <v>765</v>
      </c>
      <c r="I25" s="162" t="s">
        <v>893</v>
      </c>
      <c r="J25" s="162" t="s">
        <v>170</v>
      </c>
      <c r="K25" s="162" t="s">
        <v>161</v>
      </c>
      <c r="L25" s="162" t="s">
        <v>340</v>
      </c>
      <c r="M25" s="162" t="s">
        <v>894</v>
      </c>
      <c r="N25" s="118" t="str">
        <f>_xlfn.DISPIMG("ID_85B3DA5A290A4196889B653600FB42ED",1)</f>
        <v>=DISPIMG("ID_85B3DA5A290A4196889B653600FB42ED",1)</v>
      </c>
      <c r="O25" s="115" t="s">
        <v>895</v>
      </c>
      <c r="P25" s="27">
        <v>89</v>
      </c>
      <c r="Q25" s="125" t="s">
        <v>4338</v>
      </c>
      <c r="R25" s="126" t="s">
        <v>36</v>
      </c>
      <c r="S25" s="124">
        <v>23</v>
      </c>
    </row>
    <row r="26" s="3" customFormat="1" ht="20" customHeight="1" spans="1:19">
      <c r="A26" s="166" t="s">
        <v>924</v>
      </c>
      <c r="B26" s="166" t="s">
        <v>165</v>
      </c>
      <c r="C26" s="162" t="s">
        <v>925</v>
      </c>
      <c r="D26" s="162" t="s">
        <v>278</v>
      </c>
      <c r="E26" s="162" t="s">
        <v>28</v>
      </c>
      <c r="F26" s="27">
        <v>202103001</v>
      </c>
      <c r="G26" s="162" t="s">
        <v>585</v>
      </c>
      <c r="H26" s="162" t="s">
        <v>927</v>
      </c>
      <c r="I26" s="162" t="s">
        <v>928</v>
      </c>
      <c r="J26" s="162" t="s">
        <v>170</v>
      </c>
      <c r="K26" s="162" t="s">
        <v>349</v>
      </c>
      <c r="L26" s="162" t="s">
        <v>376</v>
      </c>
      <c r="M26" s="162" t="s">
        <v>929</v>
      </c>
      <c r="N26" s="118" t="str">
        <f>_xlfn.DISPIMG("ID_8862CF8F67E94F49BA25AF43C58A74CB",1)</f>
        <v>=DISPIMG("ID_8862CF8F67E94F49BA25AF43C58A74CB",1)</v>
      </c>
      <c r="O26" s="115" t="s">
        <v>930</v>
      </c>
      <c r="P26" s="27">
        <v>93</v>
      </c>
      <c r="Q26" s="125" t="s">
        <v>4339</v>
      </c>
      <c r="R26" s="126" t="s">
        <v>36</v>
      </c>
      <c r="S26" s="124">
        <v>26</v>
      </c>
    </row>
    <row r="27" s="3" customFormat="1" ht="20" customHeight="1" spans="1:19">
      <c r="A27" s="166" t="s">
        <v>957</v>
      </c>
      <c r="B27" s="166" t="s">
        <v>165</v>
      </c>
      <c r="C27" s="162" t="s">
        <v>958</v>
      </c>
      <c r="D27" s="162" t="s">
        <v>278</v>
      </c>
      <c r="E27" s="162" t="s">
        <v>28</v>
      </c>
      <c r="F27" s="27">
        <v>202103001</v>
      </c>
      <c r="G27" s="162" t="s">
        <v>279</v>
      </c>
      <c r="H27" s="162" t="s">
        <v>367</v>
      </c>
      <c r="I27" s="162" t="s">
        <v>960</v>
      </c>
      <c r="J27" s="162" t="s">
        <v>160</v>
      </c>
      <c r="K27" s="162" t="s">
        <v>261</v>
      </c>
      <c r="L27" s="162" t="s">
        <v>961</v>
      </c>
      <c r="M27" s="27">
        <v>0</v>
      </c>
      <c r="N27" s="118" t="str">
        <f>_xlfn.DISPIMG("ID_4CCFD0700027401988C293FD5FDA33FE",1)</f>
        <v>=DISPIMG("ID_4CCFD0700027401988C293FD5FDA33FE",1)</v>
      </c>
      <c r="O27" s="115" t="s">
        <v>962</v>
      </c>
      <c r="P27" s="27">
        <v>97</v>
      </c>
      <c r="Q27" s="125" t="s">
        <v>4340</v>
      </c>
      <c r="R27" s="126" t="s">
        <v>36</v>
      </c>
      <c r="S27" s="124">
        <v>1</v>
      </c>
    </row>
    <row r="28" s="3" customFormat="1" ht="20" customHeight="1" spans="1:19">
      <c r="A28" s="166" t="s">
        <v>1010</v>
      </c>
      <c r="B28" s="166" t="s">
        <v>165</v>
      </c>
      <c r="C28" s="162" t="s">
        <v>1011</v>
      </c>
      <c r="D28" s="162" t="s">
        <v>278</v>
      </c>
      <c r="E28" s="162" t="s">
        <v>28</v>
      </c>
      <c r="F28" s="27">
        <v>202103001</v>
      </c>
      <c r="G28" s="162" t="s">
        <v>279</v>
      </c>
      <c r="H28" s="162" t="s">
        <v>662</v>
      </c>
      <c r="I28" s="162" t="s">
        <v>280</v>
      </c>
      <c r="J28" s="162" t="s">
        <v>170</v>
      </c>
      <c r="K28" s="162" t="s">
        <v>161</v>
      </c>
      <c r="L28" s="162" t="s">
        <v>1013</v>
      </c>
      <c r="M28" s="162" t="s">
        <v>1014</v>
      </c>
      <c r="N28" s="118" t="str">
        <f>_xlfn.DISPIMG("ID_723B44C496604BFA92AC4D10BD64E9FC",1)</f>
        <v>=DISPIMG("ID_723B44C496604BFA92AC4D10BD64E9FC",1)</v>
      </c>
      <c r="O28" s="115" t="s">
        <v>1015</v>
      </c>
      <c r="P28" s="27">
        <v>103</v>
      </c>
      <c r="Q28" s="125" t="s">
        <v>4341</v>
      </c>
      <c r="R28" s="126" t="s">
        <v>36</v>
      </c>
      <c r="S28" s="124">
        <v>12</v>
      </c>
    </row>
    <row r="29" s="3" customFormat="1" ht="20" customHeight="1" spans="1:19">
      <c r="A29" s="166" t="s">
        <v>1027</v>
      </c>
      <c r="B29" s="166" t="s">
        <v>165</v>
      </c>
      <c r="C29" s="162" t="s">
        <v>1028</v>
      </c>
      <c r="D29" s="162" t="s">
        <v>278</v>
      </c>
      <c r="E29" s="162" t="s">
        <v>28</v>
      </c>
      <c r="F29" s="27">
        <v>202103001</v>
      </c>
      <c r="G29" s="162" t="s">
        <v>279</v>
      </c>
      <c r="H29" s="162" t="s">
        <v>662</v>
      </c>
      <c r="I29" s="162" t="s">
        <v>280</v>
      </c>
      <c r="J29" s="162" t="s">
        <v>170</v>
      </c>
      <c r="K29" s="162" t="s">
        <v>161</v>
      </c>
      <c r="L29" s="162" t="s">
        <v>376</v>
      </c>
      <c r="M29" s="162" t="s">
        <v>1030</v>
      </c>
      <c r="N29" s="118" t="str">
        <f>_xlfn.DISPIMG("ID_1619E0FF3AE04637958459633AD8C1B8",1)</f>
        <v>=DISPIMG("ID_1619E0FF3AE04637958459633AD8C1B8",1)</v>
      </c>
      <c r="O29" s="115" t="s">
        <v>1031</v>
      </c>
      <c r="P29" s="27">
        <v>105</v>
      </c>
      <c r="Q29" s="125" t="s">
        <v>4342</v>
      </c>
      <c r="R29" s="126" t="s">
        <v>36</v>
      </c>
      <c r="S29" s="124">
        <v>13</v>
      </c>
    </row>
    <row r="30" s="3" customFormat="1" ht="20" customHeight="1" spans="1:19">
      <c r="A30" s="166" t="s">
        <v>1043</v>
      </c>
      <c r="B30" s="166" t="s">
        <v>165</v>
      </c>
      <c r="C30" s="162" t="s">
        <v>1044</v>
      </c>
      <c r="D30" s="162" t="s">
        <v>278</v>
      </c>
      <c r="E30" s="162" t="s">
        <v>28</v>
      </c>
      <c r="F30" s="27">
        <v>202103001</v>
      </c>
      <c r="G30" s="162" t="s">
        <v>279</v>
      </c>
      <c r="H30" s="162" t="s">
        <v>515</v>
      </c>
      <c r="I30" s="162" t="s">
        <v>280</v>
      </c>
      <c r="J30" s="162" t="s">
        <v>170</v>
      </c>
      <c r="K30" s="162" t="s">
        <v>216</v>
      </c>
      <c r="L30" s="162" t="s">
        <v>28</v>
      </c>
      <c r="M30" s="162" t="s">
        <v>1046</v>
      </c>
      <c r="N30" s="118" t="str">
        <f>_xlfn.DISPIMG("ID_95C77A057E51453F847E60BE7A6D3C93",1)</f>
        <v>=DISPIMG("ID_95C77A057E51453F847E60BE7A6D3C93",1)</v>
      </c>
      <c r="O30" s="115" t="s">
        <v>1047</v>
      </c>
      <c r="P30" s="27">
        <v>107</v>
      </c>
      <c r="Q30" s="125" t="s">
        <v>4343</v>
      </c>
      <c r="R30" s="126" t="s">
        <v>36</v>
      </c>
      <c r="S30" s="124">
        <v>24</v>
      </c>
    </row>
    <row r="31" s="3" customFormat="1" ht="20" customHeight="1" spans="1:19">
      <c r="A31" s="166" t="s">
        <v>1094</v>
      </c>
      <c r="B31" s="166" t="s">
        <v>165</v>
      </c>
      <c r="C31" s="162" t="s">
        <v>1095</v>
      </c>
      <c r="D31" s="162" t="s">
        <v>278</v>
      </c>
      <c r="E31" s="162" t="s">
        <v>28</v>
      </c>
      <c r="F31" s="27">
        <v>202103001</v>
      </c>
      <c r="G31" s="162" t="s">
        <v>279</v>
      </c>
      <c r="H31" s="162" t="s">
        <v>1097</v>
      </c>
      <c r="I31" s="162" t="s">
        <v>280</v>
      </c>
      <c r="J31" s="162" t="s">
        <v>170</v>
      </c>
      <c r="K31" s="162" t="s">
        <v>455</v>
      </c>
      <c r="L31" s="162" t="s">
        <v>1098</v>
      </c>
      <c r="M31" s="27">
        <v>0</v>
      </c>
      <c r="N31" s="118" t="str">
        <f>_xlfn.DISPIMG("ID_FAFFBB147A2A46E5B294F9119A127E5F",1)</f>
        <v>=DISPIMG("ID_FAFFBB147A2A46E5B294F9119A127E5F",1)</v>
      </c>
      <c r="O31" s="115" t="s">
        <v>1099</v>
      </c>
      <c r="P31" s="27">
        <v>114</v>
      </c>
      <c r="Q31" s="125" t="s">
        <v>4344</v>
      </c>
      <c r="R31" s="126" t="s">
        <v>36</v>
      </c>
      <c r="S31" s="124">
        <v>25</v>
      </c>
    </row>
    <row r="32" s="3" customFormat="1" ht="20" customHeight="1" spans="1:19">
      <c r="A32" s="166" t="s">
        <v>1218</v>
      </c>
      <c r="B32" s="166" t="s">
        <v>165</v>
      </c>
      <c r="C32" s="162" t="s">
        <v>1219</v>
      </c>
      <c r="D32" s="162" t="s">
        <v>278</v>
      </c>
      <c r="E32" s="162" t="s">
        <v>28</v>
      </c>
      <c r="F32" s="27">
        <v>202103001</v>
      </c>
      <c r="G32" s="162" t="s">
        <v>279</v>
      </c>
      <c r="H32" s="162" t="s">
        <v>1221</v>
      </c>
      <c r="I32" s="162" t="s">
        <v>280</v>
      </c>
      <c r="J32" s="162" t="s">
        <v>170</v>
      </c>
      <c r="K32" s="162" t="s">
        <v>161</v>
      </c>
      <c r="L32" s="162" t="s">
        <v>1222</v>
      </c>
      <c r="M32" s="162" t="s">
        <v>1223</v>
      </c>
      <c r="N32" s="118" t="str">
        <f>_xlfn.DISPIMG("ID_9D5D5082709049DE9F85EE45C9D21765",1)</f>
        <v>=DISPIMG("ID_9D5D5082709049DE9F85EE45C9D21765",1)</v>
      </c>
      <c r="O32" s="115" t="s">
        <v>1224</v>
      </c>
      <c r="P32" s="27">
        <v>129</v>
      </c>
      <c r="Q32" s="125" t="s">
        <v>4345</v>
      </c>
      <c r="R32" s="126" t="s">
        <v>38</v>
      </c>
      <c r="S32" s="124">
        <v>6</v>
      </c>
    </row>
    <row r="33" s="3" customFormat="1" ht="20" customHeight="1" spans="1:19">
      <c r="A33" s="166" t="s">
        <v>1234</v>
      </c>
      <c r="B33" s="166" t="s">
        <v>165</v>
      </c>
      <c r="C33" s="162" t="s">
        <v>1235</v>
      </c>
      <c r="D33" s="162" t="s">
        <v>278</v>
      </c>
      <c r="E33" s="162" t="s">
        <v>28</v>
      </c>
      <c r="F33" s="27">
        <v>202103001</v>
      </c>
      <c r="G33" s="162" t="s">
        <v>279</v>
      </c>
      <c r="H33" s="162" t="s">
        <v>1237</v>
      </c>
      <c r="I33" s="162" t="s">
        <v>280</v>
      </c>
      <c r="J33" s="162" t="s">
        <v>170</v>
      </c>
      <c r="K33" s="162" t="s">
        <v>161</v>
      </c>
      <c r="L33" s="162" t="s">
        <v>340</v>
      </c>
      <c r="M33" s="162" t="s">
        <v>1238</v>
      </c>
      <c r="N33" s="118" t="str">
        <f>_xlfn.DISPIMG("ID_BE82B2F060544F05BBDE4FAB7F0C0521",1)</f>
        <v>=DISPIMG("ID_BE82B2F060544F05BBDE4FAB7F0C0521",1)</v>
      </c>
      <c r="O33" s="115" t="s">
        <v>1239</v>
      </c>
      <c r="P33" s="27">
        <v>131</v>
      </c>
      <c r="Q33" s="125" t="s">
        <v>4346</v>
      </c>
      <c r="R33" s="126" t="s">
        <v>38</v>
      </c>
      <c r="S33" s="124">
        <v>7</v>
      </c>
    </row>
    <row r="34" s="3" customFormat="1" ht="20" customHeight="1" spans="1:19">
      <c r="A34" s="166" t="s">
        <v>1242</v>
      </c>
      <c r="B34" s="166" t="s">
        <v>165</v>
      </c>
      <c r="C34" s="162" t="s">
        <v>1243</v>
      </c>
      <c r="D34" s="162" t="s">
        <v>278</v>
      </c>
      <c r="E34" s="162" t="s">
        <v>28</v>
      </c>
      <c r="F34" s="27">
        <v>202103001</v>
      </c>
      <c r="G34" s="162" t="s">
        <v>279</v>
      </c>
      <c r="H34" s="162" t="s">
        <v>1237</v>
      </c>
      <c r="I34" s="162" t="s">
        <v>280</v>
      </c>
      <c r="J34" s="162" t="s">
        <v>170</v>
      </c>
      <c r="K34" s="162" t="s">
        <v>161</v>
      </c>
      <c r="L34" s="162" t="s">
        <v>340</v>
      </c>
      <c r="M34" s="162" t="s">
        <v>1245</v>
      </c>
      <c r="N34" s="118" t="str">
        <f>_xlfn.DISPIMG("ID_1047B30E34C949B594403C816BBC2C68",1)</f>
        <v>=DISPIMG("ID_1047B30E34C949B594403C816BBC2C68",1)</v>
      </c>
      <c r="O34" s="115" t="s">
        <v>1246</v>
      </c>
      <c r="P34" s="27">
        <v>132</v>
      </c>
      <c r="Q34" s="125" t="s">
        <v>4347</v>
      </c>
      <c r="R34" s="126" t="s">
        <v>38</v>
      </c>
      <c r="S34" s="124">
        <v>18</v>
      </c>
    </row>
    <row r="35" s="3" customFormat="1" ht="20" customHeight="1" spans="1:19">
      <c r="A35" s="166" t="s">
        <v>1249</v>
      </c>
      <c r="B35" s="166" t="s">
        <v>153</v>
      </c>
      <c r="C35" s="162" t="s">
        <v>1250</v>
      </c>
      <c r="D35" s="162" t="s">
        <v>278</v>
      </c>
      <c r="E35" s="162" t="s">
        <v>28</v>
      </c>
      <c r="F35" s="27">
        <v>202103001</v>
      </c>
      <c r="G35" s="162" t="s">
        <v>279</v>
      </c>
      <c r="H35" s="162" t="s">
        <v>515</v>
      </c>
      <c r="I35" s="162" t="s">
        <v>280</v>
      </c>
      <c r="J35" s="162" t="s">
        <v>170</v>
      </c>
      <c r="K35" s="162" t="s">
        <v>541</v>
      </c>
      <c r="L35" s="162" t="s">
        <v>376</v>
      </c>
      <c r="M35" s="27">
        <v>0</v>
      </c>
      <c r="N35" s="118" t="str">
        <f>_xlfn.DISPIMG("ID_42B7E9B54AA84CB08052198053CBAE81",1)</f>
        <v>=DISPIMG("ID_42B7E9B54AA84CB08052198053CBAE81",1)</v>
      </c>
      <c r="O35" s="115" t="s">
        <v>1252</v>
      </c>
      <c r="P35" s="27">
        <v>133</v>
      </c>
      <c r="Q35" s="125" t="s">
        <v>4348</v>
      </c>
      <c r="R35" s="126" t="s">
        <v>38</v>
      </c>
      <c r="S35" s="124">
        <v>19</v>
      </c>
    </row>
    <row r="36" s="3" customFormat="1" ht="20" customHeight="1" spans="1:19">
      <c r="A36" s="166" t="s">
        <v>1280</v>
      </c>
      <c r="B36" s="166" t="s">
        <v>165</v>
      </c>
      <c r="C36" s="162" t="s">
        <v>1281</v>
      </c>
      <c r="D36" s="162" t="s">
        <v>278</v>
      </c>
      <c r="E36" s="162" t="s">
        <v>28</v>
      </c>
      <c r="F36" s="27">
        <v>202103001</v>
      </c>
      <c r="G36" s="162" t="s">
        <v>279</v>
      </c>
      <c r="H36" s="162" t="s">
        <v>367</v>
      </c>
      <c r="I36" s="162" t="s">
        <v>280</v>
      </c>
      <c r="J36" s="162" t="s">
        <v>170</v>
      </c>
      <c r="K36" s="162" t="s">
        <v>368</v>
      </c>
      <c r="L36" s="162" t="s">
        <v>340</v>
      </c>
      <c r="M36" s="162" t="s">
        <v>1283</v>
      </c>
      <c r="N36" s="118" t="str">
        <f>_xlfn.DISPIMG("ID_7CFB1AF7BB454AE0866D54E1D87E03E1",1)</f>
        <v>=DISPIMG("ID_7CFB1AF7BB454AE0866D54E1D87E03E1",1)</v>
      </c>
      <c r="O36" s="115" t="s">
        <v>1284</v>
      </c>
      <c r="P36" s="27">
        <v>138</v>
      </c>
      <c r="Q36" s="125" t="s">
        <v>4349</v>
      </c>
      <c r="R36" s="126" t="s">
        <v>38</v>
      </c>
      <c r="S36" s="124">
        <v>30</v>
      </c>
    </row>
    <row r="37" s="4" customFormat="1" ht="20" customHeight="1" spans="1:19">
      <c r="A37" s="166" t="s">
        <v>1286</v>
      </c>
      <c r="B37" s="166" t="s">
        <v>165</v>
      </c>
      <c r="C37" s="164" t="s">
        <v>1287</v>
      </c>
      <c r="D37" s="164" t="s">
        <v>278</v>
      </c>
      <c r="E37" s="164" t="s">
        <v>28</v>
      </c>
      <c r="F37" s="22">
        <v>202103001</v>
      </c>
      <c r="G37" s="164" t="s">
        <v>279</v>
      </c>
      <c r="H37" s="164" t="s">
        <v>1289</v>
      </c>
      <c r="I37" s="164" t="s">
        <v>280</v>
      </c>
      <c r="J37" s="164" t="s">
        <v>170</v>
      </c>
      <c r="K37" s="164" t="s">
        <v>216</v>
      </c>
      <c r="L37" s="164" t="s">
        <v>960</v>
      </c>
      <c r="M37" s="164" t="s">
        <v>1290</v>
      </c>
      <c r="N37" s="23" t="str">
        <f>_xlfn.DISPIMG("ID_FACC95E727304010BE372974F21E9256",1)</f>
        <v>=DISPIMG("ID_FACC95E727304010BE372974F21E9256",1)</v>
      </c>
      <c r="O37" s="103" t="s">
        <v>1291</v>
      </c>
      <c r="P37" s="27">
        <v>139</v>
      </c>
      <c r="Q37" s="125" t="s">
        <v>4350</v>
      </c>
      <c r="R37" s="126" t="s">
        <v>38</v>
      </c>
      <c r="S37" s="124">
        <v>5</v>
      </c>
    </row>
    <row r="38" s="5" customFormat="1" ht="20" customHeight="1" spans="1:19">
      <c r="A38" s="166" t="s">
        <v>1344</v>
      </c>
      <c r="B38" s="166" t="s">
        <v>165</v>
      </c>
      <c r="C38" s="165" t="s">
        <v>1345</v>
      </c>
      <c r="D38" s="165" t="s">
        <v>278</v>
      </c>
      <c r="E38" s="165" t="s">
        <v>28</v>
      </c>
      <c r="F38" s="116">
        <v>202103001</v>
      </c>
      <c r="G38" s="165" t="s">
        <v>279</v>
      </c>
      <c r="H38" s="165" t="s">
        <v>158</v>
      </c>
      <c r="I38" s="165" t="s">
        <v>179</v>
      </c>
      <c r="J38" s="165" t="s">
        <v>170</v>
      </c>
      <c r="K38" s="165" t="s">
        <v>1346</v>
      </c>
      <c r="L38" s="165" t="s">
        <v>1013</v>
      </c>
      <c r="M38" s="116">
        <v>0</v>
      </c>
      <c r="N38" s="119" t="str">
        <f>_xlfn.DISPIMG("ID_249FF3C1A0EA4CE88757DD6F52651ECC",1)</f>
        <v>=DISPIMG("ID_249FF3C1A0EA4CE88757DD6F52651ECC",1)</v>
      </c>
      <c r="O38" s="120" t="s">
        <v>1347</v>
      </c>
      <c r="P38" s="27">
        <v>146</v>
      </c>
      <c r="Q38" s="125" t="s">
        <v>4351</v>
      </c>
      <c r="R38" s="126" t="s">
        <v>38</v>
      </c>
      <c r="S38" s="124">
        <v>8</v>
      </c>
    </row>
    <row r="39" s="3" customFormat="1" ht="20" customHeight="1" spans="1:19">
      <c r="A39" s="166" t="s">
        <v>1327</v>
      </c>
      <c r="B39" s="166" t="s">
        <v>165</v>
      </c>
      <c r="C39" s="162" t="s">
        <v>1328</v>
      </c>
      <c r="D39" s="162" t="s">
        <v>278</v>
      </c>
      <c r="E39" s="162" t="s">
        <v>28</v>
      </c>
      <c r="F39" s="27">
        <v>202103001</v>
      </c>
      <c r="G39" s="162" t="s">
        <v>279</v>
      </c>
      <c r="H39" s="162" t="s">
        <v>1330</v>
      </c>
      <c r="I39" s="162" t="s">
        <v>1331</v>
      </c>
      <c r="J39" s="162" t="s">
        <v>160</v>
      </c>
      <c r="K39" s="162" t="s">
        <v>368</v>
      </c>
      <c r="L39" s="162" t="s">
        <v>1418</v>
      </c>
      <c r="M39" s="27">
        <v>0</v>
      </c>
      <c r="N39" s="118" t="str">
        <f>_xlfn.DISPIMG("ID_042121583D6C4BE29ACF5C4CE545F254",1)</f>
        <v>=DISPIMG("ID_042121583D6C4BE29ACF5C4CE545F254",1)</v>
      </c>
      <c r="O39" s="115" t="s">
        <v>1333</v>
      </c>
      <c r="P39" s="27">
        <v>156</v>
      </c>
      <c r="Q39" s="125" t="s">
        <v>4352</v>
      </c>
      <c r="R39" s="126" t="s">
        <v>38</v>
      </c>
      <c r="S39" s="124">
        <v>17</v>
      </c>
    </row>
    <row r="40" s="3" customFormat="1" ht="20" customHeight="1" spans="1:19">
      <c r="A40" s="166" t="s">
        <v>1446</v>
      </c>
      <c r="B40" s="166" t="s">
        <v>165</v>
      </c>
      <c r="C40" s="162" t="s">
        <v>1447</v>
      </c>
      <c r="D40" s="162" t="s">
        <v>278</v>
      </c>
      <c r="E40" s="162" t="s">
        <v>28</v>
      </c>
      <c r="F40" s="27">
        <v>202103001</v>
      </c>
      <c r="G40" s="162" t="s">
        <v>585</v>
      </c>
      <c r="H40" s="162" t="s">
        <v>367</v>
      </c>
      <c r="I40" s="162" t="s">
        <v>280</v>
      </c>
      <c r="J40" s="162" t="s">
        <v>170</v>
      </c>
      <c r="K40" s="162" t="s">
        <v>306</v>
      </c>
      <c r="L40" s="162" t="s">
        <v>1449</v>
      </c>
      <c r="M40" s="162" t="s">
        <v>1450</v>
      </c>
      <c r="N40" s="118" t="str">
        <f>_xlfn.DISPIMG("ID_C58710654847468A83F51047999B3A07",1)</f>
        <v>=DISPIMG("ID_C58710654847468A83F51047999B3A07",1)</v>
      </c>
      <c r="O40" s="115" t="s">
        <v>1451</v>
      </c>
      <c r="P40" s="27">
        <v>160</v>
      </c>
      <c r="Q40" s="125" t="s">
        <v>4353</v>
      </c>
      <c r="R40" s="126" t="s">
        <v>38</v>
      </c>
      <c r="S40" s="124">
        <v>20</v>
      </c>
    </row>
    <row r="41" s="3" customFormat="1" ht="20" customHeight="1" spans="1:19">
      <c r="A41" s="166" t="s">
        <v>1454</v>
      </c>
      <c r="B41" s="166" t="s">
        <v>165</v>
      </c>
      <c r="C41" s="162" t="s">
        <v>1455</v>
      </c>
      <c r="D41" s="162" t="s">
        <v>278</v>
      </c>
      <c r="E41" s="162" t="s">
        <v>28</v>
      </c>
      <c r="F41" s="27">
        <v>202103001</v>
      </c>
      <c r="G41" s="162" t="s">
        <v>157</v>
      </c>
      <c r="H41" s="162" t="s">
        <v>1457</v>
      </c>
      <c r="I41" s="162" t="s">
        <v>280</v>
      </c>
      <c r="J41" s="162" t="s">
        <v>160</v>
      </c>
      <c r="K41" s="162" t="s">
        <v>368</v>
      </c>
      <c r="L41" s="162" t="s">
        <v>1458</v>
      </c>
      <c r="M41" s="162" t="s">
        <v>1459</v>
      </c>
      <c r="N41" s="118" t="str">
        <f>_xlfn.DISPIMG("ID_B3F35F8B340047F693855C9AE3461262",1)</f>
        <v>=DISPIMG("ID_B3F35F8B340047F693855C9AE3461262",1)</v>
      </c>
      <c r="O41" s="115" t="s">
        <v>1460</v>
      </c>
      <c r="P41" s="27">
        <v>161</v>
      </c>
      <c r="Q41" s="125" t="s">
        <v>4354</v>
      </c>
      <c r="R41" s="126" t="s">
        <v>38</v>
      </c>
      <c r="S41" s="124">
        <v>29</v>
      </c>
    </row>
    <row r="42" s="3" customFormat="1" ht="20" customHeight="1" spans="1:19">
      <c r="A42" s="166" t="s">
        <v>1520</v>
      </c>
      <c r="B42" s="166" t="s">
        <v>165</v>
      </c>
      <c r="C42" s="162" t="s">
        <v>1521</v>
      </c>
      <c r="D42" s="162" t="s">
        <v>278</v>
      </c>
      <c r="E42" s="162" t="s">
        <v>28</v>
      </c>
      <c r="F42" s="27">
        <v>202103001</v>
      </c>
      <c r="G42" s="162" t="s">
        <v>279</v>
      </c>
      <c r="H42" s="162" t="s">
        <v>1523</v>
      </c>
      <c r="I42" s="162" t="s">
        <v>280</v>
      </c>
      <c r="J42" s="162" t="s">
        <v>170</v>
      </c>
      <c r="K42" s="162" t="s">
        <v>235</v>
      </c>
      <c r="L42" s="162" t="s">
        <v>28</v>
      </c>
      <c r="M42" s="162" t="s">
        <v>1524</v>
      </c>
      <c r="N42" s="118" t="str">
        <f>_xlfn.DISPIMG("ID_289CC567200648A4AB5780D725CC9684",1)</f>
        <v>=DISPIMG("ID_289CC567200648A4AB5780D725CC9684",1)</v>
      </c>
      <c r="O42" s="115" t="s">
        <v>1525</v>
      </c>
      <c r="P42" s="27">
        <v>169</v>
      </c>
      <c r="Q42" s="125" t="s">
        <v>4355</v>
      </c>
      <c r="R42" s="126" t="s">
        <v>38</v>
      </c>
      <c r="S42" s="124">
        <v>4</v>
      </c>
    </row>
    <row r="43" s="3" customFormat="1" ht="20" customHeight="1" spans="1:19">
      <c r="A43" s="166" t="s">
        <v>1535</v>
      </c>
      <c r="B43" s="166" t="s">
        <v>165</v>
      </c>
      <c r="C43" s="162" t="s">
        <v>1536</v>
      </c>
      <c r="D43" s="162" t="s">
        <v>278</v>
      </c>
      <c r="E43" s="162" t="s">
        <v>28</v>
      </c>
      <c r="F43" s="27">
        <v>202103001</v>
      </c>
      <c r="G43" s="162" t="s">
        <v>279</v>
      </c>
      <c r="H43" s="162" t="s">
        <v>765</v>
      </c>
      <c r="I43" s="162" t="s">
        <v>280</v>
      </c>
      <c r="J43" s="162" t="s">
        <v>170</v>
      </c>
      <c r="K43" s="162" t="s">
        <v>235</v>
      </c>
      <c r="L43" s="162" t="s">
        <v>517</v>
      </c>
      <c r="M43" s="162" t="s">
        <v>1538</v>
      </c>
      <c r="N43" s="118" t="str">
        <f>_xlfn.DISPIMG("ID_E53DAA599F9A40239F1135427FCA9C4F",1)</f>
        <v>=DISPIMG("ID_E53DAA599F9A40239F1135427FCA9C4F",1)</v>
      </c>
      <c r="O43" s="115" t="s">
        <v>1539</v>
      </c>
      <c r="P43" s="27">
        <v>171</v>
      </c>
      <c r="Q43" s="125" t="s">
        <v>4356</v>
      </c>
      <c r="R43" s="126" t="s">
        <v>38</v>
      </c>
      <c r="S43" s="124">
        <v>9</v>
      </c>
    </row>
    <row r="44" s="3" customFormat="1" ht="20" customHeight="1" spans="1:19">
      <c r="A44" s="166" t="s">
        <v>1559</v>
      </c>
      <c r="B44" s="166" t="s">
        <v>165</v>
      </c>
      <c r="C44" s="162" t="s">
        <v>1560</v>
      </c>
      <c r="D44" s="162" t="s">
        <v>278</v>
      </c>
      <c r="E44" s="162" t="s">
        <v>28</v>
      </c>
      <c r="F44" s="27">
        <v>202103001</v>
      </c>
      <c r="G44" s="162" t="s">
        <v>279</v>
      </c>
      <c r="H44" s="162" t="s">
        <v>876</v>
      </c>
      <c r="I44" s="162" t="s">
        <v>960</v>
      </c>
      <c r="J44" s="162" t="s">
        <v>170</v>
      </c>
      <c r="K44" s="162" t="s">
        <v>171</v>
      </c>
      <c r="L44" s="162" t="s">
        <v>340</v>
      </c>
      <c r="M44" s="162" t="s">
        <v>1562</v>
      </c>
      <c r="N44" s="118" t="str">
        <f>_xlfn.DISPIMG("ID_9804FB5AA98E4D44BBA382539FDAF7F0",1)</f>
        <v>=DISPIMG("ID_9804FB5AA98E4D44BBA382539FDAF7F0",1)</v>
      </c>
      <c r="O44" s="115" t="s">
        <v>1563</v>
      </c>
      <c r="P44" s="27">
        <v>174</v>
      </c>
      <c r="Q44" s="125" t="s">
        <v>4357</v>
      </c>
      <c r="R44" s="126" t="s">
        <v>38</v>
      </c>
      <c r="S44" s="124">
        <v>16</v>
      </c>
    </row>
    <row r="45" s="3" customFormat="1" ht="20" customHeight="1" spans="1:19">
      <c r="A45" s="166" t="s">
        <v>1665</v>
      </c>
      <c r="B45" s="166" t="s">
        <v>165</v>
      </c>
      <c r="C45" s="162" t="s">
        <v>1666</v>
      </c>
      <c r="D45" s="162" t="s">
        <v>278</v>
      </c>
      <c r="E45" s="162" t="s">
        <v>28</v>
      </c>
      <c r="F45" s="27">
        <v>202103001</v>
      </c>
      <c r="G45" s="162" t="s">
        <v>585</v>
      </c>
      <c r="H45" s="162" t="s">
        <v>168</v>
      </c>
      <c r="I45" s="162" t="s">
        <v>280</v>
      </c>
      <c r="J45" s="162" t="s">
        <v>170</v>
      </c>
      <c r="K45" s="162" t="s">
        <v>548</v>
      </c>
      <c r="L45" s="162" t="s">
        <v>376</v>
      </c>
      <c r="M45" s="162" t="s">
        <v>1668</v>
      </c>
      <c r="N45" s="118" t="str">
        <f>_xlfn.DISPIMG("ID_B5AB63FC8A81490B8ED2FED7AE302A44",1)</f>
        <v>=DISPIMG("ID_B5AB63FC8A81490B8ED2FED7AE302A44",1)</v>
      </c>
      <c r="O45" s="115" t="s">
        <v>1669</v>
      </c>
      <c r="P45" s="27">
        <v>188</v>
      </c>
      <c r="Q45" s="125" t="s">
        <v>4358</v>
      </c>
      <c r="R45" s="126" t="s">
        <v>38</v>
      </c>
      <c r="S45" s="124">
        <v>21</v>
      </c>
    </row>
    <row r="46" s="3" customFormat="1" ht="20" customHeight="1" spans="1:19">
      <c r="A46" s="166" t="s">
        <v>1681</v>
      </c>
      <c r="B46" s="166" t="s">
        <v>165</v>
      </c>
      <c r="C46" s="162" t="s">
        <v>1682</v>
      </c>
      <c r="D46" s="162" t="s">
        <v>278</v>
      </c>
      <c r="E46" s="162" t="s">
        <v>28</v>
      </c>
      <c r="F46" s="27">
        <v>202103001</v>
      </c>
      <c r="G46" s="162" t="s">
        <v>279</v>
      </c>
      <c r="H46" s="162" t="s">
        <v>367</v>
      </c>
      <c r="I46" s="162" t="s">
        <v>1684</v>
      </c>
      <c r="J46" s="162" t="s">
        <v>170</v>
      </c>
      <c r="K46" s="162" t="s">
        <v>368</v>
      </c>
      <c r="L46" s="162" t="s">
        <v>376</v>
      </c>
      <c r="M46" s="162" t="s">
        <v>1685</v>
      </c>
      <c r="N46" s="118" t="str">
        <f>_xlfn.DISPIMG("ID_F515C4DE5D464F10B51159D5558C7D1A",1)</f>
        <v>=DISPIMG("ID_F515C4DE5D464F10B51159D5558C7D1A",1)</v>
      </c>
      <c r="O46" s="115" t="s">
        <v>1686</v>
      </c>
      <c r="P46" s="27">
        <v>190</v>
      </c>
      <c r="Q46" s="125" t="s">
        <v>4359</v>
      </c>
      <c r="R46" s="126" t="s">
        <v>38</v>
      </c>
      <c r="S46" s="124">
        <v>28</v>
      </c>
    </row>
    <row r="47" s="3" customFormat="1" ht="20" customHeight="1" spans="1:19">
      <c r="A47" s="166" t="s">
        <v>1751</v>
      </c>
      <c r="B47" s="166" t="s">
        <v>165</v>
      </c>
      <c r="C47" s="162" t="s">
        <v>1752</v>
      </c>
      <c r="D47" s="162" t="s">
        <v>278</v>
      </c>
      <c r="E47" s="162" t="s">
        <v>28</v>
      </c>
      <c r="F47" s="27">
        <v>202103001</v>
      </c>
      <c r="G47" s="162" t="s">
        <v>585</v>
      </c>
      <c r="H47" s="162" t="s">
        <v>367</v>
      </c>
      <c r="I47" s="162" t="s">
        <v>280</v>
      </c>
      <c r="J47" s="162" t="s">
        <v>160</v>
      </c>
      <c r="K47" s="162" t="s">
        <v>396</v>
      </c>
      <c r="L47" s="162" t="s">
        <v>1754</v>
      </c>
      <c r="M47" s="162" t="s">
        <v>1755</v>
      </c>
      <c r="N47" s="118" t="str">
        <f>_xlfn.DISPIMG("ID_11BD6E6070704D3C9E8B19CABEC53565",1)</f>
        <v>=DISPIMG("ID_11BD6E6070704D3C9E8B19CABEC53565",1)</v>
      </c>
      <c r="O47" s="115" t="s">
        <v>1756</v>
      </c>
      <c r="P47" s="27">
        <v>199</v>
      </c>
      <c r="Q47" s="125" t="s">
        <v>4360</v>
      </c>
      <c r="R47" s="126" t="s">
        <v>38</v>
      </c>
      <c r="S47" s="124">
        <v>3</v>
      </c>
    </row>
    <row r="48" s="3" customFormat="1" ht="20" customHeight="1" spans="1:19">
      <c r="A48" s="166" t="s">
        <v>1773</v>
      </c>
      <c r="B48" s="166" t="s">
        <v>165</v>
      </c>
      <c r="C48" s="162" t="s">
        <v>1774</v>
      </c>
      <c r="D48" s="162" t="s">
        <v>278</v>
      </c>
      <c r="E48" s="162" t="s">
        <v>28</v>
      </c>
      <c r="F48" s="27">
        <v>202103001</v>
      </c>
      <c r="G48" s="162" t="s">
        <v>279</v>
      </c>
      <c r="H48" s="162" t="s">
        <v>662</v>
      </c>
      <c r="I48" s="162" t="s">
        <v>280</v>
      </c>
      <c r="J48" s="162" t="s">
        <v>170</v>
      </c>
      <c r="K48" s="162" t="s">
        <v>161</v>
      </c>
      <c r="L48" s="162" t="s">
        <v>1776</v>
      </c>
      <c r="M48" s="162" t="s">
        <v>1777</v>
      </c>
      <c r="N48" s="118" t="str">
        <f>_xlfn.DISPIMG("ID_870E78DB9450493E87561F4FC105D429",1)</f>
        <v>=DISPIMG("ID_870E78DB9450493E87561F4FC105D429",1)</v>
      </c>
      <c r="O48" s="115" t="s">
        <v>1778</v>
      </c>
      <c r="P48" s="27">
        <v>202</v>
      </c>
      <c r="Q48" s="125" t="s">
        <v>4361</v>
      </c>
      <c r="R48" s="126" t="s">
        <v>38</v>
      </c>
      <c r="S48" s="124">
        <v>10</v>
      </c>
    </row>
    <row r="49" s="3" customFormat="1" ht="20" customHeight="1" spans="1:19">
      <c r="A49" s="166" t="s">
        <v>1814</v>
      </c>
      <c r="B49" s="166" t="s">
        <v>165</v>
      </c>
      <c r="C49" s="162" t="s">
        <v>1815</v>
      </c>
      <c r="D49" s="162" t="s">
        <v>278</v>
      </c>
      <c r="E49" s="162" t="s">
        <v>28</v>
      </c>
      <c r="F49" s="27">
        <v>202103001</v>
      </c>
      <c r="G49" s="162" t="s">
        <v>279</v>
      </c>
      <c r="H49" s="162" t="s">
        <v>732</v>
      </c>
      <c r="I49" s="162" t="s">
        <v>280</v>
      </c>
      <c r="J49" s="162" t="s">
        <v>170</v>
      </c>
      <c r="K49" s="162" t="s">
        <v>306</v>
      </c>
      <c r="L49" s="162" t="s">
        <v>1013</v>
      </c>
      <c r="M49" s="162" t="s">
        <v>1817</v>
      </c>
      <c r="N49" s="118" t="str">
        <f>_xlfn.DISPIMG("ID_6DE4E02A017F4BA2AD59ACE3034B4E4E",1)</f>
        <v>=DISPIMG("ID_6DE4E02A017F4BA2AD59ACE3034B4E4E",1)</v>
      </c>
      <c r="O49" s="115" t="s">
        <v>1818</v>
      </c>
      <c r="P49" s="27">
        <v>207</v>
      </c>
      <c r="Q49" s="125" t="s">
        <v>4362</v>
      </c>
      <c r="R49" s="126" t="s">
        <v>38</v>
      </c>
      <c r="S49" s="124">
        <v>15</v>
      </c>
    </row>
    <row r="50" s="5" customFormat="1" ht="20" customHeight="1" spans="1:19">
      <c r="A50" s="166" t="s">
        <v>1855</v>
      </c>
      <c r="B50" s="166" t="s">
        <v>165</v>
      </c>
      <c r="C50" s="165" t="s">
        <v>1856</v>
      </c>
      <c r="D50" s="165" t="s">
        <v>278</v>
      </c>
      <c r="E50" s="165" t="s">
        <v>28</v>
      </c>
      <c r="F50" s="116">
        <v>202103001</v>
      </c>
      <c r="G50" s="165" t="s">
        <v>279</v>
      </c>
      <c r="H50" s="165" t="s">
        <v>732</v>
      </c>
      <c r="I50" s="165" t="s">
        <v>1489</v>
      </c>
      <c r="J50" s="165" t="s">
        <v>170</v>
      </c>
      <c r="K50" s="165" t="s">
        <v>733</v>
      </c>
      <c r="L50" s="165" t="s">
        <v>517</v>
      </c>
      <c r="M50" s="165" t="s">
        <v>1858</v>
      </c>
      <c r="N50" s="119" t="str">
        <f>_xlfn.DISPIMG("ID_2E8A5FF2C7EA4CF3BCF137C2FDB07272",1)</f>
        <v>=DISPIMG("ID_2E8A5FF2C7EA4CF3BCF137C2FDB07272",1)</v>
      </c>
      <c r="O50" s="120" t="s">
        <v>1859</v>
      </c>
      <c r="P50" s="27">
        <v>212</v>
      </c>
      <c r="Q50" s="125" t="s">
        <v>4363</v>
      </c>
      <c r="R50" s="126" t="s">
        <v>38</v>
      </c>
      <c r="S50" s="124">
        <v>22</v>
      </c>
    </row>
    <row r="51" s="4" customFormat="1" ht="20" customHeight="1" spans="1:19">
      <c r="A51" s="166" t="s">
        <v>1862</v>
      </c>
      <c r="B51" s="166" t="s">
        <v>165</v>
      </c>
      <c r="C51" s="164" t="s">
        <v>1863</v>
      </c>
      <c r="D51" s="164" t="s">
        <v>278</v>
      </c>
      <c r="E51" s="164" t="s">
        <v>28</v>
      </c>
      <c r="F51" s="22">
        <v>202102022</v>
      </c>
      <c r="G51" s="164" t="s">
        <v>279</v>
      </c>
      <c r="H51" s="164" t="s">
        <v>1258</v>
      </c>
      <c r="I51" s="164" t="s">
        <v>280</v>
      </c>
      <c r="J51" s="164" t="s">
        <v>170</v>
      </c>
      <c r="K51" s="164" t="s">
        <v>199</v>
      </c>
      <c r="L51" s="164" t="s">
        <v>376</v>
      </c>
      <c r="M51" s="22">
        <v>0</v>
      </c>
      <c r="N51" s="23" t="str">
        <f>_xlfn.DISPIMG("ID_017E111E073649D082B1F8432485C7B9",1)</f>
        <v>=DISPIMG("ID_017E111E073649D082B1F8432485C7B9",1)</v>
      </c>
      <c r="O51" s="103" t="s">
        <v>1865</v>
      </c>
      <c r="P51" s="27">
        <v>213</v>
      </c>
      <c r="Q51" s="125" t="s">
        <v>4364</v>
      </c>
      <c r="R51" s="126" t="s">
        <v>38</v>
      </c>
      <c r="S51" s="124">
        <v>27</v>
      </c>
    </row>
    <row r="52" s="3" customFormat="1" ht="20" customHeight="1" spans="1:19">
      <c r="A52" s="166" t="s">
        <v>1919</v>
      </c>
      <c r="B52" s="166" t="s">
        <v>153</v>
      </c>
      <c r="C52" s="162" t="s">
        <v>1920</v>
      </c>
      <c r="D52" s="162" t="s">
        <v>278</v>
      </c>
      <c r="E52" s="162" t="s">
        <v>28</v>
      </c>
      <c r="F52" s="27">
        <v>202103001</v>
      </c>
      <c r="G52" s="162" t="s">
        <v>279</v>
      </c>
      <c r="H52" s="162" t="s">
        <v>765</v>
      </c>
      <c r="I52" s="162" t="s">
        <v>280</v>
      </c>
      <c r="J52" s="162" t="s">
        <v>170</v>
      </c>
      <c r="K52" s="162" t="s">
        <v>455</v>
      </c>
      <c r="L52" s="162" t="s">
        <v>376</v>
      </c>
      <c r="M52" s="27">
        <v>0</v>
      </c>
      <c r="N52" s="118" t="str">
        <f>_xlfn.DISPIMG("ID_A79FF9B64919489DB578A9ECC96B1C96",1)</f>
        <v>=DISPIMG("ID_A79FF9B64919489DB578A9ECC96B1C96",1)</v>
      </c>
      <c r="O52" s="115" t="s">
        <v>1922</v>
      </c>
      <c r="P52" s="27">
        <v>221</v>
      </c>
      <c r="Q52" s="125" t="s">
        <v>4365</v>
      </c>
      <c r="R52" s="126" t="s">
        <v>38</v>
      </c>
      <c r="S52" s="124">
        <v>2</v>
      </c>
    </row>
    <row r="53" s="3" customFormat="1" ht="20" customHeight="1" spans="1:19">
      <c r="A53" s="166" t="s">
        <v>1969</v>
      </c>
      <c r="B53" s="166" t="s">
        <v>165</v>
      </c>
      <c r="C53" s="162" t="s">
        <v>1970</v>
      </c>
      <c r="D53" s="162" t="s">
        <v>278</v>
      </c>
      <c r="E53" s="162" t="s">
        <v>28</v>
      </c>
      <c r="F53" s="27">
        <v>202103001</v>
      </c>
      <c r="G53" s="162" t="s">
        <v>279</v>
      </c>
      <c r="H53" s="162" t="s">
        <v>1972</v>
      </c>
      <c r="I53" s="162" t="s">
        <v>280</v>
      </c>
      <c r="J53" s="162" t="s">
        <v>170</v>
      </c>
      <c r="K53" s="162" t="s">
        <v>368</v>
      </c>
      <c r="L53" s="162" t="s">
        <v>121</v>
      </c>
      <c r="M53" s="162" t="s">
        <v>1973</v>
      </c>
      <c r="N53" s="118" t="str">
        <f>_xlfn.DISPIMG("ID_AAF95BF9A1304A0693E0346D90E4CF2C",1)</f>
        <v>=DISPIMG("ID_AAF95BF9A1304A0693E0346D90E4CF2C",1)</v>
      </c>
      <c r="O53" s="115" t="s">
        <v>1974</v>
      </c>
      <c r="P53" s="27">
        <v>228</v>
      </c>
      <c r="Q53" s="125" t="s">
        <v>4366</v>
      </c>
      <c r="R53" s="126" t="s">
        <v>38</v>
      </c>
      <c r="S53" s="124">
        <v>11</v>
      </c>
    </row>
    <row r="54" s="3" customFormat="1" ht="20" customHeight="1" spans="1:19">
      <c r="A54" s="166" t="s">
        <v>2060</v>
      </c>
      <c r="B54" s="166" t="s">
        <v>165</v>
      </c>
      <c r="C54" s="162" t="s">
        <v>2061</v>
      </c>
      <c r="D54" s="162" t="s">
        <v>278</v>
      </c>
      <c r="E54" s="162" t="s">
        <v>28</v>
      </c>
      <c r="F54" s="27">
        <v>202103001</v>
      </c>
      <c r="G54" s="162" t="s">
        <v>157</v>
      </c>
      <c r="H54" s="162" t="s">
        <v>2063</v>
      </c>
      <c r="I54" s="162" t="s">
        <v>280</v>
      </c>
      <c r="J54" s="162" t="s">
        <v>170</v>
      </c>
      <c r="K54" s="162" t="s">
        <v>2064</v>
      </c>
      <c r="L54" s="162" t="s">
        <v>517</v>
      </c>
      <c r="M54" s="162" t="s">
        <v>2065</v>
      </c>
      <c r="N54" s="118" t="str">
        <f>_xlfn.DISPIMG("ID_BF9AE392AFDD4458A2909A9A2C941241",1)</f>
        <v>=DISPIMG("ID_BF9AE392AFDD4458A2909A9A2C941241",1)</v>
      </c>
      <c r="O54" s="115" t="s">
        <v>2066</v>
      </c>
      <c r="P54" s="27">
        <v>240</v>
      </c>
      <c r="Q54" s="125" t="s">
        <v>4367</v>
      </c>
      <c r="R54" s="126" t="s">
        <v>38</v>
      </c>
      <c r="S54" s="124">
        <v>14</v>
      </c>
    </row>
    <row r="55" s="3" customFormat="1" ht="20" customHeight="1" spans="1:19">
      <c r="A55" s="166" t="s">
        <v>2083</v>
      </c>
      <c r="B55" s="166" t="s">
        <v>165</v>
      </c>
      <c r="C55" s="162" t="s">
        <v>2084</v>
      </c>
      <c r="D55" s="162" t="s">
        <v>278</v>
      </c>
      <c r="E55" s="162" t="s">
        <v>28</v>
      </c>
      <c r="F55" s="27">
        <v>202103001</v>
      </c>
      <c r="G55" s="162" t="s">
        <v>157</v>
      </c>
      <c r="H55" s="162" t="s">
        <v>1258</v>
      </c>
      <c r="I55" s="162" t="s">
        <v>280</v>
      </c>
      <c r="J55" s="162" t="s">
        <v>170</v>
      </c>
      <c r="K55" s="162" t="s">
        <v>180</v>
      </c>
      <c r="L55" s="162" t="s">
        <v>340</v>
      </c>
      <c r="M55" s="162" t="s">
        <v>2086</v>
      </c>
      <c r="N55" s="118" t="str">
        <f>_xlfn.DISPIMG("ID_B2FD46FB94FD4BE298F143BADCF00B8C",1)</f>
        <v>=DISPIMG("ID_B2FD46FB94FD4BE298F143BADCF00B8C",1)</v>
      </c>
      <c r="O55" s="115" t="s">
        <v>2087</v>
      </c>
      <c r="P55" s="27">
        <v>243</v>
      </c>
      <c r="Q55" s="125" t="s">
        <v>4368</v>
      </c>
      <c r="R55" s="126" t="s">
        <v>38</v>
      </c>
      <c r="S55" s="124">
        <v>23</v>
      </c>
    </row>
    <row r="56" s="3" customFormat="1" ht="20" customHeight="1" spans="1:19">
      <c r="A56" s="166" t="s">
        <v>2098</v>
      </c>
      <c r="B56" s="166" t="s">
        <v>165</v>
      </c>
      <c r="C56" s="162" t="s">
        <v>2099</v>
      </c>
      <c r="D56" s="162" t="s">
        <v>278</v>
      </c>
      <c r="E56" s="162" t="s">
        <v>28</v>
      </c>
      <c r="F56" s="27">
        <v>202103001</v>
      </c>
      <c r="G56" s="162" t="s">
        <v>279</v>
      </c>
      <c r="H56" s="162" t="s">
        <v>732</v>
      </c>
      <c r="I56" s="162" t="s">
        <v>169</v>
      </c>
      <c r="J56" s="162" t="s">
        <v>170</v>
      </c>
      <c r="K56" s="162" t="s">
        <v>733</v>
      </c>
      <c r="L56" s="162" t="s">
        <v>517</v>
      </c>
      <c r="M56" s="162" t="s">
        <v>2101</v>
      </c>
      <c r="N56" s="118" t="str">
        <f>_xlfn.DISPIMG("ID_005BE0017F024C98A2D8AF15B9E0DE6A",1)</f>
        <v>=DISPIMG("ID_005BE0017F024C98A2D8AF15B9E0DE6A",1)</v>
      </c>
      <c r="O56" s="115" t="s">
        <v>2102</v>
      </c>
      <c r="P56" s="27">
        <v>245</v>
      </c>
      <c r="Q56" s="125" t="s">
        <v>4369</v>
      </c>
      <c r="R56" s="126" t="s">
        <v>38</v>
      </c>
      <c r="S56" s="124">
        <v>26</v>
      </c>
    </row>
    <row r="57" s="3" customFormat="1" ht="20" customHeight="1" spans="1:19">
      <c r="A57" s="166" t="s">
        <v>2226</v>
      </c>
      <c r="B57" s="166" t="s">
        <v>165</v>
      </c>
      <c r="C57" s="162" t="s">
        <v>2227</v>
      </c>
      <c r="D57" s="162" t="s">
        <v>278</v>
      </c>
      <c r="E57" s="162" t="s">
        <v>28</v>
      </c>
      <c r="F57" s="27">
        <v>202103001</v>
      </c>
      <c r="G57" s="162" t="s">
        <v>279</v>
      </c>
      <c r="H57" s="162" t="s">
        <v>2229</v>
      </c>
      <c r="I57" s="162" t="s">
        <v>280</v>
      </c>
      <c r="J57" s="162" t="s">
        <v>170</v>
      </c>
      <c r="K57" s="162" t="s">
        <v>161</v>
      </c>
      <c r="L57" s="162" t="s">
        <v>517</v>
      </c>
      <c r="M57" s="27">
        <v>0</v>
      </c>
      <c r="N57" s="118" t="str">
        <f>_xlfn.DISPIMG("ID_D66F2E0905214E97988618639B1556CA",1)</f>
        <v>=DISPIMG("ID_D66F2E0905214E97988618639B1556CA",1)</v>
      </c>
      <c r="O57" s="115" t="s">
        <v>2230</v>
      </c>
      <c r="P57" s="27">
        <v>262</v>
      </c>
      <c r="Q57" s="125" t="s">
        <v>4370</v>
      </c>
      <c r="R57" s="126" t="s">
        <v>38</v>
      </c>
      <c r="S57" s="124">
        <v>1</v>
      </c>
    </row>
    <row r="58" s="3" customFormat="1" ht="20" customHeight="1" spans="1:19">
      <c r="A58" s="166" t="s">
        <v>2249</v>
      </c>
      <c r="B58" s="166" t="s">
        <v>165</v>
      </c>
      <c r="C58" s="162" t="s">
        <v>2250</v>
      </c>
      <c r="D58" s="162" t="s">
        <v>278</v>
      </c>
      <c r="E58" s="162" t="s">
        <v>28</v>
      </c>
      <c r="F58" s="27">
        <v>202103001</v>
      </c>
      <c r="G58" s="162" t="s">
        <v>279</v>
      </c>
      <c r="H58" s="162" t="s">
        <v>1258</v>
      </c>
      <c r="I58" s="162" t="s">
        <v>280</v>
      </c>
      <c r="J58" s="162" t="s">
        <v>170</v>
      </c>
      <c r="K58" s="162" t="s">
        <v>180</v>
      </c>
      <c r="L58" s="162" t="s">
        <v>340</v>
      </c>
      <c r="M58" s="162" t="s">
        <v>2252</v>
      </c>
      <c r="N58" s="118" t="str">
        <f>_xlfn.DISPIMG("ID_7985CE250554486189D8524B45608623",1)</f>
        <v>=DISPIMG("ID_7985CE250554486189D8524B45608623",1)</v>
      </c>
      <c r="O58" s="115" t="s">
        <v>2253</v>
      </c>
      <c r="P58" s="27">
        <v>265</v>
      </c>
      <c r="Q58" s="125" t="s">
        <v>4371</v>
      </c>
      <c r="R58" s="126" t="s">
        <v>38</v>
      </c>
      <c r="S58" s="124">
        <v>12</v>
      </c>
    </row>
    <row r="59" s="3" customFormat="1" ht="20" customHeight="1" spans="1:19">
      <c r="A59" s="166" t="s">
        <v>2273</v>
      </c>
      <c r="B59" s="166" t="s">
        <v>165</v>
      </c>
      <c r="C59" s="162" t="s">
        <v>2274</v>
      </c>
      <c r="D59" s="162" t="s">
        <v>278</v>
      </c>
      <c r="E59" s="162" t="s">
        <v>28</v>
      </c>
      <c r="F59" s="27">
        <v>202103001</v>
      </c>
      <c r="G59" s="162" t="s">
        <v>279</v>
      </c>
      <c r="H59" s="162" t="s">
        <v>367</v>
      </c>
      <c r="I59" s="162" t="s">
        <v>960</v>
      </c>
      <c r="J59" s="162" t="s">
        <v>170</v>
      </c>
      <c r="K59" s="162" t="s">
        <v>171</v>
      </c>
      <c r="L59" s="162" t="s">
        <v>340</v>
      </c>
      <c r="M59" s="162" t="s">
        <v>2276</v>
      </c>
      <c r="N59" s="118" t="str">
        <f>_xlfn.DISPIMG("ID_61B07218C9EC426CBE977F3567B765DD",1)</f>
        <v>=DISPIMG("ID_61B07218C9EC426CBE977F3567B765DD",1)</v>
      </c>
      <c r="O59" s="115" t="s">
        <v>2277</v>
      </c>
      <c r="P59" s="27">
        <v>268</v>
      </c>
      <c r="Q59" s="125" t="s">
        <v>4372</v>
      </c>
      <c r="R59" s="126" t="s">
        <v>38</v>
      </c>
      <c r="S59" s="124">
        <v>13</v>
      </c>
    </row>
    <row r="60" s="3" customFormat="1" ht="20" customHeight="1" spans="1:19">
      <c r="A60" s="166" t="s">
        <v>2323</v>
      </c>
      <c r="B60" s="166" t="s">
        <v>165</v>
      </c>
      <c r="C60" s="162" t="s">
        <v>2324</v>
      </c>
      <c r="D60" s="162" t="s">
        <v>278</v>
      </c>
      <c r="E60" s="162" t="s">
        <v>28</v>
      </c>
      <c r="F60" s="27">
        <v>202103001</v>
      </c>
      <c r="G60" s="162" t="s">
        <v>157</v>
      </c>
      <c r="H60" s="162" t="s">
        <v>1071</v>
      </c>
      <c r="I60" s="162" t="s">
        <v>2326</v>
      </c>
      <c r="J60" s="162" t="s">
        <v>160</v>
      </c>
      <c r="K60" s="162" t="s">
        <v>1942</v>
      </c>
      <c r="L60" s="162" t="s">
        <v>340</v>
      </c>
      <c r="M60" s="162" t="s">
        <v>2327</v>
      </c>
      <c r="N60" s="118" t="str">
        <f>_xlfn.DISPIMG("ID_A33976891DCF46C9B1DFAD5ADCC8729D",1)</f>
        <v>=DISPIMG("ID_A33976891DCF46C9B1DFAD5ADCC8729D",1)</v>
      </c>
      <c r="O60" s="115" t="s">
        <v>2328</v>
      </c>
      <c r="P60" s="27">
        <v>275</v>
      </c>
      <c r="Q60" s="125" t="s">
        <v>4373</v>
      </c>
      <c r="R60" s="126" t="s">
        <v>38</v>
      </c>
      <c r="S60" s="124">
        <v>24</v>
      </c>
    </row>
    <row r="61" s="3" customFormat="1" ht="20" customHeight="1" spans="1:19">
      <c r="A61" s="166" t="s">
        <v>2354</v>
      </c>
      <c r="B61" s="166" t="s">
        <v>165</v>
      </c>
      <c r="C61" s="162" t="s">
        <v>2355</v>
      </c>
      <c r="D61" s="162" t="s">
        <v>278</v>
      </c>
      <c r="E61" s="162" t="s">
        <v>28</v>
      </c>
      <c r="F61" s="27">
        <v>202103001</v>
      </c>
      <c r="G61" s="162" t="s">
        <v>279</v>
      </c>
      <c r="H61" s="162" t="s">
        <v>765</v>
      </c>
      <c r="I61" s="162" t="s">
        <v>280</v>
      </c>
      <c r="J61" s="162" t="s">
        <v>170</v>
      </c>
      <c r="K61" s="162" t="s">
        <v>252</v>
      </c>
      <c r="L61" s="162" t="s">
        <v>340</v>
      </c>
      <c r="M61" s="162" t="s">
        <v>2357</v>
      </c>
      <c r="N61" s="118" t="str">
        <f>_xlfn.DISPIMG("ID_1E1BF7CF64ED4C9392E00D748E2CFF78",1)</f>
        <v>=DISPIMG("ID_1E1BF7CF64ED4C9392E00D748E2CFF78",1)</v>
      </c>
      <c r="O61" s="115" t="s">
        <v>2358</v>
      </c>
      <c r="P61" s="27">
        <v>279</v>
      </c>
      <c r="Q61" s="125" t="s">
        <v>4374</v>
      </c>
      <c r="R61" s="126" t="s">
        <v>38</v>
      </c>
      <c r="S61" s="124">
        <v>25</v>
      </c>
    </row>
    <row r="62" s="3" customFormat="1" ht="20" customHeight="1" spans="1:19">
      <c r="A62" s="166" t="s">
        <v>2368</v>
      </c>
      <c r="B62" s="166" t="s">
        <v>165</v>
      </c>
      <c r="C62" s="162" t="s">
        <v>2369</v>
      </c>
      <c r="D62" s="162" t="s">
        <v>278</v>
      </c>
      <c r="E62" s="162" t="s">
        <v>28</v>
      </c>
      <c r="F62" s="27">
        <v>202103001</v>
      </c>
      <c r="G62" s="162" t="s">
        <v>279</v>
      </c>
      <c r="H62" s="162" t="s">
        <v>367</v>
      </c>
      <c r="I62" s="162" t="s">
        <v>960</v>
      </c>
      <c r="J62" s="162" t="s">
        <v>170</v>
      </c>
      <c r="K62" s="162" t="s">
        <v>161</v>
      </c>
      <c r="L62" s="162" t="s">
        <v>2371</v>
      </c>
      <c r="M62" s="162" t="s">
        <v>2372</v>
      </c>
      <c r="N62" s="118" t="str">
        <f>_xlfn.DISPIMG("ID_8367FF7FCE354E85A6B58C07A55F59C4",1)</f>
        <v>=DISPIMG("ID_8367FF7FCE354E85A6B58C07A55F59C4",1)</v>
      </c>
      <c r="O62" s="115" t="s">
        <v>2373</v>
      </c>
      <c r="P62" s="27">
        <v>281</v>
      </c>
      <c r="Q62" s="125" t="s">
        <v>4375</v>
      </c>
      <c r="R62" s="126" t="s">
        <v>39</v>
      </c>
      <c r="S62" s="124">
        <v>6</v>
      </c>
    </row>
    <row r="63" s="3" customFormat="1" ht="20" customHeight="1" spans="1:19">
      <c r="A63" s="166" t="s">
        <v>2384</v>
      </c>
      <c r="B63" s="166" t="s">
        <v>165</v>
      </c>
      <c r="C63" s="162" t="s">
        <v>2385</v>
      </c>
      <c r="D63" s="162" t="s">
        <v>278</v>
      </c>
      <c r="E63" s="162" t="s">
        <v>28</v>
      </c>
      <c r="F63" s="27">
        <v>202103001</v>
      </c>
      <c r="G63" s="162" t="s">
        <v>279</v>
      </c>
      <c r="H63" s="162" t="s">
        <v>178</v>
      </c>
      <c r="I63" s="162" t="s">
        <v>280</v>
      </c>
      <c r="J63" s="162" t="s">
        <v>170</v>
      </c>
      <c r="K63" s="162" t="s">
        <v>548</v>
      </c>
      <c r="L63" s="162" t="s">
        <v>517</v>
      </c>
      <c r="M63" s="162" t="s">
        <v>2387</v>
      </c>
      <c r="N63" s="118" t="str">
        <f>_xlfn.DISPIMG("ID_8CF817D3A8834773857DA1D47188BF1C",1)</f>
        <v>=DISPIMG("ID_8CF817D3A8834773857DA1D47188BF1C",1)</v>
      </c>
      <c r="O63" s="115" t="s">
        <v>2388</v>
      </c>
      <c r="P63" s="27">
        <v>283</v>
      </c>
      <c r="Q63" s="125" t="s">
        <v>4376</v>
      </c>
      <c r="R63" s="126" t="s">
        <v>39</v>
      </c>
      <c r="S63" s="124">
        <v>7</v>
      </c>
    </row>
    <row r="64" s="3" customFormat="1" ht="20" customHeight="1" spans="1:19">
      <c r="A64" s="166" t="s">
        <v>2445</v>
      </c>
      <c r="B64" s="166" t="s">
        <v>165</v>
      </c>
      <c r="C64" s="162" t="s">
        <v>2446</v>
      </c>
      <c r="D64" s="162" t="s">
        <v>278</v>
      </c>
      <c r="E64" s="162" t="s">
        <v>28</v>
      </c>
      <c r="F64" s="27">
        <v>202103001</v>
      </c>
      <c r="G64" s="162" t="s">
        <v>279</v>
      </c>
      <c r="H64" s="162" t="s">
        <v>367</v>
      </c>
      <c r="I64" s="162" t="s">
        <v>280</v>
      </c>
      <c r="J64" s="162" t="s">
        <v>170</v>
      </c>
      <c r="K64" s="162" t="s">
        <v>161</v>
      </c>
      <c r="L64" s="162" t="s">
        <v>517</v>
      </c>
      <c r="M64" s="162" t="s">
        <v>2448</v>
      </c>
      <c r="N64" s="118" t="str">
        <f>_xlfn.DISPIMG("ID_5A60F5CEF6FD4D2AB2A12133308D2C7D",1)</f>
        <v>=DISPIMG("ID_5A60F5CEF6FD4D2AB2A12133308D2C7D",1)</v>
      </c>
      <c r="O64" s="115" t="s">
        <v>2449</v>
      </c>
      <c r="P64" s="27">
        <v>291</v>
      </c>
      <c r="Q64" s="125" t="s">
        <v>4377</v>
      </c>
      <c r="R64" s="126" t="s">
        <v>39</v>
      </c>
      <c r="S64" s="124">
        <v>18</v>
      </c>
    </row>
    <row r="65" s="3" customFormat="1" ht="20" customHeight="1" spans="1:19">
      <c r="A65" s="166" t="s">
        <v>2487</v>
      </c>
      <c r="B65" s="166" t="s">
        <v>165</v>
      </c>
      <c r="C65" s="162" t="s">
        <v>2488</v>
      </c>
      <c r="D65" s="162" t="s">
        <v>278</v>
      </c>
      <c r="E65" s="162" t="s">
        <v>28</v>
      </c>
      <c r="F65" s="27">
        <v>202103001</v>
      </c>
      <c r="G65" s="162" t="s">
        <v>157</v>
      </c>
      <c r="H65" s="162" t="s">
        <v>178</v>
      </c>
      <c r="I65" s="162" t="s">
        <v>280</v>
      </c>
      <c r="J65" s="162" t="s">
        <v>170</v>
      </c>
      <c r="K65" s="162" t="s">
        <v>2490</v>
      </c>
      <c r="L65" s="162" t="s">
        <v>28</v>
      </c>
      <c r="M65" s="162" t="s">
        <v>2491</v>
      </c>
      <c r="N65" s="118" t="str">
        <f>_xlfn.DISPIMG("ID_53B9839AEAC4407495ABBD356F420DDD",1)</f>
        <v>=DISPIMG("ID_53B9839AEAC4407495ABBD356F420DDD",1)</v>
      </c>
      <c r="O65" s="115" t="s">
        <v>2492</v>
      </c>
      <c r="P65" s="27">
        <v>297</v>
      </c>
      <c r="Q65" s="125" t="s">
        <v>4378</v>
      </c>
      <c r="R65" s="126" t="s">
        <v>39</v>
      </c>
      <c r="S65" s="124">
        <v>19</v>
      </c>
    </row>
    <row r="66" s="3" customFormat="1" ht="20" customHeight="1" spans="1:19">
      <c r="A66" s="166" t="s">
        <v>2501</v>
      </c>
      <c r="B66" s="166" t="s">
        <v>165</v>
      </c>
      <c r="C66" s="162" t="s">
        <v>2502</v>
      </c>
      <c r="D66" s="162" t="s">
        <v>278</v>
      </c>
      <c r="E66" s="162" t="s">
        <v>28</v>
      </c>
      <c r="F66" s="27">
        <v>202103001</v>
      </c>
      <c r="G66" s="162" t="s">
        <v>279</v>
      </c>
      <c r="H66" s="162" t="s">
        <v>876</v>
      </c>
      <c r="I66" s="162" t="s">
        <v>1684</v>
      </c>
      <c r="J66" s="162" t="s">
        <v>170</v>
      </c>
      <c r="K66" s="162" t="s">
        <v>171</v>
      </c>
      <c r="L66" s="162" t="s">
        <v>2504</v>
      </c>
      <c r="M66" s="162" t="s">
        <v>2505</v>
      </c>
      <c r="N66" s="118" t="str">
        <f>_xlfn.DISPIMG("ID_515277FD8D2D40318D429A7BA8ADC69C",1)</f>
        <v>=DISPIMG("ID_515277FD8D2D40318D429A7BA8ADC69C",1)</v>
      </c>
      <c r="O66" s="115" t="s">
        <v>2506</v>
      </c>
      <c r="P66" s="27">
        <v>299</v>
      </c>
      <c r="Q66" s="125" t="s">
        <v>4379</v>
      </c>
      <c r="R66" s="126" t="s">
        <v>39</v>
      </c>
      <c r="S66" s="124">
        <v>30</v>
      </c>
    </row>
    <row r="67" s="3" customFormat="1" ht="20" customHeight="1" spans="1:19">
      <c r="A67" s="166" t="s">
        <v>2509</v>
      </c>
      <c r="B67" s="166" t="s">
        <v>165</v>
      </c>
      <c r="C67" s="162" t="s">
        <v>2510</v>
      </c>
      <c r="D67" s="162" t="s">
        <v>278</v>
      </c>
      <c r="E67" s="162" t="s">
        <v>28</v>
      </c>
      <c r="F67" s="27">
        <v>202103001</v>
      </c>
      <c r="G67" s="162" t="s">
        <v>279</v>
      </c>
      <c r="H67" s="162" t="s">
        <v>168</v>
      </c>
      <c r="I67" s="162" t="s">
        <v>280</v>
      </c>
      <c r="J67" s="162" t="s">
        <v>170</v>
      </c>
      <c r="K67" s="162" t="s">
        <v>171</v>
      </c>
      <c r="L67" s="162" t="s">
        <v>28</v>
      </c>
      <c r="M67" s="162" t="s">
        <v>2512</v>
      </c>
      <c r="N67" s="118" t="str">
        <f>_xlfn.DISPIMG("ID_7074182E322C4D868E189D169988DEEF",1)</f>
        <v>=DISPIMG("ID_7074182E322C4D868E189D169988DEEF",1)</v>
      </c>
      <c r="O67" s="115" t="s">
        <v>2513</v>
      </c>
      <c r="P67" s="27">
        <v>300</v>
      </c>
      <c r="Q67" s="125" t="s">
        <v>4380</v>
      </c>
      <c r="R67" s="126" t="s">
        <v>39</v>
      </c>
      <c r="S67" s="124">
        <v>5</v>
      </c>
    </row>
    <row r="68" s="3" customFormat="1" ht="20" customHeight="1" spans="1:19">
      <c r="A68" s="166" t="s">
        <v>2615</v>
      </c>
      <c r="B68" s="166" t="s">
        <v>165</v>
      </c>
      <c r="C68" s="162" t="s">
        <v>2616</v>
      </c>
      <c r="D68" s="162" t="s">
        <v>278</v>
      </c>
      <c r="E68" s="162" t="s">
        <v>28</v>
      </c>
      <c r="F68" s="27">
        <v>202103001</v>
      </c>
      <c r="G68" s="162" t="s">
        <v>585</v>
      </c>
      <c r="H68" s="162" t="s">
        <v>367</v>
      </c>
      <c r="I68" s="162" t="s">
        <v>280</v>
      </c>
      <c r="J68" s="162" t="s">
        <v>170</v>
      </c>
      <c r="K68" s="162" t="s">
        <v>306</v>
      </c>
      <c r="L68" s="162" t="s">
        <v>585</v>
      </c>
      <c r="M68" s="162" t="s">
        <v>2617</v>
      </c>
      <c r="N68" s="118" t="str">
        <f>_xlfn.DISPIMG("ID_D88361D0AC4F40C29B491840D8C35568",1)</f>
        <v>=DISPIMG("ID_D88361D0AC4F40C29B491840D8C35568",1)</v>
      </c>
      <c r="O68" s="115" t="s">
        <v>2618</v>
      </c>
      <c r="P68" s="27">
        <v>314</v>
      </c>
      <c r="Q68" s="125" t="s">
        <v>4381</v>
      </c>
      <c r="R68" s="126" t="s">
        <v>39</v>
      </c>
      <c r="S68" s="124">
        <v>8</v>
      </c>
    </row>
    <row r="69" s="3" customFormat="1" ht="20" customHeight="1" spans="1:19">
      <c r="A69" s="166" t="s">
        <v>2651</v>
      </c>
      <c r="B69" s="166" t="s">
        <v>165</v>
      </c>
      <c r="C69" s="162" t="s">
        <v>2652</v>
      </c>
      <c r="D69" s="162" t="s">
        <v>278</v>
      </c>
      <c r="E69" s="162" t="s">
        <v>28</v>
      </c>
      <c r="F69" s="27">
        <v>202103001</v>
      </c>
      <c r="G69" s="162" t="s">
        <v>279</v>
      </c>
      <c r="H69" s="162" t="s">
        <v>367</v>
      </c>
      <c r="I69" s="162" t="s">
        <v>960</v>
      </c>
      <c r="J69" s="162" t="s">
        <v>170</v>
      </c>
      <c r="K69" s="162" t="s">
        <v>261</v>
      </c>
      <c r="L69" s="162" t="s">
        <v>2654</v>
      </c>
      <c r="M69" s="162" t="s">
        <v>2655</v>
      </c>
      <c r="N69" s="118" t="str">
        <f>_xlfn.DISPIMG("ID_1078F268CB1D42879EB5D176263AD754",1)</f>
        <v>=DISPIMG("ID_1078F268CB1D42879EB5D176263AD754",1)</v>
      </c>
      <c r="O69" s="115" t="s">
        <v>2656</v>
      </c>
      <c r="P69" s="27">
        <v>319</v>
      </c>
      <c r="Q69" s="125" t="s">
        <v>4382</v>
      </c>
      <c r="R69" s="126" t="s">
        <v>39</v>
      </c>
      <c r="S69" s="124">
        <v>17</v>
      </c>
    </row>
    <row r="70" s="3" customFormat="1" ht="20" customHeight="1" spans="1:19">
      <c r="A70" s="166" t="s">
        <v>2666</v>
      </c>
      <c r="B70" s="166" t="s">
        <v>165</v>
      </c>
      <c r="C70" s="162" t="s">
        <v>2667</v>
      </c>
      <c r="D70" s="162" t="s">
        <v>278</v>
      </c>
      <c r="E70" s="162" t="s">
        <v>28</v>
      </c>
      <c r="F70" s="27">
        <v>202103001</v>
      </c>
      <c r="G70" s="162" t="s">
        <v>279</v>
      </c>
      <c r="H70" s="162" t="s">
        <v>2669</v>
      </c>
      <c r="I70" s="162" t="s">
        <v>280</v>
      </c>
      <c r="J70" s="162" t="s">
        <v>170</v>
      </c>
      <c r="K70" s="162" t="s">
        <v>368</v>
      </c>
      <c r="L70" s="162" t="s">
        <v>340</v>
      </c>
      <c r="M70" s="162" t="s">
        <v>2670</v>
      </c>
      <c r="N70" s="118" t="str">
        <f>_xlfn.DISPIMG("ID_F3E1E6ADC00F4323859304E86EC6B8D9",1)</f>
        <v>=DISPIMG("ID_F3E1E6ADC00F4323859304E86EC6B8D9",1)</v>
      </c>
      <c r="O70" s="115" t="s">
        <v>2671</v>
      </c>
      <c r="P70" s="27">
        <v>321</v>
      </c>
      <c r="Q70" s="125" t="s">
        <v>4383</v>
      </c>
      <c r="R70" s="126" t="s">
        <v>39</v>
      </c>
      <c r="S70" s="124">
        <v>20</v>
      </c>
    </row>
    <row r="71" s="3" customFormat="1" ht="20" customHeight="1" spans="1:19">
      <c r="A71" s="166" t="s">
        <v>2691</v>
      </c>
      <c r="B71" s="166" t="s">
        <v>165</v>
      </c>
      <c r="C71" s="162" t="s">
        <v>2692</v>
      </c>
      <c r="D71" s="162" t="s">
        <v>278</v>
      </c>
      <c r="E71" s="162" t="s">
        <v>28</v>
      </c>
      <c r="F71" s="27">
        <v>202103001</v>
      </c>
      <c r="G71" s="162" t="s">
        <v>585</v>
      </c>
      <c r="H71" s="162" t="s">
        <v>367</v>
      </c>
      <c r="I71" s="162" t="s">
        <v>586</v>
      </c>
      <c r="J71" s="162" t="s">
        <v>170</v>
      </c>
      <c r="K71" s="162" t="s">
        <v>2685</v>
      </c>
      <c r="L71" s="162" t="s">
        <v>2686</v>
      </c>
      <c r="M71" s="162" t="s">
        <v>2694</v>
      </c>
      <c r="N71" s="118" t="str">
        <f>_xlfn.DISPIMG("ID_80BD79931C0D4F069B4BB278F0D6EACF",1)</f>
        <v>=DISPIMG("ID_80BD79931C0D4F069B4BB278F0D6EACF",1)</v>
      </c>
      <c r="O71" s="115" t="s">
        <v>2695</v>
      </c>
      <c r="P71" s="27">
        <v>324</v>
      </c>
      <c r="Q71" s="125" t="s">
        <v>4384</v>
      </c>
      <c r="R71" s="126" t="s">
        <v>39</v>
      </c>
      <c r="S71" s="124">
        <v>29</v>
      </c>
    </row>
    <row r="72" s="3" customFormat="1" ht="20" customHeight="1" spans="1:19">
      <c r="A72" s="166" t="s">
        <v>2739</v>
      </c>
      <c r="B72" s="166" t="s">
        <v>165</v>
      </c>
      <c r="C72" s="162" t="s">
        <v>2740</v>
      </c>
      <c r="D72" s="162" t="s">
        <v>278</v>
      </c>
      <c r="E72" s="162" t="s">
        <v>28</v>
      </c>
      <c r="F72" s="27">
        <v>202103001</v>
      </c>
      <c r="G72" s="162" t="s">
        <v>279</v>
      </c>
      <c r="H72" s="162" t="s">
        <v>2741</v>
      </c>
      <c r="I72" s="162" t="s">
        <v>2742</v>
      </c>
      <c r="J72" s="162" t="s">
        <v>160</v>
      </c>
      <c r="K72" s="162" t="s">
        <v>577</v>
      </c>
      <c r="L72" s="162" t="s">
        <v>28</v>
      </c>
      <c r="M72" s="27">
        <v>0</v>
      </c>
      <c r="N72" s="118" t="str">
        <f>_xlfn.DISPIMG("ID_DBC66D2ED4394B2EABDB1526C646D9F0",1)</f>
        <v>=DISPIMG("ID_DBC66D2ED4394B2EABDB1526C646D9F0",1)</v>
      </c>
      <c r="O72" s="115" t="s">
        <v>2743</v>
      </c>
      <c r="P72" s="27">
        <v>331</v>
      </c>
      <c r="Q72" s="125" t="s">
        <v>4385</v>
      </c>
      <c r="R72" s="126" t="s">
        <v>39</v>
      </c>
      <c r="S72" s="124">
        <v>4</v>
      </c>
    </row>
    <row r="73" s="3" customFormat="1" ht="20" customHeight="1" spans="1:19">
      <c r="A73" s="166" t="s">
        <v>2746</v>
      </c>
      <c r="B73" s="166" t="s">
        <v>165</v>
      </c>
      <c r="C73" s="162" t="s">
        <v>2747</v>
      </c>
      <c r="D73" s="162" t="s">
        <v>278</v>
      </c>
      <c r="E73" s="162" t="s">
        <v>28</v>
      </c>
      <c r="F73" s="27">
        <v>202103001</v>
      </c>
      <c r="G73" s="162" t="s">
        <v>279</v>
      </c>
      <c r="H73" s="162" t="s">
        <v>1432</v>
      </c>
      <c r="I73" s="162" t="s">
        <v>280</v>
      </c>
      <c r="J73" s="162" t="s">
        <v>170</v>
      </c>
      <c r="K73" s="162" t="s">
        <v>2221</v>
      </c>
      <c r="L73" s="162" t="s">
        <v>340</v>
      </c>
      <c r="M73" s="162" t="s">
        <v>2749</v>
      </c>
      <c r="N73" s="118" t="str">
        <f>_xlfn.DISPIMG("ID_88F87A068C9F46F1A08F32919B53F4F3",1)</f>
        <v>=DISPIMG("ID_88F87A068C9F46F1A08F32919B53F4F3",1)</v>
      </c>
      <c r="O73" s="115" t="s">
        <v>2750</v>
      </c>
      <c r="P73" s="27">
        <v>332</v>
      </c>
      <c r="Q73" s="125" t="s">
        <v>4386</v>
      </c>
      <c r="R73" s="126" t="s">
        <v>39</v>
      </c>
      <c r="S73" s="124">
        <v>9</v>
      </c>
    </row>
    <row r="74" s="3" customFormat="1" ht="20" customHeight="1" spans="1:19">
      <c r="A74" s="166" t="s">
        <v>2796</v>
      </c>
      <c r="B74" s="166" t="s">
        <v>165</v>
      </c>
      <c r="C74" s="162" t="s">
        <v>2797</v>
      </c>
      <c r="D74" s="162" t="s">
        <v>278</v>
      </c>
      <c r="E74" s="162" t="s">
        <v>28</v>
      </c>
      <c r="F74" s="27">
        <v>202103001</v>
      </c>
      <c r="G74" s="162" t="s">
        <v>279</v>
      </c>
      <c r="H74" s="162" t="s">
        <v>2799</v>
      </c>
      <c r="I74" s="162" t="s">
        <v>1489</v>
      </c>
      <c r="J74" s="162" t="s">
        <v>170</v>
      </c>
      <c r="K74" s="162" t="s">
        <v>2800</v>
      </c>
      <c r="L74" s="162" t="s">
        <v>28</v>
      </c>
      <c r="M74" s="162" t="s">
        <v>2801</v>
      </c>
      <c r="N74" s="118" t="str">
        <f>_xlfn.DISPIMG("ID_CE28F2C62DED40E5A2B6EB31752867C6",1)</f>
        <v>=DISPIMG("ID_CE28F2C62DED40E5A2B6EB31752867C6",1)</v>
      </c>
      <c r="O74" s="115" t="s">
        <v>2802</v>
      </c>
      <c r="P74" s="27">
        <v>339</v>
      </c>
      <c r="Q74" s="125" t="s">
        <v>4387</v>
      </c>
      <c r="R74" s="126" t="s">
        <v>39</v>
      </c>
      <c r="S74" s="124">
        <v>16</v>
      </c>
    </row>
    <row r="75" s="3" customFormat="1" ht="20" customHeight="1" spans="1:19">
      <c r="A75" s="166" t="s">
        <v>2825</v>
      </c>
      <c r="B75" s="166" t="s">
        <v>165</v>
      </c>
      <c r="C75" s="162" t="s">
        <v>2826</v>
      </c>
      <c r="D75" s="162" t="s">
        <v>278</v>
      </c>
      <c r="E75" s="162" t="s">
        <v>28</v>
      </c>
      <c r="F75" s="27">
        <v>202103001</v>
      </c>
      <c r="G75" s="162" t="s">
        <v>279</v>
      </c>
      <c r="H75" s="162" t="s">
        <v>1237</v>
      </c>
      <c r="I75" s="162" t="s">
        <v>280</v>
      </c>
      <c r="J75" s="162" t="s">
        <v>170</v>
      </c>
      <c r="K75" s="162" t="s">
        <v>261</v>
      </c>
      <c r="L75" s="162" t="s">
        <v>340</v>
      </c>
      <c r="M75" s="27">
        <v>0</v>
      </c>
      <c r="N75" s="118" t="str">
        <f>_xlfn.DISPIMG("ID_F08BB5C3B75D4962A37212B4DDDA960C",1)</f>
        <v>=DISPIMG("ID_F08BB5C3B75D4962A37212B4DDDA960C",1)</v>
      </c>
      <c r="O75" s="115" t="s">
        <v>2828</v>
      </c>
      <c r="P75" s="27">
        <v>343</v>
      </c>
      <c r="Q75" s="125" t="s">
        <v>4388</v>
      </c>
      <c r="R75" s="126" t="s">
        <v>39</v>
      </c>
      <c r="S75" s="124">
        <v>21</v>
      </c>
    </row>
    <row r="76" s="3" customFormat="1" ht="20" customHeight="1" spans="1:19">
      <c r="A76" s="166" t="s">
        <v>2854</v>
      </c>
      <c r="B76" s="166" t="s">
        <v>165</v>
      </c>
      <c r="C76" s="162" t="s">
        <v>2855</v>
      </c>
      <c r="D76" s="162" t="s">
        <v>278</v>
      </c>
      <c r="E76" s="162" t="s">
        <v>28</v>
      </c>
      <c r="F76" s="27">
        <v>202103001</v>
      </c>
      <c r="G76" s="162" t="s">
        <v>279</v>
      </c>
      <c r="H76" s="162" t="s">
        <v>2857</v>
      </c>
      <c r="I76" s="162" t="s">
        <v>586</v>
      </c>
      <c r="J76" s="162" t="s">
        <v>170</v>
      </c>
      <c r="K76" s="162" t="s">
        <v>235</v>
      </c>
      <c r="L76" s="162" t="s">
        <v>586</v>
      </c>
      <c r="M76" s="162" t="s">
        <v>2858</v>
      </c>
      <c r="N76" s="118" t="str">
        <f>_xlfn.DISPIMG("ID_11ED1DBBC626428D97C7101FAED1566F",1)</f>
        <v>=DISPIMG("ID_11ED1DBBC626428D97C7101FAED1566F",1)</v>
      </c>
      <c r="O76" s="115" t="s">
        <v>2859</v>
      </c>
      <c r="P76" s="27">
        <v>347</v>
      </c>
      <c r="Q76" s="125" t="s">
        <v>4389</v>
      </c>
      <c r="R76" s="126" t="s">
        <v>39</v>
      </c>
      <c r="S76" s="124">
        <v>28</v>
      </c>
    </row>
    <row r="77" s="3" customFormat="1" ht="20" customHeight="1" spans="1:19">
      <c r="A77" s="166" t="s">
        <v>2862</v>
      </c>
      <c r="B77" s="166" t="s">
        <v>165</v>
      </c>
      <c r="C77" s="162" t="s">
        <v>2863</v>
      </c>
      <c r="D77" s="162" t="s">
        <v>278</v>
      </c>
      <c r="E77" s="162" t="s">
        <v>28</v>
      </c>
      <c r="F77" s="27">
        <v>202103001</v>
      </c>
      <c r="G77" s="162" t="s">
        <v>585</v>
      </c>
      <c r="H77" s="162" t="s">
        <v>2865</v>
      </c>
      <c r="I77" s="162" t="s">
        <v>280</v>
      </c>
      <c r="J77" s="162" t="s">
        <v>170</v>
      </c>
      <c r="K77" s="162" t="s">
        <v>577</v>
      </c>
      <c r="L77" s="162" t="s">
        <v>2866</v>
      </c>
      <c r="M77" s="162" t="s">
        <v>2867</v>
      </c>
      <c r="N77" s="118" t="str">
        <f>_xlfn.DISPIMG("ID_2A4EA762BC734560A58995F31757BD03",1)</f>
        <v>=DISPIMG("ID_2A4EA762BC734560A58995F31757BD03",1)</v>
      </c>
      <c r="O77" s="115" t="s">
        <v>2868</v>
      </c>
      <c r="P77" s="27">
        <v>348</v>
      </c>
      <c r="Q77" s="125" t="s">
        <v>4390</v>
      </c>
      <c r="R77" s="126" t="s">
        <v>39</v>
      </c>
      <c r="S77" s="124">
        <v>3</v>
      </c>
    </row>
    <row r="78" s="3" customFormat="1" ht="20" customHeight="1" spans="1:19">
      <c r="A78" s="166" t="s">
        <v>2887</v>
      </c>
      <c r="B78" s="166" t="s">
        <v>165</v>
      </c>
      <c r="C78" s="162" t="s">
        <v>2888</v>
      </c>
      <c r="D78" s="162" t="s">
        <v>278</v>
      </c>
      <c r="E78" s="162" t="s">
        <v>28</v>
      </c>
      <c r="F78" s="27">
        <v>202103001</v>
      </c>
      <c r="G78" s="162" t="s">
        <v>279</v>
      </c>
      <c r="H78" s="162" t="s">
        <v>2890</v>
      </c>
      <c r="I78" s="162" t="s">
        <v>280</v>
      </c>
      <c r="J78" s="162" t="s">
        <v>170</v>
      </c>
      <c r="K78" s="162" t="s">
        <v>261</v>
      </c>
      <c r="L78" s="162" t="s">
        <v>2462</v>
      </c>
      <c r="M78" s="162" t="s">
        <v>2891</v>
      </c>
      <c r="N78" s="118" t="str">
        <f>_xlfn.DISPIMG("ID_0C2059A8D9A84C38B1CE4EFB24FA358E",1)</f>
        <v>=DISPIMG("ID_0C2059A8D9A84C38B1CE4EFB24FA358E",1)</v>
      </c>
      <c r="O78" s="115" t="s">
        <v>2892</v>
      </c>
      <c r="P78" s="27">
        <v>351</v>
      </c>
      <c r="Q78" s="125" t="s">
        <v>4391</v>
      </c>
      <c r="R78" s="126" t="s">
        <v>39</v>
      </c>
      <c r="S78" s="124">
        <v>10</v>
      </c>
    </row>
    <row r="79" s="3" customFormat="1" ht="20" customHeight="1" spans="1:19">
      <c r="A79" s="166" t="s">
        <v>2908</v>
      </c>
      <c r="B79" s="166" t="s">
        <v>165</v>
      </c>
      <c r="C79" s="162" t="s">
        <v>2909</v>
      </c>
      <c r="D79" s="162" t="s">
        <v>278</v>
      </c>
      <c r="E79" s="162" t="s">
        <v>28</v>
      </c>
      <c r="F79" s="27">
        <v>202103001</v>
      </c>
      <c r="G79" s="162" t="s">
        <v>279</v>
      </c>
      <c r="H79" s="162" t="s">
        <v>732</v>
      </c>
      <c r="I79" s="162" t="s">
        <v>280</v>
      </c>
      <c r="J79" s="162" t="s">
        <v>170</v>
      </c>
      <c r="K79" s="162" t="s">
        <v>216</v>
      </c>
      <c r="L79" s="162" t="s">
        <v>340</v>
      </c>
      <c r="M79" s="162" t="s">
        <v>2911</v>
      </c>
      <c r="N79" s="118" t="str">
        <f>_xlfn.DISPIMG("ID_2372D216C4084B2F90A1624776C89F44",1)</f>
        <v>=DISPIMG("ID_2372D216C4084B2F90A1624776C89F44",1)</v>
      </c>
      <c r="O79" s="115" t="s">
        <v>2912</v>
      </c>
      <c r="P79" s="27">
        <v>354</v>
      </c>
      <c r="Q79" s="125" t="s">
        <v>4392</v>
      </c>
      <c r="R79" s="126" t="s">
        <v>39</v>
      </c>
      <c r="S79" s="124">
        <v>15</v>
      </c>
    </row>
    <row r="80" s="3" customFormat="1" ht="20" customHeight="1" spans="1:19">
      <c r="A80" s="166" t="s">
        <v>3015</v>
      </c>
      <c r="B80" s="166" t="s">
        <v>165</v>
      </c>
      <c r="C80" s="162" t="s">
        <v>3016</v>
      </c>
      <c r="D80" s="162" t="s">
        <v>278</v>
      </c>
      <c r="E80" s="162" t="s">
        <v>28</v>
      </c>
      <c r="F80" s="27">
        <v>202103001</v>
      </c>
      <c r="G80" s="162" t="s">
        <v>585</v>
      </c>
      <c r="H80" s="162" t="s">
        <v>3018</v>
      </c>
      <c r="I80" s="162" t="s">
        <v>586</v>
      </c>
      <c r="J80" s="162" t="s">
        <v>170</v>
      </c>
      <c r="K80" s="162" t="s">
        <v>1346</v>
      </c>
      <c r="L80" s="162" t="s">
        <v>340</v>
      </c>
      <c r="M80" s="162" t="s">
        <v>3019</v>
      </c>
      <c r="N80" s="118" t="str">
        <f>_xlfn.DISPIMG("ID_5D71807FA9B14D55B579AC354805CDFB",1)</f>
        <v>=DISPIMG("ID_5D71807FA9B14D55B579AC354805CDFB",1)</v>
      </c>
      <c r="O80" s="115" t="s">
        <v>3020</v>
      </c>
      <c r="P80" s="27">
        <v>372</v>
      </c>
      <c r="Q80" s="125" t="s">
        <v>4393</v>
      </c>
      <c r="R80" s="126" t="s">
        <v>39</v>
      </c>
      <c r="S80" s="124">
        <v>22</v>
      </c>
    </row>
    <row r="81" s="34" customFormat="1" ht="20" customHeight="1" spans="1:19">
      <c r="A81" s="166" t="s">
        <v>3136</v>
      </c>
      <c r="B81" s="166" t="s">
        <v>165</v>
      </c>
      <c r="C81" s="167" t="s">
        <v>3137</v>
      </c>
      <c r="D81" s="167" t="s">
        <v>278</v>
      </c>
      <c r="E81" s="167" t="s">
        <v>28</v>
      </c>
      <c r="F81" s="11">
        <v>202103001</v>
      </c>
      <c r="G81" s="167" t="s">
        <v>157</v>
      </c>
      <c r="H81" s="167" t="s">
        <v>233</v>
      </c>
      <c r="I81" s="167" t="s">
        <v>280</v>
      </c>
      <c r="J81" s="167" t="s">
        <v>170</v>
      </c>
      <c r="K81" s="167" t="s">
        <v>199</v>
      </c>
      <c r="L81" s="167" t="s">
        <v>517</v>
      </c>
      <c r="M81" s="167" t="s">
        <v>3139</v>
      </c>
      <c r="N81" s="12" t="str">
        <f>_xlfn.DISPIMG("ID_5DD0D632EE9F43A696BEAC7A2AD60F9E",1)</f>
        <v>=DISPIMG("ID_5DD0D632EE9F43A696BEAC7A2AD60F9E",1)</v>
      </c>
      <c r="O81" s="9" t="s">
        <v>3140</v>
      </c>
      <c r="P81" s="11">
        <v>388</v>
      </c>
      <c r="Q81" s="78" t="s">
        <v>4394</v>
      </c>
      <c r="R81" s="126" t="s">
        <v>39</v>
      </c>
      <c r="S81" s="128">
        <v>27</v>
      </c>
    </row>
    <row r="82" s="3" customFormat="1" ht="20" customHeight="1" spans="1:19">
      <c r="A82" s="166" t="s">
        <v>3143</v>
      </c>
      <c r="B82" s="166" t="s">
        <v>165</v>
      </c>
      <c r="C82" s="162" t="s">
        <v>3144</v>
      </c>
      <c r="D82" s="162" t="s">
        <v>278</v>
      </c>
      <c r="E82" s="162" t="s">
        <v>28</v>
      </c>
      <c r="F82" s="27">
        <v>202103001</v>
      </c>
      <c r="G82" s="162" t="s">
        <v>279</v>
      </c>
      <c r="H82" s="162" t="s">
        <v>367</v>
      </c>
      <c r="I82" s="162" t="s">
        <v>169</v>
      </c>
      <c r="J82" s="162" t="s">
        <v>170</v>
      </c>
      <c r="K82" s="162" t="s">
        <v>2685</v>
      </c>
      <c r="L82" s="162" t="s">
        <v>3146</v>
      </c>
      <c r="M82" s="162" t="s">
        <v>3147</v>
      </c>
      <c r="N82" s="118" t="str">
        <f>_xlfn.DISPIMG("ID_A94A4E6038894CA88A82184D1877D675",1)</f>
        <v>=DISPIMG("ID_A94A4E6038894CA88A82184D1877D675",1)</v>
      </c>
      <c r="O82" s="115" t="s">
        <v>3148</v>
      </c>
      <c r="P82" s="27">
        <v>389</v>
      </c>
      <c r="Q82" s="125" t="s">
        <v>4395</v>
      </c>
      <c r="R82" s="126" t="s">
        <v>39</v>
      </c>
      <c r="S82" s="124">
        <v>2</v>
      </c>
    </row>
    <row r="83" s="3" customFormat="1" ht="20" customHeight="1" spans="1:19">
      <c r="A83" s="166" t="s">
        <v>1429</v>
      </c>
      <c r="B83" s="166" t="s">
        <v>165</v>
      </c>
      <c r="C83" s="162" t="s">
        <v>1430</v>
      </c>
      <c r="D83" s="162" t="s">
        <v>278</v>
      </c>
      <c r="E83" s="162" t="s">
        <v>28</v>
      </c>
      <c r="F83" s="27">
        <v>202103001</v>
      </c>
      <c r="G83" s="162" t="s">
        <v>279</v>
      </c>
      <c r="H83" s="162" t="s">
        <v>1432</v>
      </c>
      <c r="I83" s="162" t="s">
        <v>1433</v>
      </c>
      <c r="J83" s="162" t="s">
        <v>170</v>
      </c>
      <c r="K83" s="162" t="s">
        <v>261</v>
      </c>
      <c r="L83" s="162" t="s">
        <v>1013</v>
      </c>
      <c r="M83" s="162" t="s">
        <v>1435</v>
      </c>
      <c r="N83" s="118" t="str">
        <f>_xlfn.DISPIMG("ID_2AA0C0867EDA4E25AC1B455524935955",1)</f>
        <v>=DISPIMG("ID_2AA0C0867EDA4E25AC1B455524935955",1)</v>
      </c>
      <c r="O83" s="115" t="s">
        <v>1436</v>
      </c>
      <c r="P83" s="27">
        <v>391</v>
      </c>
      <c r="Q83" s="125" t="s">
        <v>4396</v>
      </c>
      <c r="R83" s="126" t="s">
        <v>39</v>
      </c>
      <c r="S83" s="124">
        <v>11</v>
      </c>
    </row>
    <row r="84" s="3" customFormat="1" ht="20" customHeight="1" spans="1:19">
      <c r="A84" s="166" t="s">
        <v>3172</v>
      </c>
      <c r="B84" s="166" t="s">
        <v>165</v>
      </c>
      <c r="C84" s="162" t="s">
        <v>3173</v>
      </c>
      <c r="D84" s="162" t="s">
        <v>278</v>
      </c>
      <c r="E84" s="162" t="s">
        <v>28</v>
      </c>
      <c r="F84" s="27">
        <v>202103001</v>
      </c>
      <c r="G84" s="162" t="s">
        <v>585</v>
      </c>
      <c r="H84" s="162" t="s">
        <v>3174</v>
      </c>
      <c r="I84" s="162" t="s">
        <v>586</v>
      </c>
      <c r="J84" s="162" t="s">
        <v>170</v>
      </c>
      <c r="K84" s="162" t="s">
        <v>3039</v>
      </c>
      <c r="L84" s="162" t="s">
        <v>340</v>
      </c>
      <c r="M84" s="162" t="s">
        <v>3175</v>
      </c>
      <c r="N84" s="118" t="str">
        <f>_xlfn.DISPIMG("ID_0094E289D6FF483F911D447623CD2A7B",1)</f>
        <v>=DISPIMG("ID_0094E289D6FF483F911D447623CD2A7B",1)</v>
      </c>
      <c r="O84" s="115" t="s">
        <v>3176</v>
      </c>
      <c r="P84" s="27">
        <v>394</v>
      </c>
      <c r="Q84" s="125" t="s">
        <v>4397</v>
      </c>
      <c r="R84" s="126" t="s">
        <v>39</v>
      </c>
      <c r="S84" s="124">
        <v>14</v>
      </c>
    </row>
    <row r="85" s="3" customFormat="1" ht="20" customHeight="1" spans="1:19">
      <c r="A85" s="166" t="s">
        <v>3234</v>
      </c>
      <c r="B85" s="166" t="s">
        <v>165</v>
      </c>
      <c r="C85" s="162" t="s">
        <v>3235</v>
      </c>
      <c r="D85" s="162" t="s">
        <v>278</v>
      </c>
      <c r="E85" s="162" t="s">
        <v>28</v>
      </c>
      <c r="F85" s="27">
        <v>202103001</v>
      </c>
      <c r="G85" s="162" t="s">
        <v>279</v>
      </c>
      <c r="H85" s="162" t="s">
        <v>339</v>
      </c>
      <c r="I85" s="162" t="s">
        <v>960</v>
      </c>
      <c r="J85" s="162" t="s">
        <v>170</v>
      </c>
      <c r="K85" s="162" t="s">
        <v>2935</v>
      </c>
      <c r="L85" s="162" t="s">
        <v>376</v>
      </c>
      <c r="M85" s="162" t="s">
        <v>3237</v>
      </c>
      <c r="N85" s="118" t="str">
        <f>_xlfn.DISPIMG("ID_6E77F2441F654B1DACC44E4FDEC025B1",1)</f>
        <v>=DISPIMG("ID_6E77F2441F654B1DACC44E4FDEC025B1",1)</v>
      </c>
      <c r="O85" s="115" t="s">
        <v>3238</v>
      </c>
      <c r="P85" s="27">
        <v>403</v>
      </c>
      <c r="Q85" s="125" t="s">
        <v>4398</v>
      </c>
      <c r="R85" s="126" t="s">
        <v>39</v>
      </c>
      <c r="S85" s="124">
        <v>23</v>
      </c>
    </row>
    <row r="86" s="3" customFormat="1" ht="20" customHeight="1" spans="1:19">
      <c r="A86" s="166" t="s">
        <v>3293</v>
      </c>
      <c r="B86" s="166" t="s">
        <v>165</v>
      </c>
      <c r="C86" s="162" t="s">
        <v>3294</v>
      </c>
      <c r="D86" s="162" t="s">
        <v>278</v>
      </c>
      <c r="E86" s="162" t="s">
        <v>28</v>
      </c>
      <c r="F86" s="27">
        <v>202103001</v>
      </c>
      <c r="G86" s="162" t="s">
        <v>157</v>
      </c>
      <c r="H86" s="162" t="s">
        <v>233</v>
      </c>
      <c r="I86" s="162" t="s">
        <v>280</v>
      </c>
      <c r="J86" s="162" t="s">
        <v>170</v>
      </c>
      <c r="K86" s="162" t="s">
        <v>3061</v>
      </c>
      <c r="L86" s="162" t="s">
        <v>3296</v>
      </c>
      <c r="M86" s="162" t="s">
        <v>3297</v>
      </c>
      <c r="N86" s="118" t="str">
        <f>_xlfn.DISPIMG("ID_1A8F20F988244300AFCAF70BDC1F337C",1)</f>
        <v>=DISPIMG("ID_1A8F20F988244300AFCAF70BDC1F337C",1)</v>
      </c>
      <c r="O86" s="115" t="s">
        <v>3298</v>
      </c>
      <c r="P86" s="27">
        <v>413</v>
      </c>
      <c r="Q86" s="125" t="s">
        <v>4399</v>
      </c>
      <c r="R86" s="126" t="s">
        <v>39</v>
      </c>
      <c r="S86" s="124">
        <v>26</v>
      </c>
    </row>
    <row r="87" s="3" customFormat="1" ht="20" customHeight="1" spans="1:19">
      <c r="A87" s="166" t="s">
        <v>3307</v>
      </c>
      <c r="B87" s="166" t="s">
        <v>165</v>
      </c>
      <c r="C87" s="162" t="s">
        <v>3308</v>
      </c>
      <c r="D87" s="162" t="s">
        <v>278</v>
      </c>
      <c r="E87" s="162" t="s">
        <v>28</v>
      </c>
      <c r="F87" s="27">
        <v>202103001</v>
      </c>
      <c r="G87" s="162" t="s">
        <v>279</v>
      </c>
      <c r="H87" s="162" t="s">
        <v>3309</v>
      </c>
      <c r="I87" s="162" t="s">
        <v>2326</v>
      </c>
      <c r="J87" s="162" t="s">
        <v>170</v>
      </c>
      <c r="K87" s="162" t="s">
        <v>396</v>
      </c>
      <c r="L87" s="162" t="s">
        <v>517</v>
      </c>
      <c r="M87" s="162" t="s">
        <v>3310</v>
      </c>
      <c r="N87" s="118" t="str">
        <f>_xlfn.DISPIMG("ID_354EF343CD5243F482E0D228CE19598F",1)</f>
        <v>=DISPIMG("ID_354EF343CD5243F482E0D228CE19598F",1)</v>
      </c>
      <c r="O87" s="115" t="s">
        <v>3311</v>
      </c>
      <c r="P87" s="27">
        <v>415</v>
      </c>
      <c r="Q87" s="125" t="s">
        <v>4400</v>
      </c>
      <c r="R87" s="126" t="s">
        <v>39</v>
      </c>
      <c r="S87" s="124">
        <v>1</v>
      </c>
    </row>
    <row r="88" s="3" customFormat="1" ht="20" customHeight="1" spans="1:19">
      <c r="A88" s="166" t="s">
        <v>3320</v>
      </c>
      <c r="B88" s="166" t="s">
        <v>165</v>
      </c>
      <c r="C88" s="162" t="s">
        <v>3321</v>
      </c>
      <c r="D88" s="162" t="s">
        <v>278</v>
      </c>
      <c r="E88" s="162" t="s">
        <v>28</v>
      </c>
      <c r="F88" s="27">
        <v>202103001</v>
      </c>
      <c r="G88" s="162" t="s">
        <v>585</v>
      </c>
      <c r="H88" s="162" t="s">
        <v>168</v>
      </c>
      <c r="I88" s="162" t="s">
        <v>280</v>
      </c>
      <c r="J88" s="162" t="s">
        <v>170</v>
      </c>
      <c r="K88" s="162" t="s">
        <v>2047</v>
      </c>
      <c r="L88" s="162" t="s">
        <v>340</v>
      </c>
      <c r="M88" s="162" t="s">
        <v>3322</v>
      </c>
      <c r="N88" s="118" t="str">
        <f>_xlfn.DISPIMG("ID_98A98A82D5AD4E03ADF0E8FE54980276",1)</f>
        <v>=DISPIMG("ID_98A98A82D5AD4E03ADF0E8FE54980276",1)</v>
      </c>
      <c r="O88" s="115" t="s">
        <v>3323</v>
      </c>
      <c r="P88" s="27">
        <v>417</v>
      </c>
      <c r="Q88" s="125" t="s">
        <v>4401</v>
      </c>
      <c r="R88" s="126" t="s">
        <v>39</v>
      </c>
      <c r="S88" s="124">
        <v>12</v>
      </c>
    </row>
    <row r="89" s="4" customFormat="1" ht="20" customHeight="1" spans="1:19">
      <c r="A89" s="166" t="s">
        <v>3326</v>
      </c>
      <c r="B89" s="166" t="s">
        <v>165</v>
      </c>
      <c r="C89" s="164" t="s">
        <v>3327</v>
      </c>
      <c r="D89" s="164" t="s">
        <v>278</v>
      </c>
      <c r="E89" s="164" t="s">
        <v>28</v>
      </c>
      <c r="F89" s="22">
        <v>202103001</v>
      </c>
      <c r="G89" s="164" t="s">
        <v>279</v>
      </c>
      <c r="H89" s="164" t="s">
        <v>3329</v>
      </c>
      <c r="I89" s="164" t="s">
        <v>280</v>
      </c>
      <c r="J89" s="164" t="s">
        <v>170</v>
      </c>
      <c r="K89" s="164" t="s">
        <v>368</v>
      </c>
      <c r="L89" s="164" t="s">
        <v>376</v>
      </c>
      <c r="M89" s="164" t="s">
        <v>3330</v>
      </c>
      <c r="N89" s="23" t="str">
        <f>_xlfn.DISPIMG("ID_35E61F5727C7442282FC0637F60D57FC",1)</f>
        <v>=DISPIMG("ID_35E61F5727C7442282FC0637F60D57FC",1)</v>
      </c>
      <c r="O89" s="103" t="s">
        <v>3331</v>
      </c>
      <c r="P89" s="27">
        <v>418</v>
      </c>
      <c r="Q89" s="125" t="s">
        <v>4402</v>
      </c>
      <c r="R89" s="126" t="s">
        <v>39</v>
      </c>
      <c r="S89" s="124">
        <v>13</v>
      </c>
    </row>
    <row r="90" s="3" customFormat="1" ht="20" customHeight="1" spans="1:19">
      <c r="A90" s="166" t="s">
        <v>2682</v>
      </c>
      <c r="B90" s="166" t="s">
        <v>165</v>
      </c>
      <c r="C90" s="162" t="s">
        <v>2683</v>
      </c>
      <c r="D90" s="162" t="s">
        <v>278</v>
      </c>
      <c r="E90" s="162" t="s">
        <v>28</v>
      </c>
      <c r="F90" s="27">
        <v>202103001</v>
      </c>
      <c r="G90" s="162" t="s">
        <v>585</v>
      </c>
      <c r="H90" s="162" t="s">
        <v>367</v>
      </c>
      <c r="I90" s="162" t="s">
        <v>586</v>
      </c>
      <c r="J90" s="162" t="s">
        <v>170</v>
      </c>
      <c r="K90" s="162" t="s">
        <v>2685</v>
      </c>
      <c r="L90" s="162" t="s">
        <v>2686</v>
      </c>
      <c r="M90" s="162" t="s">
        <v>2687</v>
      </c>
      <c r="N90" s="118" t="str">
        <f>_xlfn.DISPIMG("ID_5B48971EF1B54F2AA5263A5C67E87781",1)</f>
        <v>=DISPIMG("ID_5B48971EF1B54F2AA5263A5C67E87781",1)</v>
      </c>
      <c r="O90" s="115" t="s">
        <v>2688</v>
      </c>
      <c r="P90" s="27">
        <v>419</v>
      </c>
      <c r="Q90" s="125" t="s">
        <v>4403</v>
      </c>
      <c r="R90" s="126" t="s">
        <v>39</v>
      </c>
      <c r="S90" s="124">
        <v>24</v>
      </c>
    </row>
    <row r="91" s="3" customFormat="1" ht="20" customHeight="1" spans="1:19">
      <c r="A91" s="166" t="s">
        <v>3342</v>
      </c>
      <c r="B91" s="166" t="s">
        <v>165</v>
      </c>
      <c r="C91" s="162" t="s">
        <v>3343</v>
      </c>
      <c r="D91" s="162" t="s">
        <v>278</v>
      </c>
      <c r="E91" s="162" t="s">
        <v>28</v>
      </c>
      <c r="F91" s="27">
        <v>202103001</v>
      </c>
      <c r="G91" s="162" t="s">
        <v>157</v>
      </c>
      <c r="H91" s="162" t="s">
        <v>3345</v>
      </c>
      <c r="I91" s="162" t="s">
        <v>280</v>
      </c>
      <c r="J91" s="162" t="s">
        <v>170</v>
      </c>
      <c r="K91" s="162" t="s">
        <v>235</v>
      </c>
      <c r="L91" s="162" t="s">
        <v>3346</v>
      </c>
      <c r="M91" s="162" t="s">
        <v>3347</v>
      </c>
      <c r="N91" s="118" t="str">
        <f>_xlfn.DISPIMG("ID_E18EEBC59F6A4BD3BA9929CD3773910D",1)</f>
        <v>=DISPIMG("ID_E18EEBC59F6A4BD3BA9929CD3773910D",1)</v>
      </c>
      <c r="O91" s="115" t="s">
        <v>3348</v>
      </c>
      <c r="P91" s="27">
        <v>421</v>
      </c>
      <c r="Q91" s="125" t="s">
        <v>4404</v>
      </c>
      <c r="R91" s="126" t="s">
        <v>39</v>
      </c>
      <c r="S91" s="124">
        <v>25</v>
      </c>
    </row>
    <row r="92" s="4" customFormat="1" ht="20" customHeight="1" spans="1:19">
      <c r="A92" s="166" t="s">
        <v>3393</v>
      </c>
      <c r="B92" s="166" t="s">
        <v>165</v>
      </c>
      <c r="C92" s="164" t="s">
        <v>3394</v>
      </c>
      <c r="D92" s="164" t="s">
        <v>278</v>
      </c>
      <c r="E92" s="164" t="s">
        <v>28</v>
      </c>
      <c r="F92" s="22">
        <v>202101003</v>
      </c>
      <c r="G92" s="164" t="s">
        <v>585</v>
      </c>
      <c r="H92" s="164" t="s">
        <v>3396</v>
      </c>
      <c r="I92" s="164" t="s">
        <v>586</v>
      </c>
      <c r="J92" s="164" t="s">
        <v>170</v>
      </c>
      <c r="K92" s="164" t="s">
        <v>3397</v>
      </c>
      <c r="L92" s="164" t="s">
        <v>3398</v>
      </c>
      <c r="M92" s="164" t="s">
        <v>3399</v>
      </c>
      <c r="N92" s="23" t="str">
        <f>_xlfn.DISPIMG("ID_7B9E4020F2C94CC099858598DA5339A8",1)</f>
        <v>=DISPIMG("ID_7B9E4020F2C94CC099858598DA5339A8",1)</v>
      </c>
      <c r="O92" s="103" t="s">
        <v>3400</v>
      </c>
      <c r="P92" s="27">
        <v>428</v>
      </c>
      <c r="Q92" s="125" t="s">
        <v>4405</v>
      </c>
      <c r="R92" s="126" t="s">
        <v>40</v>
      </c>
      <c r="S92" s="124">
        <v>6</v>
      </c>
    </row>
    <row r="93" s="4" customFormat="1" ht="20" customHeight="1" spans="1:19">
      <c r="A93" s="166" t="s">
        <v>3403</v>
      </c>
      <c r="B93" s="166" t="s">
        <v>165</v>
      </c>
      <c r="C93" s="164" t="s">
        <v>3404</v>
      </c>
      <c r="D93" s="164" t="s">
        <v>278</v>
      </c>
      <c r="E93" s="164" t="s">
        <v>28</v>
      </c>
      <c r="F93" s="22">
        <v>202103001</v>
      </c>
      <c r="G93" s="164" t="s">
        <v>279</v>
      </c>
      <c r="H93" s="164" t="s">
        <v>168</v>
      </c>
      <c r="I93" s="164" t="s">
        <v>280</v>
      </c>
      <c r="J93" s="164" t="s">
        <v>170</v>
      </c>
      <c r="K93" s="164" t="s">
        <v>516</v>
      </c>
      <c r="L93" s="164" t="s">
        <v>280</v>
      </c>
      <c r="M93" s="164" t="s">
        <v>3405</v>
      </c>
      <c r="N93" s="23" t="str">
        <f>_xlfn.DISPIMG("ID_7EFAC0679406489199323C08AE652767",1)</f>
        <v>=DISPIMG("ID_7EFAC0679406489199323C08AE652767",1)</v>
      </c>
      <c r="O93" s="103" t="s">
        <v>3406</v>
      </c>
      <c r="P93" s="127">
        <v>429</v>
      </c>
      <c r="Q93" s="125" t="s">
        <v>4406</v>
      </c>
      <c r="R93" s="126" t="s">
        <v>40</v>
      </c>
      <c r="S93" s="124">
        <v>7</v>
      </c>
    </row>
    <row r="94" s="3" customFormat="1" ht="20" customHeight="1" spans="1:19">
      <c r="A94" s="166" t="s">
        <v>175</v>
      </c>
      <c r="B94" s="166" t="s">
        <v>165</v>
      </c>
      <c r="C94" s="162" t="s">
        <v>176</v>
      </c>
      <c r="D94" s="162" t="s">
        <v>156</v>
      </c>
      <c r="E94" s="162" t="s">
        <v>14</v>
      </c>
      <c r="F94" s="27">
        <v>202102001</v>
      </c>
      <c r="G94" s="162" t="s">
        <v>157</v>
      </c>
      <c r="H94" s="162" t="s">
        <v>178</v>
      </c>
      <c r="I94" s="162" t="s">
        <v>179</v>
      </c>
      <c r="J94" s="162" t="s">
        <v>170</v>
      </c>
      <c r="K94" s="162" t="s">
        <v>180</v>
      </c>
      <c r="L94" s="162" t="s">
        <v>14</v>
      </c>
      <c r="M94" s="27">
        <v>0</v>
      </c>
      <c r="N94" s="118" t="str">
        <f>_xlfn.DISPIMG("ID_BD43028E6BB24443B06241FE37DC179A",1)</f>
        <v>=DISPIMG("ID_BD43028E6BB24443B06241FE37DC179A",1)</v>
      </c>
      <c r="O94" s="115" t="s">
        <v>181</v>
      </c>
      <c r="P94" s="127">
        <v>4</v>
      </c>
      <c r="Q94" s="125" t="s">
        <v>4407</v>
      </c>
      <c r="R94" s="126" t="s">
        <v>40</v>
      </c>
      <c r="S94" s="124">
        <v>18</v>
      </c>
    </row>
    <row r="95" s="3" customFormat="1" ht="20" customHeight="1" spans="1:19">
      <c r="A95" s="166" t="s">
        <v>345</v>
      </c>
      <c r="B95" s="166" t="s">
        <v>165</v>
      </c>
      <c r="C95" s="162" t="s">
        <v>346</v>
      </c>
      <c r="D95" s="162" t="s">
        <v>156</v>
      </c>
      <c r="E95" s="162" t="s">
        <v>14</v>
      </c>
      <c r="F95" s="27">
        <v>202102001</v>
      </c>
      <c r="G95" s="162" t="s">
        <v>279</v>
      </c>
      <c r="H95" s="162" t="s">
        <v>158</v>
      </c>
      <c r="I95" s="162" t="s">
        <v>348</v>
      </c>
      <c r="J95" s="162" t="s">
        <v>170</v>
      </c>
      <c r="K95" s="162" t="s">
        <v>349</v>
      </c>
      <c r="L95" s="162" t="s">
        <v>350</v>
      </c>
      <c r="M95" s="162" t="s">
        <v>351</v>
      </c>
      <c r="N95" s="118" t="str">
        <f>_xlfn.DISPIMG("ID_0FE66397D3464536A23D26C93FD62495",1)</f>
        <v>=DISPIMG("ID_0FE66397D3464536A23D26C93FD62495",1)</v>
      </c>
      <c r="O95" s="115" t="s">
        <v>352</v>
      </c>
      <c r="P95" s="127">
        <v>23</v>
      </c>
      <c r="Q95" s="125" t="s">
        <v>4408</v>
      </c>
      <c r="R95" s="126" t="s">
        <v>40</v>
      </c>
      <c r="S95" s="124">
        <v>19</v>
      </c>
    </row>
    <row r="96" s="3" customFormat="1" ht="20" customHeight="1" spans="1:19">
      <c r="A96" s="9"/>
      <c r="B96" s="9"/>
      <c r="C96" s="27"/>
      <c r="D96" s="27"/>
      <c r="E96" s="27"/>
      <c r="F96" s="27"/>
      <c r="G96" s="27"/>
      <c r="H96" s="27"/>
      <c r="I96" s="27"/>
      <c r="J96" s="27"/>
      <c r="K96" s="27"/>
      <c r="L96" s="27"/>
      <c r="M96" s="27"/>
      <c r="N96" s="118"/>
      <c r="O96" s="115" t="s">
        <v>4409</v>
      </c>
      <c r="P96" s="127"/>
      <c r="Q96" s="125" t="s">
        <v>4410</v>
      </c>
      <c r="R96" s="126"/>
      <c r="S96" s="124">
        <v>30</v>
      </c>
    </row>
    <row r="97" s="3" customFormat="1" ht="20" customHeight="1" spans="1:19">
      <c r="A97" s="166" t="s">
        <v>3429</v>
      </c>
      <c r="B97" s="166" t="s">
        <v>165</v>
      </c>
      <c r="C97" s="162" t="s">
        <v>3430</v>
      </c>
      <c r="D97" s="162" t="s">
        <v>278</v>
      </c>
      <c r="E97" s="162" t="s">
        <v>28</v>
      </c>
      <c r="F97" s="27">
        <v>202103001</v>
      </c>
      <c r="G97" s="162" t="s">
        <v>585</v>
      </c>
      <c r="H97" s="162" t="s">
        <v>3018</v>
      </c>
      <c r="I97" s="162" t="s">
        <v>586</v>
      </c>
      <c r="J97" s="162" t="s">
        <v>170</v>
      </c>
      <c r="K97" s="162" t="s">
        <v>3431</v>
      </c>
      <c r="L97" s="162" t="s">
        <v>586</v>
      </c>
      <c r="M97" s="162" t="s">
        <v>3432</v>
      </c>
      <c r="N97" s="118" t="str">
        <f>_xlfn.DISPIMG("ID_E1216B8DC47A44DFAB6AC1BAFDBCD62B",1)</f>
        <v>=DISPIMG("ID_E1216B8DC47A44DFAB6AC1BAFDBCD62B",1)</v>
      </c>
      <c r="O97" s="115" t="s">
        <v>3433</v>
      </c>
      <c r="P97" s="27">
        <v>433</v>
      </c>
      <c r="Q97" s="125" t="s">
        <v>4411</v>
      </c>
      <c r="R97" s="126" t="s">
        <v>40</v>
      </c>
      <c r="S97" s="124">
        <v>5</v>
      </c>
    </row>
    <row r="98" s="3" customFormat="1" ht="20" customHeight="1" spans="1:19">
      <c r="A98" s="166" t="s">
        <v>3443</v>
      </c>
      <c r="B98" s="166" t="s">
        <v>165</v>
      </c>
      <c r="C98" s="162" t="s">
        <v>3444</v>
      </c>
      <c r="D98" s="162" t="s">
        <v>278</v>
      </c>
      <c r="E98" s="162" t="s">
        <v>28</v>
      </c>
      <c r="F98" s="27">
        <v>202103001</v>
      </c>
      <c r="G98" s="162" t="s">
        <v>279</v>
      </c>
      <c r="H98" s="162" t="s">
        <v>515</v>
      </c>
      <c r="I98" s="162" t="s">
        <v>280</v>
      </c>
      <c r="J98" s="162" t="s">
        <v>170</v>
      </c>
      <c r="K98" s="162" t="s">
        <v>224</v>
      </c>
      <c r="L98" s="162" t="s">
        <v>517</v>
      </c>
      <c r="M98" s="162" t="s">
        <v>3446</v>
      </c>
      <c r="N98" s="118" t="str">
        <f>_xlfn.DISPIMG("ID_BD52B8A2C60C41F6B5F6C165401F5CB1",1)</f>
        <v>=DISPIMG("ID_BD52B8A2C60C41F6B5F6C165401F5CB1",1)</v>
      </c>
      <c r="O98" s="115" t="s">
        <v>3447</v>
      </c>
      <c r="P98" s="27">
        <v>435</v>
      </c>
      <c r="Q98" s="125" t="s">
        <v>4412</v>
      </c>
      <c r="R98" s="126" t="s">
        <v>40</v>
      </c>
      <c r="S98" s="124">
        <v>8</v>
      </c>
    </row>
    <row r="99" s="3" customFormat="1" ht="20" customHeight="1" spans="1:19">
      <c r="A99" s="166" t="s">
        <v>364</v>
      </c>
      <c r="B99" s="166" t="s">
        <v>153</v>
      </c>
      <c r="C99" s="162" t="s">
        <v>365</v>
      </c>
      <c r="D99" s="162" t="s">
        <v>156</v>
      </c>
      <c r="E99" s="162" t="s">
        <v>14</v>
      </c>
      <c r="F99" s="27">
        <v>202102001</v>
      </c>
      <c r="G99" s="162" t="s">
        <v>157</v>
      </c>
      <c r="H99" s="162" t="s">
        <v>367</v>
      </c>
      <c r="I99" s="162" t="s">
        <v>348</v>
      </c>
      <c r="J99" s="162" t="s">
        <v>170</v>
      </c>
      <c r="K99" s="162" t="s">
        <v>368</v>
      </c>
      <c r="L99" s="162" t="s">
        <v>14</v>
      </c>
      <c r="M99" s="162" t="s">
        <v>369</v>
      </c>
      <c r="N99" s="118" t="str">
        <f>_xlfn.DISPIMG("ID_08B1C5991BF641D590EC606BAB378CA1",1)</f>
        <v>=DISPIMG("ID_08B1C5991BF641D590EC606BAB378CA1",1)</v>
      </c>
      <c r="O99" s="115" t="s">
        <v>370</v>
      </c>
      <c r="P99" s="27">
        <v>25</v>
      </c>
      <c r="Q99" s="125" t="s">
        <v>4413</v>
      </c>
      <c r="R99" s="126" t="s">
        <v>40</v>
      </c>
      <c r="S99" s="124">
        <v>17</v>
      </c>
    </row>
    <row r="100" s="3" customFormat="1" ht="20" customHeight="1" spans="1:19">
      <c r="A100" s="166" t="s">
        <v>451</v>
      </c>
      <c r="B100" s="166" t="s">
        <v>165</v>
      </c>
      <c r="C100" s="162" t="s">
        <v>452</v>
      </c>
      <c r="D100" s="162" t="s">
        <v>156</v>
      </c>
      <c r="E100" s="162" t="s">
        <v>14</v>
      </c>
      <c r="F100" s="27">
        <v>202102001</v>
      </c>
      <c r="G100" s="162" t="s">
        <v>157</v>
      </c>
      <c r="H100" s="162" t="s">
        <v>158</v>
      </c>
      <c r="I100" s="162" t="s">
        <v>454</v>
      </c>
      <c r="J100" s="162" t="s">
        <v>170</v>
      </c>
      <c r="K100" s="162" t="s">
        <v>455</v>
      </c>
      <c r="L100" s="162" t="s">
        <v>14</v>
      </c>
      <c r="M100" s="27">
        <v>0</v>
      </c>
      <c r="N100" s="118" t="str">
        <f>_xlfn.DISPIMG("ID_B55181394FEF4B858E10F092AB43BFBB",1)</f>
        <v>=DISPIMG("ID_B55181394FEF4B858E10F092AB43BFBB",1)</v>
      </c>
      <c r="O100" s="115" t="s">
        <v>456</v>
      </c>
      <c r="P100" s="27">
        <v>35</v>
      </c>
      <c r="Q100" s="125" t="s">
        <v>4414</v>
      </c>
      <c r="R100" s="126" t="s">
        <v>40</v>
      </c>
      <c r="S100" s="124">
        <v>20</v>
      </c>
    </row>
    <row r="101" s="3" customFormat="1" ht="20" customHeight="1" spans="1:19">
      <c r="A101" s="9"/>
      <c r="B101" s="9"/>
      <c r="C101" s="27"/>
      <c r="D101" s="27"/>
      <c r="E101" s="27"/>
      <c r="F101" s="27"/>
      <c r="G101" s="27"/>
      <c r="H101" s="27"/>
      <c r="I101" s="27"/>
      <c r="J101" s="27"/>
      <c r="K101" s="27"/>
      <c r="L101" s="27"/>
      <c r="M101" s="27"/>
      <c r="N101" s="118"/>
      <c r="O101" s="115" t="s">
        <v>4409</v>
      </c>
      <c r="P101" s="27"/>
      <c r="Q101" s="125" t="s">
        <v>4410</v>
      </c>
      <c r="R101" s="126"/>
      <c r="S101" s="124">
        <v>29</v>
      </c>
    </row>
    <row r="102" s="3" customFormat="1" ht="20" customHeight="1" spans="1:19">
      <c r="A102" s="166" t="s">
        <v>3488</v>
      </c>
      <c r="B102" s="166" t="s">
        <v>165</v>
      </c>
      <c r="C102" s="162" t="s">
        <v>3489</v>
      </c>
      <c r="D102" s="162" t="s">
        <v>278</v>
      </c>
      <c r="E102" s="162" t="s">
        <v>28</v>
      </c>
      <c r="F102" s="27">
        <v>202103001</v>
      </c>
      <c r="G102" s="162" t="s">
        <v>279</v>
      </c>
      <c r="H102" s="162" t="s">
        <v>3490</v>
      </c>
      <c r="I102" s="162" t="s">
        <v>404</v>
      </c>
      <c r="J102" s="162" t="s">
        <v>160</v>
      </c>
      <c r="K102" s="162" t="s">
        <v>1346</v>
      </c>
      <c r="L102" s="162" t="s">
        <v>517</v>
      </c>
      <c r="M102" s="162" t="s">
        <v>3491</v>
      </c>
      <c r="N102" s="118" t="str">
        <f>_xlfn.DISPIMG("ID_6A8C51914B494C9CBD5F245F39A2E519",1)</f>
        <v>=DISPIMG("ID_6A8C51914B494C9CBD5F245F39A2E519",1)</v>
      </c>
      <c r="O102" s="115" t="s">
        <v>3492</v>
      </c>
      <c r="P102" s="27">
        <v>441</v>
      </c>
      <c r="Q102" s="125" t="s">
        <v>4415</v>
      </c>
      <c r="R102" s="126" t="s">
        <v>40</v>
      </c>
      <c r="S102" s="124">
        <v>4</v>
      </c>
    </row>
    <row r="103" s="3" customFormat="1" ht="20" customHeight="1" spans="1:19">
      <c r="A103" s="166" t="s">
        <v>3608</v>
      </c>
      <c r="B103" s="166" t="s">
        <v>165</v>
      </c>
      <c r="C103" s="162" t="s">
        <v>3609</v>
      </c>
      <c r="D103" s="162" t="s">
        <v>278</v>
      </c>
      <c r="E103" s="162" t="s">
        <v>28</v>
      </c>
      <c r="F103" s="27">
        <v>202103001</v>
      </c>
      <c r="G103" s="162" t="s">
        <v>585</v>
      </c>
      <c r="H103" s="162" t="s">
        <v>3174</v>
      </c>
      <c r="I103" s="162" t="s">
        <v>280</v>
      </c>
      <c r="J103" s="162" t="s">
        <v>170</v>
      </c>
      <c r="K103" s="162" t="s">
        <v>3039</v>
      </c>
      <c r="L103" s="162" t="s">
        <v>2686</v>
      </c>
      <c r="M103" s="162" t="s">
        <v>3611</v>
      </c>
      <c r="N103" s="118" t="str">
        <f>_xlfn.DISPIMG("ID_39BF594A37E3442B8E4FFF60E8863D45",1)</f>
        <v>=DISPIMG("ID_39BF594A37E3442B8E4FFF60E8863D45",1)</v>
      </c>
      <c r="O103" s="115" t="s">
        <v>3612</v>
      </c>
      <c r="P103" s="27">
        <v>459</v>
      </c>
      <c r="Q103" s="125" t="s">
        <v>4416</v>
      </c>
      <c r="R103" s="126" t="s">
        <v>40</v>
      </c>
      <c r="S103" s="124">
        <v>9</v>
      </c>
    </row>
    <row r="104" s="3" customFormat="1" ht="20" customHeight="1" spans="1:19">
      <c r="A104" s="166" t="s">
        <v>529</v>
      </c>
      <c r="B104" s="166" t="s">
        <v>165</v>
      </c>
      <c r="C104" s="162" t="s">
        <v>530</v>
      </c>
      <c r="D104" s="162" t="s">
        <v>156</v>
      </c>
      <c r="E104" s="162" t="s">
        <v>14</v>
      </c>
      <c r="F104" s="27">
        <v>202102001</v>
      </c>
      <c r="G104" s="162" t="s">
        <v>157</v>
      </c>
      <c r="H104" s="162" t="s">
        <v>532</v>
      </c>
      <c r="I104" s="162" t="s">
        <v>533</v>
      </c>
      <c r="J104" s="162" t="s">
        <v>160</v>
      </c>
      <c r="K104" s="162" t="s">
        <v>516</v>
      </c>
      <c r="L104" s="162" t="s">
        <v>14</v>
      </c>
      <c r="M104" s="27">
        <v>0</v>
      </c>
      <c r="N104" s="118" t="str">
        <f>_xlfn.DISPIMG("ID_DE54808A64424090BF3B2071C574D915",1)</f>
        <v>=DISPIMG("ID_DE54808A64424090BF3B2071C574D915",1)</v>
      </c>
      <c r="O104" s="115" t="s">
        <v>534</v>
      </c>
      <c r="P104" s="127">
        <v>45</v>
      </c>
      <c r="Q104" s="125" t="s">
        <v>4417</v>
      </c>
      <c r="R104" s="126" t="s">
        <v>40</v>
      </c>
      <c r="S104" s="124">
        <v>16</v>
      </c>
    </row>
    <row r="105" s="3" customFormat="1" ht="20" customHeight="1" spans="1:19">
      <c r="A105" s="9"/>
      <c r="B105" s="9"/>
      <c r="C105" s="27"/>
      <c r="D105" s="27"/>
      <c r="E105" s="27"/>
      <c r="F105" s="27"/>
      <c r="G105" s="27"/>
      <c r="H105" s="27"/>
      <c r="I105" s="27"/>
      <c r="J105" s="27"/>
      <c r="K105" s="27"/>
      <c r="L105" s="27"/>
      <c r="M105" s="27"/>
      <c r="N105" s="118"/>
      <c r="O105" s="115" t="s">
        <v>4409</v>
      </c>
      <c r="P105" s="127"/>
      <c r="Q105" s="125" t="s">
        <v>4410</v>
      </c>
      <c r="R105" s="126"/>
      <c r="S105" s="124">
        <v>21</v>
      </c>
    </row>
    <row r="106" s="3" customFormat="1" ht="20" customHeight="1" spans="1:19">
      <c r="A106" s="9"/>
      <c r="B106" s="9"/>
      <c r="C106" s="27"/>
      <c r="D106" s="27"/>
      <c r="E106" s="27"/>
      <c r="F106" s="27"/>
      <c r="G106" s="27"/>
      <c r="H106" s="27"/>
      <c r="I106" s="27"/>
      <c r="J106" s="27"/>
      <c r="K106" s="27"/>
      <c r="L106" s="27"/>
      <c r="M106" s="27"/>
      <c r="N106" s="118"/>
      <c r="O106" s="115" t="s">
        <v>4409</v>
      </c>
      <c r="P106" s="127"/>
      <c r="Q106" s="125" t="s">
        <v>4410</v>
      </c>
      <c r="R106" s="126"/>
      <c r="S106" s="124">
        <v>28</v>
      </c>
    </row>
    <row r="107" s="3" customFormat="1" ht="20" customHeight="1" spans="1:19">
      <c r="A107" s="166" t="s">
        <v>3676</v>
      </c>
      <c r="B107" s="166" t="s">
        <v>165</v>
      </c>
      <c r="C107" s="162" t="s">
        <v>3677</v>
      </c>
      <c r="D107" s="162" t="s">
        <v>278</v>
      </c>
      <c r="E107" s="162" t="s">
        <v>28</v>
      </c>
      <c r="F107" s="27">
        <v>202103001</v>
      </c>
      <c r="G107" s="162" t="s">
        <v>585</v>
      </c>
      <c r="H107" s="162" t="s">
        <v>3679</v>
      </c>
      <c r="I107" s="162" t="s">
        <v>586</v>
      </c>
      <c r="J107" s="162" t="s">
        <v>170</v>
      </c>
      <c r="K107" s="162" t="s">
        <v>1089</v>
      </c>
      <c r="L107" s="162" t="s">
        <v>3680</v>
      </c>
      <c r="M107" s="162" t="s">
        <v>3681</v>
      </c>
      <c r="N107" s="118" t="str">
        <f>_xlfn.DISPIMG("ID_B6A72806890947DEB45EA914FD393A84",1)</f>
        <v>=DISPIMG("ID_B6A72806890947DEB45EA914FD393A84",1)</v>
      </c>
      <c r="O107" s="115" t="s">
        <v>3682</v>
      </c>
      <c r="P107" s="27">
        <v>468</v>
      </c>
      <c r="Q107" s="125" t="s">
        <v>4418</v>
      </c>
      <c r="R107" s="126" t="s">
        <v>40</v>
      </c>
      <c r="S107" s="124">
        <v>3</v>
      </c>
    </row>
    <row r="108" s="3" customFormat="1" ht="20" customHeight="1" spans="1:19">
      <c r="A108" s="166" t="s">
        <v>3712</v>
      </c>
      <c r="B108" s="166" t="s">
        <v>165</v>
      </c>
      <c r="C108" s="162" t="s">
        <v>3713</v>
      </c>
      <c r="D108" s="162" t="s">
        <v>278</v>
      </c>
      <c r="E108" s="162" t="s">
        <v>28</v>
      </c>
      <c r="F108" s="27">
        <v>202103001</v>
      </c>
      <c r="G108" s="162" t="s">
        <v>585</v>
      </c>
      <c r="H108" s="162" t="s">
        <v>367</v>
      </c>
      <c r="I108" s="162" t="s">
        <v>2686</v>
      </c>
      <c r="J108" s="162" t="s">
        <v>160</v>
      </c>
      <c r="K108" s="162" t="s">
        <v>3039</v>
      </c>
      <c r="L108" s="162" t="s">
        <v>3715</v>
      </c>
      <c r="M108" s="162" t="s">
        <v>3716</v>
      </c>
      <c r="N108" s="118" t="str">
        <f>_xlfn.DISPIMG("ID_059DAEED1F3E457C93C0A1610046F2A5",1)</f>
        <v>=DISPIMG("ID_059DAEED1F3E457C93C0A1610046F2A5",1)</v>
      </c>
      <c r="O108" s="115" t="s">
        <v>3717</v>
      </c>
      <c r="P108" s="27">
        <v>473</v>
      </c>
      <c r="Q108" s="125" t="s">
        <v>4419</v>
      </c>
      <c r="R108" s="126" t="s">
        <v>40</v>
      </c>
      <c r="S108" s="124">
        <v>10</v>
      </c>
    </row>
    <row r="109" s="3" customFormat="1" ht="20" customHeight="1" spans="1:19">
      <c r="A109" s="166" t="s">
        <v>635</v>
      </c>
      <c r="B109" s="166" t="s">
        <v>165</v>
      </c>
      <c r="C109" s="162" t="s">
        <v>636</v>
      </c>
      <c r="D109" s="162" t="s">
        <v>156</v>
      </c>
      <c r="E109" s="162" t="s">
        <v>14</v>
      </c>
      <c r="F109" s="27">
        <v>202102001</v>
      </c>
      <c r="G109" s="162" t="s">
        <v>279</v>
      </c>
      <c r="H109" s="162" t="s">
        <v>158</v>
      </c>
      <c r="I109" s="162" t="s">
        <v>348</v>
      </c>
      <c r="J109" s="162" t="s">
        <v>170</v>
      </c>
      <c r="K109" s="162" t="s">
        <v>548</v>
      </c>
      <c r="L109" s="162" t="s">
        <v>638</v>
      </c>
      <c r="M109" s="162" t="s">
        <v>639</v>
      </c>
      <c r="N109" s="118" t="str">
        <f>_xlfn.DISPIMG("ID_89E406E2AE894B018BFF7E7198130BCA",1)</f>
        <v>=DISPIMG("ID_89E406E2AE894B018BFF7E7198130BCA",1)</v>
      </c>
      <c r="O109" s="115" t="s">
        <v>640</v>
      </c>
      <c r="P109" s="127">
        <v>58</v>
      </c>
      <c r="Q109" s="125" t="s">
        <v>4420</v>
      </c>
      <c r="R109" s="126" t="s">
        <v>40</v>
      </c>
      <c r="S109" s="124">
        <v>15</v>
      </c>
    </row>
    <row r="110" s="3" customFormat="1" ht="20" customHeight="1" spans="1:19">
      <c r="A110" s="9"/>
      <c r="B110" s="9"/>
      <c r="C110" s="27"/>
      <c r="D110" s="27"/>
      <c r="E110" s="27"/>
      <c r="F110" s="27"/>
      <c r="G110" s="27"/>
      <c r="H110" s="27"/>
      <c r="I110" s="27"/>
      <c r="J110" s="27"/>
      <c r="K110" s="27"/>
      <c r="L110" s="27"/>
      <c r="M110" s="27"/>
      <c r="N110" s="118"/>
      <c r="O110" s="115" t="s">
        <v>4409</v>
      </c>
      <c r="P110" s="127"/>
      <c r="Q110" s="125" t="s">
        <v>4410</v>
      </c>
      <c r="R110" s="126"/>
      <c r="S110" s="124">
        <v>22</v>
      </c>
    </row>
    <row r="111" s="3" customFormat="1" ht="20" customHeight="1" spans="1:19">
      <c r="A111" s="9"/>
      <c r="B111" s="9"/>
      <c r="C111" s="27"/>
      <c r="D111" s="27"/>
      <c r="E111" s="27"/>
      <c r="F111" s="27"/>
      <c r="G111" s="27"/>
      <c r="H111" s="27"/>
      <c r="I111" s="27"/>
      <c r="J111" s="27"/>
      <c r="K111" s="27"/>
      <c r="L111" s="27"/>
      <c r="M111" s="27"/>
      <c r="N111" s="118"/>
      <c r="O111" s="115" t="s">
        <v>4409</v>
      </c>
      <c r="P111" s="127"/>
      <c r="Q111" s="125" t="s">
        <v>4410</v>
      </c>
      <c r="R111" s="126"/>
      <c r="S111" s="124">
        <v>27</v>
      </c>
    </row>
    <row r="112" s="3" customFormat="1" ht="20" customHeight="1" spans="1:19">
      <c r="A112" s="166" t="s">
        <v>3720</v>
      </c>
      <c r="B112" s="166" t="s">
        <v>165</v>
      </c>
      <c r="C112" s="162" t="s">
        <v>3721</v>
      </c>
      <c r="D112" s="162" t="s">
        <v>278</v>
      </c>
      <c r="E112" s="162" t="s">
        <v>28</v>
      </c>
      <c r="F112" s="27">
        <v>202103001</v>
      </c>
      <c r="G112" s="162" t="s">
        <v>157</v>
      </c>
      <c r="H112" s="162" t="s">
        <v>178</v>
      </c>
      <c r="I112" s="162" t="s">
        <v>960</v>
      </c>
      <c r="J112" s="162" t="s">
        <v>170</v>
      </c>
      <c r="K112" s="162" t="s">
        <v>180</v>
      </c>
      <c r="L112" s="162" t="s">
        <v>340</v>
      </c>
      <c r="M112" s="162" t="s">
        <v>3723</v>
      </c>
      <c r="N112" s="118" t="str">
        <f>_xlfn.DISPIMG("ID_38A4C94876C044A5A6F3E884E1CD36B4",1)</f>
        <v>=DISPIMG("ID_38A4C94876C044A5A6F3E884E1CD36B4",1)</v>
      </c>
      <c r="O112" s="115" t="s">
        <v>3724</v>
      </c>
      <c r="P112" s="27">
        <v>474</v>
      </c>
      <c r="Q112" s="125" t="s">
        <v>4421</v>
      </c>
      <c r="R112" s="126" t="s">
        <v>40</v>
      </c>
      <c r="S112" s="124">
        <v>2</v>
      </c>
    </row>
    <row r="113" s="3" customFormat="1" ht="20" customHeight="1" spans="1:19">
      <c r="A113" s="166" t="s">
        <v>4237</v>
      </c>
      <c r="B113" s="166" t="s">
        <v>165</v>
      </c>
      <c r="C113" s="162" t="s">
        <v>4238</v>
      </c>
      <c r="D113" s="162" t="s">
        <v>278</v>
      </c>
      <c r="E113" s="162" t="s">
        <v>28</v>
      </c>
      <c r="F113" s="27">
        <v>202103001</v>
      </c>
      <c r="G113" s="162" t="s">
        <v>585</v>
      </c>
      <c r="H113" s="162" t="s">
        <v>367</v>
      </c>
      <c r="I113" s="162" t="s">
        <v>280</v>
      </c>
      <c r="J113" s="162" t="s">
        <v>170</v>
      </c>
      <c r="K113" s="162" t="s">
        <v>368</v>
      </c>
      <c r="L113" s="162" t="s">
        <v>376</v>
      </c>
      <c r="M113" s="162" t="s">
        <v>4240</v>
      </c>
      <c r="N113" s="118" t="str">
        <f>_xlfn.DISPIMG("ID_7116E6EB313E4CDBB6AEC2C13A4D6810",1)</f>
        <v>=DISPIMG("ID_7116E6EB313E4CDBB6AEC2C13A4D6810",1)</v>
      </c>
      <c r="O113" s="115" t="s">
        <v>4241</v>
      </c>
      <c r="P113" s="27">
        <v>542</v>
      </c>
      <c r="Q113" s="125" t="s">
        <v>4422</v>
      </c>
      <c r="R113" s="126" t="s">
        <v>40</v>
      </c>
      <c r="S113" s="124">
        <v>11</v>
      </c>
    </row>
    <row r="114" s="3" customFormat="1" ht="20" customHeight="1" spans="1:19">
      <c r="A114" s="166" t="s">
        <v>643</v>
      </c>
      <c r="B114" s="166" t="s">
        <v>165</v>
      </c>
      <c r="C114" s="162" t="s">
        <v>644</v>
      </c>
      <c r="D114" s="162" t="s">
        <v>156</v>
      </c>
      <c r="E114" s="162" t="s">
        <v>14</v>
      </c>
      <c r="F114" s="27">
        <v>202102001</v>
      </c>
      <c r="G114" s="162" t="s">
        <v>157</v>
      </c>
      <c r="H114" s="162" t="s">
        <v>646</v>
      </c>
      <c r="I114" s="162" t="s">
        <v>454</v>
      </c>
      <c r="J114" s="162" t="s">
        <v>160</v>
      </c>
      <c r="K114" s="162" t="s">
        <v>224</v>
      </c>
      <c r="L114" s="162" t="s">
        <v>14</v>
      </c>
      <c r="M114" s="162" t="s">
        <v>647</v>
      </c>
      <c r="N114" s="118" t="str">
        <f>_xlfn.DISPIMG("ID_905C387E694F4B30B6CB8B8291B01F38",1)</f>
        <v>=DISPIMG("ID_905C387E694F4B30B6CB8B8291B01F38",1)</v>
      </c>
      <c r="O114" s="115" t="s">
        <v>648</v>
      </c>
      <c r="P114" s="27">
        <v>59</v>
      </c>
      <c r="Q114" s="125" t="s">
        <v>4423</v>
      </c>
      <c r="R114" s="126" t="s">
        <v>40</v>
      </c>
      <c r="S114" s="124">
        <v>14</v>
      </c>
    </row>
    <row r="115" s="3" customFormat="1" ht="20" customHeight="1" spans="1:19">
      <c r="A115" s="9"/>
      <c r="B115" s="9"/>
      <c r="C115" s="27"/>
      <c r="D115" s="27"/>
      <c r="E115" s="27"/>
      <c r="F115" s="27"/>
      <c r="G115" s="27"/>
      <c r="H115" s="27"/>
      <c r="I115" s="27"/>
      <c r="J115" s="27"/>
      <c r="K115" s="27"/>
      <c r="L115" s="27"/>
      <c r="M115" s="27"/>
      <c r="N115" s="118"/>
      <c r="O115" s="115" t="s">
        <v>4409</v>
      </c>
      <c r="P115" s="27"/>
      <c r="Q115" s="125" t="s">
        <v>4410</v>
      </c>
      <c r="R115" s="126"/>
      <c r="S115" s="124">
        <v>23</v>
      </c>
    </row>
    <row r="116" s="3" customFormat="1" ht="20" customHeight="1" spans="1:19">
      <c r="A116" s="9"/>
      <c r="B116" s="9"/>
      <c r="C116" s="27"/>
      <c r="D116" s="27"/>
      <c r="E116" s="27"/>
      <c r="F116" s="27"/>
      <c r="G116" s="27"/>
      <c r="H116" s="27"/>
      <c r="I116" s="27"/>
      <c r="J116" s="27"/>
      <c r="K116" s="27"/>
      <c r="L116" s="27"/>
      <c r="M116" s="27"/>
      <c r="N116" s="118"/>
      <c r="O116" s="115" t="s">
        <v>4409</v>
      </c>
      <c r="P116" s="27"/>
      <c r="Q116" s="125" t="s">
        <v>4410</v>
      </c>
      <c r="R116" s="126"/>
      <c r="S116" s="124">
        <v>26</v>
      </c>
    </row>
    <row r="117" s="3" customFormat="1" ht="20" customHeight="1" spans="1:19">
      <c r="A117" s="166" t="s">
        <v>4259</v>
      </c>
      <c r="B117" s="166" t="s">
        <v>165</v>
      </c>
      <c r="C117" s="162" t="s">
        <v>4260</v>
      </c>
      <c r="D117" s="162" t="s">
        <v>278</v>
      </c>
      <c r="E117" s="162" t="s">
        <v>28</v>
      </c>
      <c r="F117" s="27">
        <v>202103001</v>
      </c>
      <c r="G117" s="162" t="s">
        <v>279</v>
      </c>
      <c r="H117" s="162" t="s">
        <v>339</v>
      </c>
      <c r="I117" s="162" t="s">
        <v>280</v>
      </c>
      <c r="J117" s="162" t="s">
        <v>170</v>
      </c>
      <c r="K117" s="162" t="s">
        <v>368</v>
      </c>
      <c r="L117" s="162" t="s">
        <v>4262</v>
      </c>
      <c r="M117" s="162" t="s">
        <v>4263</v>
      </c>
      <c r="N117" s="118" t="str">
        <f>_xlfn.DISPIMG("ID_7ED866D6DEDB4511B970FE38712BEDF5",1)</f>
        <v>=DISPIMG("ID_7ED866D6DEDB4511B970FE38712BEDF5",1)</v>
      </c>
      <c r="O117" s="115" t="s">
        <v>4264</v>
      </c>
      <c r="P117" s="27">
        <v>545</v>
      </c>
      <c r="Q117" s="125" t="s">
        <v>4424</v>
      </c>
      <c r="R117" s="126" t="s">
        <v>40</v>
      </c>
      <c r="S117" s="124">
        <v>1</v>
      </c>
    </row>
    <row r="118" s="3" customFormat="1" ht="20" customHeight="1" spans="1:19">
      <c r="A118" s="166" t="s">
        <v>4152</v>
      </c>
      <c r="B118" s="166" t="s">
        <v>165</v>
      </c>
      <c r="C118" s="162" t="s">
        <v>4153</v>
      </c>
      <c r="D118" s="162" t="s">
        <v>156</v>
      </c>
      <c r="E118" s="162" t="s">
        <v>24</v>
      </c>
      <c r="F118" s="27">
        <v>202102010</v>
      </c>
      <c r="G118" s="162" t="s">
        <v>157</v>
      </c>
      <c r="H118" s="162" t="s">
        <v>4155</v>
      </c>
      <c r="I118" s="162" t="s">
        <v>445</v>
      </c>
      <c r="J118" s="162" t="s">
        <v>170</v>
      </c>
      <c r="K118" s="162" t="s">
        <v>199</v>
      </c>
      <c r="L118" s="162" t="s">
        <v>4156</v>
      </c>
      <c r="M118" s="162" t="s">
        <v>4157</v>
      </c>
      <c r="N118" s="118" t="str">
        <f>_xlfn.DISPIMG("ID_7BA4E5E144144DF79E326679F08F6F4B",1)</f>
        <v>=DISPIMG("ID_7BA4E5E144144DF79E326679F08F6F4B",1)</v>
      </c>
      <c r="O118" s="115" t="s">
        <v>4158</v>
      </c>
      <c r="P118" s="27">
        <v>531</v>
      </c>
      <c r="Q118" s="125" t="s">
        <v>4425</v>
      </c>
      <c r="R118" s="126" t="s">
        <v>40</v>
      </c>
      <c r="S118" s="124">
        <v>12</v>
      </c>
    </row>
    <row r="119" s="3" customFormat="1" ht="20" customHeight="1" spans="1:19">
      <c r="A119" s="166" t="s">
        <v>651</v>
      </c>
      <c r="B119" s="166" t="s">
        <v>165</v>
      </c>
      <c r="C119" s="162" t="s">
        <v>652</v>
      </c>
      <c r="D119" s="162" t="s">
        <v>156</v>
      </c>
      <c r="E119" s="162" t="s">
        <v>14</v>
      </c>
      <c r="F119" s="27">
        <v>202102001</v>
      </c>
      <c r="G119" s="162" t="s">
        <v>279</v>
      </c>
      <c r="H119" s="162" t="s">
        <v>339</v>
      </c>
      <c r="I119" s="162" t="s">
        <v>348</v>
      </c>
      <c r="J119" s="162" t="s">
        <v>170</v>
      </c>
      <c r="K119" s="162" t="s">
        <v>171</v>
      </c>
      <c r="L119" s="162" t="s">
        <v>654</v>
      </c>
      <c r="M119" s="162" t="s">
        <v>655</v>
      </c>
      <c r="N119" s="118" t="str">
        <f>_xlfn.DISPIMG("ID_F245B8B6D20E4BBA8409FA8C63902E06",1)</f>
        <v>=DISPIMG("ID_F245B8B6D20E4BBA8409FA8C63902E06",1)</v>
      </c>
      <c r="O119" s="115" t="s">
        <v>656</v>
      </c>
      <c r="P119" s="27">
        <v>60</v>
      </c>
      <c r="Q119" s="125" t="s">
        <v>4426</v>
      </c>
      <c r="R119" s="126" t="s">
        <v>40</v>
      </c>
      <c r="S119" s="124">
        <v>13</v>
      </c>
    </row>
    <row r="120" s="3" customFormat="1" ht="20" customHeight="1" spans="1:19">
      <c r="A120" s="9"/>
      <c r="B120" s="9"/>
      <c r="C120" s="27"/>
      <c r="D120" s="27"/>
      <c r="E120" s="27"/>
      <c r="F120" s="27"/>
      <c r="G120" s="27"/>
      <c r="H120" s="27"/>
      <c r="I120" s="27"/>
      <c r="J120" s="27"/>
      <c r="K120" s="27"/>
      <c r="L120" s="27"/>
      <c r="M120" s="27"/>
      <c r="N120" s="118"/>
      <c r="O120" s="115" t="s">
        <v>4409</v>
      </c>
      <c r="P120" s="27"/>
      <c r="Q120" s="125" t="s">
        <v>4410</v>
      </c>
      <c r="R120" s="126"/>
      <c r="S120" s="124">
        <v>24</v>
      </c>
    </row>
    <row r="121" s="3" customFormat="1" ht="20" customHeight="1" spans="1:19">
      <c r="A121" s="9"/>
      <c r="B121" s="9"/>
      <c r="C121" s="27"/>
      <c r="D121" s="27"/>
      <c r="E121" s="27"/>
      <c r="F121" s="27"/>
      <c r="G121" s="27"/>
      <c r="H121" s="27"/>
      <c r="I121" s="27"/>
      <c r="J121" s="27"/>
      <c r="K121" s="27"/>
      <c r="L121" s="27"/>
      <c r="M121" s="27"/>
      <c r="N121" s="118"/>
      <c r="O121" s="115" t="s">
        <v>4409</v>
      </c>
      <c r="P121" s="27"/>
      <c r="Q121" s="125" t="s">
        <v>4410</v>
      </c>
      <c r="R121" s="126"/>
      <c r="S121" s="124">
        <v>25</v>
      </c>
    </row>
    <row r="122" s="3" customFormat="1" ht="20" customHeight="1" spans="1:19">
      <c r="A122" s="166" t="s">
        <v>687</v>
      </c>
      <c r="B122" s="166" t="s">
        <v>153</v>
      </c>
      <c r="C122" s="162" t="s">
        <v>688</v>
      </c>
      <c r="D122" s="162" t="s">
        <v>156</v>
      </c>
      <c r="E122" s="162" t="s">
        <v>14</v>
      </c>
      <c r="F122" s="27">
        <v>202102001</v>
      </c>
      <c r="G122" s="162" t="s">
        <v>279</v>
      </c>
      <c r="H122" s="162" t="s">
        <v>158</v>
      </c>
      <c r="I122" s="162" t="s">
        <v>348</v>
      </c>
      <c r="J122" s="162" t="s">
        <v>170</v>
      </c>
      <c r="K122" s="162" t="s">
        <v>281</v>
      </c>
      <c r="L122" s="162" t="s">
        <v>689</v>
      </c>
      <c r="M122" s="162" t="s">
        <v>690</v>
      </c>
      <c r="N122" s="118" t="str">
        <f>_xlfn.DISPIMG("ID_54204C01855F423A99B7E1E3FD940E61",1)</f>
        <v>=DISPIMG("ID_54204C01855F423A99B7E1E3FD940E61",1)</v>
      </c>
      <c r="O122" s="115" t="s">
        <v>691</v>
      </c>
      <c r="P122" s="27">
        <v>64</v>
      </c>
      <c r="Q122" s="125" t="s">
        <v>4427</v>
      </c>
      <c r="R122" s="126" t="s">
        <v>43</v>
      </c>
      <c r="S122" s="124">
        <v>6</v>
      </c>
    </row>
    <row r="123" s="5" customFormat="1" ht="20" customHeight="1" spans="1:19">
      <c r="A123" s="166" t="s">
        <v>738</v>
      </c>
      <c r="B123" s="166" t="s">
        <v>165</v>
      </c>
      <c r="C123" s="165" t="s">
        <v>739</v>
      </c>
      <c r="D123" s="165" t="s">
        <v>156</v>
      </c>
      <c r="E123" s="165" t="s">
        <v>14</v>
      </c>
      <c r="F123" s="116">
        <v>202102001</v>
      </c>
      <c r="G123" s="165" t="s">
        <v>279</v>
      </c>
      <c r="H123" s="165" t="s">
        <v>576</v>
      </c>
      <c r="I123" s="165" t="s">
        <v>348</v>
      </c>
      <c r="J123" s="165" t="s">
        <v>170</v>
      </c>
      <c r="K123" s="165" t="s">
        <v>224</v>
      </c>
      <c r="L123" s="165" t="s">
        <v>741</v>
      </c>
      <c r="M123" s="165" t="s">
        <v>742</v>
      </c>
      <c r="N123" s="119" t="str">
        <f>_xlfn.DISPIMG("ID_05F523224C924653A8F56CD5737A4E8C",1)</f>
        <v>=DISPIMG("ID_05F523224C924653A8F56CD5737A4E8C",1)</v>
      </c>
      <c r="O123" s="120" t="s">
        <v>743</v>
      </c>
      <c r="P123" s="27">
        <v>70</v>
      </c>
      <c r="Q123" s="125" t="s">
        <v>4428</v>
      </c>
      <c r="R123" s="126" t="s">
        <v>43</v>
      </c>
      <c r="S123" s="124">
        <v>7</v>
      </c>
    </row>
    <row r="124" s="3" customFormat="1" ht="20" customHeight="1" spans="1:19">
      <c r="A124" s="166" t="s">
        <v>916</v>
      </c>
      <c r="B124" s="166" t="s">
        <v>165</v>
      </c>
      <c r="C124" s="162" t="s">
        <v>917</v>
      </c>
      <c r="D124" s="162" t="s">
        <v>156</v>
      </c>
      <c r="E124" s="162" t="s">
        <v>14</v>
      </c>
      <c r="F124" s="27">
        <v>202102001</v>
      </c>
      <c r="G124" s="162" t="s">
        <v>157</v>
      </c>
      <c r="H124" s="162" t="s">
        <v>233</v>
      </c>
      <c r="I124" s="162" t="s">
        <v>454</v>
      </c>
      <c r="J124" s="162" t="s">
        <v>160</v>
      </c>
      <c r="K124" s="162" t="s">
        <v>919</v>
      </c>
      <c r="L124" s="162" t="s">
        <v>14</v>
      </c>
      <c r="M124" s="162" t="s">
        <v>920</v>
      </c>
      <c r="N124" s="118" t="str">
        <f>_xlfn.DISPIMG("ID_ADE94A403A29454787C6186CC5AA20B8",1)</f>
        <v>=DISPIMG("ID_ADE94A403A29454787C6186CC5AA20B8",1)</v>
      </c>
      <c r="O124" s="115" t="s">
        <v>921</v>
      </c>
      <c r="P124" s="27">
        <v>92</v>
      </c>
      <c r="Q124" s="125" t="s">
        <v>4429</v>
      </c>
      <c r="R124" s="126" t="s">
        <v>43</v>
      </c>
      <c r="S124" s="124">
        <v>18</v>
      </c>
    </row>
    <row r="125" s="3" customFormat="1" ht="20" customHeight="1" spans="1:19">
      <c r="A125" s="166" t="s">
        <v>1102</v>
      </c>
      <c r="B125" s="166" t="s">
        <v>165</v>
      </c>
      <c r="C125" s="162" t="s">
        <v>1103</v>
      </c>
      <c r="D125" s="162" t="s">
        <v>156</v>
      </c>
      <c r="E125" s="162" t="s">
        <v>14</v>
      </c>
      <c r="F125" s="27">
        <v>202102001</v>
      </c>
      <c r="G125" s="162" t="s">
        <v>157</v>
      </c>
      <c r="H125" s="162" t="s">
        <v>1105</v>
      </c>
      <c r="I125" s="162" t="s">
        <v>454</v>
      </c>
      <c r="J125" s="162" t="s">
        <v>160</v>
      </c>
      <c r="K125" s="162" t="s">
        <v>161</v>
      </c>
      <c r="L125" s="162" t="s">
        <v>14</v>
      </c>
      <c r="M125" s="27">
        <v>0</v>
      </c>
      <c r="N125" s="118" t="str">
        <f>_xlfn.DISPIMG("ID_85B66E0F069149898E44BCE57E5EBF40",1)</f>
        <v>=DISPIMG("ID_85B66E0F069149898E44BCE57E5EBF40",1)</v>
      </c>
      <c r="O125" s="115" t="s">
        <v>1106</v>
      </c>
      <c r="P125" s="27">
        <v>115</v>
      </c>
      <c r="Q125" s="125" t="s">
        <v>4430</v>
      </c>
      <c r="R125" s="126" t="s">
        <v>43</v>
      </c>
      <c r="S125" s="124">
        <v>19</v>
      </c>
    </row>
    <row r="126" s="3" customFormat="1" ht="20" customHeight="1" spans="1:19">
      <c r="A126" s="166" t="s">
        <v>1255</v>
      </c>
      <c r="B126" s="166" t="s">
        <v>165</v>
      </c>
      <c r="C126" s="162" t="s">
        <v>1256</v>
      </c>
      <c r="D126" s="162" t="s">
        <v>506</v>
      </c>
      <c r="E126" s="162" t="s">
        <v>14</v>
      </c>
      <c r="F126" s="27">
        <v>202102014</v>
      </c>
      <c r="G126" s="162" t="s">
        <v>279</v>
      </c>
      <c r="H126" s="162" t="s">
        <v>1258</v>
      </c>
      <c r="I126" s="162" t="s">
        <v>348</v>
      </c>
      <c r="J126" s="162" t="s">
        <v>170</v>
      </c>
      <c r="K126" s="162" t="s">
        <v>161</v>
      </c>
      <c r="L126" s="162" t="s">
        <v>121</v>
      </c>
      <c r="M126" s="162" t="s">
        <v>1259</v>
      </c>
      <c r="N126" s="118" t="str">
        <f>_xlfn.DISPIMG("ID_AF9D4A23BC36463DA48841C24B1BEB6F",1)</f>
        <v>=DISPIMG("ID_AF9D4A23BC36463DA48841C24B1BEB6F",1)</v>
      </c>
      <c r="O126" s="115" t="s">
        <v>1260</v>
      </c>
      <c r="P126" s="27">
        <v>134</v>
      </c>
      <c r="Q126" s="125" t="s">
        <v>4431</v>
      </c>
      <c r="R126" s="126" t="s">
        <v>43</v>
      </c>
      <c r="S126" s="124">
        <v>30</v>
      </c>
    </row>
    <row r="127" s="3" customFormat="1" ht="20" customHeight="1" spans="1:19">
      <c r="A127" s="166" t="s">
        <v>1350</v>
      </c>
      <c r="B127" s="166" t="s">
        <v>165</v>
      </c>
      <c r="C127" s="162" t="s">
        <v>1351</v>
      </c>
      <c r="D127" s="162" t="s">
        <v>156</v>
      </c>
      <c r="E127" s="162" t="s">
        <v>14</v>
      </c>
      <c r="F127" s="27">
        <v>202102001</v>
      </c>
      <c r="G127" s="162" t="s">
        <v>157</v>
      </c>
      <c r="H127" s="162" t="s">
        <v>827</v>
      </c>
      <c r="I127" s="162" t="s">
        <v>223</v>
      </c>
      <c r="J127" s="162" t="s">
        <v>170</v>
      </c>
      <c r="K127" s="162" t="s">
        <v>306</v>
      </c>
      <c r="L127" s="162" t="s">
        <v>1353</v>
      </c>
      <c r="M127" s="27">
        <v>0</v>
      </c>
      <c r="N127" s="118" t="str">
        <f>_xlfn.DISPIMG("ID_7AB2E23FEFF940D9992E8955A95BEDD5",1)</f>
        <v>=DISPIMG("ID_7AB2E23FEFF940D9992E8955A95BEDD5",1)</v>
      </c>
      <c r="O127" s="115" t="s">
        <v>1354</v>
      </c>
      <c r="P127" s="27">
        <v>147</v>
      </c>
      <c r="Q127" s="125" t="s">
        <v>4432</v>
      </c>
      <c r="R127" s="126" t="s">
        <v>43</v>
      </c>
      <c r="S127" s="124">
        <v>5</v>
      </c>
    </row>
    <row r="128" s="3" customFormat="1" ht="20" customHeight="1" spans="1:19">
      <c r="A128" s="166" t="s">
        <v>1380</v>
      </c>
      <c r="B128" s="166" t="s">
        <v>165</v>
      </c>
      <c r="C128" s="162" t="s">
        <v>1381</v>
      </c>
      <c r="D128" s="162" t="s">
        <v>156</v>
      </c>
      <c r="E128" s="162" t="s">
        <v>14</v>
      </c>
      <c r="F128" s="27">
        <v>202102001</v>
      </c>
      <c r="G128" s="162" t="s">
        <v>279</v>
      </c>
      <c r="H128" s="162" t="s">
        <v>339</v>
      </c>
      <c r="I128" s="162" t="s">
        <v>348</v>
      </c>
      <c r="J128" s="162" t="s">
        <v>170</v>
      </c>
      <c r="K128" s="162" t="s">
        <v>368</v>
      </c>
      <c r="L128" s="162" t="s">
        <v>350</v>
      </c>
      <c r="M128" s="162" t="s">
        <v>1383</v>
      </c>
      <c r="N128" s="118" t="str">
        <f>_xlfn.DISPIMG("ID_05A4371881E64A5ABCF18AC5C0DCA23F",1)</f>
        <v>=DISPIMG("ID_05A4371881E64A5ABCF18AC5C0DCA23F",1)</v>
      </c>
      <c r="O128" s="115" t="s">
        <v>1384</v>
      </c>
      <c r="P128" s="27">
        <v>151</v>
      </c>
      <c r="Q128" s="125" t="s">
        <v>4433</v>
      </c>
      <c r="R128" s="126" t="s">
        <v>43</v>
      </c>
      <c r="S128" s="124">
        <v>8</v>
      </c>
    </row>
    <row r="129" s="3" customFormat="1" ht="20" customHeight="1" spans="1:19">
      <c r="A129" s="166" t="s">
        <v>1496</v>
      </c>
      <c r="B129" s="166" t="s">
        <v>165</v>
      </c>
      <c r="C129" s="162" t="s">
        <v>1497</v>
      </c>
      <c r="D129" s="162" t="s">
        <v>156</v>
      </c>
      <c r="E129" s="162" t="s">
        <v>14</v>
      </c>
      <c r="F129" s="27">
        <v>202102001</v>
      </c>
      <c r="G129" s="162" t="s">
        <v>157</v>
      </c>
      <c r="H129" s="162" t="s">
        <v>876</v>
      </c>
      <c r="I129" s="162" t="s">
        <v>1499</v>
      </c>
      <c r="J129" s="162" t="s">
        <v>160</v>
      </c>
      <c r="K129" s="162" t="s">
        <v>396</v>
      </c>
      <c r="L129" s="162" t="s">
        <v>14</v>
      </c>
      <c r="M129" s="27">
        <v>0</v>
      </c>
      <c r="N129" s="118" t="str">
        <f>_xlfn.DISPIMG("ID_F699C2D8D57643CC8A99CF3C2C6B152A",1)</f>
        <v>=DISPIMG("ID_F699C2D8D57643CC8A99CF3C2C6B152A",1)</v>
      </c>
      <c r="O129" s="115" t="s">
        <v>1500</v>
      </c>
      <c r="P129" s="27">
        <v>166</v>
      </c>
      <c r="Q129" s="125" t="s">
        <v>4434</v>
      </c>
      <c r="R129" s="126" t="s">
        <v>43</v>
      </c>
      <c r="S129" s="124">
        <v>17</v>
      </c>
    </row>
    <row r="130" s="3" customFormat="1" ht="20" customHeight="1" spans="1:19">
      <c r="A130" s="166" t="s">
        <v>1542</v>
      </c>
      <c r="B130" s="166" t="s">
        <v>153</v>
      </c>
      <c r="C130" s="162" t="s">
        <v>1543</v>
      </c>
      <c r="D130" s="162" t="s">
        <v>156</v>
      </c>
      <c r="E130" s="162" t="s">
        <v>14</v>
      </c>
      <c r="F130" s="27">
        <v>202102001</v>
      </c>
      <c r="G130" s="162" t="s">
        <v>157</v>
      </c>
      <c r="H130" s="162" t="s">
        <v>1545</v>
      </c>
      <c r="I130" s="162" t="s">
        <v>1546</v>
      </c>
      <c r="J130" s="162" t="s">
        <v>170</v>
      </c>
      <c r="K130" s="162" t="s">
        <v>235</v>
      </c>
      <c r="L130" s="162" t="s">
        <v>1547</v>
      </c>
      <c r="M130" s="162" t="s">
        <v>1548</v>
      </c>
      <c r="N130" s="118" t="str">
        <f>_xlfn.DISPIMG("ID_08EA3F14C88D463E8A5342E5A111BC99",1)</f>
        <v>=DISPIMG("ID_08EA3F14C88D463E8A5342E5A111BC99",1)</v>
      </c>
      <c r="O130" s="115" t="s">
        <v>1549</v>
      </c>
      <c r="P130" s="27">
        <v>172</v>
      </c>
      <c r="Q130" s="125" t="s">
        <v>4435</v>
      </c>
      <c r="R130" s="126" t="s">
        <v>43</v>
      </c>
      <c r="S130" s="124">
        <v>20</v>
      </c>
    </row>
    <row r="131" s="3" customFormat="1" ht="20" customHeight="1" spans="1:19">
      <c r="A131" s="166" t="s">
        <v>1697</v>
      </c>
      <c r="B131" s="166" t="s">
        <v>165</v>
      </c>
      <c r="C131" s="162" t="s">
        <v>1698</v>
      </c>
      <c r="D131" s="162" t="s">
        <v>156</v>
      </c>
      <c r="E131" s="162" t="s">
        <v>14</v>
      </c>
      <c r="F131" s="27">
        <v>202102001</v>
      </c>
      <c r="G131" s="162" t="s">
        <v>157</v>
      </c>
      <c r="H131" s="162" t="s">
        <v>1654</v>
      </c>
      <c r="I131" s="162" t="s">
        <v>1700</v>
      </c>
      <c r="J131" s="162" t="s">
        <v>160</v>
      </c>
      <c r="K131" s="162" t="s">
        <v>235</v>
      </c>
      <c r="L131" s="162" t="s">
        <v>1701</v>
      </c>
      <c r="M131" s="162" t="s">
        <v>1702</v>
      </c>
      <c r="N131" s="118" t="str">
        <f>_xlfn.DISPIMG("ID_9C3AAF7BA09C4626832FC4C49E6F802D",1)</f>
        <v>=DISPIMG("ID_9C3AAF7BA09C4626832FC4C49E6F802D",1)</v>
      </c>
      <c r="O131" s="115" t="s">
        <v>1703</v>
      </c>
      <c r="P131" s="27">
        <v>192</v>
      </c>
      <c r="Q131" s="125" t="s">
        <v>4436</v>
      </c>
      <c r="R131" s="126" t="s">
        <v>43</v>
      </c>
      <c r="S131" s="124">
        <v>29</v>
      </c>
    </row>
    <row r="132" s="3" customFormat="1" ht="20" customHeight="1" spans="1:19">
      <c r="A132" s="166" t="s">
        <v>1723</v>
      </c>
      <c r="B132" s="166" t="s">
        <v>165</v>
      </c>
      <c r="C132" s="162" t="s">
        <v>1724</v>
      </c>
      <c r="D132" s="162" t="s">
        <v>156</v>
      </c>
      <c r="E132" s="162" t="s">
        <v>14</v>
      </c>
      <c r="F132" s="27">
        <v>202102001</v>
      </c>
      <c r="G132" s="162" t="s">
        <v>157</v>
      </c>
      <c r="H132" s="162" t="s">
        <v>827</v>
      </c>
      <c r="I132" s="162" t="s">
        <v>454</v>
      </c>
      <c r="J132" s="162" t="s">
        <v>170</v>
      </c>
      <c r="K132" s="162" t="s">
        <v>261</v>
      </c>
      <c r="L132" s="162" t="s">
        <v>26</v>
      </c>
      <c r="M132" s="27">
        <v>0</v>
      </c>
      <c r="N132" s="118" t="str">
        <f>_xlfn.DISPIMG("ID_9F3C5B09040D438283C530134A5BD84D",1)</f>
        <v>=DISPIMG("ID_9F3C5B09040D438283C530134A5BD84D",1)</v>
      </c>
      <c r="O132" s="115" t="s">
        <v>1726</v>
      </c>
      <c r="P132" s="27">
        <v>195</v>
      </c>
      <c r="Q132" s="125" t="s">
        <v>4437</v>
      </c>
      <c r="R132" s="126" t="s">
        <v>43</v>
      </c>
      <c r="S132" s="124">
        <v>4</v>
      </c>
    </row>
    <row r="133" s="3" customFormat="1" ht="20" customHeight="1" spans="1:19">
      <c r="A133" s="166" t="s">
        <v>1828</v>
      </c>
      <c r="B133" s="166" t="s">
        <v>165</v>
      </c>
      <c r="C133" s="162" t="s">
        <v>1829</v>
      </c>
      <c r="D133" s="162" t="s">
        <v>156</v>
      </c>
      <c r="E133" s="162" t="s">
        <v>14</v>
      </c>
      <c r="F133" s="27">
        <v>202102001</v>
      </c>
      <c r="G133" s="162" t="s">
        <v>157</v>
      </c>
      <c r="H133" s="162" t="s">
        <v>1831</v>
      </c>
      <c r="I133" s="162" t="s">
        <v>1832</v>
      </c>
      <c r="J133" s="162" t="s">
        <v>160</v>
      </c>
      <c r="K133" s="162" t="s">
        <v>171</v>
      </c>
      <c r="L133" s="162" t="s">
        <v>14</v>
      </c>
      <c r="M133" s="162" t="s">
        <v>1833</v>
      </c>
      <c r="N133" s="118" t="str">
        <f>_xlfn.DISPIMG("ID_9C01FBB9DB4A4DB19EA599EA9C699E26",1)</f>
        <v>=DISPIMG("ID_9C01FBB9DB4A4DB19EA599EA9C699E26",1)</v>
      </c>
      <c r="O133" s="115" t="s">
        <v>1834</v>
      </c>
      <c r="P133" s="27">
        <v>209</v>
      </c>
      <c r="Q133" s="125" t="s">
        <v>4438</v>
      </c>
      <c r="R133" s="126" t="s">
        <v>43</v>
      </c>
      <c r="S133" s="124">
        <v>9</v>
      </c>
    </row>
    <row r="134" s="3" customFormat="1" ht="20" customHeight="1" spans="1:19">
      <c r="A134" s="166" t="s">
        <v>1939</v>
      </c>
      <c r="B134" s="166" t="s">
        <v>165</v>
      </c>
      <c r="C134" s="162" t="s">
        <v>1940</v>
      </c>
      <c r="D134" s="162" t="s">
        <v>156</v>
      </c>
      <c r="E134" s="162" t="s">
        <v>14</v>
      </c>
      <c r="F134" s="27">
        <v>202102001</v>
      </c>
      <c r="G134" s="162" t="s">
        <v>157</v>
      </c>
      <c r="H134" s="162" t="s">
        <v>233</v>
      </c>
      <c r="I134" s="162" t="s">
        <v>454</v>
      </c>
      <c r="J134" s="162" t="s">
        <v>170</v>
      </c>
      <c r="K134" s="162" t="s">
        <v>1942</v>
      </c>
      <c r="L134" s="162" t="s">
        <v>498</v>
      </c>
      <c r="M134" s="162" t="s">
        <v>1943</v>
      </c>
      <c r="N134" s="118" t="str">
        <f>_xlfn.DISPIMG("ID_1C58977D34D3459483FD1AF3B2109430",1)</f>
        <v>=DISPIMG("ID_1C58977D34D3459483FD1AF3B2109430",1)</v>
      </c>
      <c r="O134" s="115" t="s">
        <v>1944</v>
      </c>
      <c r="P134" s="27">
        <v>224</v>
      </c>
      <c r="Q134" s="125" t="s">
        <v>4439</v>
      </c>
      <c r="R134" s="126" t="s">
        <v>43</v>
      </c>
      <c r="S134" s="124">
        <v>16</v>
      </c>
    </row>
    <row r="135" s="3" customFormat="1" ht="20" customHeight="1" spans="1:19">
      <c r="A135" s="166" t="s">
        <v>1947</v>
      </c>
      <c r="B135" s="166" t="s">
        <v>165</v>
      </c>
      <c r="C135" s="162" t="s">
        <v>1948</v>
      </c>
      <c r="D135" s="162" t="s">
        <v>156</v>
      </c>
      <c r="E135" s="162" t="s">
        <v>14</v>
      </c>
      <c r="F135" s="27">
        <v>202102001</v>
      </c>
      <c r="G135" s="162" t="s">
        <v>279</v>
      </c>
      <c r="H135" s="162" t="s">
        <v>1523</v>
      </c>
      <c r="I135" s="162" t="s">
        <v>1950</v>
      </c>
      <c r="J135" s="162" t="s">
        <v>170</v>
      </c>
      <c r="K135" s="162" t="s">
        <v>396</v>
      </c>
      <c r="L135" s="162" t="s">
        <v>14</v>
      </c>
      <c r="M135" s="162" t="s">
        <v>1951</v>
      </c>
      <c r="N135" s="118" t="str">
        <f>_xlfn.DISPIMG("ID_86A99051306F46439DFFA2E8604105B2",1)</f>
        <v>=DISPIMG("ID_86A99051306F46439DFFA2E8604105B2",1)</v>
      </c>
      <c r="O135" s="115" t="s">
        <v>1952</v>
      </c>
      <c r="P135" s="27">
        <v>225</v>
      </c>
      <c r="Q135" s="125" t="s">
        <v>4440</v>
      </c>
      <c r="R135" s="126" t="s">
        <v>43</v>
      </c>
      <c r="S135" s="124">
        <v>21</v>
      </c>
    </row>
    <row r="136" s="3" customFormat="1" ht="20" customHeight="1" spans="1:19">
      <c r="A136" s="166" t="s">
        <v>1955</v>
      </c>
      <c r="B136" s="166" t="s">
        <v>165</v>
      </c>
      <c r="C136" s="162" t="s">
        <v>1956</v>
      </c>
      <c r="D136" s="162" t="s">
        <v>156</v>
      </c>
      <c r="E136" s="162" t="s">
        <v>14</v>
      </c>
      <c r="F136" s="27">
        <v>202102001</v>
      </c>
      <c r="G136" s="162" t="s">
        <v>279</v>
      </c>
      <c r="H136" s="162" t="s">
        <v>339</v>
      </c>
      <c r="I136" s="162" t="s">
        <v>348</v>
      </c>
      <c r="J136" s="162" t="s">
        <v>170</v>
      </c>
      <c r="K136" s="162" t="s">
        <v>180</v>
      </c>
      <c r="L136" s="162" t="s">
        <v>638</v>
      </c>
      <c r="M136" s="162" t="s">
        <v>1958</v>
      </c>
      <c r="N136" s="118" t="str">
        <f>_xlfn.DISPIMG("ID_2D011236909B4AB48CEACAF4EB3A9013",1)</f>
        <v>=DISPIMG("ID_2D011236909B4AB48CEACAF4EB3A9013",1)</v>
      </c>
      <c r="O136" s="115" t="s">
        <v>1959</v>
      </c>
      <c r="P136" s="27">
        <v>226</v>
      </c>
      <c r="Q136" s="125" t="s">
        <v>4441</v>
      </c>
      <c r="R136" s="126" t="s">
        <v>43</v>
      </c>
      <c r="S136" s="124">
        <v>28</v>
      </c>
    </row>
    <row r="137" s="3" customFormat="1" ht="20" customHeight="1" spans="1:19">
      <c r="A137" s="166" t="s">
        <v>1962</v>
      </c>
      <c r="B137" s="166" t="s">
        <v>165</v>
      </c>
      <c r="C137" s="162" t="s">
        <v>1963</v>
      </c>
      <c r="D137" s="162" t="s">
        <v>156</v>
      </c>
      <c r="E137" s="162" t="s">
        <v>14</v>
      </c>
      <c r="F137" s="27">
        <v>202102001</v>
      </c>
      <c r="G137" s="162" t="s">
        <v>157</v>
      </c>
      <c r="H137" s="162" t="s">
        <v>1121</v>
      </c>
      <c r="I137" s="162" t="s">
        <v>813</v>
      </c>
      <c r="J137" s="162" t="s">
        <v>160</v>
      </c>
      <c r="K137" s="162" t="s">
        <v>199</v>
      </c>
      <c r="L137" s="162" t="s">
        <v>14</v>
      </c>
      <c r="M137" s="162" t="s">
        <v>1965</v>
      </c>
      <c r="N137" s="118" t="str">
        <f>_xlfn.DISPIMG("ID_978F05F9424741AE81F8E8335A7E991E",1)</f>
        <v>=DISPIMG("ID_978F05F9424741AE81F8E8335A7E991E",1)</v>
      </c>
      <c r="O137" s="115" t="s">
        <v>1966</v>
      </c>
      <c r="P137" s="27">
        <v>227</v>
      </c>
      <c r="Q137" s="125" t="s">
        <v>4442</v>
      </c>
      <c r="R137" s="126" t="s">
        <v>43</v>
      </c>
      <c r="S137" s="124">
        <v>3</v>
      </c>
    </row>
    <row r="138" s="3" customFormat="1" ht="20" customHeight="1" spans="1:19">
      <c r="A138" s="166" t="s">
        <v>1983</v>
      </c>
      <c r="B138" s="166" t="s">
        <v>165</v>
      </c>
      <c r="C138" s="162" t="s">
        <v>1984</v>
      </c>
      <c r="D138" s="162" t="s">
        <v>156</v>
      </c>
      <c r="E138" s="162" t="s">
        <v>14</v>
      </c>
      <c r="F138" s="27">
        <v>202102001</v>
      </c>
      <c r="G138" s="162" t="s">
        <v>279</v>
      </c>
      <c r="H138" s="162" t="s">
        <v>515</v>
      </c>
      <c r="I138" s="162" t="s">
        <v>223</v>
      </c>
      <c r="J138" s="162" t="s">
        <v>170</v>
      </c>
      <c r="K138" s="162" t="s">
        <v>224</v>
      </c>
      <c r="L138" s="162" t="s">
        <v>14</v>
      </c>
      <c r="M138" s="27">
        <v>0</v>
      </c>
      <c r="N138" s="118" t="str">
        <f>_xlfn.DISPIMG("ID_88D6D1C166864D0C988B38CB94A18A2D",1)</f>
        <v>=DISPIMG("ID_88D6D1C166864D0C988B38CB94A18A2D",1)</v>
      </c>
      <c r="O138" s="115" t="s">
        <v>1986</v>
      </c>
      <c r="P138" s="27">
        <v>230</v>
      </c>
      <c r="Q138" s="125" t="s">
        <v>4443</v>
      </c>
      <c r="R138" s="126" t="s">
        <v>43</v>
      </c>
      <c r="S138" s="124">
        <v>10</v>
      </c>
    </row>
    <row r="139" s="3" customFormat="1" ht="20" customHeight="1" spans="1:19">
      <c r="A139" s="166" t="s">
        <v>1989</v>
      </c>
      <c r="B139" s="166" t="s">
        <v>165</v>
      </c>
      <c r="C139" s="162" t="s">
        <v>1990</v>
      </c>
      <c r="D139" s="162" t="s">
        <v>156</v>
      </c>
      <c r="E139" s="162" t="s">
        <v>14</v>
      </c>
      <c r="F139" s="27">
        <v>202102001</v>
      </c>
      <c r="G139" s="162" t="s">
        <v>279</v>
      </c>
      <c r="H139" s="162" t="s">
        <v>367</v>
      </c>
      <c r="I139" s="162" t="s">
        <v>348</v>
      </c>
      <c r="J139" s="162" t="s">
        <v>170</v>
      </c>
      <c r="K139" s="162" t="s">
        <v>180</v>
      </c>
      <c r="L139" s="162" t="s">
        <v>1992</v>
      </c>
      <c r="M139" s="162" t="s">
        <v>1993</v>
      </c>
      <c r="N139" s="118" t="str">
        <f>_xlfn.DISPIMG("ID_08685AD380B84575A97C010891A129EA",1)</f>
        <v>=DISPIMG("ID_08685AD380B84575A97C010891A129EA",1)</v>
      </c>
      <c r="O139" s="115" t="s">
        <v>1994</v>
      </c>
      <c r="P139" s="27">
        <v>231</v>
      </c>
      <c r="Q139" s="125" t="s">
        <v>4444</v>
      </c>
      <c r="R139" s="126" t="s">
        <v>43</v>
      </c>
      <c r="S139" s="124">
        <v>15</v>
      </c>
    </row>
    <row r="140" s="3" customFormat="1" ht="20" customHeight="1" spans="1:19">
      <c r="A140" s="166" t="s">
        <v>2028</v>
      </c>
      <c r="B140" s="166" t="s">
        <v>165</v>
      </c>
      <c r="C140" s="162" t="s">
        <v>2029</v>
      </c>
      <c r="D140" s="162" t="s">
        <v>156</v>
      </c>
      <c r="E140" s="162" t="s">
        <v>14</v>
      </c>
      <c r="F140" s="27">
        <v>202102001</v>
      </c>
      <c r="G140" s="162" t="s">
        <v>157</v>
      </c>
      <c r="H140" s="162" t="s">
        <v>158</v>
      </c>
      <c r="I140" s="162" t="s">
        <v>1546</v>
      </c>
      <c r="J140" s="162" t="s">
        <v>170</v>
      </c>
      <c r="K140" s="162" t="s">
        <v>161</v>
      </c>
      <c r="L140" s="162" t="s">
        <v>2031</v>
      </c>
      <c r="M140" s="162" t="s">
        <v>2032</v>
      </c>
      <c r="N140" s="118" t="str">
        <f>_xlfn.DISPIMG("ID_23D2336FF3CB4EA6B1558E965302CC98",1)</f>
        <v>=DISPIMG("ID_23D2336FF3CB4EA6B1558E965302CC98",1)</v>
      </c>
      <c r="O140" s="115" t="s">
        <v>2033</v>
      </c>
      <c r="P140" s="27">
        <v>236</v>
      </c>
      <c r="Q140" s="125" t="s">
        <v>4445</v>
      </c>
      <c r="R140" s="126" t="s">
        <v>43</v>
      </c>
      <c r="S140" s="124">
        <v>22</v>
      </c>
    </row>
    <row r="141" s="3" customFormat="1" ht="20" customHeight="1" spans="1:19">
      <c r="A141" s="166" t="s">
        <v>2053</v>
      </c>
      <c r="B141" s="166" t="s">
        <v>165</v>
      </c>
      <c r="C141" s="162" t="s">
        <v>2054</v>
      </c>
      <c r="D141" s="162" t="s">
        <v>156</v>
      </c>
      <c r="E141" s="162" t="s">
        <v>14</v>
      </c>
      <c r="F141" s="27">
        <v>202102001</v>
      </c>
      <c r="G141" s="162" t="s">
        <v>279</v>
      </c>
      <c r="H141" s="162" t="s">
        <v>1424</v>
      </c>
      <c r="I141" s="162" t="s">
        <v>348</v>
      </c>
      <c r="J141" s="162" t="s">
        <v>170</v>
      </c>
      <c r="K141" s="162" t="s">
        <v>199</v>
      </c>
      <c r="L141" s="162" t="s">
        <v>14</v>
      </c>
      <c r="M141" s="162" t="s">
        <v>2056</v>
      </c>
      <c r="N141" s="118" t="str">
        <f>_xlfn.DISPIMG("ID_4A26FAD7BD014883BE19E7EBABEADF70",1)</f>
        <v>=DISPIMG("ID_4A26FAD7BD014883BE19E7EBABEADF70",1)</v>
      </c>
      <c r="O141" s="115" t="s">
        <v>2057</v>
      </c>
      <c r="P141" s="27">
        <v>239</v>
      </c>
      <c r="Q141" s="125" t="s">
        <v>4446</v>
      </c>
      <c r="R141" s="126" t="s">
        <v>43</v>
      </c>
      <c r="S141" s="124">
        <v>27</v>
      </c>
    </row>
    <row r="142" s="3" customFormat="1" ht="20" customHeight="1" spans="1:19">
      <c r="A142" s="166" t="s">
        <v>2165</v>
      </c>
      <c r="B142" s="166" t="s">
        <v>165</v>
      </c>
      <c r="C142" s="162" t="s">
        <v>2166</v>
      </c>
      <c r="D142" s="162" t="s">
        <v>156</v>
      </c>
      <c r="E142" s="162" t="s">
        <v>14</v>
      </c>
      <c r="F142" s="27">
        <v>202102001</v>
      </c>
      <c r="G142" s="162" t="s">
        <v>279</v>
      </c>
      <c r="H142" s="162" t="s">
        <v>158</v>
      </c>
      <c r="I142" s="162" t="s">
        <v>348</v>
      </c>
      <c r="J142" s="162" t="s">
        <v>170</v>
      </c>
      <c r="K142" s="162" t="s">
        <v>306</v>
      </c>
      <c r="L142" s="162" t="s">
        <v>638</v>
      </c>
      <c r="M142" s="162" t="s">
        <v>2168</v>
      </c>
      <c r="N142" s="118" t="str">
        <f>_xlfn.DISPIMG("ID_3CABC7DA53ED4401B09BC2C27086B239",1)</f>
        <v>=DISPIMG("ID_3CABC7DA53ED4401B09BC2C27086B239",1)</v>
      </c>
      <c r="O142" s="115" t="s">
        <v>2169</v>
      </c>
      <c r="P142" s="27">
        <v>254</v>
      </c>
      <c r="Q142" s="125" t="s">
        <v>4447</v>
      </c>
      <c r="R142" s="126" t="s">
        <v>43</v>
      </c>
      <c r="S142" s="124">
        <v>2</v>
      </c>
    </row>
    <row r="143" s="3" customFormat="1" ht="20" customHeight="1" spans="1:19">
      <c r="A143" s="166" t="s">
        <v>2218</v>
      </c>
      <c r="B143" s="166" t="s">
        <v>165</v>
      </c>
      <c r="C143" s="162" t="s">
        <v>2219</v>
      </c>
      <c r="D143" s="162" t="s">
        <v>156</v>
      </c>
      <c r="E143" s="162" t="s">
        <v>14</v>
      </c>
      <c r="F143" s="27">
        <v>202102001</v>
      </c>
      <c r="G143" s="162" t="s">
        <v>157</v>
      </c>
      <c r="H143" s="162" t="s">
        <v>233</v>
      </c>
      <c r="I143" s="162" t="s">
        <v>1195</v>
      </c>
      <c r="J143" s="162" t="s">
        <v>160</v>
      </c>
      <c r="K143" s="162" t="s">
        <v>2221</v>
      </c>
      <c r="L143" s="162" t="s">
        <v>638</v>
      </c>
      <c r="M143" s="162" t="s">
        <v>2222</v>
      </c>
      <c r="N143" s="118" t="str">
        <f>_xlfn.DISPIMG("ID_D4DBACC4389B49D6B9C508C515595D5D",1)</f>
        <v>=DISPIMG("ID_D4DBACC4389B49D6B9C508C515595D5D",1)</v>
      </c>
      <c r="O143" s="115" t="s">
        <v>2223</v>
      </c>
      <c r="P143" s="27">
        <v>261</v>
      </c>
      <c r="Q143" s="125" t="s">
        <v>4448</v>
      </c>
      <c r="R143" s="126" t="s">
        <v>43</v>
      </c>
      <c r="S143" s="124">
        <v>11</v>
      </c>
    </row>
    <row r="144" s="3" customFormat="1" ht="20" customHeight="1" spans="1:19">
      <c r="A144" s="166" t="s">
        <v>2400</v>
      </c>
      <c r="B144" s="166" t="s">
        <v>165</v>
      </c>
      <c r="C144" s="162" t="s">
        <v>2401</v>
      </c>
      <c r="D144" s="162" t="s">
        <v>156</v>
      </c>
      <c r="E144" s="162" t="s">
        <v>14</v>
      </c>
      <c r="F144" s="27">
        <v>202102001</v>
      </c>
      <c r="G144" s="162" t="s">
        <v>279</v>
      </c>
      <c r="H144" s="162" t="s">
        <v>339</v>
      </c>
      <c r="I144" s="162" t="s">
        <v>348</v>
      </c>
      <c r="J144" s="162" t="s">
        <v>170</v>
      </c>
      <c r="K144" s="162" t="s">
        <v>180</v>
      </c>
      <c r="L144" s="162" t="s">
        <v>14</v>
      </c>
      <c r="M144" s="162" t="s">
        <v>2403</v>
      </c>
      <c r="N144" s="118" t="str">
        <f>_xlfn.DISPIMG("ID_FE029F69B78E439BA992D666A5ADF87E",1)</f>
        <v>=DISPIMG("ID_FE029F69B78E439BA992D666A5ADF87E",1)</v>
      </c>
      <c r="O144" s="115" t="s">
        <v>2404</v>
      </c>
      <c r="P144" s="27">
        <v>285</v>
      </c>
      <c r="Q144" s="125" t="s">
        <v>4449</v>
      </c>
      <c r="R144" s="126" t="s">
        <v>43</v>
      </c>
      <c r="S144" s="124">
        <v>14</v>
      </c>
    </row>
    <row r="145" s="3" customFormat="1" ht="20" customHeight="1" spans="1:19">
      <c r="A145" s="166" t="s">
        <v>2430</v>
      </c>
      <c r="B145" s="166" t="s">
        <v>165</v>
      </c>
      <c r="C145" s="162" t="s">
        <v>2431</v>
      </c>
      <c r="D145" s="162" t="s">
        <v>156</v>
      </c>
      <c r="E145" s="162" t="s">
        <v>14</v>
      </c>
      <c r="F145" s="27">
        <v>202102001</v>
      </c>
      <c r="G145" s="162" t="s">
        <v>279</v>
      </c>
      <c r="H145" s="162" t="s">
        <v>178</v>
      </c>
      <c r="I145" s="162" t="s">
        <v>348</v>
      </c>
      <c r="J145" s="162" t="s">
        <v>170</v>
      </c>
      <c r="K145" s="162" t="s">
        <v>396</v>
      </c>
      <c r="L145" s="162" t="s">
        <v>14</v>
      </c>
      <c r="M145" s="162" t="s">
        <v>2433</v>
      </c>
      <c r="N145" s="118" t="str">
        <f>_xlfn.DISPIMG("ID_490114996A5646149508AE2796C7FCA8",1)</f>
        <v>=DISPIMG("ID_490114996A5646149508AE2796C7FCA8",1)</v>
      </c>
      <c r="O145" s="115" t="s">
        <v>2434</v>
      </c>
      <c r="P145" s="27">
        <v>289</v>
      </c>
      <c r="Q145" s="125" t="s">
        <v>4450</v>
      </c>
      <c r="R145" s="126" t="s">
        <v>43</v>
      </c>
      <c r="S145" s="124">
        <v>23</v>
      </c>
    </row>
    <row r="146" s="3" customFormat="1" ht="20" customHeight="1" spans="1:19">
      <c r="A146" s="166" t="s">
        <v>2452</v>
      </c>
      <c r="B146" s="166" t="s">
        <v>165</v>
      </c>
      <c r="C146" s="162" t="s">
        <v>2453</v>
      </c>
      <c r="D146" s="162" t="s">
        <v>156</v>
      </c>
      <c r="E146" s="162" t="s">
        <v>14</v>
      </c>
      <c r="F146" s="27">
        <v>202102001</v>
      </c>
      <c r="G146" s="162" t="s">
        <v>157</v>
      </c>
      <c r="H146" s="162" t="s">
        <v>197</v>
      </c>
      <c r="I146" s="162" t="s">
        <v>454</v>
      </c>
      <c r="J146" s="162" t="s">
        <v>160</v>
      </c>
      <c r="K146" s="162" t="s">
        <v>216</v>
      </c>
      <c r="L146" s="162" t="s">
        <v>14</v>
      </c>
      <c r="M146" s="162" t="s">
        <v>2455</v>
      </c>
      <c r="N146" s="118" t="str">
        <f>_xlfn.DISPIMG("ID_FC7219DD86F84BE1856628C95CBE9A35",1)</f>
        <v>=DISPIMG("ID_FC7219DD86F84BE1856628C95CBE9A35",1)</v>
      </c>
      <c r="O146" s="115" t="s">
        <v>2456</v>
      </c>
      <c r="P146" s="27">
        <v>292</v>
      </c>
      <c r="Q146" s="125" t="s">
        <v>4451</v>
      </c>
      <c r="R146" s="126" t="s">
        <v>43</v>
      </c>
      <c r="S146" s="124">
        <v>26</v>
      </c>
    </row>
    <row r="147" s="3" customFormat="1" ht="20" customHeight="1" spans="1:19">
      <c r="A147" s="166" t="s">
        <v>2466</v>
      </c>
      <c r="B147" s="166" t="s">
        <v>165</v>
      </c>
      <c r="C147" s="162" t="s">
        <v>2467</v>
      </c>
      <c r="D147" s="162" t="s">
        <v>156</v>
      </c>
      <c r="E147" s="162" t="s">
        <v>14</v>
      </c>
      <c r="F147" s="27">
        <v>202102001</v>
      </c>
      <c r="G147" s="162" t="s">
        <v>279</v>
      </c>
      <c r="H147" s="162" t="s">
        <v>233</v>
      </c>
      <c r="I147" s="162" t="s">
        <v>348</v>
      </c>
      <c r="J147" s="162" t="s">
        <v>170</v>
      </c>
      <c r="K147" s="162" t="s">
        <v>368</v>
      </c>
      <c r="L147" s="162" t="s">
        <v>14</v>
      </c>
      <c r="M147" s="162" t="s">
        <v>2469</v>
      </c>
      <c r="N147" s="118" t="str">
        <f>_xlfn.DISPIMG("ID_F16EE101B40044CF89D1DFEEC618BA53",1)</f>
        <v>=DISPIMG("ID_F16EE101B40044CF89D1DFEEC618BA53",1)</v>
      </c>
      <c r="O147" s="115" t="s">
        <v>2470</v>
      </c>
      <c r="P147" s="27">
        <v>294</v>
      </c>
      <c r="Q147" s="125" t="s">
        <v>4452</v>
      </c>
      <c r="R147" s="126" t="s">
        <v>43</v>
      </c>
      <c r="S147" s="124">
        <v>1</v>
      </c>
    </row>
    <row r="148" s="3" customFormat="1" ht="20" customHeight="1" spans="1:19">
      <c r="A148" s="166" t="s">
        <v>2562</v>
      </c>
      <c r="B148" s="166" t="s">
        <v>165</v>
      </c>
      <c r="C148" s="162" t="s">
        <v>2563</v>
      </c>
      <c r="D148" s="162" t="s">
        <v>156</v>
      </c>
      <c r="E148" s="162" t="s">
        <v>14</v>
      </c>
      <c r="F148" s="27">
        <v>202102001</v>
      </c>
      <c r="G148" s="162" t="s">
        <v>705</v>
      </c>
      <c r="H148" s="162" t="s">
        <v>2565</v>
      </c>
      <c r="I148" s="162" t="s">
        <v>790</v>
      </c>
      <c r="J148" s="162" t="s">
        <v>160</v>
      </c>
      <c r="K148" s="162" t="s">
        <v>455</v>
      </c>
      <c r="L148" s="162" t="s">
        <v>14</v>
      </c>
      <c r="M148" s="162" t="s">
        <v>2566</v>
      </c>
      <c r="N148" s="118" t="str">
        <f>_xlfn.DISPIMG("ID_DA928F2BE2B24AF3ABF5D40BAC268946",1)</f>
        <v>=DISPIMG("ID_DA928F2BE2B24AF3ABF5D40BAC268946",1)</v>
      </c>
      <c r="O148" s="115" t="s">
        <v>2567</v>
      </c>
      <c r="P148" s="27">
        <v>307</v>
      </c>
      <c r="Q148" s="125" t="s">
        <v>4453</v>
      </c>
      <c r="R148" s="126" t="s">
        <v>43</v>
      </c>
      <c r="S148" s="124">
        <v>12</v>
      </c>
    </row>
    <row r="149" s="3" customFormat="1" ht="20" customHeight="1" spans="1:19">
      <c r="A149" s="166" t="s">
        <v>2628</v>
      </c>
      <c r="B149" s="166" t="s">
        <v>165</v>
      </c>
      <c r="C149" s="162" t="s">
        <v>2629</v>
      </c>
      <c r="D149" s="162" t="s">
        <v>156</v>
      </c>
      <c r="E149" s="162" t="s">
        <v>14</v>
      </c>
      <c r="F149" s="27">
        <v>202101001</v>
      </c>
      <c r="G149" s="162" t="s">
        <v>157</v>
      </c>
      <c r="H149" s="162" t="s">
        <v>233</v>
      </c>
      <c r="I149" s="162" t="s">
        <v>454</v>
      </c>
      <c r="J149" s="162" t="s">
        <v>170</v>
      </c>
      <c r="K149" s="162" t="s">
        <v>2550</v>
      </c>
      <c r="L149" s="162" t="s">
        <v>638</v>
      </c>
      <c r="M149" s="162" t="s">
        <v>2631</v>
      </c>
      <c r="N149" s="118" t="str">
        <f>_xlfn.DISPIMG("ID_CBC3FBFBAE354D589BD3606A77A20D02",1)</f>
        <v>=DISPIMG("ID_CBC3FBFBAE354D589BD3606A77A20D02",1)</v>
      </c>
      <c r="O149" s="115" t="s">
        <v>2632</v>
      </c>
      <c r="P149" s="27">
        <v>316</v>
      </c>
      <c r="Q149" s="125" t="s">
        <v>4454</v>
      </c>
      <c r="R149" s="126" t="s">
        <v>43</v>
      </c>
      <c r="S149" s="124">
        <v>13</v>
      </c>
    </row>
    <row r="150" s="3" customFormat="1" ht="20" customHeight="1" spans="1:19">
      <c r="A150" s="166" t="s">
        <v>2635</v>
      </c>
      <c r="B150" s="166" t="s">
        <v>165</v>
      </c>
      <c r="C150" s="162" t="s">
        <v>2636</v>
      </c>
      <c r="D150" s="162" t="s">
        <v>156</v>
      </c>
      <c r="E150" s="162" t="s">
        <v>14</v>
      </c>
      <c r="F150" s="27">
        <v>202102001</v>
      </c>
      <c r="G150" s="162" t="s">
        <v>157</v>
      </c>
      <c r="H150" s="162" t="s">
        <v>233</v>
      </c>
      <c r="I150" s="162" t="s">
        <v>454</v>
      </c>
      <c r="J150" s="162" t="s">
        <v>170</v>
      </c>
      <c r="K150" s="162" t="s">
        <v>349</v>
      </c>
      <c r="L150" s="162" t="s">
        <v>2638</v>
      </c>
      <c r="M150" s="162" t="s">
        <v>2639</v>
      </c>
      <c r="N150" s="118" t="str">
        <f>_xlfn.DISPIMG("ID_E1D95DAB49404461BEFC75E6320DFECC",1)</f>
        <v>=DISPIMG("ID_E1D95DAB49404461BEFC75E6320DFECC",1)</v>
      </c>
      <c r="O150" s="115" t="s">
        <v>2640</v>
      </c>
      <c r="P150" s="27">
        <v>317</v>
      </c>
      <c r="Q150" s="125" t="s">
        <v>4455</v>
      </c>
      <c r="R150" s="126" t="s">
        <v>43</v>
      </c>
      <c r="S150" s="124">
        <v>24</v>
      </c>
    </row>
    <row r="151" s="3" customFormat="1" ht="20" customHeight="1" spans="1:19">
      <c r="A151" s="166" t="s">
        <v>2659</v>
      </c>
      <c r="B151" s="166" t="s">
        <v>165</v>
      </c>
      <c r="C151" s="162" t="s">
        <v>2660</v>
      </c>
      <c r="D151" s="162" t="s">
        <v>156</v>
      </c>
      <c r="E151" s="162" t="s">
        <v>14</v>
      </c>
      <c r="F151" s="27">
        <v>202102001</v>
      </c>
      <c r="G151" s="162" t="s">
        <v>157</v>
      </c>
      <c r="H151" s="162" t="s">
        <v>269</v>
      </c>
      <c r="I151" s="162" t="s">
        <v>454</v>
      </c>
      <c r="J151" s="162" t="s">
        <v>170</v>
      </c>
      <c r="K151" s="162" t="s">
        <v>161</v>
      </c>
      <c r="L151" s="162" t="s">
        <v>26</v>
      </c>
      <c r="M151" s="162" t="s">
        <v>2662</v>
      </c>
      <c r="N151" s="118" t="str">
        <f>_xlfn.DISPIMG("ID_4750BE615CAB4B2790251BC514AE2277",1)</f>
        <v>=DISPIMG("ID_4750BE615CAB4B2790251BC514AE2277",1)</v>
      </c>
      <c r="O151" s="115" t="s">
        <v>2663</v>
      </c>
      <c r="P151" s="27">
        <v>320</v>
      </c>
      <c r="Q151" s="125" t="s">
        <v>4456</v>
      </c>
      <c r="R151" s="126" t="s">
        <v>43</v>
      </c>
      <c r="S151" s="124">
        <v>25</v>
      </c>
    </row>
    <row r="152" s="3" customFormat="1" ht="20" customHeight="1" spans="1:19">
      <c r="A152" s="166" t="s">
        <v>2726</v>
      </c>
      <c r="B152" s="166" t="s">
        <v>165</v>
      </c>
      <c r="C152" s="162" t="s">
        <v>2727</v>
      </c>
      <c r="D152" s="162" t="s">
        <v>156</v>
      </c>
      <c r="E152" s="162" t="s">
        <v>14</v>
      </c>
      <c r="F152" s="27">
        <v>202102001</v>
      </c>
      <c r="G152" s="162" t="s">
        <v>157</v>
      </c>
      <c r="H152" s="162" t="s">
        <v>233</v>
      </c>
      <c r="I152" s="162" t="s">
        <v>1570</v>
      </c>
      <c r="J152" s="162" t="s">
        <v>160</v>
      </c>
      <c r="K152" s="162" t="s">
        <v>252</v>
      </c>
      <c r="L152" s="162" t="s">
        <v>26</v>
      </c>
      <c r="M152" s="162" t="s">
        <v>2728</v>
      </c>
      <c r="N152" s="118" t="str">
        <f>_xlfn.DISPIMG("ID_BA1DF7BF960547A0983F8DB11C878B07",1)</f>
        <v>=DISPIMG("ID_BA1DF7BF960547A0983F8DB11C878B07",1)</v>
      </c>
      <c r="O152" s="115" t="s">
        <v>2729</v>
      </c>
      <c r="P152" s="27">
        <v>329</v>
      </c>
      <c r="Q152" s="125" t="s">
        <v>4457</v>
      </c>
      <c r="R152" s="126" t="s">
        <v>45</v>
      </c>
      <c r="S152" s="124">
        <v>6</v>
      </c>
    </row>
    <row r="153" s="3" customFormat="1" ht="20" customHeight="1" spans="1:19">
      <c r="A153" s="166" t="s">
        <v>2767</v>
      </c>
      <c r="B153" s="166" t="s">
        <v>165</v>
      </c>
      <c r="C153" s="162" t="s">
        <v>2768</v>
      </c>
      <c r="D153" s="162" t="s">
        <v>506</v>
      </c>
      <c r="E153" s="162" t="s">
        <v>14</v>
      </c>
      <c r="F153" s="27">
        <v>202102014</v>
      </c>
      <c r="G153" s="162" t="s">
        <v>279</v>
      </c>
      <c r="H153" s="162" t="s">
        <v>367</v>
      </c>
      <c r="I153" s="162" t="s">
        <v>1878</v>
      </c>
      <c r="J153" s="162" t="s">
        <v>170</v>
      </c>
      <c r="K153" s="162" t="s">
        <v>161</v>
      </c>
      <c r="L153" s="162" t="s">
        <v>14</v>
      </c>
      <c r="M153" s="162" t="s">
        <v>2770</v>
      </c>
      <c r="N153" s="118" t="str">
        <f>_xlfn.DISPIMG("ID_599781AB8A9B405FA1C45AEDC9F43F4B",1)</f>
        <v>=DISPIMG("ID_599781AB8A9B405FA1C45AEDC9F43F4B",1)</v>
      </c>
      <c r="O153" s="115" t="s">
        <v>2771</v>
      </c>
      <c r="P153" s="27">
        <v>335</v>
      </c>
      <c r="Q153" s="125" t="s">
        <v>4458</v>
      </c>
      <c r="R153" s="126" t="s">
        <v>45</v>
      </c>
      <c r="S153" s="124">
        <v>7</v>
      </c>
    </row>
    <row r="154" s="3" customFormat="1" ht="20" customHeight="1" spans="1:19">
      <c r="A154" s="166" t="s">
        <v>2976</v>
      </c>
      <c r="B154" s="166" t="s">
        <v>165</v>
      </c>
      <c r="C154" s="162" t="s">
        <v>2977</v>
      </c>
      <c r="D154" s="162" t="s">
        <v>156</v>
      </c>
      <c r="E154" s="162" t="s">
        <v>14</v>
      </c>
      <c r="F154" s="27">
        <v>202101001</v>
      </c>
      <c r="G154" s="162" t="s">
        <v>279</v>
      </c>
      <c r="H154" s="162" t="s">
        <v>367</v>
      </c>
      <c r="I154" s="162" t="s">
        <v>348</v>
      </c>
      <c r="J154" s="162" t="s">
        <v>170</v>
      </c>
      <c r="K154" s="162" t="s">
        <v>199</v>
      </c>
      <c r="L154" s="162" t="s">
        <v>2031</v>
      </c>
      <c r="M154" s="162" t="s">
        <v>2979</v>
      </c>
      <c r="N154" s="118" t="str">
        <f>_xlfn.DISPIMG("ID_4F34FA9D170F4006AB964A8F2850EA2E",1)</f>
        <v>=DISPIMG("ID_4F34FA9D170F4006AB964A8F2850EA2E",1)</v>
      </c>
      <c r="O154" s="115" t="s">
        <v>2980</v>
      </c>
      <c r="P154" s="27">
        <v>366</v>
      </c>
      <c r="Q154" s="125" t="s">
        <v>4459</v>
      </c>
      <c r="R154" s="126" t="s">
        <v>45</v>
      </c>
      <c r="S154" s="124">
        <v>18</v>
      </c>
    </row>
    <row r="155" s="3" customFormat="1" ht="20" customHeight="1" spans="1:19">
      <c r="A155" s="166" t="s">
        <v>2991</v>
      </c>
      <c r="B155" s="166" t="s">
        <v>165</v>
      </c>
      <c r="C155" s="162" t="s">
        <v>2992</v>
      </c>
      <c r="D155" s="162" t="s">
        <v>156</v>
      </c>
      <c r="E155" s="162" t="s">
        <v>14</v>
      </c>
      <c r="F155" s="27">
        <v>202102001</v>
      </c>
      <c r="G155" s="162" t="s">
        <v>157</v>
      </c>
      <c r="H155" s="162" t="s">
        <v>611</v>
      </c>
      <c r="I155" s="162" t="s">
        <v>179</v>
      </c>
      <c r="J155" s="162" t="s">
        <v>160</v>
      </c>
      <c r="K155" s="162" t="s">
        <v>216</v>
      </c>
      <c r="L155" s="162" t="s">
        <v>14</v>
      </c>
      <c r="M155" s="27">
        <v>0</v>
      </c>
      <c r="N155" s="118" t="str">
        <f>_xlfn.DISPIMG("ID_AFAEC7F47E5847F688912010DE531FF7",1)</f>
        <v>=DISPIMG("ID_AFAEC7F47E5847F688912010DE531FF7",1)</v>
      </c>
      <c r="O155" s="115" t="s">
        <v>2994</v>
      </c>
      <c r="P155" s="27">
        <v>368</v>
      </c>
      <c r="Q155" s="125" t="s">
        <v>4460</v>
      </c>
      <c r="R155" s="126" t="s">
        <v>45</v>
      </c>
      <c r="S155" s="124">
        <v>19</v>
      </c>
    </row>
    <row r="156" s="3" customFormat="1" ht="20" customHeight="1" spans="1:19">
      <c r="A156" s="166" t="s">
        <v>3036</v>
      </c>
      <c r="B156" s="166" t="s">
        <v>165</v>
      </c>
      <c r="C156" s="162" t="s">
        <v>3037</v>
      </c>
      <c r="D156" s="162" t="s">
        <v>156</v>
      </c>
      <c r="E156" s="162" t="s">
        <v>14</v>
      </c>
      <c r="F156" s="27">
        <v>202102001</v>
      </c>
      <c r="G156" s="162" t="s">
        <v>279</v>
      </c>
      <c r="H156" s="162" t="s">
        <v>1674</v>
      </c>
      <c r="I156" s="162" t="s">
        <v>348</v>
      </c>
      <c r="J156" s="162" t="s">
        <v>170</v>
      </c>
      <c r="K156" s="162" t="s">
        <v>3039</v>
      </c>
      <c r="L156" s="162" t="s">
        <v>2395</v>
      </c>
      <c r="M156" s="162" t="s">
        <v>3040</v>
      </c>
      <c r="N156" s="118" t="str">
        <f>_xlfn.DISPIMG("ID_BCD8D492551D473299BE1D3404EC1A74",1)</f>
        <v>=DISPIMG("ID_BCD8D492551D473299BE1D3404EC1A74",1)</v>
      </c>
      <c r="O156" s="115" t="s">
        <v>3041</v>
      </c>
      <c r="P156" s="27">
        <v>375</v>
      </c>
      <c r="Q156" s="125" t="s">
        <v>4461</v>
      </c>
      <c r="R156" s="126" t="s">
        <v>45</v>
      </c>
      <c r="S156" s="124">
        <v>30</v>
      </c>
    </row>
    <row r="157" s="3" customFormat="1" ht="20" customHeight="1" spans="1:19">
      <c r="A157" s="166" t="s">
        <v>3058</v>
      </c>
      <c r="B157" s="166" t="s">
        <v>165</v>
      </c>
      <c r="C157" s="162" t="s">
        <v>3059</v>
      </c>
      <c r="D157" s="162" t="s">
        <v>156</v>
      </c>
      <c r="E157" s="162" t="s">
        <v>14</v>
      </c>
      <c r="F157" s="27">
        <v>202102001</v>
      </c>
      <c r="G157" s="162" t="s">
        <v>157</v>
      </c>
      <c r="H157" s="162" t="s">
        <v>233</v>
      </c>
      <c r="I157" s="162" t="s">
        <v>1489</v>
      </c>
      <c r="J157" s="162" t="s">
        <v>170</v>
      </c>
      <c r="K157" s="162" t="s">
        <v>3061</v>
      </c>
      <c r="L157" s="162" t="s">
        <v>3062</v>
      </c>
      <c r="M157" s="162" t="s">
        <v>3063</v>
      </c>
      <c r="N157" s="118" t="str">
        <f>_xlfn.DISPIMG("ID_0F24A07024DD4EC28C638A81C28E0099",1)</f>
        <v>=DISPIMG("ID_0F24A07024DD4EC28C638A81C28E0099",1)</v>
      </c>
      <c r="O157" s="115" t="s">
        <v>3064</v>
      </c>
      <c r="P157" s="27">
        <v>378</v>
      </c>
      <c r="Q157" s="125" t="s">
        <v>4462</v>
      </c>
      <c r="R157" s="126" t="s">
        <v>45</v>
      </c>
      <c r="S157" s="124">
        <v>5</v>
      </c>
    </row>
    <row r="158" s="3" customFormat="1" ht="20" customHeight="1" spans="1:19">
      <c r="A158" s="166" t="s">
        <v>3067</v>
      </c>
      <c r="B158" s="166" t="s">
        <v>165</v>
      </c>
      <c r="C158" s="162" t="s">
        <v>3068</v>
      </c>
      <c r="D158" s="162" t="s">
        <v>156</v>
      </c>
      <c r="E158" s="162" t="s">
        <v>14</v>
      </c>
      <c r="F158" s="27">
        <v>202102001</v>
      </c>
      <c r="G158" s="162" t="s">
        <v>157</v>
      </c>
      <c r="H158" s="162" t="s">
        <v>3070</v>
      </c>
      <c r="I158" s="162" t="s">
        <v>454</v>
      </c>
      <c r="J158" s="162" t="s">
        <v>170</v>
      </c>
      <c r="K158" s="162" t="s">
        <v>577</v>
      </c>
      <c r="L158" s="162" t="s">
        <v>1579</v>
      </c>
      <c r="M158" s="162" t="s">
        <v>3071</v>
      </c>
      <c r="N158" s="118" t="str">
        <f>_xlfn.DISPIMG("ID_2CCF9645E24E4A3B81BAE72B8AED314D",1)</f>
        <v>=DISPIMG("ID_2CCF9645E24E4A3B81BAE72B8AED314D",1)</v>
      </c>
      <c r="O158" s="115" t="s">
        <v>3072</v>
      </c>
      <c r="P158" s="27">
        <v>379</v>
      </c>
      <c r="Q158" s="125" t="s">
        <v>4463</v>
      </c>
      <c r="R158" s="126" t="s">
        <v>45</v>
      </c>
      <c r="S158" s="124">
        <v>8</v>
      </c>
    </row>
    <row r="159" s="3" customFormat="1" ht="20" customHeight="1" spans="1:19">
      <c r="A159" s="166" t="s">
        <v>3166</v>
      </c>
      <c r="B159" s="166" t="s">
        <v>165</v>
      </c>
      <c r="C159" s="162" t="s">
        <v>3167</v>
      </c>
      <c r="D159" s="162" t="s">
        <v>156</v>
      </c>
      <c r="E159" s="162" t="s">
        <v>14</v>
      </c>
      <c r="F159" s="27">
        <v>202102001</v>
      </c>
      <c r="G159" s="162" t="s">
        <v>157</v>
      </c>
      <c r="H159" s="162" t="s">
        <v>158</v>
      </c>
      <c r="I159" s="162" t="s">
        <v>395</v>
      </c>
      <c r="J159" s="162" t="s">
        <v>160</v>
      </c>
      <c r="K159" s="162" t="s">
        <v>587</v>
      </c>
      <c r="L159" s="162" t="s">
        <v>14</v>
      </c>
      <c r="M159" s="27">
        <v>0</v>
      </c>
      <c r="N159" s="118" t="str">
        <f>_xlfn.DISPIMG("ID_F2E559AD12664A6E81B51441D537B134",1)</f>
        <v>=DISPIMG("ID_F2E559AD12664A6E81B51441D537B134",1)</v>
      </c>
      <c r="O159" s="115" t="s">
        <v>3169</v>
      </c>
      <c r="P159" s="27">
        <v>393</v>
      </c>
      <c r="Q159" s="125" t="s">
        <v>4464</v>
      </c>
      <c r="R159" s="126" t="s">
        <v>45</v>
      </c>
      <c r="S159" s="124">
        <v>17</v>
      </c>
    </row>
    <row r="160" s="3" customFormat="1" ht="20" customHeight="1" spans="1:19">
      <c r="A160" s="166" t="s">
        <v>3268</v>
      </c>
      <c r="B160" s="166" t="s">
        <v>165</v>
      </c>
      <c r="C160" s="162" t="s">
        <v>3269</v>
      </c>
      <c r="D160" s="162" t="s">
        <v>156</v>
      </c>
      <c r="E160" s="162" t="s">
        <v>14</v>
      </c>
      <c r="F160" s="27">
        <v>202102001</v>
      </c>
      <c r="G160" s="162" t="s">
        <v>279</v>
      </c>
      <c r="H160" s="162" t="s">
        <v>178</v>
      </c>
      <c r="I160" s="162" t="s">
        <v>348</v>
      </c>
      <c r="J160" s="162" t="s">
        <v>170</v>
      </c>
      <c r="K160" s="162" t="s">
        <v>216</v>
      </c>
      <c r="L160" s="162" t="s">
        <v>638</v>
      </c>
      <c r="M160" s="162" t="s">
        <v>3271</v>
      </c>
      <c r="N160" s="118" t="str">
        <f>_xlfn.DISPIMG("ID_A7E75D79E714426086202D465053808C",1)</f>
        <v>=DISPIMG("ID_A7E75D79E714426086202D465053808C",1)</v>
      </c>
      <c r="O160" s="115" t="s">
        <v>3272</v>
      </c>
      <c r="P160" s="27">
        <v>408</v>
      </c>
      <c r="Q160" s="125" t="s">
        <v>4465</v>
      </c>
      <c r="R160" s="126" t="s">
        <v>45</v>
      </c>
      <c r="S160" s="124">
        <v>20</v>
      </c>
    </row>
    <row r="161" s="3" customFormat="1" ht="20" customHeight="1" spans="1:19">
      <c r="A161" s="166" t="s">
        <v>3283</v>
      </c>
      <c r="B161" s="166" t="s">
        <v>165</v>
      </c>
      <c r="C161" s="162" t="s">
        <v>3284</v>
      </c>
      <c r="D161" s="162" t="s">
        <v>156</v>
      </c>
      <c r="E161" s="162" t="s">
        <v>14</v>
      </c>
      <c r="F161" s="27">
        <v>202102001</v>
      </c>
      <c r="G161" s="162" t="s">
        <v>157</v>
      </c>
      <c r="H161" s="162" t="s">
        <v>178</v>
      </c>
      <c r="I161" s="162" t="s">
        <v>3286</v>
      </c>
      <c r="J161" s="162" t="s">
        <v>170</v>
      </c>
      <c r="K161" s="162" t="s">
        <v>199</v>
      </c>
      <c r="L161" s="162" t="s">
        <v>14</v>
      </c>
      <c r="M161" s="162" t="s">
        <v>3287</v>
      </c>
      <c r="N161" s="118" t="str">
        <f>_xlfn.DISPIMG("ID_CEC6054CEEDC4B7EB64CEFDE8D077DB1",1)</f>
        <v>=DISPIMG("ID_CEC6054CEEDC4B7EB64CEFDE8D077DB1",1)</v>
      </c>
      <c r="O161" s="115" t="s">
        <v>3288</v>
      </c>
      <c r="P161" s="27">
        <v>410</v>
      </c>
      <c r="Q161" s="125" t="s">
        <v>4466</v>
      </c>
      <c r="R161" s="126" t="s">
        <v>45</v>
      </c>
      <c r="S161" s="124">
        <v>29</v>
      </c>
    </row>
    <row r="162" s="3" customFormat="1" ht="20" customHeight="1" spans="1:19">
      <c r="A162" s="166" t="s">
        <v>3374</v>
      </c>
      <c r="B162" s="166" t="s">
        <v>165</v>
      </c>
      <c r="C162" s="162" t="s">
        <v>3375</v>
      </c>
      <c r="D162" s="162" t="s">
        <v>156</v>
      </c>
      <c r="E162" s="162" t="s">
        <v>14</v>
      </c>
      <c r="F162" s="27">
        <v>202102001</v>
      </c>
      <c r="G162" s="162" t="s">
        <v>279</v>
      </c>
      <c r="H162" s="162" t="s">
        <v>339</v>
      </c>
      <c r="I162" s="162" t="s">
        <v>1950</v>
      </c>
      <c r="J162" s="162" t="s">
        <v>170</v>
      </c>
      <c r="K162" s="162" t="s">
        <v>216</v>
      </c>
      <c r="L162" s="162" t="s">
        <v>350</v>
      </c>
      <c r="M162" s="162" t="s">
        <v>3377</v>
      </c>
      <c r="N162" s="118" t="str">
        <f>_xlfn.DISPIMG("ID_A4F86B02E8AC4C77B083B94B4997B486",1)</f>
        <v>=DISPIMG("ID_A4F86B02E8AC4C77B083B94B4997B486",1)</v>
      </c>
      <c r="O162" s="115" t="s">
        <v>3378</v>
      </c>
      <c r="P162" s="27">
        <v>425</v>
      </c>
      <c r="Q162" s="125" t="s">
        <v>4467</v>
      </c>
      <c r="R162" s="126" t="s">
        <v>45</v>
      </c>
      <c r="S162" s="124">
        <v>4</v>
      </c>
    </row>
    <row r="163" s="3" customFormat="1" ht="20" customHeight="1" spans="1:19">
      <c r="A163" s="166" t="s">
        <v>3381</v>
      </c>
      <c r="B163" s="166" t="s">
        <v>165</v>
      </c>
      <c r="C163" s="162" t="s">
        <v>3382</v>
      </c>
      <c r="D163" s="162" t="s">
        <v>156</v>
      </c>
      <c r="E163" s="162" t="s">
        <v>14</v>
      </c>
      <c r="F163" s="27">
        <v>202102001</v>
      </c>
      <c r="G163" s="162" t="s">
        <v>157</v>
      </c>
      <c r="H163" s="162" t="s">
        <v>1121</v>
      </c>
      <c r="I163" s="162" t="s">
        <v>1832</v>
      </c>
      <c r="J163" s="162" t="s">
        <v>160</v>
      </c>
      <c r="K163" s="162" t="s">
        <v>199</v>
      </c>
      <c r="L163" s="162" t="s">
        <v>14</v>
      </c>
      <c r="M163" s="27">
        <v>0</v>
      </c>
      <c r="N163" s="118" t="str">
        <f>_xlfn.DISPIMG("ID_755EB9C887424753BE38DCDA04F5D53F",1)</f>
        <v>=DISPIMG("ID_755EB9C887424753BE38DCDA04F5D53F",1)</v>
      </c>
      <c r="O163" s="115" t="s">
        <v>3384</v>
      </c>
      <c r="P163" s="27">
        <v>426</v>
      </c>
      <c r="Q163" s="125" t="s">
        <v>4468</v>
      </c>
      <c r="R163" s="126" t="s">
        <v>45</v>
      </c>
      <c r="S163" s="124">
        <v>9</v>
      </c>
    </row>
    <row r="164" s="3" customFormat="1" ht="20" customHeight="1" spans="1:19">
      <c r="A164" s="166" t="s">
        <v>3436</v>
      </c>
      <c r="B164" s="166" t="s">
        <v>165</v>
      </c>
      <c r="C164" s="162" t="s">
        <v>3437</v>
      </c>
      <c r="D164" s="162" t="s">
        <v>156</v>
      </c>
      <c r="E164" s="162" t="s">
        <v>14</v>
      </c>
      <c r="F164" s="27">
        <v>202102001</v>
      </c>
      <c r="G164" s="162" t="s">
        <v>279</v>
      </c>
      <c r="H164" s="162" t="s">
        <v>367</v>
      </c>
      <c r="I164" s="162" t="s">
        <v>348</v>
      </c>
      <c r="J164" s="162" t="s">
        <v>170</v>
      </c>
      <c r="K164" s="162" t="s">
        <v>180</v>
      </c>
      <c r="L164" s="162" t="s">
        <v>638</v>
      </c>
      <c r="M164" s="162" t="s">
        <v>3439</v>
      </c>
      <c r="N164" s="118" t="str">
        <f>_xlfn.DISPIMG("ID_82244367FBEE45C5B0219468F4CFBAF4",1)</f>
        <v>=DISPIMG("ID_82244367FBEE45C5B0219468F4CFBAF4",1)</v>
      </c>
      <c r="O164" s="115" t="s">
        <v>3440</v>
      </c>
      <c r="P164" s="27">
        <v>434</v>
      </c>
      <c r="Q164" s="125" t="s">
        <v>4469</v>
      </c>
      <c r="R164" s="126" t="s">
        <v>45</v>
      </c>
      <c r="S164" s="124">
        <v>16</v>
      </c>
    </row>
    <row r="165" s="3" customFormat="1" ht="20" customHeight="1" spans="1:19">
      <c r="A165" s="166" t="s">
        <v>3494</v>
      </c>
      <c r="B165" s="166" t="s">
        <v>165</v>
      </c>
      <c r="C165" s="162" t="s">
        <v>3495</v>
      </c>
      <c r="D165" s="162" t="s">
        <v>156</v>
      </c>
      <c r="E165" s="162" t="s">
        <v>14</v>
      </c>
      <c r="F165" s="27">
        <v>202102001</v>
      </c>
      <c r="G165" s="162" t="s">
        <v>157</v>
      </c>
      <c r="H165" s="162" t="s">
        <v>158</v>
      </c>
      <c r="I165" s="162" t="s">
        <v>348</v>
      </c>
      <c r="J165" s="162" t="s">
        <v>170</v>
      </c>
      <c r="K165" s="162" t="s">
        <v>349</v>
      </c>
      <c r="L165" s="162" t="s">
        <v>689</v>
      </c>
      <c r="M165" s="162" t="s">
        <v>3496</v>
      </c>
      <c r="N165" s="118" t="str">
        <f>_xlfn.DISPIMG("ID_92399A40D7B44F3B89AA85711A99D812",1)</f>
        <v>=DISPIMG("ID_92399A40D7B44F3B89AA85711A99D812",1)</v>
      </c>
      <c r="O165" s="115" t="s">
        <v>3497</v>
      </c>
      <c r="P165" s="27">
        <v>442</v>
      </c>
      <c r="Q165" s="125" t="s">
        <v>4470</v>
      </c>
      <c r="R165" s="126" t="s">
        <v>45</v>
      </c>
      <c r="S165" s="124">
        <v>21</v>
      </c>
    </row>
    <row r="166" s="4" customFormat="1" ht="20" customHeight="1" spans="1:19">
      <c r="A166" s="166" t="s">
        <v>3500</v>
      </c>
      <c r="B166" s="166" t="s">
        <v>165</v>
      </c>
      <c r="C166" s="164" t="s">
        <v>3501</v>
      </c>
      <c r="D166" s="164" t="s">
        <v>156</v>
      </c>
      <c r="E166" s="164" t="s">
        <v>14</v>
      </c>
      <c r="F166" s="22">
        <v>202102001</v>
      </c>
      <c r="G166" s="164" t="s">
        <v>279</v>
      </c>
      <c r="H166" s="164" t="s">
        <v>1545</v>
      </c>
      <c r="I166" s="164" t="s">
        <v>348</v>
      </c>
      <c r="J166" s="164" t="s">
        <v>170</v>
      </c>
      <c r="K166" s="164" t="s">
        <v>577</v>
      </c>
      <c r="L166" s="164" t="s">
        <v>638</v>
      </c>
      <c r="M166" s="164" t="s">
        <v>3503</v>
      </c>
      <c r="N166" s="23" t="str">
        <f>_xlfn.DISPIMG("ID_582DA32893494A1CB2F261C9DF30C5FF",1)</f>
        <v>=DISPIMG("ID_582DA32893494A1CB2F261C9DF30C5FF",1)</v>
      </c>
      <c r="O166" s="103" t="s">
        <v>3504</v>
      </c>
      <c r="P166" s="27">
        <v>443</v>
      </c>
      <c r="Q166" s="125" t="s">
        <v>4471</v>
      </c>
      <c r="R166" s="126" t="s">
        <v>45</v>
      </c>
      <c r="S166" s="124">
        <v>28</v>
      </c>
    </row>
    <row r="167" s="3" customFormat="1" ht="20" customHeight="1" spans="1:19">
      <c r="A167" s="166" t="s">
        <v>3602</v>
      </c>
      <c r="B167" s="166" t="s">
        <v>165</v>
      </c>
      <c r="C167" s="162" t="s">
        <v>3603</v>
      </c>
      <c r="D167" s="162" t="s">
        <v>156</v>
      </c>
      <c r="E167" s="162" t="s">
        <v>14</v>
      </c>
      <c r="F167" s="27">
        <v>202102001</v>
      </c>
      <c r="G167" s="162" t="s">
        <v>279</v>
      </c>
      <c r="H167" s="162" t="s">
        <v>158</v>
      </c>
      <c r="I167" s="162" t="s">
        <v>348</v>
      </c>
      <c r="J167" s="162" t="s">
        <v>170</v>
      </c>
      <c r="K167" s="162" t="s">
        <v>281</v>
      </c>
      <c r="L167" s="162" t="s">
        <v>14</v>
      </c>
      <c r="M167" s="162" t="s">
        <v>3604</v>
      </c>
      <c r="N167" s="118" t="str">
        <f>_xlfn.DISPIMG("ID_ADF263347E1B436A9E9869CDB170C299",1)</f>
        <v>=DISPIMG("ID_ADF263347E1B436A9E9869CDB170C299",1)</v>
      </c>
      <c r="O167" s="115" t="s">
        <v>3605</v>
      </c>
      <c r="P167" s="27">
        <v>458</v>
      </c>
      <c r="Q167" s="125" t="s">
        <v>4472</v>
      </c>
      <c r="R167" s="126" t="s">
        <v>45</v>
      </c>
      <c r="S167" s="124">
        <v>3</v>
      </c>
    </row>
    <row r="168" s="3" customFormat="1" ht="20" customHeight="1" spans="1:19">
      <c r="A168" s="166" t="s">
        <v>3639</v>
      </c>
      <c r="B168" s="166" t="s">
        <v>165</v>
      </c>
      <c r="C168" s="162" t="s">
        <v>3640</v>
      </c>
      <c r="D168" s="162" t="s">
        <v>268</v>
      </c>
      <c r="E168" s="162" t="s">
        <v>14</v>
      </c>
      <c r="F168" s="27">
        <v>202102001</v>
      </c>
      <c r="G168" s="162" t="s">
        <v>157</v>
      </c>
      <c r="H168" s="162" t="s">
        <v>1413</v>
      </c>
      <c r="I168" s="162" t="s">
        <v>3642</v>
      </c>
      <c r="J168" s="162" t="s">
        <v>170</v>
      </c>
      <c r="K168" s="162" t="s">
        <v>161</v>
      </c>
      <c r="L168" s="162" t="s">
        <v>350</v>
      </c>
      <c r="M168" s="162" t="s">
        <v>3643</v>
      </c>
      <c r="N168" s="118" t="str">
        <f>_xlfn.DISPIMG("ID_711901E3E72645DEB928FFCE78C71328",1)</f>
        <v>=DISPIMG("ID_711901E3E72645DEB928FFCE78C71328",1)</v>
      </c>
      <c r="O168" s="115" t="s">
        <v>3644</v>
      </c>
      <c r="P168" s="27">
        <v>463</v>
      </c>
      <c r="Q168" s="125" t="s">
        <v>4473</v>
      </c>
      <c r="R168" s="126" t="s">
        <v>45</v>
      </c>
      <c r="S168" s="124">
        <v>10</v>
      </c>
    </row>
    <row r="169" s="3" customFormat="1" ht="20" customHeight="1" spans="1:19">
      <c r="A169" s="166" t="s">
        <v>3705</v>
      </c>
      <c r="B169" s="166" t="s">
        <v>165</v>
      </c>
      <c r="C169" s="162" t="s">
        <v>3706</v>
      </c>
      <c r="D169" s="162" t="s">
        <v>156</v>
      </c>
      <c r="E169" s="162" t="s">
        <v>14</v>
      </c>
      <c r="F169" s="27">
        <v>202102011</v>
      </c>
      <c r="G169" s="162" t="s">
        <v>157</v>
      </c>
      <c r="H169" s="162" t="s">
        <v>233</v>
      </c>
      <c r="I169" s="162" t="s">
        <v>3708</v>
      </c>
      <c r="J169" s="162" t="s">
        <v>170</v>
      </c>
      <c r="K169" s="162" t="s">
        <v>216</v>
      </c>
      <c r="L169" s="162" t="s">
        <v>14</v>
      </c>
      <c r="M169" s="162" t="s">
        <v>3709</v>
      </c>
      <c r="N169" s="118" t="str">
        <f>_xlfn.DISPIMG("ID_BF7D6285C9C043E7887E7AA2FA4C62A7",1)</f>
        <v>=DISPIMG("ID_BF7D6285C9C043E7887E7AA2FA4C62A7",1)</v>
      </c>
      <c r="O169" s="115" t="s">
        <v>3710</v>
      </c>
      <c r="P169" s="127">
        <v>472</v>
      </c>
      <c r="Q169" s="125" t="s">
        <v>4474</v>
      </c>
      <c r="R169" s="126" t="s">
        <v>45</v>
      </c>
      <c r="S169" s="124">
        <v>15</v>
      </c>
    </row>
    <row r="170" s="3" customFormat="1" ht="20" customHeight="1" spans="1:19">
      <c r="A170" s="166" t="s">
        <v>3773</v>
      </c>
      <c r="B170" s="166" t="s">
        <v>165</v>
      </c>
      <c r="C170" s="162" t="s">
        <v>3774</v>
      </c>
      <c r="D170" s="162" t="s">
        <v>156</v>
      </c>
      <c r="E170" s="162" t="s">
        <v>14</v>
      </c>
      <c r="F170" s="27">
        <v>202102001</v>
      </c>
      <c r="G170" s="162" t="s">
        <v>279</v>
      </c>
      <c r="H170" s="162" t="s">
        <v>178</v>
      </c>
      <c r="I170" s="162" t="s">
        <v>348</v>
      </c>
      <c r="J170" s="162" t="s">
        <v>170</v>
      </c>
      <c r="K170" s="162" t="s">
        <v>180</v>
      </c>
      <c r="L170" s="162" t="s">
        <v>14</v>
      </c>
      <c r="M170" s="162" t="s">
        <v>3776</v>
      </c>
      <c r="N170" s="118" t="str">
        <f>_xlfn.DISPIMG("ID_CF1C1431032D4C21956EAEFBC2630095",1)</f>
        <v>=DISPIMG("ID_CF1C1431032D4C21956EAEFBC2630095",1)</v>
      </c>
      <c r="O170" s="115" t="s">
        <v>3777</v>
      </c>
      <c r="P170" s="127">
        <v>481</v>
      </c>
      <c r="Q170" s="125" t="s">
        <v>4475</v>
      </c>
      <c r="R170" s="126" t="s">
        <v>45</v>
      </c>
      <c r="S170" s="124">
        <v>22</v>
      </c>
    </row>
    <row r="171" s="3" customFormat="1" ht="20" customHeight="1" spans="1:19">
      <c r="A171" s="166" t="s">
        <v>3858</v>
      </c>
      <c r="B171" s="166" t="s">
        <v>165</v>
      </c>
      <c r="C171" s="162" t="s">
        <v>3859</v>
      </c>
      <c r="D171" s="162" t="s">
        <v>156</v>
      </c>
      <c r="E171" s="162" t="s">
        <v>14</v>
      </c>
      <c r="F171" s="27">
        <v>202102001</v>
      </c>
      <c r="G171" s="162" t="s">
        <v>279</v>
      </c>
      <c r="H171" s="162" t="s">
        <v>3861</v>
      </c>
      <c r="I171" s="162" t="s">
        <v>298</v>
      </c>
      <c r="J171" s="162" t="s">
        <v>160</v>
      </c>
      <c r="K171" s="162" t="s">
        <v>805</v>
      </c>
      <c r="L171" s="162" t="s">
        <v>121</v>
      </c>
      <c r="M171" s="27">
        <v>0</v>
      </c>
      <c r="N171" s="118" t="str">
        <f>_xlfn.DISPIMG("ID_8CF8C6C0A559454996AB6FB606BDA1DD",1)</f>
        <v>=DISPIMG("ID_8CF8C6C0A559454996AB6FB606BDA1DD",1)</v>
      </c>
      <c r="O171" s="115" t="s">
        <v>3862</v>
      </c>
      <c r="P171" s="127">
        <v>492</v>
      </c>
      <c r="Q171" s="125" t="s">
        <v>4476</v>
      </c>
      <c r="R171" s="126" t="s">
        <v>45</v>
      </c>
      <c r="S171" s="124">
        <v>27</v>
      </c>
    </row>
    <row r="172" s="3" customFormat="1" ht="20" customHeight="1" spans="1:19">
      <c r="A172" s="166" t="s">
        <v>3881</v>
      </c>
      <c r="B172" s="166" t="s">
        <v>165</v>
      </c>
      <c r="C172" s="162" t="s">
        <v>3882</v>
      </c>
      <c r="D172" s="162" t="s">
        <v>156</v>
      </c>
      <c r="E172" s="162" t="s">
        <v>14</v>
      </c>
      <c r="F172" s="27">
        <v>202102001</v>
      </c>
      <c r="G172" s="162" t="s">
        <v>279</v>
      </c>
      <c r="H172" s="162" t="s">
        <v>178</v>
      </c>
      <c r="I172" s="162" t="s">
        <v>348</v>
      </c>
      <c r="J172" s="162" t="s">
        <v>170</v>
      </c>
      <c r="K172" s="162" t="s">
        <v>281</v>
      </c>
      <c r="L172" s="162" t="s">
        <v>498</v>
      </c>
      <c r="M172" s="162" t="s">
        <v>3884</v>
      </c>
      <c r="N172" s="118" t="str">
        <f>_xlfn.DISPIMG("ID_3C6B462D1CF047DC951D0874F80418DC",1)</f>
        <v>=DISPIMG("ID_3C6B462D1CF047DC951D0874F80418DC",1)</v>
      </c>
      <c r="O172" s="115" t="s">
        <v>3885</v>
      </c>
      <c r="P172" s="127">
        <v>495</v>
      </c>
      <c r="Q172" s="125" t="s">
        <v>4477</v>
      </c>
      <c r="R172" s="126" t="s">
        <v>45</v>
      </c>
      <c r="S172" s="124">
        <v>2</v>
      </c>
    </row>
    <row r="173" s="3" customFormat="1" ht="20" customHeight="1" spans="1:19">
      <c r="A173" s="166" t="s">
        <v>3888</v>
      </c>
      <c r="B173" s="166" t="s">
        <v>165</v>
      </c>
      <c r="C173" s="162" t="s">
        <v>3889</v>
      </c>
      <c r="D173" s="162" t="s">
        <v>156</v>
      </c>
      <c r="E173" s="162" t="s">
        <v>14</v>
      </c>
      <c r="F173" s="27">
        <v>202102001</v>
      </c>
      <c r="G173" s="162" t="s">
        <v>279</v>
      </c>
      <c r="H173" s="162" t="s">
        <v>367</v>
      </c>
      <c r="I173" s="162" t="s">
        <v>348</v>
      </c>
      <c r="J173" s="162" t="s">
        <v>170</v>
      </c>
      <c r="K173" s="162" t="s">
        <v>587</v>
      </c>
      <c r="L173" s="162" t="s">
        <v>14</v>
      </c>
      <c r="M173" s="162" t="s">
        <v>3891</v>
      </c>
      <c r="N173" s="118" t="str">
        <f>_xlfn.DISPIMG("ID_2410E866E9B946F380BB65E1492A0355",1)</f>
        <v>=DISPIMG("ID_2410E866E9B946F380BB65E1492A0355",1)</v>
      </c>
      <c r="O173" s="115" t="s">
        <v>3892</v>
      </c>
      <c r="P173" s="127">
        <v>496</v>
      </c>
      <c r="Q173" s="125" t="s">
        <v>4478</v>
      </c>
      <c r="R173" s="126" t="s">
        <v>45</v>
      </c>
      <c r="S173" s="124">
        <v>11</v>
      </c>
    </row>
    <row r="174" s="3" customFormat="1" ht="20" customHeight="1" spans="1:19">
      <c r="A174" s="166" t="s">
        <v>3910</v>
      </c>
      <c r="B174" s="166" t="s">
        <v>165</v>
      </c>
      <c r="C174" s="162" t="s">
        <v>3911</v>
      </c>
      <c r="D174" s="162" t="s">
        <v>156</v>
      </c>
      <c r="E174" s="162" t="s">
        <v>14</v>
      </c>
      <c r="F174" s="27">
        <v>202102001</v>
      </c>
      <c r="G174" s="162" t="s">
        <v>157</v>
      </c>
      <c r="H174" s="162" t="s">
        <v>233</v>
      </c>
      <c r="I174" s="162" t="s">
        <v>454</v>
      </c>
      <c r="J174" s="162" t="s">
        <v>170</v>
      </c>
      <c r="K174" s="162" t="s">
        <v>516</v>
      </c>
      <c r="L174" s="162" t="s">
        <v>3913</v>
      </c>
      <c r="M174" s="162" t="s">
        <v>3914</v>
      </c>
      <c r="N174" s="118" t="str">
        <f>_xlfn.DISPIMG("ID_2CCA277749F14624BD11838DCC078340",1)</f>
        <v>=DISPIMG("ID_2CCA277749F14624BD11838DCC078340",1)</v>
      </c>
      <c r="O174" s="115" t="s">
        <v>3915</v>
      </c>
      <c r="P174" s="127">
        <v>499</v>
      </c>
      <c r="Q174" s="125" t="s">
        <v>4479</v>
      </c>
      <c r="R174" s="126" t="s">
        <v>45</v>
      </c>
      <c r="S174" s="124">
        <v>14</v>
      </c>
    </row>
    <row r="175" s="3" customFormat="1" ht="20" customHeight="1" spans="1:19">
      <c r="A175" s="166" t="s">
        <v>3931</v>
      </c>
      <c r="B175" s="166" t="s">
        <v>165</v>
      </c>
      <c r="C175" s="162" t="s">
        <v>3932</v>
      </c>
      <c r="D175" s="162" t="s">
        <v>156</v>
      </c>
      <c r="E175" s="162" t="s">
        <v>14</v>
      </c>
      <c r="F175" s="27">
        <v>202102001</v>
      </c>
      <c r="G175" s="162" t="s">
        <v>279</v>
      </c>
      <c r="H175" s="162" t="s">
        <v>3934</v>
      </c>
      <c r="I175" s="162" t="s">
        <v>348</v>
      </c>
      <c r="J175" s="162" t="s">
        <v>170</v>
      </c>
      <c r="K175" s="162" t="s">
        <v>349</v>
      </c>
      <c r="L175" s="162" t="s">
        <v>3935</v>
      </c>
      <c r="M175" s="162" t="s">
        <v>3936</v>
      </c>
      <c r="N175" s="118" t="str">
        <f>_xlfn.DISPIMG("ID_FD6A12B7DDFB4497A1625AEB18B6C93E",1)</f>
        <v>=DISPIMG("ID_FD6A12B7DDFB4497A1625AEB18B6C93E",1)</v>
      </c>
      <c r="O175" s="115" t="s">
        <v>3937</v>
      </c>
      <c r="P175" s="127">
        <v>502</v>
      </c>
      <c r="Q175" s="125" t="s">
        <v>4480</v>
      </c>
      <c r="R175" s="126" t="s">
        <v>45</v>
      </c>
      <c r="S175" s="124">
        <v>23</v>
      </c>
    </row>
    <row r="176" s="3" customFormat="1" ht="20" customHeight="1" spans="1:19">
      <c r="A176" s="166" t="s">
        <v>4036</v>
      </c>
      <c r="B176" s="166" t="s">
        <v>165</v>
      </c>
      <c r="C176" s="162" t="s">
        <v>4037</v>
      </c>
      <c r="D176" s="162" t="s">
        <v>156</v>
      </c>
      <c r="E176" s="162" t="s">
        <v>14</v>
      </c>
      <c r="F176" s="27">
        <v>202102001</v>
      </c>
      <c r="G176" s="162" t="s">
        <v>279</v>
      </c>
      <c r="H176" s="162" t="s">
        <v>1545</v>
      </c>
      <c r="I176" s="162" t="s">
        <v>348</v>
      </c>
      <c r="J176" s="162" t="s">
        <v>170</v>
      </c>
      <c r="K176" s="162" t="s">
        <v>216</v>
      </c>
      <c r="L176" s="162" t="s">
        <v>14</v>
      </c>
      <c r="M176" s="162" t="s">
        <v>4039</v>
      </c>
      <c r="N176" s="118" t="str">
        <f>_xlfn.DISPIMG("ID_25A2772C2A4349D4AAD4F2B8F942612C",1)</f>
        <v>=DISPIMG("ID_25A2772C2A4349D4AAD4F2B8F942612C",1)</v>
      </c>
      <c r="O176" s="115" t="s">
        <v>4040</v>
      </c>
      <c r="P176" s="127">
        <v>516</v>
      </c>
      <c r="Q176" s="125" t="s">
        <v>4481</v>
      </c>
      <c r="R176" s="126" t="s">
        <v>45</v>
      </c>
      <c r="S176" s="124">
        <v>26</v>
      </c>
    </row>
    <row r="177" s="3" customFormat="1" ht="20" customHeight="1" spans="1:19">
      <c r="A177" s="166" t="s">
        <v>4082</v>
      </c>
      <c r="B177" s="166" t="s">
        <v>165</v>
      </c>
      <c r="C177" s="162" t="s">
        <v>4083</v>
      </c>
      <c r="D177" s="162" t="s">
        <v>506</v>
      </c>
      <c r="E177" s="162" t="s">
        <v>14</v>
      </c>
      <c r="F177" s="27">
        <v>202102014</v>
      </c>
      <c r="G177" s="162" t="s">
        <v>157</v>
      </c>
      <c r="H177" s="162" t="s">
        <v>178</v>
      </c>
      <c r="I177" s="162" t="s">
        <v>348</v>
      </c>
      <c r="J177" s="162" t="s">
        <v>170</v>
      </c>
      <c r="K177" s="162" t="s">
        <v>548</v>
      </c>
      <c r="L177" s="162" t="s">
        <v>4084</v>
      </c>
      <c r="M177" s="162" t="s">
        <v>4085</v>
      </c>
      <c r="N177" s="118" t="str">
        <f>_xlfn.DISPIMG("ID_C5311387C2FF404D8FA717D4979E175B",1)</f>
        <v>=DISPIMG("ID_C5311387C2FF404D8FA717D4979E175B",1)</v>
      </c>
      <c r="O177" s="115" t="s">
        <v>4086</v>
      </c>
      <c r="P177" s="127">
        <v>522</v>
      </c>
      <c r="Q177" s="125" t="s">
        <v>4482</v>
      </c>
      <c r="R177" s="126" t="s">
        <v>45</v>
      </c>
      <c r="S177" s="124">
        <v>1</v>
      </c>
    </row>
    <row r="178" s="3" customFormat="1" ht="20" customHeight="1" spans="1:19">
      <c r="A178" s="166" t="s">
        <v>4103</v>
      </c>
      <c r="B178" s="166" t="s">
        <v>165</v>
      </c>
      <c r="C178" s="162" t="s">
        <v>4104</v>
      </c>
      <c r="D178" s="162" t="s">
        <v>384</v>
      </c>
      <c r="E178" s="162" t="s">
        <v>14</v>
      </c>
      <c r="F178" s="27">
        <v>202102001</v>
      </c>
      <c r="G178" s="162" t="s">
        <v>157</v>
      </c>
      <c r="H178" s="162" t="s">
        <v>233</v>
      </c>
      <c r="I178" s="162" t="s">
        <v>454</v>
      </c>
      <c r="J178" s="162" t="s">
        <v>170</v>
      </c>
      <c r="K178" s="162" t="s">
        <v>4106</v>
      </c>
      <c r="L178" s="162" t="s">
        <v>14</v>
      </c>
      <c r="M178" s="162" t="s">
        <v>4107</v>
      </c>
      <c r="N178" s="118" t="str">
        <f>_xlfn.DISPIMG("ID_EDE9A315C64A4BE2AC2F986557EA53FC",1)</f>
        <v>=DISPIMG("ID_EDE9A315C64A4BE2AC2F986557EA53FC",1)</v>
      </c>
      <c r="O178" s="115" t="s">
        <v>4108</v>
      </c>
      <c r="P178" s="127">
        <v>525</v>
      </c>
      <c r="Q178" s="125" t="s">
        <v>4483</v>
      </c>
      <c r="R178" s="126" t="s">
        <v>45</v>
      </c>
      <c r="S178" s="124">
        <v>12</v>
      </c>
    </row>
    <row r="179" s="3" customFormat="1" ht="20" customHeight="1" spans="1:19">
      <c r="A179" s="166" t="s">
        <v>4177</v>
      </c>
      <c r="B179" s="166" t="s">
        <v>165</v>
      </c>
      <c r="C179" s="162" t="s">
        <v>4178</v>
      </c>
      <c r="D179" s="162" t="s">
        <v>156</v>
      </c>
      <c r="E179" s="162" t="s">
        <v>14</v>
      </c>
      <c r="F179" s="27">
        <v>202102001</v>
      </c>
      <c r="G179" s="162" t="s">
        <v>157</v>
      </c>
      <c r="H179" s="162" t="s">
        <v>2363</v>
      </c>
      <c r="I179" s="162" t="s">
        <v>454</v>
      </c>
      <c r="J179" s="162" t="s">
        <v>170</v>
      </c>
      <c r="K179" s="162" t="s">
        <v>455</v>
      </c>
      <c r="L179" s="162" t="s">
        <v>26</v>
      </c>
      <c r="M179" s="162" t="s">
        <v>4180</v>
      </c>
      <c r="N179" s="118" t="str">
        <f>_xlfn.DISPIMG("ID_E9338F1098B64D83A2AE0E9576D18B92",1)</f>
        <v>=DISPIMG("ID_E9338F1098B64D83A2AE0E9576D18B92",1)</v>
      </c>
      <c r="O179" s="115" t="s">
        <v>4181</v>
      </c>
      <c r="P179" s="127">
        <v>534</v>
      </c>
      <c r="Q179" s="125" t="s">
        <v>4484</v>
      </c>
      <c r="R179" s="126" t="s">
        <v>45</v>
      </c>
      <c r="S179" s="124">
        <v>13</v>
      </c>
    </row>
    <row r="180" s="3" customFormat="1" ht="20" customHeight="1" spans="1:19">
      <c r="A180" s="166" t="s">
        <v>4214</v>
      </c>
      <c r="B180" s="166" t="s">
        <v>165</v>
      </c>
      <c r="C180" s="162" t="s">
        <v>4215</v>
      </c>
      <c r="D180" s="162" t="s">
        <v>156</v>
      </c>
      <c r="E180" s="162" t="s">
        <v>14</v>
      </c>
      <c r="F180" s="27">
        <v>202102001</v>
      </c>
      <c r="G180" s="162" t="s">
        <v>157</v>
      </c>
      <c r="H180" s="162" t="s">
        <v>412</v>
      </c>
      <c r="I180" s="162" t="s">
        <v>4217</v>
      </c>
      <c r="J180" s="162" t="s">
        <v>160</v>
      </c>
      <c r="K180" s="162" t="s">
        <v>180</v>
      </c>
      <c r="L180" s="162" t="s">
        <v>26</v>
      </c>
      <c r="M180" s="162" t="s">
        <v>4218</v>
      </c>
      <c r="N180" s="118" t="str">
        <f>_xlfn.DISPIMG("ID_458825B7ED724C7B8EAA7308C4517BC8",1)</f>
        <v>=DISPIMG("ID_458825B7ED724C7B8EAA7308C4517BC8",1)</v>
      </c>
      <c r="O180" s="115" t="s">
        <v>4219</v>
      </c>
      <c r="P180" s="127">
        <v>539</v>
      </c>
      <c r="Q180" s="125" t="s">
        <v>4485</v>
      </c>
      <c r="R180" s="126" t="s">
        <v>45</v>
      </c>
      <c r="S180" s="124">
        <v>24</v>
      </c>
    </row>
    <row r="181" s="3" customFormat="1" ht="20" customHeight="1" spans="1:19">
      <c r="A181" s="166" t="s">
        <v>4308</v>
      </c>
      <c r="B181" s="166" t="s">
        <v>165</v>
      </c>
      <c r="C181" s="162" t="s">
        <v>4309</v>
      </c>
      <c r="D181" s="162" t="s">
        <v>156</v>
      </c>
      <c r="E181" s="162" t="s">
        <v>14</v>
      </c>
      <c r="F181" s="27">
        <v>202102001</v>
      </c>
      <c r="G181" s="162" t="s">
        <v>279</v>
      </c>
      <c r="H181" s="162" t="s">
        <v>1237</v>
      </c>
      <c r="I181" s="162" t="s">
        <v>348</v>
      </c>
      <c r="J181" s="162" t="s">
        <v>170</v>
      </c>
      <c r="K181" s="162" t="s">
        <v>180</v>
      </c>
      <c r="L181" s="162" t="s">
        <v>2395</v>
      </c>
      <c r="M181" s="162" t="s">
        <v>4310</v>
      </c>
      <c r="N181" s="118" t="str">
        <f>_xlfn.DISPIMG("ID_E6307ECF32B442B8A8FC80EADAF6E26D",1)</f>
        <v>=DISPIMG("ID_E6307ECF32B442B8A8FC80EADAF6E26D",1)</v>
      </c>
      <c r="O181" s="115" t="s">
        <v>4311</v>
      </c>
      <c r="P181" s="127">
        <v>552</v>
      </c>
      <c r="Q181" s="125" t="s">
        <v>4486</v>
      </c>
      <c r="R181" s="126" t="s">
        <v>45</v>
      </c>
      <c r="S181" s="124">
        <v>25</v>
      </c>
    </row>
    <row r="182" s="3" customFormat="1" ht="20" customHeight="1" spans="1:19">
      <c r="A182" s="166" t="s">
        <v>494</v>
      </c>
      <c r="B182" s="166" t="s">
        <v>165</v>
      </c>
      <c r="C182" s="162" t="s">
        <v>495</v>
      </c>
      <c r="D182" s="162" t="s">
        <v>156</v>
      </c>
      <c r="E182" s="162" t="s">
        <v>8</v>
      </c>
      <c r="F182" s="27">
        <v>202102002</v>
      </c>
      <c r="G182" s="162" t="s">
        <v>279</v>
      </c>
      <c r="H182" s="162" t="s">
        <v>158</v>
      </c>
      <c r="I182" s="162" t="s">
        <v>497</v>
      </c>
      <c r="J182" s="162" t="s">
        <v>170</v>
      </c>
      <c r="K182" s="162" t="s">
        <v>180</v>
      </c>
      <c r="L182" s="162" t="s">
        <v>498</v>
      </c>
      <c r="M182" s="162" t="s">
        <v>499</v>
      </c>
      <c r="N182" s="118" t="str">
        <f>_xlfn.DISPIMG("ID_83DE97F5DD9E4626804875394FE0FC9C",1)</f>
        <v>=DISPIMG("ID_83DE97F5DD9E4626804875394FE0FC9C",1)</v>
      </c>
      <c r="O182" s="115" t="s">
        <v>500</v>
      </c>
      <c r="P182" s="27">
        <v>41</v>
      </c>
      <c r="Q182" s="125" t="s">
        <v>4487</v>
      </c>
      <c r="R182" s="126" t="s">
        <v>46</v>
      </c>
      <c r="S182" s="124">
        <v>6</v>
      </c>
    </row>
    <row r="183" s="3" customFormat="1" ht="20" customHeight="1" spans="1:19">
      <c r="A183" s="166" t="s">
        <v>565</v>
      </c>
      <c r="B183" s="166" t="s">
        <v>165</v>
      </c>
      <c r="C183" s="162" t="s">
        <v>566</v>
      </c>
      <c r="D183" s="162" t="s">
        <v>156</v>
      </c>
      <c r="E183" s="162" t="s">
        <v>8</v>
      </c>
      <c r="F183" s="27">
        <v>202102002</v>
      </c>
      <c r="G183" s="162" t="s">
        <v>279</v>
      </c>
      <c r="H183" s="162" t="s">
        <v>178</v>
      </c>
      <c r="I183" s="162" t="s">
        <v>497</v>
      </c>
      <c r="J183" s="162" t="s">
        <v>170</v>
      </c>
      <c r="K183" s="162" t="s">
        <v>368</v>
      </c>
      <c r="L183" s="162" t="s">
        <v>568</v>
      </c>
      <c r="M183" s="162" t="s">
        <v>569</v>
      </c>
      <c r="N183" s="118" t="str">
        <f>_xlfn.DISPIMG("ID_937169E203CF4CFF91192737B547BFCD",1)</f>
        <v>=DISPIMG("ID_937169E203CF4CFF91192737B547BFCD",1)</v>
      </c>
      <c r="O183" s="115" t="s">
        <v>570</v>
      </c>
      <c r="P183" s="27">
        <v>49</v>
      </c>
      <c r="Q183" s="125" t="s">
        <v>4488</v>
      </c>
      <c r="R183" s="126" t="s">
        <v>46</v>
      </c>
      <c r="S183" s="124">
        <v>7</v>
      </c>
    </row>
    <row r="184" s="3" customFormat="1" ht="20" customHeight="1" spans="1:19">
      <c r="A184" s="166" t="s">
        <v>668</v>
      </c>
      <c r="B184" s="166" t="s">
        <v>165</v>
      </c>
      <c r="C184" s="162" t="s">
        <v>669</v>
      </c>
      <c r="D184" s="162" t="s">
        <v>156</v>
      </c>
      <c r="E184" s="162" t="s">
        <v>8</v>
      </c>
      <c r="F184" s="27">
        <v>202102002</v>
      </c>
      <c r="G184" s="162" t="s">
        <v>279</v>
      </c>
      <c r="H184" s="162" t="s">
        <v>671</v>
      </c>
      <c r="I184" s="162" t="s">
        <v>672</v>
      </c>
      <c r="J184" s="162" t="s">
        <v>160</v>
      </c>
      <c r="K184" s="162" t="s">
        <v>673</v>
      </c>
      <c r="L184" s="162" t="s">
        <v>674</v>
      </c>
      <c r="M184" s="162" t="s">
        <v>675</v>
      </c>
      <c r="N184" s="118" t="str">
        <f>_xlfn.DISPIMG("ID_350951056247403B99D5F5C96BCE4CA8",1)</f>
        <v>=DISPIMG("ID_350951056247403B99D5F5C96BCE4CA8",1)</v>
      </c>
      <c r="O184" s="115" t="s">
        <v>676</v>
      </c>
      <c r="P184" s="27">
        <v>62</v>
      </c>
      <c r="Q184" s="125" t="s">
        <v>4489</v>
      </c>
      <c r="R184" s="126" t="s">
        <v>46</v>
      </c>
      <c r="S184" s="124">
        <v>18</v>
      </c>
    </row>
    <row r="185" s="3" customFormat="1" ht="20" customHeight="1" spans="1:19">
      <c r="A185" s="166" t="s">
        <v>779</v>
      </c>
      <c r="B185" s="166" t="s">
        <v>165</v>
      </c>
      <c r="C185" s="162" t="s">
        <v>780</v>
      </c>
      <c r="D185" s="162" t="s">
        <v>506</v>
      </c>
      <c r="E185" s="162" t="s">
        <v>8</v>
      </c>
      <c r="F185" s="27">
        <v>202102015</v>
      </c>
      <c r="G185" s="162" t="s">
        <v>279</v>
      </c>
      <c r="H185" s="162" t="s">
        <v>662</v>
      </c>
      <c r="I185" s="162" t="s">
        <v>497</v>
      </c>
      <c r="J185" s="162" t="s">
        <v>170</v>
      </c>
      <c r="K185" s="162" t="s">
        <v>171</v>
      </c>
      <c r="L185" s="162" t="s">
        <v>568</v>
      </c>
      <c r="M185" s="162" t="s">
        <v>782</v>
      </c>
      <c r="N185" s="118" t="str">
        <f>_xlfn.DISPIMG("ID_F2E1FDE086E6423DAF30A93C1D5DA4A4",1)</f>
        <v>=DISPIMG("ID_F2E1FDE086E6423DAF30A93C1D5DA4A4",1)</v>
      </c>
      <c r="O185" s="115" t="s">
        <v>783</v>
      </c>
      <c r="P185" s="27">
        <v>75</v>
      </c>
      <c r="Q185" s="125" t="s">
        <v>4490</v>
      </c>
      <c r="R185" s="126" t="s">
        <v>46</v>
      </c>
      <c r="S185" s="124">
        <v>19</v>
      </c>
    </row>
    <row r="186" s="3" customFormat="1" ht="20" customHeight="1" spans="1:19">
      <c r="A186" s="166" t="s">
        <v>810</v>
      </c>
      <c r="B186" s="166" t="s">
        <v>165</v>
      </c>
      <c r="C186" s="162" t="s">
        <v>811</v>
      </c>
      <c r="D186" s="162" t="s">
        <v>156</v>
      </c>
      <c r="E186" s="162" t="s">
        <v>8</v>
      </c>
      <c r="F186" s="27">
        <v>202102002</v>
      </c>
      <c r="G186" s="162" t="s">
        <v>157</v>
      </c>
      <c r="H186" s="162" t="s">
        <v>158</v>
      </c>
      <c r="I186" s="162" t="s">
        <v>813</v>
      </c>
      <c r="J186" s="162" t="s">
        <v>160</v>
      </c>
      <c r="K186" s="162" t="s">
        <v>161</v>
      </c>
      <c r="L186" s="162" t="s">
        <v>8</v>
      </c>
      <c r="M186" s="27">
        <v>0</v>
      </c>
      <c r="N186" s="118" t="str">
        <f>_xlfn.DISPIMG("ID_5528F9D8BCB3449AB737B926D9AAB949",1)</f>
        <v>=DISPIMG("ID_5528F9D8BCB3449AB737B926D9AAB949",1)</v>
      </c>
      <c r="O186" s="115" t="s">
        <v>814</v>
      </c>
      <c r="P186" s="27">
        <v>79</v>
      </c>
      <c r="Q186" s="125" t="s">
        <v>4491</v>
      </c>
      <c r="R186" s="126" t="s">
        <v>46</v>
      </c>
      <c r="S186" s="124">
        <v>30</v>
      </c>
    </row>
    <row r="187" s="3" customFormat="1" ht="20" customHeight="1" spans="1:19">
      <c r="A187" s="166" t="s">
        <v>864</v>
      </c>
      <c r="B187" s="166" t="s">
        <v>165</v>
      </c>
      <c r="C187" s="162" t="s">
        <v>865</v>
      </c>
      <c r="D187" s="162" t="s">
        <v>156</v>
      </c>
      <c r="E187" s="162" t="s">
        <v>8</v>
      </c>
      <c r="F187" s="27">
        <v>202102002</v>
      </c>
      <c r="G187" s="162" t="s">
        <v>157</v>
      </c>
      <c r="H187" s="162" t="s">
        <v>867</v>
      </c>
      <c r="I187" s="162" t="s">
        <v>868</v>
      </c>
      <c r="J187" s="162" t="s">
        <v>160</v>
      </c>
      <c r="K187" s="162" t="s">
        <v>548</v>
      </c>
      <c r="L187" s="162" t="s">
        <v>8</v>
      </c>
      <c r="M187" s="162" t="s">
        <v>869</v>
      </c>
      <c r="N187" s="118" t="str">
        <f>_xlfn.DISPIMG("ID_019B47D80B6342B48EC2873E3CE82AE8",1)</f>
        <v>=DISPIMG("ID_019B47D80B6342B48EC2873E3CE82AE8",1)</v>
      </c>
      <c r="O187" s="115" t="s">
        <v>870</v>
      </c>
      <c r="P187" s="27">
        <v>86</v>
      </c>
      <c r="Q187" s="125" t="s">
        <v>4492</v>
      </c>
      <c r="R187" s="126" t="s">
        <v>46</v>
      </c>
      <c r="S187" s="124">
        <v>5</v>
      </c>
    </row>
    <row r="188" s="3" customFormat="1" ht="20" customHeight="1" spans="1:19">
      <c r="A188" s="166" t="s">
        <v>941</v>
      </c>
      <c r="B188" s="166" t="s">
        <v>165</v>
      </c>
      <c r="C188" s="162" t="s">
        <v>942</v>
      </c>
      <c r="D188" s="162" t="s">
        <v>156</v>
      </c>
      <c r="E188" s="162" t="s">
        <v>8</v>
      </c>
      <c r="F188" s="27">
        <v>202102002</v>
      </c>
      <c r="G188" s="162" t="s">
        <v>157</v>
      </c>
      <c r="H188" s="162" t="s">
        <v>269</v>
      </c>
      <c r="I188" s="162" t="s">
        <v>944</v>
      </c>
      <c r="J188" s="162" t="s">
        <v>170</v>
      </c>
      <c r="K188" s="162" t="s">
        <v>261</v>
      </c>
      <c r="L188" s="162" t="s">
        <v>945</v>
      </c>
      <c r="M188" s="27">
        <v>0</v>
      </c>
      <c r="N188" s="118" t="str">
        <f>_xlfn.DISPIMG("ID_BCCBED5385A54C5D88278A56BF2ABF99",1)</f>
        <v>=DISPIMG("ID_BCCBED5385A54C5D88278A56BF2ABF99",1)</v>
      </c>
      <c r="O188" s="115" t="s">
        <v>946</v>
      </c>
      <c r="P188" s="27">
        <v>95</v>
      </c>
      <c r="Q188" s="125" t="s">
        <v>4493</v>
      </c>
      <c r="R188" s="126" t="s">
        <v>46</v>
      </c>
      <c r="S188" s="124">
        <v>8</v>
      </c>
    </row>
    <row r="189" s="4" customFormat="1" ht="20" customHeight="1" spans="1:19">
      <c r="A189" s="166" t="s">
        <v>983</v>
      </c>
      <c r="B189" s="166" t="s">
        <v>165</v>
      </c>
      <c r="C189" s="164" t="s">
        <v>984</v>
      </c>
      <c r="D189" s="164" t="s">
        <v>156</v>
      </c>
      <c r="E189" s="164" t="s">
        <v>8</v>
      </c>
      <c r="F189" s="22">
        <v>202102002</v>
      </c>
      <c r="G189" s="164" t="s">
        <v>157</v>
      </c>
      <c r="H189" s="164" t="s">
        <v>986</v>
      </c>
      <c r="I189" s="164" t="s">
        <v>987</v>
      </c>
      <c r="J189" s="164" t="s">
        <v>160</v>
      </c>
      <c r="K189" s="164" t="s">
        <v>988</v>
      </c>
      <c r="L189" s="164" t="s">
        <v>989</v>
      </c>
      <c r="M189" s="164" t="s">
        <v>990</v>
      </c>
      <c r="N189" s="23" t="str">
        <f>_xlfn.DISPIMG("ID_21AE3772EA6B45FAA68CF356346534B7",1)</f>
        <v>=DISPIMG("ID_21AE3772EA6B45FAA68CF356346534B7",1)</v>
      </c>
      <c r="O189" s="103" t="s">
        <v>991</v>
      </c>
      <c r="P189" s="27">
        <v>100</v>
      </c>
      <c r="Q189" s="125" t="s">
        <v>4494</v>
      </c>
      <c r="R189" s="126" t="s">
        <v>46</v>
      </c>
      <c r="S189" s="124">
        <v>17</v>
      </c>
    </row>
    <row r="190" s="3" customFormat="1" ht="20" customHeight="1" spans="1:19">
      <c r="A190" s="166" t="s">
        <v>1002</v>
      </c>
      <c r="B190" s="166" t="s">
        <v>165</v>
      </c>
      <c r="C190" s="162" t="s">
        <v>1003</v>
      </c>
      <c r="D190" s="162" t="s">
        <v>156</v>
      </c>
      <c r="E190" s="162" t="s">
        <v>8</v>
      </c>
      <c r="F190" s="27">
        <v>202102002</v>
      </c>
      <c r="G190" s="162" t="s">
        <v>157</v>
      </c>
      <c r="H190" s="162" t="s">
        <v>233</v>
      </c>
      <c r="I190" s="162" t="s">
        <v>1005</v>
      </c>
      <c r="J190" s="162" t="s">
        <v>170</v>
      </c>
      <c r="K190" s="162" t="s">
        <v>180</v>
      </c>
      <c r="L190" s="162" t="s">
        <v>8</v>
      </c>
      <c r="M190" s="162" t="s">
        <v>1006</v>
      </c>
      <c r="N190" s="118" t="str">
        <f>_xlfn.DISPIMG("ID_AB18BB501DAF4CA0AB480E453554BF60",1)</f>
        <v>=DISPIMG("ID_AB18BB501DAF4CA0AB480E453554BF60",1)</v>
      </c>
      <c r="O190" s="115" t="s">
        <v>1007</v>
      </c>
      <c r="P190" s="27">
        <v>102</v>
      </c>
      <c r="Q190" s="125" t="s">
        <v>4495</v>
      </c>
      <c r="R190" s="126" t="s">
        <v>46</v>
      </c>
      <c r="S190" s="124">
        <v>20</v>
      </c>
    </row>
    <row r="191" s="5" customFormat="1" ht="20" customHeight="1" spans="1:19">
      <c r="A191" s="166" t="s">
        <v>1127</v>
      </c>
      <c r="B191" s="166" t="s">
        <v>153</v>
      </c>
      <c r="C191" s="165" t="s">
        <v>1128</v>
      </c>
      <c r="D191" s="165" t="s">
        <v>156</v>
      </c>
      <c r="E191" s="165" t="s">
        <v>8</v>
      </c>
      <c r="F191" s="116">
        <v>202102002</v>
      </c>
      <c r="G191" s="165" t="s">
        <v>157</v>
      </c>
      <c r="H191" s="165" t="s">
        <v>158</v>
      </c>
      <c r="I191" s="165" t="s">
        <v>270</v>
      </c>
      <c r="J191" s="165" t="s">
        <v>170</v>
      </c>
      <c r="K191" s="165" t="s">
        <v>548</v>
      </c>
      <c r="L191" s="165" t="s">
        <v>1130</v>
      </c>
      <c r="M191" s="165" t="s">
        <v>1131</v>
      </c>
      <c r="N191" s="119" t="str">
        <f>_xlfn.DISPIMG("ID_2ABFF7AF1BF04D95953E32E5250DE953",1)</f>
        <v>=DISPIMG("ID_2ABFF7AF1BF04D95953E32E5250DE953",1)</v>
      </c>
      <c r="O191" s="120" t="s">
        <v>1132</v>
      </c>
      <c r="P191" s="27">
        <v>118</v>
      </c>
      <c r="Q191" s="125" t="s">
        <v>4496</v>
      </c>
      <c r="R191" s="126" t="s">
        <v>46</v>
      </c>
      <c r="S191" s="124">
        <v>29</v>
      </c>
    </row>
    <row r="192" s="3" customFormat="1" ht="20" customHeight="1" spans="1:19">
      <c r="A192" s="166" t="s">
        <v>1200</v>
      </c>
      <c r="B192" s="166" t="s">
        <v>165</v>
      </c>
      <c r="C192" s="162" t="s">
        <v>1201</v>
      </c>
      <c r="D192" s="162" t="s">
        <v>156</v>
      </c>
      <c r="E192" s="162" t="s">
        <v>8</v>
      </c>
      <c r="F192" s="27">
        <v>202102002</v>
      </c>
      <c r="G192" s="162" t="s">
        <v>157</v>
      </c>
      <c r="H192" s="162" t="s">
        <v>1203</v>
      </c>
      <c r="I192" s="162" t="s">
        <v>1204</v>
      </c>
      <c r="J192" s="162" t="s">
        <v>160</v>
      </c>
      <c r="K192" s="162" t="s">
        <v>1089</v>
      </c>
      <c r="L192" s="162" t="s">
        <v>1205</v>
      </c>
      <c r="M192" s="162" t="s">
        <v>1206</v>
      </c>
      <c r="N192" s="118" t="str">
        <f>_xlfn.DISPIMG("ID_0C966700704E44E6A4C50F763206BC81",1)</f>
        <v>=DISPIMG("ID_0C966700704E44E6A4C50F763206BC81",1)</v>
      </c>
      <c r="O192" s="115" t="s">
        <v>1207</v>
      </c>
      <c r="P192" s="27">
        <v>127</v>
      </c>
      <c r="Q192" s="125" t="s">
        <v>4497</v>
      </c>
      <c r="R192" s="126" t="s">
        <v>46</v>
      </c>
      <c r="S192" s="124">
        <v>4</v>
      </c>
    </row>
    <row r="193" s="3" customFormat="1" ht="20" customHeight="1" spans="1:19">
      <c r="A193" s="166" t="s">
        <v>1262</v>
      </c>
      <c r="B193" s="166" t="s">
        <v>165</v>
      </c>
      <c r="C193" s="162" t="s">
        <v>1263</v>
      </c>
      <c r="D193" s="162" t="s">
        <v>156</v>
      </c>
      <c r="E193" s="162" t="s">
        <v>8</v>
      </c>
      <c r="F193" s="27">
        <v>202102002</v>
      </c>
      <c r="G193" s="162" t="s">
        <v>157</v>
      </c>
      <c r="H193" s="162" t="s">
        <v>1265</v>
      </c>
      <c r="I193" s="162" t="s">
        <v>813</v>
      </c>
      <c r="J193" s="162" t="s">
        <v>160</v>
      </c>
      <c r="K193" s="162" t="s">
        <v>199</v>
      </c>
      <c r="L193" s="162" t="s">
        <v>1266</v>
      </c>
      <c r="M193" s="27">
        <v>0</v>
      </c>
      <c r="N193" s="118" t="str">
        <f>_xlfn.DISPIMG("ID_5DC2209F39824089B70DAE46CB942DD1",1)</f>
        <v>=DISPIMG("ID_5DC2209F39824089B70DAE46CB942DD1",1)</v>
      </c>
      <c r="O193" s="115" t="s">
        <v>1267</v>
      </c>
      <c r="P193" s="27">
        <v>135</v>
      </c>
      <c r="Q193" s="125" t="s">
        <v>4498</v>
      </c>
      <c r="R193" s="126" t="s">
        <v>46</v>
      </c>
      <c r="S193" s="124">
        <v>9</v>
      </c>
    </row>
    <row r="194" s="3" customFormat="1" ht="20" customHeight="1" spans="1:19">
      <c r="A194" s="166" t="s">
        <v>1318</v>
      </c>
      <c r="B194" s="166" t="s">
        <v>165</v>
      </c>
      <c r="C194" s="162" t="s">
        <v>1319</v>
      </c>
      <c r="D194" s="162" t="s">
        <v>156</v>
      </c>
      <c r="E194" s="162" t="s">
        <v>8</v>
      </c>
      <c r="F194" s="27">
        <v>202102002</v>
      </c>
      <c r="G194" s="162" t="s">
        <v>157</v>
      </c>
      <c r="H194" s="162" t="s">
        <v>1258</v>
      </c>
      <c r="I194" s="162" t="s">
        <v>1321</v>
      </c>
      <c r="J194" s="162" t="s">
        <v>160</v>
      </c>
      <c r="K194" s="162" t="s">
        <v>516</v>
      </c>
      <c r="L194" s="162" t="s">
        <v>1322</v>
      </c>
      <c r="M194" s="162" t="s">
        <v>1323</v>
      </c>
      <c r="N194" s="118" t="str">
        <f>_xlfn.DISPIMG("ID_D86A3E1B243D4E47B731958FB3B82FC3",1)</f>
        <v>=DISPIMG("ID_D86A3E1B243D4E47B731958FB3B82FC3",1)</v>
      </c>
      <c r="O194" s="115" t="s">
        <v>1324</v>
      </c>
      <c r="P194" s="27">
        <v>143</v>
      </c>
      <c r="Q194" s="125" t="s">
        <v>4499</v>
      </c>
      <c r="R194" s="126" t="s">
        <v>46</v>
      </c>
      <c r="S194" s="124">
        <v>16</v>
      </c>
    </row>
    <row r="195" s="3" customFormat="1" ht="20" customHeight="1" spans="1:19">
      <c r="A195" s="166" t="s">
        <v>1471</v>
      </c>
      <c r="B195" s="166" t="s">
        <v>165</v>
      </c>
      <c r="C195" s="162" t="s">
        <v>1472</v>
      </c>
      <c r="D195" s="162" t="s">
        <v>156</v>
      </c>
      <c r="E195" s="162" t="s">
        <v>8</v>
      </c>
      <c r="F195" s="27">
        <v>202102002</v>
      </c>
      <c r="G195" s="162" t="s">
        <v>157</v>
      </c>
      <c r="H195" s="162" t="s">
        <v>269</v>
      </c>
      <c r="I195" s="162" t="s">
        <v>1204</v>
      </c>
      <c r="J195" s="162" t="s">
        <v>160</v>
      </c>
      <c r="K195" s="162" t="s">
        <v>171</v>
      </c>
      <c r="L195" s="162" t="s">
        <v>20</v>
      </c>
      <c r="M195" s="162" t="s">
        <v>1474</v>
      </c>
      <c r="N195" s="118" t="str">
        <f>_xlfn.DISPIMG("ID_282C99EDDFB743068B1F4514F99C7126",1)</f>
        <v>=DISPIMG("ID_282C99EDDFB743068B1F4514F99C7126",1)</v>
      </c>
      <c r="O195" s="115" t="s">
        <v>1475</v>
      </c>
      <c r="P195" s="27">
        <v>163</v>
      </c>
      <c r="Q195" s="125" t="s">
        <v>4500</v>
      </c>
      <c r="R195" s="126" t="s">
        <v>46</v>
      </c>
      <c r="S195" s="124">
        <v>21</v>
      </c>
    </row>
    <row r="196" s="3" customFormat="1" ht="20" customHeight="1" spans="1:19">
      <c r="A196" s="166" t="s">
        <v>1613</v>
      </c>
      <c r="B196" s="166" t="s">
        <v>165</v>
      </c>
      <c r="C196" s="162" t="s">
        <v>1614</v>
      </c>
      <c r="D196" s="162" t="s">
        <v>156</v>
      </c>
      <c r="E196" s="162" t="s">
        <v>8</v>
      </c>
      <c r="F196" s="27">
        <v>202102002</v>
      </c>
      <c r="G196" s="162" t="s">
        <v>157</v>
      </c>
      <c r="H196" s="162" t="s">
        <v>233</v>
      </c>
      <c r="I196" s="162" t="s">
        <v>1616</v>
      </c>
      <c r="J196" s="162" t="s">
        <v>170</v>
      </c>
      <c r="K196" s="162" t="s">
        <v>235</v>
      </c>
      <c r="L196" s="162" t="s">
        <v>1617</v>
      </c>
      <c r="M196" s="162" t="s">
        <v>1618</v>
      </c>
      <c r="N196" s="118" t="str">
        <f>_xlfn.DISPIMG("ID_2062AD8B56DF4C85BF68D2846493F2B2",1)</f>
        <v>=DISPIMG("ID_2062AD8B56DF4C85BF68D2846493F2B2",1)</v>
      </c>
      <c r="O196" s="115" t="s">
        <v>1619</v>
      </c>
      <c r="P196" s="27">
        <v>181</v>
      </c>
      <c r="Q196" s="125" t="s">
        <v>4501</v>
      </c>
      <c r="R196" s="126" t="s">
        <v>46</v>
      </c>
      <c r="S196" s="124">
        <v>28</v>
      </c>
    </row>
    <row r="197" s="3" customFormat="1" ht="20" customHeight="1" spans="1:19">
      <c r="A197" s="166" t="s">
        <v>1766</v>
      </c>
      <c r="B197" s="166" t="s">
        <v>165</v>
      </c>
      <c r="C197" s="162" t="s">
        <v>1767</v>
      </c>
      <c r="D197" s="162" t="s">
        <v>156</v>
      </c>
      <c r="E197" s="162" t="s">
        <v>8</v>
      </c>
      <c r="F197" s="27">
        <v>202102002</v>
      </c>
      <c r="G197" s="162" t="s">
        <v>157</v>
      </c>
      <c r="H197" s="162" t="s">
        <v>269</v>
      </c>
      <c r="I197" s="162" t="s">
        <v>813</v>
      </c>
      <c r="J197" s="162" t="s">
        <v>160</v>
      </c>
      <c r="K197" s="162" t="s">
        <v>180</v>
      </c>
      <c r="L197" s="162" t="s">
        <v>8</v>
      </c>
      <c r="M197" s="162" t="s">
        <v>1769</v>
      </c>
      <c r="N197" s="118" t="str">
        <f>_xlfn.DISPIMG("ID_DCEB7245249347F4A2C197E5AB7C6C11",1)</f>
        <v>=DISPIMG("ID_DCEB7245249347F4A2C197E5AB7C6C11",1)</v>
      </c>
      <c r="O197" s="115" t="s">
        <v>1770</v>
      </c>
      <c r="P197" s="27">
        <v>201</v>
      </c>
      <c r="Q197" s="125" t="s">
        <v>4502</v>
      </c>
      <c r="R197" s="126" t="s">
        <v>46</v>
      </c>
      <c r="S197" s="124">
        <v>3</v>
      </c>
    </row>
    <row r="198" s="3" customFormat="1" ht="20" customHeight="1" spans="1:19">
      <c r="A198" s="166" t="s">
        <v>1837</v>
      </c>
      <c r="B198" s="166" t="s">
        <v>165</v>
      </c>
      <c r="C198" s="162" t="s">
        <v>1838</v>
      </c>
      <c r="D198" s="162" t="s">
        <v>156</v>
      </c>
      <c r="E198" s="162" t="s">
        <v>8</v>
      </c>
      <c r="F198" s="27">
        <v>202102002</v>
      </c>
      <c r="G198" s="162" t="s">
        <v>157</v>
      </c>
      <c r="H198" s="162" t="s">
        <v>540</v>
      </c>
      <c r="I198" s="162" t="s">
        <v>1840</v>
      </c>
      <c r="J198" s="162" t="s">
        <v>160</v>
      </c>
      <c r="K198" s="162" t="s">
        <v>587</v>
      </c>
      <c r="L198" s="162" t="s">
        <v>1841</v>
      </c>
      <c r="M198" s="162" t="s">
        <v>1842</v>
      </c>
      <c r="N198" s="118" t="str">
        <f>_xlfn.DISPIMG("ID_0F8BA8686B8D4F92BF1EF6F4CB55E695",1)</f>
        <v>=DISPIMG("ID_0F8BA8686B8D4F92BF1EF6F4CB55E695",1)</v>
      </c>
      <c r="O198" s="115" t="s">
        <v>1843</v>
      </c>
      <c r="P198" s="27">
        <v>210</v>
      </c>
      <c r="Q198" s="125" t="s">
        <v>4503</v>
      </c>
      <c r="R198" s="126" t="s">
        <v>46</v>
      </c>
      <c r="S198" s="124">
        <v>10</v>
      </c>
    </row>
    <row r="199" s="3" customFormat="1" ht="20" customHeight="1" spans="1:19">
      <c r="A199" s="166" t="s">
        <v>1904</v>
      </c>
      <c r="B199" s="166" t="s">
        <v>165</v>
      </c>
      <c r="C199" s="162" t="s">
        <v>1905</v>
      </c>
      <c r="D199" s="162" t="s">
        <v>156</v>
      </c>
      <c r="E199" s="162" t="s">
        <v>8</v>
      </c>
      <c r="F199" s="27">
        <v>202102002</v>
      </c>
      <c r="G199" s="162" t="s">
        <v>157</v>
      </c>
      <c r="H199" s="162" t="s">
        <v>233</v>
      </c>
      <c r="I199" s="162" t="s">
        <v>454</v>
      </c>
      <c r="J199" s="162" t="s">
        <v>170</v>
      </c>
      <c r="K199" s="162" t="s">
        <v>1907</v>
      </c>
      <c r="L199" s="162" t="s">
        <v>8</v>
      </c>
      <c r="M199" s="162" t="s">
        <v>1908</v>
      </c>
      <c r="N199" s="118" t="str">
        <f>_xlfn.DISPIMG("ID_02D14B5C83BE4DBBBCAAA0B55D7FE392",1)</f>
        <v>=DISPIMG("ID_02D14B5C83BE4DBBBCAAA0B55D7FE392",1)</v>
      </c>
      <c r="O199" s="115" t="s">
        <v>1909</v>
      </c>
      <c r="P199" s="27">
        <v>219</v>
      </c>
      <c r="Q199" s="125" t="s">
        <v>4504</v>
      </c>
      <c r="R199" s="126" t="s">
        <v>46</v>
      </c>
      <c r="S199" s="124">
        <v>15</v>
      </c>
    </row>
    <row r="200" s="3" customFormat="1" ht="20" customHeight="1" spans="1:19">
      <c r="A200" s="166" t="s">
        <v>1977</v>
      </c>
      <c r="B200" s="166" t="s">
        <v>165</v>
      </c>
      <c r="C200" s="162" t="s">
        <v>1978</v>
      </c>
      <c r="D200" s="162" t="s">
        <v>156</v>
      </c>
      <c r="E200" s="162" t="s">
        <v>8</v>
      </c>
      <c r="F200" s="27">
        <v>202102002</v>
      </c>
      <c r="G200" s="162" t="s">
        <v>157</v>
      </c>
      <c r="H200" s="162" t="s">
        <v>827</v>
      </c>
      <c r="I200" s="162" t="s">
        <v>243</v>
      </c>
      <c r="J200" s="162" t="s">
        <v>160</v>
      </c>
      <c r="K200" s="162" t="s">
        <v>161</v>
      </c>
      <c r="L200" s="162" t="s">
        <v>8</v>
      </c>
      <c r="M200" s="162" t="s">
        <v>1979</v>
      </c>
      <c r="N200" s="118" t="str">
        <f>_xlfn.DISPIMG("ID_4F2775F35FF241D1A9320534AD0F9FD6",1)</f>
        <v>=DISPIMG("ID_4F2775F35FF241D1A9320534AD0F9FD6",1)</v>
      </c>
      <c r="O200" s="115" t="s">
        <v>1980</v>
      </c>
      <c r="P200" s="27">
        <v>229</v>
      </c>
      <c r="Q200" s="125" t="s">
        <v>4505</v>
      </c>
      <c r="R200" s="126" t="s">
        <v>46</v>
      </c>
      <c r="S200" s="124">
        <v>22</v>
      </c>
    </row>
    <row r="201" s="3" customFormat="1" ht="20" customHeight="1" spans="1:19">
      <c r="A201" s="166" t="s">
        <v>2076</v>
      </c>
      <c r="B201" s="166" t="s">
        <v>153</v>
      </c>
      <c r="C201" s="162" t="s">
        <v>2077</v>
      </c>
      <c r="D201" s="162" t="s">
        <v>156</v>
      </c>
      <c r="E201" s="162" t="s">
        <v>8</v>
      </c>
      <c r="F201" s="27">
        <v>202102002</v>
      </c>
      <c r="G201" s="162" t="s">
        <v>279</v>
      </c>
      <c r="H201" s="162" t="s">
        <v>507</v>
      </c>
      <c r="I201" s="162" t="s">
        <v>497</v>
      </c>
      <c r="J201" s="162" t="s">
        <v>170</v>
      </c>
      <c r="K201" s="162" t="s">
        <v>224</v>
      </c>
      <c r="L201" s="162" t="s">
        <v>989</v>
      </c>
      <c r="M201" s="162" t="s">
        <v>2079</v>
      </c>
      <c r="N201" s="118" t="str">
        <f>_xlfn.DISPIMG("ID_55D50712BDA742E9BE089E9AEF5CFD56",1)</f>
        <v>=DISPIMG("ID_55D50712BDA742E9BE089E9AEF5CFD56",1)</v>
      </c>
      <c r="O201" s="115" t="s">
        <v>2080</v>
      </c>
      <c r="P201" s="27">
        <v>242</v>
      </c>
      <c r="Q201" s="125" t="s">
        <v>4506</v>
      </c>
      <c r="R201" s="126" t="s">
        <v>46</v>
      </c>
      <c r="S201" s="124">
        <v>27</v>
      </c>
    </row>
    <row r="202" s="3" customFormat="1" ht="20" customHeight="1" spans="1:19">
      <c r="A202" s="166" t="s">
        <v>2126</v>
      </c>
      <c r="B202" s="166" t="s">
        <v>165</v>
      </c>
      <c r="C202" s="162" t="s">
        <v>2127</v>
      </c>
      <c r="D202" s="162" t="s">
        <v>156</v>
      </c>
      <c r="E202" s="162" t="s">
        <v>8</v>
      </c>
      <c r="F202" s="27">
        <v>202102002</v>
      </c>
      <c r="G202" s="162" t="s">
        <v>157</v>
      </c>
      <c r="H202" s="162" t="s">
        <v>789</v>
      </c>
      <c r="I202" s="162" t="s">
        <v>2129</v>
      </c>
      <c r="J202" s="162" t="s">
        <v>160</v>
      </c>
      <c r="K202" s="162" t="s">
        <v>252</v>
      </c>
      <c r="L202" s="162" t="s">
        <v>20</v>
      </c>
      <c r="M202" s="27">
        <v>0</v>
      </c>
      <c r="N202" s="118" t="str">
        <f>_xlfn.DISPIMG("ID_03579C230E4B4D1F94606FFA97C412A2",1)</f>
        <v>=DISPIMG("ID_03579C230E4B4D1F94606FFA97C412A2",1)</v>
      </c>
      <c r="O202" s="115" t="s">
        <v>2130</v>
      </c>
      <c r="P202" s="27">
        <v>249</v>
      </c>
      <c r="Q202" s="125" t="s">
        <v>4507</v>
      </c>
      <c r="R202" s="126" t="s">
        <v>46</v>
      </c>
      <c r="S202" s="124">
        <v>2</v>
      </c>
    </row>
    <row r="203" s="3" customFormat="1" ht="20" customHeight="1" spans="1:19">
      <c r="A203" s="166" t="s">
        <v>2133</v>
      </c>
      <c r="B203" s="166" t="s">
        <v>165</v>
      </c>
      <c r="C203" s="162" t="s">
        <v>2134</v>
      </c>
      <c r="D203" s="162" t="s">
        <v>156</v>
      </c>
      <c r="E203" s="162" t="s">
        <v>8</v>
      </c>
      <c r="F203" s="27">
        <v>202102002</v>
      </c>
      <c r="G203" s="162" t="s">
        <v>157</v>
      </c>
      <c r="H203" s="162" t="s">
        <v>876</v>
      </c>
      <c r="I203" s="162" t="s">
        <v>270</v>
      </c>
      <c r="J203" s="162" t="s">
        <v>170</v>
      </c>
      <c r="K203" s="162" t="s">
        <v>455</v>
      </c>
      <c r="L203" s="162" t="s">
        <v>20</v>
      </c>
      <c r="M203" s="162" t="s">
        <v>2136</v>
      </c>
      <c r="N203" s="118" t="str">
        <f>_xlfn.DISPIMG("ID_96FF4E1240E04D98ACBC33F8D3EE9C8F",1)</f>
        <v>=DISPIMG("ID_96FF4E1240E04D98ACBC33F8D3EE9C8F",1)</v>
      </c>
      <c r="O203" s="115" t="s">
        <v>2137</v>
      </c>
      <c r="P203" s="27">
        <v>250</v>
      </c>
      <c r="Q203" s="125" t="s">
        <v>4508</v>
      </c>
      <c r="R203" s="126" t="s">
        <v>46</v>
      </c>
      <c r="S203" s="124">
        <v>11</v>
      </c>
    </row>
    <row r="204" s="3" customFormat="1" ht="20" customHeight="1" spans="1:19">
      <c r="A204" s="166" t="s">
        <v>2194</v>
      </c>
      <c r="B204" s="166" t="s">
        <v>165</v>
      </c>
      <c r="C204" s="162" t="s">
        <v>2195</v>
      </c>
      <c r="D204" s="162" t="s">
        <v>156</v>
      </c>
      <c r="E204" s="162" t="s">
        <v>8</v>
      </c>
      <c r="F204" s="27">
        <v>202102002</v>
      </c>
      <c r="G204" s="162" t="s">
        <v>157</v>
      </c>
      <c r="H204" s="162" t="s">
        <v>2197</v>
      </c>
      <c r="I204" s="162" t="s">
        <v>2198</v>
      </c>
      <c r="J204" s="162" t="s">
        <v>160</v>
      </c>
      <c r="K204" s="162" t="s">
        <v>281</v>
      </c>
      <c r="L204" s="162" t="s">
        <v>8</v>
      </c>
      <c r="M204" s="162" t="s">
        <v>2199</v>
      </c>
      <c r="N204" s="118" t="str">
        <f>_xlfn.DISPIMG("ID_C169A98BEF614A41ADF43CA619535221",1)</f>
        <v>=DISPIMG("ID_C169A98BEF614A41ADF43CA619535221",1)</v>
      </c>
      <c r="O204" s="115" t="s">
        <v>2200</v>
      </c>
      <c r="P204" s="27">
        <v>258</v>
      </c>
      <c r="Q204" s="125" t="s">
        <v>4509</v>
      </c>
      <c r="R204" s="126" t="s">
        <v>46</v>
      </c>
      <c r="S204" s="124">
        <v>14</v>
      </c>
    </row>
    <row r="205" s="3" customFormat="1" ht="20" customHeight="1" spans="1:19">
      <c r="A205" s="166" t="s">
        <v>2309</v>
      </c>
      <c r="B205" s="166" t="s">
        <v>165</v>
      </c>
      <c r="C205" s="162" t="s">
        <v>2310</v>
      </c>
      <c r="D205" s="162" t="s">
        <v>156</v>
      </c>
      <c r="E205" s="162" t="s">
        <v>8</v>
      </c>
      <c r="F205" s="27">
        <v>202102002</v>
      </c>
      <c r="G205" s="162" t="s">
        <v>279</v>
      </c>
      <c r="H205" s="162" t="s">
        <v>1424</v>
      </c>
      <c r="I205" s="162" t="s">
        <v>497</v>
      </c>
      <c r="J205" s="162" t="s">
        <v>170</v>
      </c>
      <c r="K205" s="162" t="s">
        <v>180</v>
      </c>
      <c r="L205" s="162" t="s">
        <v>8</v>
      </c>
      <c r="M205" s="162" t="s">
        <v>2312</v>
      </c>
      <c r="N205" s="118" t="str">
        <f>_xlfn.DISPIMG("ID_987FF0FA37F44BD9A4B0BCCB3CF13E1D",1)</f>
        <v>=DISPIMG("ID_987FF0FA37F44BD9A4B0BCCB3CF13E1D",1)</v>
      </c>
      <c r="O205" s="115" t="s">
        <v>2313</v>
      </c>
      <c r="P205" s="27">
        <v>273</v>
      </c>
      <c r="Q205" s="125" t="s">
        <v>4510</v>
      </c>
      <c r="R205" s="126" t="s">
        <v>46</v>
      </c>
      <c r="S205" s="124">
        <v>23</v>
      </c>
    </row>
    <row r="206" s="3" customFormat="1" ht="20" customHeight="1" spans="1:19">
      <c r="A206" s="166" t="s">
        <v>2337</v>
      </c>
      <c r="B206" s="166" t="s">
        <v>165</v>
      </c>
      <c r="C206" s="162" t="s">
        <v>2338</v>
      </c>
      <c r="D206" s="162" t="s">
        <v>156</v>
      </c>
      <c r="E206" s="162" t="s">
        <v>8</v>
      </c>
      <c r="F206" s="27">
        <v>202102002</v>
      </c>
      <c r="G206" s="162" t="s">
        <v>157</v>
      </c>
      <c r="H206" s="162" t="s">
        <v>2340</v>
      </c>
      <c r="I206" s="162" t="s">
        <v>270</v>
      </c>
      <c r="J206" s="162" t="s">
        <v>170</v>
      </c>
      <c r="K206" s="162" t="s">
        <v>548</v>
      </c>
      <c r="L206" s="162" t="s">
        <v>1322</v>
      </c>
      <c r="M206" s="162" t="s">
        <v>2341</v>
      </c>
      <c r="N206" s="118" t="str">
        <f>_xlfn.DISPIMG("ID_590DFB2A64AB463E915AA57C80368398",1)</f>
        <v>=DISPIMG("ID_590DFB2A64AB463E915AA57C80368398",1)</v>
      </c>
      <c r="O206" s="115" t="s">
        <v>2342</v>
      </c>
      <c r="P206" s="27">
        <v>277</v>
      </c>
      <c r="Q206" s="125" t="s">
        <v>4511</v>
      </c>
      <c r="R206" s="126" t="s">
        <v>46</v>
      </c>
      <c r="S206" s="124">
        <v>26</v>
      </c>
    </row>
    <row r="207" s="3" customFormat="1" ht="20" customHeight="1" spans="1:19">
      <c r="A207" s="166" t="s">
        <v>2345</v>
      </c>
      <c r="B207" s="166" t="s">
        <v>153</v>
      </c>
      <c r="C207" s="162" t="s">
        <v>2346</v>
      </c>
      <c r="D207" s="162" t="s">
        <v>156</v>
      </c>
      <c r="E207" s="162" t="s">
        <v>8</v>
      </c>
      <c r="F207" s="27">
        <v>202102002</v>
      </c>
      <c r="G207" s="162" t="s">
        <v>279</v>
      </c>
      <c r="H207" s="162" t="s">
        <v>2348</v>
      </c>
      <c r="I207" s="162" t="s">
        <v>1950</v>
      </c>
      <c r="J207" s="162" t="s">
        <v>170</v>
      </c>
      <c r="K207" s="162" t="s">
        <v>2047</v>
      </c>
      <c r="L207" s="162" t="s">
        <v>2349</v>
      </c>
      <c r="M207" s="162" t="s">
        <v>2350</v>
      </c>
      <c r="N207" s="118" t="str">
        <f>_xlfn.DISPIMG("ID_5E2BE4A32E0C443299D86A217DB8E55F",1)</f>
        <v>=DISPIMG("ID_5E2BE4A32E0C443299D86A217DB8E55F",1)</v>
      </c>
      <c r="O207" s="115" t="s">
        <v>2351</v>
      </c>
      <c r="P207" s="27">
        <v>278</v>
      </c>
      <c r="Q207" s="125" t="s">
        <v>4512</v>
      </c>
      <c r="R207" s="126" t="s">
        <v>46</v>
      </c>
      <c r="S207" s="124">
        <v>1</v>
      </c>
    </row>
    <row r="208" s="3" customFormat="1" ht="20" customHeight="1" spans="1:19">
      <c r="A208" s="166" t="s">
        <v>2376</v>
      </c>
      <c r="B208" s="166" t="s">
        <v>165</v>
      </c>
      <c r="C208" s="162" t="s">
        <v>2377</v>
      </c>
      <c r="D208" s="162" t="s">
        <v>156</v>
      </c>
      <c r="E208" s="162" t="s">
        <v>8</v>
      </c>
      <c r="F208" s="27">
        <v>202102002</v>
      </c>
      <c r="G208" s="162" t="s">
        <v>157</v>
      </c>
      <c r="H208" s="162" t="s">
        <v>603</v>
      </c>
      <c r="I208" s="162" t="s">
        <v>2379</v>
      </c>
      <c r="J208" s="162" t="s">
        <v>160</v>
      </c>
      <c r="K208" s="162" t="s">
        <v>180</v>
      </c>
      <c r="L208" s="162" t="s">
        <v>8</v>
      </c>
      <c r="M208" s="162" t="s">
        <v>2380</v>
      </c>
      <c r="N208" s="118" t="str">
        <f>_xlfn.DISPIMG("ID_9499CE74334F4664AC42AD98401CDCF8",1)</f>
        <v>=DISPIMG("ID_9499CE74334F4664AC42AD98401CDCF8",1)</v>
      </c>
      <c r="O208" s="115" t="s">
        <v>2381</v>
      </c>
      <c r="P208" s="27">
        <v>282</v>
      </c>
      <c r="Q208" s="125" t="s">
        <v>4513</v>
      </c>
      <c r="R208" s="126" t="s">
        <v>46</v>
      </c>
      <c r="S208" s="124">
        <v>12</v>
      </c>
    </row>
    <row r="209" s="3" customFormat="1" ht="20" customHeight="1" spans="1:19">
      <c r="A209" s="166" t="s">
        <v>2391</v>
      </c>
      <c r="B209" s="166" t="s">
        <v>165</v>
      </c>
      <c r="C209" s="162" t="s">
        <v>2392</v>
      </c>
      <c r="D209" s="162" t="s">
        <v>156</v>
      </c>
      <c r="E209" s="162" t="s">
        <v>8</v>
      </c>
      <c r="F209" s="27">
        <v>202102002</v>
      </c>
      <c r="G209" s="162" t="s">
        <v>157</v>
      </c>
      <c r="H209" s="162" t="s">
        <v>385</v>
      </c>
      <c r="I209" s="162" t="s">
        <v>2394</v>
      </c>
      <c r="J209" s="162" t="s">
        <v>160</v>
      </c>
      <c r="K209" s="162" t="s">
        <v>306</v>
      </c>
      <c r="L209" s="162" t="s">
        <v>2395</v>
      </c>
      <c r="M209" s="162" t="s">
        <v>2396</v>
      </c>
      <c r="N209" s="118" t="str">
        <f>_xlfn.DISPIMG("ID_E59FBD148CC0458789196A3F7371E3AC",1)</f>
        <v>=DISPIMG("ID_E59FBD148CC0458789196A3F7371E3AC",1)</v>
      </c>
      <c r="O209" s="115" t="s">
        <v>2397</v>
      </c>
      <c r="P209" s="27">
        <v>284</v>
      </c>
      <c r="Q209" s="125" t="s">
        <v>4514</v>
      </c>
      <c r="R209" s="126" t="s">
        <v>46</v>
      </c>
      <c r="S209" s="124">
        <v>13</v>
      </c>
    </row>
    <row r="210" s="3" customFormat="1" ht="20" customHeight="1" spans="1:19">
      <c r="A210" s="166" t="s">
        <v>2437</v>
      </c>
      <c r="B210" s="166" t="s">
        <v>165</v>
      </c>
      <c r="C210" s="162" t="s">
        <v>2438</v>
      </c>
      <c r="D210" s="162" t="s">
        <v>156</v>
      </c>
      <c r="E210" s="162" t="s">
        <v>8</v>
      </c>
      <c r="F210" s="27">
        <v>202102002</v>
      </c>
      <c r="G210" s="162" t="s">
        <v>705</v>
      </c>
      <c r="H210" s="162" t="s">
        <v>2440</v>
      </c>
      <c r="I210" s="162" t="s">
        <v>2441</v>
      </c>
      <c r="J210" s="162" t="s">
        <v>160</v>
      </c>
      <c r="K210" s="162" t="s">
        <v>189</v>
      </c>
      <c r="L210" s="162" t="s">
        <v>8</v>
      </c>
      <c r="M210" s="27">
        <v>0</v>
      </c>
      <c r="N210" s="118" t="str">
        <f>_xlfn.DISPIMG("ID_840140DEA4BE4280A385428CC67C44E3",1)</f>
        <v>=DISPIMG("ID_840140DEA4BE4280A385428CC67C44E3",1)</v>
      </c>
      <c r="O210" s="115" t="s">
        <v>2442</v>
      </c>
      <c r="P210" s="27">
        <v>290</v>
      </c>
      <c r="Q210" s="125" t="s">
        <v>4515</v>
      </c>
      <c r="R210" s="126" t="s">
        <v>46</v>
      </c>
      <c r="S210" s="124">
        <v>24</v>
      </c>
    </row>
    <row r="211" s="3" customFormat="1" ht="20" customHeight="1" spans="1:19">
      <c r="A211" s="166" t="s">
        <v>2473</v>
      </c>
      <c r="B211" s="166" t="s">
        <v>153</v>
      </c>
      <c r="C211" s="162" t="s">
        <v>2474</v>
      </c>
      <c r="D211" s="162" t="s">
        <v>156</v>
      </c>
      <c r="E211" s="162" t="s">
        <v>8</v>
      </c>
      <c r="F211" s="27">
        <v>202102002</v>
      </c>
      <c r="G211" s="162" t="s">
        <v>157</v>
      </c>
      <c r="H211" s="162" t="s">
        <v>935</v>
      </c>
      <c r="I211" s="162" t="s">
        <v>270</v>
      </c>
      <c r="J211" s="162" t="s">
        <v>170</v>
      </c>
      <c r="K211" s="162" t="s">
        <v>281</v>
      </c>
      <c r="L211" s="162" t="s">
        <v>1322</v>
      </c>
      <c r="M211" s="162" t="s">
        <v>2476</v>
      </c>
      <c r="N211" s="118" t="str">
        <f>_xlfn.DISPIMG("ID_DDCFE953EBFD4779B7FAA3122A1B85C5",1)</f>
        <v>=DISPIMG("ID_DDCFE953EBFD4779B7FAA3122A1B85C5",1)</v>
      </c>
      <c r="O211" s="115" t="s">
        <v>2477</v>
      </c>
      <c r="P211" s="27">
        <v>295</v>
      </c>
      <c r="Q211" s="125" t="s">
        <v>4516</v>
      </c>
      <c r="R211" s="126" t="s">
        <v>46</v>
      </c>
      <c r="S211" s="124">
        <v>25</v>
      </c>
    </row>
    <row r="212" s="3" customFormat="1" ht="20" customHeight="1" spans="1:19">
      <c r="A212" s="166" t="s">
        <v>2480</v>
      </c>
      <c r="B212" s="166" t="s">
        <v>165</v>
      </c>
      <c r="C212" s="162" t="s">
        <v>2481</v>
      </c>
      <c r="D212" s="162" t="s">
        <v>156</v>
      </c>
      <c r="E212" s="162" t="s">
        <v>8</v>
      </c>
      <c r="F212" s="27">
        <v>202102002</v>
      </c>
      <c r="G212" s="162" t="s">
        <v>157</v>
      </c>
      <c r="H212" s="162" t="s">
        <v>2483</v>
      </c>
      <c r="I212" s="162" t="s">
        <v>2379</v>
      </c>
      <c r="J212" s="162" t="s">
        <v>160</v>
      </c>
      <c r="K212" s="162" t="s">
        <v>199</v>
      </c>
      <c r="L212" s="162" t="s">
        <v>8</v>
      </c>
      <c r="M212" s="162" t="s">
        <v>2484</v>
      </c>
      <c r="N212" s="118" t="str">
        <f>_xlfn.DISPIMG("ID_6EB4CC10A54B4F2AAD1518F1F500F570",1)</f>
        <v>=DISPIMG("ID_6EB4CC10A54B4F2AAD1518F1F500F570",1)</v>
      </c>
      <c r="O212" s="115" t="s">
        <v>2485</v>
      </c>
      <c r="P212" s="27">
        <v>296</v>
      </c>
      <c r="Q212" s="125" t="s">
        <v>4517</v>
      </c>
      <c r="R212" s="126" t="s">
        <v>48</v>
      </c>
      <c r="S212" s="124">
        <v>6</v>
      </c>
    </row>
    <row r="213" s="3" customFormat="1" ht="20" customHeight="1" spans="1:19">
      <c r="A213" s="166" t="s">
        <v>2556</v>
      </c>
      <c r="B213" s="166" t="s">
        <v>165</v>
      </c>
      <c r="C213" s="162" t="s">
        <v>2557</v>
      </c>
      <c r="D213" s="162" t="s">
        <v>156</v>
      </c>
      <c r="E213" s="162" t="s">
        <v>8</v>
      </c>
      <c r="F213" s="27">
        <v>202102002</v>
      </c>
      <c r="G213" s="162" t="s">
        <v>157</v>
      </c>
      <c r="H213" s="162" t="s">
        <v>1413</v>
      </c>
      <c r="I213" s="162" t="s">
        <v>169</v>
      </c>
      <c r="J213" s="162" t="s">
        <v>170</v>
      </c>
      <c r="K213" s="162" t="s">
        <v>235</v>
      </c>
      <c r="L213" s="162" t="s">
        <v>8</v>
      </c>
      <c r="M213" s="27">
        <v>0</v>
      </c>
      <c r="N213" s="118" t="str">
        <f>_xlfn.DISPIMG("ID_BF27FE8641A74810A1152D199B9359D9",1)</f>
        <v>=DISPIMG("ID_BF27FE8641A74810A1152D199B9359D9",1)</v>
      </c>
      <c r="O213" s="115" t="s">
        <v>2559</v>
      </c>
      <c r="P213" s="27">
        <v>306</v>
      </c>
      <c r="Q213" s="125" t="s">
        <v>4518</v>
      </c>
      <c r="R213" s="126" t="s">
        <v>48</v>
      </c>
      <c r="S213" s="124">
        <v>7</v>
      </c>
    </row>
    <row r="214" s="3" customFormat="1" ht="20" customHeight="1" spans="1:19">
      <c r="A214" s="166" t="s">
        <v>2839</v>
      </c>
      <c r="B214" s="166" t="s">
        <v>165</v>
      </c>
      <c r="C214" s="162" t="s">
        <v>2840</v>
      </c>
      <c r="D214" s="162" t="s">
        <v>156</v>
      </c>
      <c r="E214" s="162" t="s">
        <v>8</v>
      </c>
      <c r="F214" s="27">
        <v>202102002</v>
      </c>
      <c r="G214" s="162" t="s">
        <v>157</v>
      </c>
      <c r="H214" s="162" t="s">
        <v>827</v>
      </c>
      <c r="I214" s="162" t="s">
        <v>270</v>
      </c>
      <c r="J214" s="162" t="s">
        <v>170</v>
      </c>
      <c r="K214" s="162" t="s">
        <v>587</v>
      </c>
      <c r="L214" s="162" t="s">
        <v>2842</v>
      </c>
      <c r="M214" s="162" t="s">
        <v>2843</v>
      </c>
      <c r="N214" s="118" t="str">
        <f>_xlfn.DISPIMG("ID_D0E61411E52441859AFE69B7874CA20C",1)</f>
        <v>=DISPIMG("ID_D0E61411E52441859AFE69B7874CA20C",1)</v>
      </c>
      <c r="O214" s="115" t="s">
        <v>2844</v>
      </c>
      <c r="P214" s="27">
        <v>345</v>
      </c>
      <c r="Q214" s="125" t="s">
        <v>4519</v>
      </c>
      <c r="R214" s="126" t="s">
        <v>48</v>
      </c>
      <c r="S214" s="124">
        <v>18</v>
      </c>
    </row>
    <row r="215" s="3" customFormat="1" ht="20" customHeight="1" spans="1:19">
      <c r="A215" s="166" t="s">
        <v>2847</v>
      </c>
      <c r="B215" s="166" t="s">
        <v>165</v>
      </c>
      <c r="C215" s="162" t="s">
        <v>2848</v>
      </c>
      <c r="D215" s="162" t="s">
        <v>156</v>
      </c>
      <c r="E215" s="162" t="s">
        <v>8</v>
      </c>
      <c r="F215" s="27">
        <v>202102002</v>
      </c>
      <c r="G215" s="162" t="s">
        <v>157</v>
      </c>
      <c r="H215" s="162" t="s">
        <v>1654</v>
      </c>
      <c r="I215" s="162" t="s">
        <v>813</v>
      </c>
      <c r="J215" s="162" t="s">
        <v>160</v>
      </c>
      <c r="K215" s="162" t="s">
        <v>516</v>
      </c>
      <c r="L215" s="162" t="s">
        <v>8</v>
      </c>
      <c r="M215" s="162" t="s">
        <v>2850</v>
      </c>
      <c r="N215" s="118" t="str">
        <f>_xlfn.DISPIMG("ID_B4574457B7EA4998BCE46939492C25E1",1)</f>
        <v>=DISPIMG("ID_B4574457B7EA4998BCE46939492C25E1",1)</v>
      </c>
      <c r="O215" s="115" t="s">
        <v>2851</v>
      </c>
      <c r="P215" s="27">
        <v>346</v>
      </c>
      <c r="Q215" s="125" t="s">
        <v>4520</v>
      </c>
      <c r="R215" s="126" t="s">
        <v>48</v>
      </c>
      <c r="S215" s="124">
        <v>19</v>
      </c>
    </row>
    <row r="216" s="3" customFormat="1" ht="20" customHeight="1" spans="1:19">
      <c r="A216" s="166" t="s">
        <v>425</v>
      </c>
      <c r="B216" s="166" t="s">
        <v>165</v>
      </c>
      <c r="C216" s="162" t="s">
        <v>426</v>
      </c>
      <c r="D216" s="162" t="s">
        <v>297</v>
      </c>
      <c r="E216" s="162" t="s">
        <v>29</v>
      </c>
      <c r="F216" s="27">
        <v>202101008</v>
      </c>
      <c r="G216" s="162" t="s">
        <v>157</v>
      </c>
      <c r="H216" s="162" t="s">
        <v>428</v>
      </c>
      <c r="I216" s="162" t="s">
        <v>429</v>
      </c>
      <c r="J216" s="162" t="s">
        <v>160</v>
      </c>
      <c r="K216" s="162" t="s">
        <v>235</v>
      </c>
      <c r="L216" s="162" t="s">
        <v>430</v>
      </c>
      <c r="M216" s="27">
        <v>0</v>
      </c>
      <c r="N216" s="118" t="str">
        <f>_xlfn.DISPIMG("ID_9C21E529A1D946A49AECBF1B4E991CC9",1)</f>
        <v>=DISPIMG("ID_9C21E529A1D946A49AECBF1B4E991CC9",1)</v>
      </c>
      <c r="O216" s="115" t="s">
        <v>431</v>
      </c>
      <c r="P216" s="27">
        <v>32</v>
      </c>
      <c r="Q216" s="125" t="s">
        <v>4521</v>
      </c>
      <c r="R216" s="126" t="s">
        <v>48</v>
      </c>
      <c r="S216" s="124">
        <v>30</v>
      </c>
    </row>
    <row r="217" s="3" customFormat="1" ht="20" customHeight="1" spans="1:19">
      <c r="A217" s="166" t="s">
        <v>2180</v>
      </c>
      <c r="B217" s="166" t="s">
        <v>153</v>
      </c>
      <c r="C217" s="162" t="s">
        <v>2181</v>
      </c>
      <c r="D217" s="162" t="s">
        <v>506</v>
      </c>
      <c r="E217" s="162" t="s">
        <v>8</v>
      </c>
      <c r="F217" s="27">
        <v>202102015</v>
      </c>
      <c r="G217" s="162" t="s">
        <v>279</v>
      </c>
      <c r="H217" s="162" t="s">
        <v>158</v>
      </c>
      <c r="I217" s="162" t="s">
        <v>497</v>
      </c>
      <c r="J217" s="162" t="s">
        <v>170</v>
      </c>
      <c r="K217" s="162" t="s">
        <v>919</v>
      </c>
      <c r="L217" s="162" t="s">
        <v>2183</v>
      </c>
      <c r="M217" s="162" t="s">
        <v>2184</v>
      </c>
      <c r="N217" s="118" t="str">
        <f>_xlfn.DISPIMG("ID_59BF2512FDA845A780519BF3EE363C98",1)</f>
        <v>=DISPIMG("ID_59BF2512FDA845A780519BF3EE363C98",1)</v>
      </c>
      <c r="O217" s="115" t="s">
        <v>2185</v>
      </c>
      <c r="P217" s="27">
        <v>358</v>
      </c>
      <c r="Q217" s="125" t="s">
        <v>4522</v>
      </c>
      <c r="R217" s="126" t="s">
        <v>48</v>
      </c>
      <c r="S217" s="124">
        <v>5</v>
      </c>
    </row>
    <row r="218" s="3" customFormat="1" ht="20" customHeight="1" spans="1:19">
      <c r="A218" s="166" t="s">
        <v>2947</v>
      </c>
      <c r="B218" s="166" t="s">
        <v>165</v>
      </c>
      <c r="C218" s="162" t="s">
        <v>2948</v>
      </c>
      <c r="D218" s="162" t="s">
        <v>156</v>
      </c>
      <c r="E218" s="162" t="s">
        <v>8</v>
      </c>
      <c r="F218" s="27">
        <v>202102002</v>
      </c>
      <c r="G218" s="162" t="s">
        <v>157</v>
      </c>
      <c r="H218" s="162" t="s">
        <v>611</v>
      </c>
      <c r="I218" s="162" t="s">
        <v>1832</v>
      </c>
      <c r="J218" s="162" t="s">
        <v>160</v>
      </c>
      <c r="K218" s="162" t="s">
        <v>306</v>
      </c>
      <c r="L218" s="162" t="s">
        <v>2950</v>
      </c>
      <c r="M218" s="162" t="s">
        <v>2951</v>
      </c>
      <c r="N218" s="118" t="str">
        <f>_xlfn.DISPIMG("ID_53C3410979BA49538F1410917AAC183C",1)</f>
        <v>=DISPIMG("ID_53C3410979BA49538F1410917AAC183C",1)</v>
      </c>
      <c r="O218" s="115" t="s">
        <v>2952</v>
      </c>
      <c r="P218" s="27">
        <v>362</v>
      </c>
      <c r="Q218" s="125" t="s">
        <v>4523</v>
      </c>
      <c r="R218" s="126" t="s">
        <v>48</v>
      </c>
      <c r="S218" s="124">
        <v>8</v>
      </c>
    </row>
    <row r="219" s="3" customFormat="1" ht="20" customHeight="1" spans="1:19">
      <c r="A219" s="166" t="s">
        <v>2983</v>
      </c>
      <c r="B219" s="166" t="s">
        <v>165</v>
      </c>
      <c r="C219" s="162" t="s">
        <v>2984</v>
      </c>
      <c r="D219" s="162" t="s">
        <v>156</v>
      </c>
      <c r="E219" s="162" t="s">
        <v>8</v>
      </c>
      <c r="F219" s="27">
        <v>202102002</v>
      </c>
      <c r="G219" s="162" t="s">
        <v>157</v>
      </c>
      <c r="H219" s="162" t="s">
        <v>187</v>
      </c>
      <c r="I219" s="162" t="s">
        <v>2986</v>
      </c>
      <c r="J219" s="162" t="s">
        <v>160</v>
      </c>
      <c r="K219" s="162" t="s">
        <v>516</v>
      </c>
      <c r="L219" s="162" t="s">
        <v>20</v>
      </c>
      <c r="M219" s="162" t="s">
        <v>2987</v>
      </c>
      <c r="N219" s="118" t="str">
        <f>_xlfn.DISPIMG("ID_60E91D8703D740D9A8AE531BE158A22D",1)</f>
        <v>=DISPIMG("ID_60E91D8703D740D9A8AE531BE158A22D",1)</v>
      </c>
      <c r="O219" s="115" t="s">
        <v>2988</v>
      </c>
      <c r="P219" s="27">
        <v>367</v>
      </c>
      <c r="Q219" s="125" t="s">
        <v>4524</v>
      </c>
      <c r="R219" s="126" t="s">
        <v>48</v>
      </c>
      <c r="S219" s="124">
        <v>17</v>
      </c>
    </row>
    <row r="220" s="3" customFormat="1" ht="20" customHeight="1" spans="1:19">
      <c r="A220" s="166" t="s">
        <v>2996</v>
      </c>
      <c r="B220" s="166" t="s">
        <v>165</v>
      </c>
      <c r="C220" s="162" t="s">
        <v>2997</v>
      </c>
      <c r="D220" s="162" t="s">
        <v>156</v>
      </c>
      <c r="E220" s="162" t="s">
        <v>8</v>
      </c>
      <c r="F220" s="27">
        <v>202102002</v>
      </c>
      <c r="G220" s="162" t="s">
        <v>157</v>
      </c>
      <c r="H220" s="162" t="s">
        <v>437</v>
      </c>
      <c r="I220" s="162" t="s">
        <v>1481</v>
      </c>
      <c r="J220" s="162" t="s">
        <v>160</v>
      </c>
      <c r="K220" s="162" t="s">
        <v>281</v>
      </c>
      <c r="L220" s="162" t="s">
        <v>8</v>
      </c>
      <c r="M220" s="27">
        <v>0</v>
      </c>
      <c r="N220" s="118" t="str">
        <f>_xlfn.DISPIMG("ID_A119020A43A6495588BAFB55CB082F01",1)</f>
        <v>=DISPIMG("ID_A119020A43A6495588BAFB55CB082F01",1)</v>
      </c>
      <c r="O220" s="115" t="s">
        <v>2999</v>
      </c>
      <c r="P220" s="27">
        <v>369</v>
      </c>
      <c r="Q220" s="125" t="s">
        <v>4525</v>
      </c>
      <c r="R220" s="126" t="s">
        <v>48</v>
      </c>
      <c r="S220" s="124">
        <v>20</v>
      </c>
    </row>
    <row r="221" s="3" customFormat="1" ht="20" customHeight="1" spans="1:19">
      <c r="A221" s="166" t="s">
        <v>4089</v>
      </c>
      <c r="B221" s="166" t="s">
        <v>165</v>
      </c>
      <c r="C221" s="162" t="s">
        <v>4090</v>
      </c>
      <c r="D221" s="162" t="s">
        <v>156</v>
      </c>
      <c r="E221" s="162" t="s">
        <v>8</v>
      </c>
      <c r="F221" s="27">
        <v>202102002</v>
      </c>
      <c r="G221" s="162" t="s">
        <v>157</v>
      </c>
      <c r="H221" s="162" t="s">
        <v>385</v>
      </c>
      <c r="I221" s="162" t="s">
        <v>270</v>
      </c>
      <c r="J221" s="162" t="s">
        <v>170</v>
      </c>
      <c r="K221" s="162" t="s">
        <v>161</v>
      </c>
      <c r="L221" s="162" t="s">
        <v>20</v>
      </c>
      <c r="M221" s="162" t="s">
        <v>4092</v>
      </c>
      <c r="N221" s="118" t="str">
        <f>_xlfn.DISPIMG("ID_9B43E41106094708AAB8E2C3D51BAF21",1)</f>
        <v>=DISPIMG("ID_9B43E41106094708AAB8E2C3D51BAF21",1)</v>
      </c>
      <c r="O221" s="115" t="s">
        <v>4093</v>
      </c>
      <c r="P221" s="127">
        <v>523</v>
      </c>
      <c r="Q221" s="125" t="s">
        <v>4526</v>
      </c>
      <c r="R221" s="126" t="s">
        <v>48</v>
      </c>
      <c r="S221" s="124">
        <v>29</v>
      </c>
    </row>
    <row r="222" s="3" customFormat="1" ht="20" customHeight="1" spans="1:19">
      <c r="A222" s="166" t="s">
        <v>3075</v>
      </c>
      <c r="B222" s="166" t="s">
        <v>165</v>
      </c>
      <c r="C222" s="162" t="s">
        <v>3076</v>
      </c>
      <c r="D222" s="162" t="s">
        <v>156</v>
      </c>
      <c r="E222" s="162" t="s">
        <v>8</v>
      </c>
      <c r="F222" s="27">
        <v>202102002</v>
      </c>
      <c r="G222" s="162" t="s">
        <v>157</v>
      </c>
      <c r="H222" s="162" t="s">
        <v>3078</v>
      </c>
      <c r="I222" s="162" t="s">
        <v>3079</v>
      </c>
      <c r="J222" s="162" t="s">
        <v>160</v>
      </c>
      <c r="K222" s="162" t="s">
        <v>252</v>
      </c>
      <c r="L222" s="162" t="s">
        <v>8</v>
      </c>
      <c r="M222" s="27">
        <v>0</v>
      </c>
      <c r="N222" s="118" t="str">
        <f>_xlfn.DISPIMG("ID_0C5BA3A4E8B245D6AB6AE82F368BFF6A",1)</f>
        <v>=DISPIMG("ID_0C5BA3A4E8B245D6AB6AE82F368BFF6A",1)</v>
      </c>
      <c r="O222" s="115" t="s">
        <v>3080</v>
      </c>
      <c r="P222" s="27">
        <v>380</v>
      </c>
      <c r="Q222" s="125" t="s">
        <v>4527</v>
      </c>
      <c r="R222" s="126" t="s">
        <v>48</v>
      </c>
      <c r="S222" s="124">
        <v>4</v>
      </c>
    </row>
    <row r="223" s="3" customFormat="1" ht="20" customHeight="1" spans="1:19">
      <c r="A223" s="166" t="s">
        <v>3083</v>
      </c>
      <c r="B223" s="166" t="s">
        <v>165</v>
      </c>
      <c r="C223" s="162" t="s">
        <v>3084</v>
      </c>
      <c r="D223" s="162" t="s">
        <v>156</v>
      </c>
      <c r="E223" s="162" t="s">
        <v>8</v>
      </c>
      <c r="F223" s="27">
        <v>202102002</v>
      </c>
      <c r="G223" s="162" t="s">
        <v>157</v>
      </c>
      <c r="H223" s="162" t="s">
        <v>3086</v>
      </c>
      <c r="I223" s="162" t="s">
        <v>3087</v>
      </c>
      <c r="J223" s="162" t="s">
        <v>160</v>
      </c>
      <c r="K223" s="162" t="s">
        <v>455</v>
      </c>
      <c r="L223" s="162" t="s">
        <v>8</v>
      </c>
      <c r="M223" s="27">
        <v>0</v>
      </c>
      <c r="N223" s="118" t="str">
        <f>_xlfn.DISPIMG("ID_FE0A8F210AE74D2ABEA83714575A775F",1)</f>
        <v>=DISPIMG("ID_FE0A8F210AE74D2ABEA83714575A775F",1)</v>
      </c>
      <c r="O223" s="115" t="s">
        <v>3088</v>
      </c>
      <c r="P223" s="27">
        <v>381</v>
      </c>
      <c r="Q223" s="125" t="s">
        <v>4528</v>
      </c>
      <c r="R223" s="126" t="s">
        <v>48</v>
      </c>
      <c r="S223" s="124">
        <v>9</v>
      </c>
    </row>
    <row r="224" s="3" customFormat="1" ht="20" customHeight="1" spans="1:19">
      <c r="A224" s="166" t="s">
        <v>3226</v>
      </c>
      <c r="B224" s="166" t="s">
        <v>165</v>
      </c>
      <c r="C224" s="162" t="s">
        <v>3227</v>
      </c>
      <c r="D224" s="162" t="s">
        <v>156</v>
      </c>
      <c r="E224" s="162" t="s">
        <v>8</v>
      </c>
      <c r="F224" s="27">
        <v>202102002</v>
      </c>
      <c r="G224" s="162" t="s">
        <v>157</v>
      </c>
      <c r="H224" s="162" t="s">
        <v>3229</v>
      </c>
      <c r="I224" s="162" t="s">
        <v>1832</v>
      </c>
      <c r="J224" s="162" t="s">
        <v>160</v>
      </c>
      <c r="K224" s="162" t="s">
        <v>235</v>
      </c>
      <c r="L224" s="162" t="s">
        <v>3230</v>
      </c>
      <c r="M224" s="27">
        <v>0</v>
      </c>
      <c r="N224" s="118" t="str">
        <f>_xlfn.DISPIMG("ID_E38CE29681DB4326A5DB290E49AD4AFC",1)</f>
        <v>=DISPIMG("ID_E38CE29681DB4326A5DB290E49AD4AFC",1)</v>
      </c>
      <c r="O224" s="115" t="s">
        <v>3231</v>
      </c>
      <c r="P224" s="27">
        <v>402</v>
      </c>
      <c r="Q224" s="125" t="s">
        <v>4529</v>
      </c>
      <c r="R224" s="126" t="s">
        <v>48</v>
      </c>
      <c r="S224" s="124">
        <v>16</v>
      </c>
    </row>
    <row r="225" s="3" customFormat="1" ht="20" customHeight="1" spans="1:19">
      <c r="A225" s="166" t="s">
        <v>3416</v>
      </c>
      <c r="B225" s="166" t="s">
        <v>165</v>
      </c>
      <c r="C225" s="162" t="s">
        <v>3417</v>
      </c>
      <c r="D225" s="162" t="s">
        <v>156</v>
      </c>
      <c r="E225" s="162" t="s">
        <v>8</v>
      </c>
      <c r="F225" s="27">
        <v>202102002</v>
      </c>
      <c r="G225" s="162" t="s">
        <v>157</v>
      </c>
      <c r="H225" s="162" t="s">
        <v>242</v>
      </c>
      <c r="I225" s="162" t="s">
        <v>3087</v>
      </c>
      <c r="J225" s="162" t="s">
        <v>160</v>
      </c>
      <c r="K225" s="162" t="s">
        <v>180</v>
      </c>
      <c r="L225" s="162" t="s">
        <v>3418</v>
      </c>
      <c r="M225" s="162" t="s">
        <v>3419</v>
      </c>
      <c r="N225" s="118" t="str">
        <f>_xlfn.DISPIMG("ID_7663A71771F44500AC5AF2DBC8366CB5",1)</f>
        <v>=DISPIMG("ID_7663A71771F44500AC5AF2DBC8366CB5",1)</v>
      </c>
      <c r="O225" s="115" t="s">
        <v>3420</v>
      </c>
      <c r="P225" s="27">
        <v>431</v>
      </c>
      <c r="Q225" s="125" t="s">
        <v>4530</v>
      </c>
      <c r="R225" s="126" t="s">
        <v>48</v>
      </c>
      <c r="S225" s="124">
        <v>21</v>
      </c>
    </row>
    <row r="226" s="4" customFormat="1" ht="20" customHeight="1" spans="1:19">
      <c r="A226" s="166" t="s">
        <v>3865</v>
      </c>
      <c r="B226" s="166" t="s">
        <v>165</v>
      </c>
      <c r="C226" s="164" t="s">
        <v>3866</v>
      </c>
      <c r="D226" s="164" t="s">
        <v>156</v>
      </c>
      <c r="E226" s="164" t="s">
        <v>8</v>
      </c>
      <c r="F226" s="22">
        <v>202102002</v>
      </c>
      <c r="G226" s="164" t="s">
        <v>157</v>
      </c>
      <c r="H226" s="164" t="s">
        <v>827</v>
      </c>
      <c r="I226" s="164" t="s">
        <v>270</v>
      </c>
      <c r="J226" s="164" t="s">
        <v>170</v>
      </c>
      <c r="K226" s="164" t="s">
        <v>171</v>
      </c>
      <c r="L226" s="164" t="s">
        <v>3868</v>
      </c>
      <c r="M226" s="164" t="s">
        <v>3869</v>
      </c>
      <c r="N226" s="23" t="str">
        <f>_xlfn.DISPIMG("ID_60BA691C89BB46A3A629500DC48B1B82",1)</f>
        <v>=DISPIMG("ID_60BA691C89BB46A3A629500DC48B1B82",1)</v>
      </c>
      <c r="O226" s="103" t="s">
        <v>3870</v>
      </c>
      <c r="P226" s="24">
        <v>493</v>
      </c>
      <c r="Q226" s="75" t="s">
        <v>4531</v>
      </c>
      <c r="R226" s="129" t="s">
        <v>48</v>
      </c>
      <c r="S226" s="130">
        <v>28</v>
      </c>
    </row>
    <row r="227" s="3" customFormat="1" ht="20" customHeight="1" spans="1:19">
      <c r="A227" s="166" t="s">
        <v>3594</v>
      </c>
      <c r="B227" s="166" t="s">
        <v>165</v>
      </c>
      <c r="C227" s="162" t="s">
        <v>3595</v>
      </c>
      <c r="D227" s="162" t="s">
        <v>156</v>
      </c>
      <c r="E227" s="162" t="s">
        <v>8</v>
      </c>
      <c r="F227" s="27">
        <v>202102002</v>
      </c>
      <c r="G227" s="162" t="s">
        <v>279</v>
      </c>
      <c r="H227" s="162" t="s">
        <v>3597</v>
      </c>
      <c r="I227" s="162" t="s">
        <v>497</v>
      </c>
      <c r="J227" s="162" t="s">
        <v>170</v>
      </c>
      <c r="K227" s="162" t="s">
        <v>189</v>
      </c>
      <c r="L227" s="162" t="s">
        <v>989</v>
      </c>
      <c r="M227" s="162" t="s">
        <v>3598</v>
      </c>
      <c r="N227" s="118" t="str">
        <f>_xlfn.DISPIMG("ID_DB80027A676342B6B8178A0E756378C3",1)</f>
        <v>=DISPIMG("ID_DB80027A676342B6B8178A0E756378C3",1)</v>
      </c>
      <c r="O227" s="115" t="s">
        <v>3599</v>
      </c>
      <c r="P227" s="27">
        <v>457</v>
      </c>
      <c r="Q227" s="125" t="s">
        <v>4532</v>
      </c>
      <c r="R227" s="126" t="s">
        <v>48</v>
      </c>
      <c r="S227" s="124">
        <v>3</v>
      </c>
    </row>
    <row r="228" s="3" customFormat="1" ht="20" customHeight="1" spans="1:19">
      <c r="A228" s="166" t="s">
        <v>3622</v>
      </c>
      <c r="B228" s="166" t="s">
        <v>165</v>
      </c>
      <c r="C228" s="162" t="s">
        <v>3623</v>
      </c>
      <c r="D228" s="162" t="s">
        <v>268</v>
      </c>
      <c r="E228" s="162" t="s">
        <v>8</v>
      </c>
      <c r="F228" s="27">
        <v>202102002</v>
      </c>
      <c r="G228" s="162" t="s">
        <v>157</v>
      </c>
      <c r="H228" s="162" t="s">
        <v>3625</v>
      </c>
      <c r="I228" s="162" t="s">
        <v>3626</v>
      </c>
      <c r="J228" s="162" t="s">
        <v>160</v>
      </c>
      <c r="K228" s="162" t="s">
        <v>673</v>
      </c>
      <c r="L228" s="162" t="s">
        <v>20</v>
      </c>
      <c r="M228" s="27">
        <v>0</v>
      </c>
      <c r="N228" s="118" t="str">
        <f>_xlfn.DISPIMG("ID_892B76E7BF3A4E06A1CCC00A4DBCC4C6",1)</f>
        <v>=DISPIMG("ID_892B76E7BF3A4E06A1CCC00A4DBCC4C6",1)</v>
      </c>
      <c r="O228" s="115" t="s">
        <v>3627</v>
      </c>
      <c r="P228" s="27">
        <v>461</v>
      </c>
      <c r="Q228" s="125" t="s">
        <v>4533</v>
      </c>
      <c r="R228" s="126" t="s">
        <v>48</v>
      </c>
      <c r="S228" s="124">
        <v>10</v>
      </c>
    </row>
    <row r="229" s="3" customFormat="1" ht="20" customHeight="1" spans="1:19">
      <c r="A229" s="166" t="s">
        <v>1027</v>
      </c>
      <c r="B229" s="166" t="s">
        <v>165</v>
      </c>
      <c r="C229" s="162" t="s">
        <v>3692</v>
      </c>
      <c r="D229" s="162" t="s">
        <v>156</v>
      </c>
      <c r="E229" s="162" t="s">
        <v>8</v>
      </c>
      <c r="F229" s="27">
        <v>202102002</v>
      </c>
      <c r="G229" s="162" t="s">
        <v>279</v>
      </c>
      <c r="H229" s="162" t="s">
        <v>3694</v>
      </c>
      <c r="I229" s="162" t="s">
        <v>497</v>
      </c>
      <c r="J229" s="162" t="s">
        <v>170</v>
      </c>
      <c r="K229" s="162" t="s">
        <v>180</v>
      </c>
      <c r="L229" s="162" t="s">
        <v>8</v>
      </c>
      <c r="M229" s="162" t="s">
        <v>3695</v>
      </c>
      <c r="N229" s="118" t="str">
        <f>_xlfn.DISPIMG("ID_57DB6C2F5BCD45498E344599D2C7D1D8",1)</f>
        <v>=DISPIMG("ID_57DB6C2F5BCD45498E344599D2C7D1D8",1)</v>
      </c>
      <c r="O229" s="115" t="s">
        <v>3696</v>
      </c>
      <c r="P229" s="27">
        <v>470</v>
      </c>
      <c r="Q229" s="125" t="s">
        <v>4534</v>
      </c>
      <c r="R229" s="126" t="s">
        <v>48</v>
      </c>
      <c r="S229" s="124">
        <v>15</v>
      </c>
    </row>
    <row r="230" s="3" customFormat="1" ht="20" customHeight="1" spans="1:19">
      <c r="A230" s="166" t="s">
        <v>3734</v>
      </c>
      <c r="B230" s="166" t="s">
        <v>165</v>
      </c>
      <c r="C230" s="162" t="s">
        <v>3735</v>
      </c>
      <c r="D230" s="162" t="s">
        <v>156</v>
      </c>
      <c r="E230" s="162" t="s">
        <v>8</v>
      </c>
      <c r="F230" s="27">
        <v>202102002</v>
      </c>
      <c r="G230" s="162" t="s">
        <v>157</v>
      </c>
      <c r="H230" s="162" t="s">
        <v>3737</v>
      </c>
      <c r="I230" s="162" t="s">
        <v>3738</v>
      </c>
      <c r="J230" s="162" t="s">
        <v>160</v>
      </c>
      <c r="K230" s="162" t="s">
        <v>171</v>
      </c>
      <c r="L230" s="162" t="s">
        <v>8</v>
      </c>
      <c r="M230" s="162" t="s">
        <v>3739</v>
      </c>
      <c r="N230" s="118" t="str">
        <f>_xlfn.DISPIMG("ID_B7F470084B4940CBBF67BF60A043E6F0",1)</f>
        <v>=DISPIMG("ID_B7F470084B4940CBBF67BF60A043E6F0",1)</v>
      </c>
      <c r="O230" s="115" t="s">
        <v>3740</v>
      </c>
      <c r="P230" s="127">
        <v>476</v>
      </c>
      <c r="Q230" s="125" t="s">
        <v>4535</v>
      </c>
      <c r="R230" s="126" t="s">
        <v>48</v>
      </c>
      <c r="S230" s="124">
        <v>22</v>
      </c>
    </row>
    <row r="231" s="3" customFormat="1" ht="20" customHeight="1" spans="1:19">
      <c r="A231" s="166" t="s">
        <v>3766</v>
      </c>
      <c r="B231" s="166" t="s">
        <v>165</v>
      </c>
      <c r="C231" s="162" t="s">
        <v>3767</v>
      </c>
      <c r="D231" s="162" t="s">
        <v>156</v>
      </c>
      <c r="E231" s="162" t="s">
        <v>8</v>
      </c>
      <c r="F231" s="27">
        <v>202102002</v>
      </c>
      <c r="G231" s="162" t="s">
        <v>157</v>
      </c>
      <c r="H231" s="162" t="s">
        <v>233</v>
      </c>
      <c r="I231" s="162" t="s">
        <v>3769</v>
      </c>
      <c r="J231" s="162" t="s">
        <v>160</v>
      </c>
      <c r="K231" s="162" t="s">
        <v>1089</v>
      </c>
      <c r="L231" s="162" t="s">
        <v>8</v>
      </c>
      <c r="M231" s="27">
        <v>0</v>
      </c>
      <c r="N231" s="118" t="str">
        <f>_xlfn.DISPIMG("ID_2E7FF83B7D12427491B1BA1300A2CD7A",1)</f>
        <v>=DISPIMG("ID_2E7FF83B7D12427491B1BA1300A2CD7A",1)</v>
      </c>
      <c r="O231" s="115" t="s">
        <v>3770</v>
      </c>
      <c r="P231" s="127">
        <v>480</v>
      </c>
      <c r="Q231" s="125" t="s">
        <v>4536</v>
      </c>
      <c r="R231" s="126" t="s">
        <v>48</v>
      </c>
      <c r="S231" s="124">
        <v>27</v>
      </c>
    </row>
    <row r="232" s="3" customFormat="1" ht="20" customHeight="1" spans="1:19">
      <c r="A232" s="166" t="s">
        <v>3811</v>
      </c>
      <c r="B232" s="166" t="s">
        <v>165</v>
      </c>
      <c r="C232" s="162" t="s">
        <v>3812</v>
      </c>
      <c r="D232" s="162" t="s">
        <v>156</v>
      </c>
      <c r="E232" s="162" t="s">
        <v>8</v>
      </c>
      <c r="F232" s="27">
        <v>202102002</v>
      </c>
      <c r="G232" s="162" t="s">
        <v>157</v>
      </c>
      <c r="H232" s="162" t="s">
        <v>2483</v>
      </c>
      <c r="I232" s="162" t="s">
        <v>1832</v>
      </c>
      <c r="J232" s="162" t="s">
        <v>160</v>
      </c>
      <c r="K232" s="162" t="s">
        <v>349</v>
      </c>
      <c r="L232" s="162" t="s">
        <v>8</v>
      </c>
      <c r="M232" s="27">
        <v>0</v>
      </c>
      <c r="N232" s="118" t="str">
        <f>_xlfn.DISPIMG("ID_E15E0A7D91AC4C3983241BCD063880D6",1)</f>
        <v>=DISPIMG("ID_E15E0A7D91AC4C3983241BCD063880D6",1)</v>
      </c>
      <c r="O232" s="115" t="s">
        <v>3814</v>
      </c>
      <c r="P232" s="127">
        <v>486</v>
      </c>
      <c r="Q232" s="125" t="s">
        <v>4537</v>
      </c>
      <c r="R232" s="126" t="s">
        <v>48</v>
      </c>
      <c r="S232" s="124">
        <v>2</v>
      </c>
    </row>
    <row r="233" s="3" customFormat="1" ht="20" customHeight="1" spans="1:19">
      <c r="A233" s="166" t="s">
        <v>3850</v>
      </c>
      <c r="B233" s="166" t="s">
        <v>165</v>
      </c>
      <c r="C233" s="162" t="s">
        <v>3851</v>
      </c>
      <c r="D233" s="162" t="s">
        <v>156</v>
      </c>
      <c r="E233" s="162" t="s">
        <v>8</v>
      </c>
      <c r="F233" s="27">
        <v>202102002</v>
      </c>
      <c r="G233" s="162" t="s">
        <v>157</v>
      </c>
      <c r="H233" s="162" t="s">
        <v>233</v>
      </c>
      <c r="I233" s="162" t="s">
        <v>3853</v>
      </c>
      <c r="J233" s="162" t="s">
        <v>160</v>
      </c>
      <c r="K233" s="162" t="s">
        <v>235</v>
      </c>
      <c r="L233" s="162" t="s">
        <v>3854</v>
      </c>
      <c r="M233" s="27">
        <v>0</v>
      </c>
      <c r="N233" s="118" t="str">
        <f>_xlfn.DISPIMG("ID_84872379004C4F22BC15C75702A4DBC9",1)</f>
        <v>=DISPIMG("ID_84872379004C4F22BC15C75702A4DBC9",1)</v>
      </c>
      <c r="O233" s="115" t="s">
        <v>3855</v>
      </c>
      <c r="P233" s="127">
        <v>491</v>
      </c>
      <c r="Q233" s="125" t="s">
        <v>4538</v>
      </c>
      <c r="R233" s="126" t="s">
        <v>48</v>
      </c>
      <c r="S233" s="124">
        <v>11</v>
      </c>
    </row>
    <row r="234" s="3" customFormat="1" ht="20" customHeight="1" spans="1:19">
      <c r="A234" s="166" t="s">
        <v>2210</v>
      </c>
      <c r="B234" s="166" t="s">
        <v>165</v>
      </c>
      <c r="C234" s="162" t="s">
        <v>2211</v>
      </c>
      <c r="D234" s="162" t="s">
        <v>384</v>
      </c>
      <c r="E234" s="162" t="s">
        <v>27</v>
      </c>
      <c r="F234" s="27">
        <v>202101016</v>
      </c>
      <c r="G234" s="162" t="s">
        <v>157</v>
      </c>
      <c r="H234" s="162" t="s">
        <v>1413</v>
      </c>
      <c r="I234" s="162" t="s">
        <v>215</v>
      </c>
      <c r="J234" s="162" t="s">
        <v>170</v>
      </c>
      <c r="K234" s="162" t="s">
        <v>171</v>
      </c>
      <c r="L234" s="162" t="s">
        <v>2213</v>
      </c>
      <c r="M234" s="162" t="s">
        <v>2214</v>
      </c>
      <c r="N234" s="118" t="str">
        <f>_xlfn.DISPIMG("ID_0AC7D7DC948D4142BC7E39C07F0EB7F8",1)</f>
        <v>=DISPIMG("ID_0AC7D7DC948D4142BC7E39C07F0EB7F8",1)</v>
      </c>
      <c r="O234" s="115" t="s">
        <v>2215</v>
      </c>
      <c r="P234" s="27">
        <v>260</v>
      </c>
      <c r="Q234" s="125" t="s">
        <v>4539</v>
      </c>
      <c r="R234" s="126" t="s">
        <v>48</v>
      </c>
      <c r="S234" s="124">
        <v>14</v>
      </c>
    </row>
    <row r="235" s="3" customFormat="1" ht="20" customHeight="1" spans="1:19">
      <c r="A235" s="166" t="s">
        <v>3904</v>
      </c>
      <c r="B235" s="166" t="s">
        <v>153</v>
      </c>
      <c r="C235" s="162" t="s">
        <v>3905</v>
      </c>
      <c r="D235" s="162" t="s">
        <v>156</v>
      </c>
      <c r="E235" s="162" t="s">
        <v>8</v>
      </c>
      <c r="F235" s="27">
        <v>202102002</v>
      </c>
      <c r="G235" s="162" t="s">
        <v>157</v>
      </c>
      <c r="H235" s="162" t="s">
        <v>158</v>
      </c>
      <c r="I235" s="162" t="s">
        <v>1481</v>
      </c>
      <c r="J235" s="162" t="s">
        <v>160</v>
      </c>
      <c r="K235" s="162" t="s">
        <v>216</v>
      </c>
      <c r="L235" s="162" t="s">
        <v>8</v>
      </c>
      <c r="M235" s="27">
        <v>0</v>
      </c>
      <c r="N235" s="118" t="str">
        <f>_xlfn.DISPIMG("ID_9F8C123E434549AABE94648B98FC4902",1)</f>
        <v>=DISPIMG("ID_9F8C123E434549AABE94648B98FC4902",1)</v>
      </c>
      <c r="O235" s="115" t="s">
        <v>3907</v>
      </c>
      <c r="P235" s="127">
        <v>498</v>
      </c>
      <c r="Q235" s="125" t="s">
        <v>4540</v>
      </c>
      <c r="R235" s="126" t="s">
        <v>48</v>
      </c>
      <c r="S235" s="124">
        <v>23</v>
      </c>
    </row>
    <row r="236" s="3" customFormat="1" ht="20" customHeight="1" spans="1:19">
      <c r="A236" s="166" t="s">
        <v>3924</v>
      </c>
      <c r="B236" s="166" t="s">
        <v>165</v>
      </c>
      <c r="C236" s="162" t="s">
        <v>3925</v>
      </c>
      <c r="D236" s="162" t="s">
        <v>156</v>
      </c>
      <c r="E236" s="162" t="s">
        <v>8</v>
      </c>
      <c r="F236" s="27">
        <v>202102002</v>
      </c>
      <c r="G236" s="162" t="s">
        <v>157</v>
      </c>
      <c r="H236" s="162" t="s">
        <v>603</v>
      </c>
      <c r="I236" s="162" t="s">
        <v>2379</v>
      </c>
      <c r="J236" s="162" t="s">
        <v>160</v>
      </c>
      <c r="K236" s="162" t="s">
        <v>306</v>
      </c>
      <c r="L236" s="162" t="s">
        <v>989</v>
      </c>
      <c r="M236" s="162" t="s">
        <v>3927</v>
      </c>
      <c r="N236" s="118" t="str">
        <f>_xlfn.DISPIMG("ID_514B3145E6BD4A2498C42CFECAEF98E2",1)</f>
        <v>=DISPIMG("ID_514B3145E6BD4A2498C42CFECAEF98E2",1)</v>
      </c>
      <c r="O236" s="115" t="s">
        <v>3928</v>
      </c>
      <c r="P236" s="127">
        <v>501</v>
      </c>
      <c r="Q236" s="125" t="s">
        <v>4541</v>
      </c>
      <c r="R236" s="126" t="s">
        <v>48</v>
      </c>
      <c r="S236" s="124">
        <v>26</v>
      </c>
    </row>
    <row r="237" s="3" customFormat="1" ht="20" customHeight="1" spans="1:19">
      <c r="A237" s="166" t="s">
        <v>3948</v>
      </c>
      <c r="B237" s="166" t="s">
        <v>165</v>
      </c>
      <c r="C237" s="162" t="s">
        <v>3949</v>
      </c>
      <c r="D237" s="162" t="s">
        <v>156</v>
      </c>
      <c r="E237" s="162" t="s">
        <v>8</v>
      </c>
      <c r="F237" s="27">
        <v>202102002</v>
      </c>
      <c r="G237" s="162" t="s">
        <v>279</v>
      </c>
      <c r="H237" s="162" t="s">
        <v>158</v>
      </c>
      <c r="I237" s="162" t="s">
        <v>497</v>
      </c>
      <c r="J237" s="162" t="s">
        <v>170</v>
      </c>
      <c r="K237" s="162" t="s">
        <v>180</v>
      </c>
      <c r="L237" s="162" t="s">
        <v>3230</v>
      </c>
      <c r="M237" s="162" t="s">
        <v>3951</v>
      </c>
      <c r="N237" s="118" t="str">
        <f>_xlfn.DISPIMG("ID_997BB006A29449FB8D35751C6152A872",1)</f>
        <v>=DISPIMG("ID_997BB006A29449FB8D35751C6152A872",1)</v>
      </c>
      <c r="O237" s="115" t="s">
        <v>3952</v>
      </c>
      <c r="P237" s="127">
        <v>504</v>
      </c>
      <c r="Q237" s="125" t="s">
        <v>4542</v>
      </c>
      <c r="R237" s="126" t="s">
        <v>48</v>
      </c>
      <c r="S237" s="124">
        <v>1</v>
      </c>
    </row>
    <row r="238" s="3" customFormat="1" ht="20" customHeight="1" spans="1:19">
      <c r="A238" s="166" t="s">
        <v>4043</v>
      </c>
      <c r="B238" s="166" t="s">
        <v>165</v>
      </c>
      <c r="C238" s="162" t="s">
        <v>4044</v>
      </c>
      <c r="D238" s="162" t="s">
        <v>156</v>
      </c>
      <c r="E238" s="162" t="s">
        <v>8</v>
      </c>
      <c r="F238" s="27">
        <v>202102002</v>
      </c>
      <c r="G238" s="162" t="s">
        <v>157</v>
      </c>
      <c r="H238" s="162" t="s">
        <v>1368</v>
      </c>
      <c r="I238" s="162" t="s">
        <v>4046</v>
      </c>
      <c r="J238" s="162" t="s">
        <v>170</v>
      </c>
      <c r="K238" s="162" t="s">
        <v>281</v>
      </c>
      <c r="L238" s="162" t="s">
        <v>20</v>
      </c>
      <c r="M238" s="162" t="s">
        <v>4047</v>
      </c>
      <c r="N238" s="118" t="str">
        <f>_xlfn.DISPIMG("ID_5DC4628448F54176A5FF91EC25B128F5",1)</f>
        <v>=DISPIMG("ID_5DC4628448F54176A5FF91EC25B128F5",1)</v>
      </c>
      <c r="O238" s="115" t="s">
        <v>4048</v>
      </c>
      <c r="P238" s="127">
        <v>517</v>
      </c>
      <c r="Q238" s="125" t="s">
        <v>4543</v>
      </c>
      <c r="R238" s="126" t="s">
        <v>48</v>
      </c>
      <c r="S238" s="124">
        <v>12</v>
      </c>
    </row>
    <row r="239" s="3" customFormat="1" ht="20" customHeight="1" spans="1:19">
      <c r="A239" s="166" t="s">
        <v>3667</v>
      </c>
      <c r="B239" s="166" t="s">
        <v>153</v>
      </c>
      <c r="C239" s="162" t="s">
        <v>3668</v>
      </c>
      <c r="D239" s="162" t="s">
        <v>384</v>
      </c>
      <c r="E239" s="162" t="s">
        <v>27</v>
      </c>
      <c r="F239" s="27">
        <v>202101016</v>
      </c>
      <c r="G239" s="162" t="s">
        <v>705</v>
      </c>
      <c r="H239" s="162" t="s">
        <v>3670</v>
      </c>
      <c r="I239" s="162" t="s">
        <v>215</v>
      </c>
      <c r="J239" s="162" t="s">
        <v>160</v>
      </c>
      <c r="K239" s="162" t="s">
        <v>910</v>
      </c>
      <c r="L239" s="162" t="s">
        <v>3671</v>
      </c>
      <c r="M239" s="162" t="s">
        <v>3672</v>
      </c>
      <c r="N239" s="118" t="str">
        <f>_xlfn.DISPIMG("ID_FBBE15C9E10944F892C3BCC99A8EDA31",1)</f>
        <v>=DISPIMG("ID_FBBE15C9E10944F892C3BCC99A8EDA31",1)</v>
      </c>
      <c r="O239" s="115" t="s">
        <v>3673</v>
      </c>
      <c r="P239" s="27">
        <v>467</v>
      </c>
      <c r="Q239" s="125" t="s">
        <v>4544</v>
      </c>
      <c r="R239" s="126" t="s">
        <v>48</v>
      </c>
      <c r="S239" s="124">
        <v>13</v>
      </c>
    </row>
    <row r="240" s="3" customFormat="1" ht="20" customHeight="1" spans="1:19">
      <c r="A240" s="166" t="s">
        <v>4191</v>
      </c>
      <c r="B240" s="166" t="s">
        <v>153</v>
      </c>
      <c r="C240" s="162" t="s">
        <v>4192</v>
      </c>
      <c r="D240" s="162" t="s">
        <v>156</v>
      </c>
      <c r="E240" s="162" t="s">
        <v>8</v>
      </c>
      <c r="F240" s="27">
        <v>202102002</v>
      </c>
      <c r="G240" s="162" t="s">
        <v>157</v>
      </c>
      <c r="H240" s="162" t="s">
        <v>789</v>
      </c>
      <c r="I240" s="162" t="s">
        <v>270</v>
      </c>
      <c r="J240" s="162" t="s">
        <v>160</v>
      </c>
      <c r="K240" s="162" t="s">
        <v>180</v>
      </c>
      <c r="L240" s="162" t="s">
        <v>8</v>
      </c>
      <c r="M240" s="162" t="s">
        <v>4194</v>
      </c>
      <c r="N240" s="118" t="str">
        <f>_xlfn.DISPIMG("ID_0D01E0F1A35045CF8FA47A6F17C3312E",1)</f>
        <v>=DISPIMG("ID_0D01E0F1A35045CF8FA47A6F17C3312E",1)</v>
      </c>
      <c r="O240" s="115" t="s">
        <v>4195</v>
      </c>
      <c r="P240" s="127">
        <v>536</v>
      </c>
      <c r="Q240" s="125" t="s">
        <v>4545</v>
      </c>
      <c r="R240" s="126" t="s">
        <v>48</v>
      </c>
      <c r="S240" s="124">
        <v>24</v>
      </c>
    </row>
    <row r="241" s="3" customFormat="1" ht="20" customHeight="1" spans="1:19">
      <c r="A241" s="166" t="s">
        <v>4230</v>
      </c>
      <c r="B241" s="166" t="s">
        <v>165</v>
      </c>
      <c r="C241" s="162" t="s">
        <v>4231</v>
      </c>
      <c r="D241" s="162" t="s">
        <v>156</v>
      </c>
      <c r="E241" s="162" t="s">
        <v>8</v>
      </c>
      <c r="F241" s="27">
        <v>202102002</v>
      </c>
      <c r="G241" s="162" t="s">
        <v>157</v>
      </c>
      <c r="H241" s="162" t="s">
        <v>876</v>
      </c>
      <c r="I241" s="162" t="s">
        <v>1204</v>
      </c>
      <c r="J241" s="162" t="s">
        <v>160</v>
      </c>
      <c r="K241" s="162" t="s">
        <v>171</v>
      </c>
      <c r="L241" s="162" t="s">
        <v>4233</v>
      </c>
      <c r="M241" s="27">
        <v>0</v>
      </c>
      <c r="N241" s="118" t="str">
        <f>_xlfn.DISPIMG("ID_866D1667729041288352BAC0C5E9F611",1)</f>
        <v>=DISPIMG("ID_866D1667729041288352BAC0C5E9F611",1)</v>
      </c>
      <c r="O241" s="115" t="s">
        <v>4234</v>
      </c>
      <c r="P241" s="127">
        <v>541</v>
      </c>
      <c r="Q241" s="125" t="s">
        <v>4546</v>
      </c>
      <c r="R241" s="126" t="s">
        <v>48</v>
      </c>
      <c r="S241" s="124">
        <v>25</v>
      </c>
    </row>
    <row r="242" s="3" customFormat="1" ht="20" customHeight="1" spans="1:19">
      <c r="A242" s="166" t="s">
        <v>194</v>
      </c>
      <c r="B242" s="166" t="s">
        <v>165</v>
      </c>
      <c r="C242" s="162" t="s">
        <v>195</v>
      </c>
      <c r="D242" s="162" t="s">
        <v>156</v>
      </c>
      <c r="E242" s="162" t="s">
        <v>13</v>
      </c>
      <c r="F242" s="27">
        <v>202102003</v>
      </c>
      <c r="G242" s="162" t="s">
        <v>157</v>
      </c>
      <c r="H242" s="162" t="s">
        <v>197</v>
      </c>
      <c r="I242" s="162" t="s">
        <v>198</v>
      </c>
      <c r="J242" s="162" t="s">
        <v>160</v>
      </c>
      <c r="K242" s="162" t="s">
        <v>199</v>
      </c>
      <c r="L242" s="162" t="s">
        <v>13</v>
      </c>
      <c r="M242" s="27">
        <v>0</v>
      </c>
      <c r="N242" s="118" t="str">
        <f>_xlfn.DISPIMG("ID_07DCBF9A6CCC43E7BDA66377D7B2A516",1)</f>
        <v>=DISPIMG("ID_07DCBF9A6CCC43E7BDA66377D7B2A516",1)</v>
      </c>
      <c r="O242" s="115" t="s">
        <v>200</v>
      </c>
      <c r="P242" s="27">
        <v>6</v>
      </c>
      <c r="Q242" s="125" t="s">
        <v>4547</v>
      </c>
      <c r="R242" s="126" t="s">
        <v>52</v>
      </c>
      <c r="S242" s="124">
        <v>6</v>
      </c>
    </row>
    <row r="243" s="3" customFormat="1" ht="20" customHeight="1" spans="1:19">
      <c r="A243" s="166" t="s">
        <v>220</v>
      </c>
      <c r="B243" s="166" t="s">
        <v>165</v>
      </c>
      <c r="C243" s="162" t="s">
        <v>221</v>
      </c>
      <c r="D243" s="162" t="s">
        <v>156</v>
      </c>
      <c r="E243" s="162" t="s">
        <v>13</v>
      </c>
      <c r="F243" s="27">
        <v>202102003</v>
      </c>
      <c r="G243" s="162" t="s">
        <v>157</v>
      </c>
      <c r="H243" s="162" t="s">
        <v>178</v>
      </c>
      <c r="I243" s="162" t="s">
        <v>223</v>
      </c>
      <c r="J243" s="162" t="s">
        <v>170</v>
      </c>
      <c r="K243" s="162" t="s">
        <v>224</v>
      </c>
      <c r="L243" s="162" t="s">
        <v>225</v>
      </c>
      <c r="M243" s="162" t="s">
        <v>226</v>
      </c>
      <c r="N243" s="118" t="str">
        <f>_xlfn.DISPIMG("ID_331C6355B784470AAD84DC8B9EBD3F4C",1)</f>
        <v>=DISPIMG("ID_331C6355B784470AAD84DC8B9EBD3F4C",1)</v>
      </c>
      <c r="O243" s="115" t="s">
        <v>227</v>
      </c>
      <c r="P243" s="27">
        <v>9</v>
      </c>
      <c r="Q243" s="125" t="s">
        <v>4548</v>
      </c>
      <c r="R243" s="126" t="s">
        <v>52</v>
      </c>
      <c r="S243" s="124">
        <v>7</v>
      </c>
    </row>
    <row r="244" s="3" customFormat="1" ht="20" customHeight="1" spans="1:19">
      <c r="A244" s="166" t="s">
        <v>230</v>
      </c>
      <c r="B244" s="166" t="s">
        <v>165</v>
      </c>
      <c r="C244" s="162" t="s">
        <v>231</v>
      </c>
      <c r="D244" s="162" t="s">
        <v>156</v>
      </c>
      <c r="E244" s="162" t="s">
        <v>13</v>
      </c>
      <c r="F244" s="27">
        <v>202102003</v>
      </c>
      <c r="G244" s="162" t="s">
        <v>157</v>
      </c>
      <c r="H244" s="162" t="s">
        <v>233</v>
      </c>
      <c r="I244" s="162" t="s">
        <v>234</v>
      </c>
      <c r="J244" s="162" t="s">
        <v>170</v>
      </c>
      <c r="K244" s="162" t="s">
        <v>235</v>
      </c>
      <c r="L244" s="162" t="s">
        <v>13</v>
      </c>
      <c r="M244" s="162" t="s">
        <v>236</v>
      </c>
      <c r="N244" s="118" t="str">
        <f>_xlfn.DISPIMG("ID_5F2C40BDD5324AC2917B018DDF4B26D9",1)</f>
        <v>=DISPIMG("ID_5F2C40BDD5324AC2917B018DDF4B26D9",1)</v>
      </c>
      <c r="O244" s="115" t="s">
        <v>237</v>
      </c>
      <c r="P244" s="27">
        <v>10</v>
      </c>
      <c r="Q244" s="125" t="s">
        <v>4549</v>
      </c>
      <c r="R244" s="126" t="s">
        <v>52</v>
      </c>
      <c r="S244" s="124">
        <v>18</v>
      </c>
    </row>
    <row r="245" s="3" customFormat="1" ht="20" customHeight="1" spans="1:19">
      <c r="A245" s="166" t="s">
        <v>258</v>
      </c>
      <c r="B245" s="166" t="s">
        <v>165</v>
      </c>
      <c r="C245" s="162" t="s">
        <v>259</v>
      </c>
      <c r="D245" s="162" t="s">
        <v>156</v>
      </c>
      <c r="E245" s="162" t="s">
        <v>13</v>
      </c>
      <c r="F245" s="27">
        <v>202102003</v>
      </c>
      <c r="G245" s="162" t="s">
        <v>157</v>
      </c>
      <c r="H245" s="162" t="s">
        <v>158</v>
      </c>
      <c r="I245" s="162" t="s">
        <v>179</v>
      </c>
      <c r="J245" s="162" t="s">
        <v>170</v>
      </c>
      <c r="K245" s="162" t="s">
        <v>261</v>
      </c>
      <c r="L245" s="162" t="s">
        <v>13</v>
      </c>
      <c r="M245" s="27">
        <v>0</v>
      </c>
      <c r="N245" s="118" t="str">
        <f>_xlfn.DISPIMG("ID_6612D67BD9E1456A9FAE3B7BC6ABC79B",1)</f>
        <v>=DISPIMG("ID_6612D67BD9E1456A9FAE3B7BC6ABC79B",1)</v>
      </c>
      <c r="O245" s="115" t="s">
        <v>262</v>
      </c>
      <c r="P245" s="27">
        <v>13</v>
      </c>
      <c r="Q245" s="125" t="s">
        <v>4550</v>
      </c>
      <c r="R245" s="126" t="s">
        <v>52</v>
      </c>
      <c r="S245" s="124">
        <v>19</v>
      </c>
    </row>
    <row r="246" s="3" customFormat="1" ht="20" customHeight="1" spans="1:19">
      <c r="A246" s="166" t="s">
        <v>302</v>
      </c>
      <c r="B246" s="166" t="s">
        <v>165</v>
      </c>
      <c r="C246" s="162" t="s">
        <v>303</v>
      </c>
      <c r="D246" s="162" t="s">
        <v>156</v>
      </c>
      <c r="E246" s="162" t="s">
        <v>13</v>
      </c>
      <c r="F246" s="27">
        <v>202102003</v>
      </c>
      <c r="G246" s="162" t="s">
        <v>157</v>
      </c>
      <c r="H246" s="162" t="s">
        <v>305</v>
      </c>
      <c r="I246" s="162" t="s">
        <v>179</v>
      </c>
      <c r="J246" s="162" t="s">
        <v>170</v>
      </c>
      <c r="K246" s="162" t="s">
        <v>306</v>
      </c>
      <c r="L246" s="162" t="s">
        <v>307</v>
      </c>
      <c r="M246" s="162" t="s">
        <v>308</v>
      </c>
      <c r="N246" s="118" t="str">
        <f>_xlfn.DISPIMG("ID_BFA65A737AA14FBDAE88EFBDD5E2990B",1)</f>
        <v>=DISPIMG("ID_BFA65A737AA14FBDAE88EFBDD5E2990B",1)</v>
      </c>
      <c r="O246" s="115" t="s">
        <v>309</v>
      </c>
      <c r="P246" s="27">
        <v>18</v>
      </c>
      <c r="Q246" s="125" t="s">
        <v>4551</v>
      </c>
      <c r="R246" s="126" t="s">
        <v>52</v>
      </c>
      <c r="S246" s="124">
        <v>30</v>
      </c>
    </row>
    <row r="247" s="3" customFormat="1" ht="20" customHeight="1" spans="1:19">
      <c r="A247" s="166" t="s">
        <v>355</v>
      </c>
      <c r="B247" s="166" t="s">
        <v>165</v>
      </c>
      <c r="C247" s="162" t="s">
        <v>356</v>
      </c>
      <c r="D247" s="162" t="s">
        <v>156</v>
      </c>
      <c r="E247" s="162" t="s">
        <v>13</v>
      </c>
      <c r="F247" s="27">
        <v>202102003</v>
      </c>
      <c r="G247" s="162" t="s">
        <v>157</v>
      </c>
      <c r="H247" s="162" t="s">
        <v>358</v>
      </c>
      <c r="I247" s="162" t="s">
        <v>179</v>
      </c>
      <c r="J247" s="162" t="s">
        <v>160</v>
      </c>
      <c r="K247" s="162" t="s">
        <v>306</v>
      </c>
      <c r="L247" s="162" t="s">
        <v>359</v>
      </c>
      <c r="M247" s="162" t="s">
        <v>360</v>
      </c>
      <c r="N247" s="118" t="str">
        <f>_xlfn.DISPIMG("ID_FD9EEFBCD596495DACB8A95ACD5E222F",1)</f>
        <v>=DISPIMG("ID_FD9EEFBCD596495DACB8A95ACD5E222F",1)</v>
      </c>
      <c r="O247" s="115" t="s">
        <v>361</v>
      </c>
      <c r="P247" s="27">
        <v>24</v>
      </c>
      <c r="Q247" s="125" t="s">
        <v>4552</v>
      </c>
      <c r="R247" s="126" t="s">
        <v>52</v>
      </c>
      <c r="S247" s="124">
        <v>5</v>
      </c>
    </row>
    <row r="248" s="3" customFormat="1" ht="20" customHeight="1" spans="1:19">
      <c r="A248" s="166" t="s">
        <v>434</v>
      </c>
      <c r="B248" s="166" t="s">
        <v>165</v>
      </c>
      <c r="C248" s="162" t="s">
        <v>435</v>
      </c>
      <c r="D248" s="162" t="s">
        <v>156</v>
      </c>
      <c r="E248" s="162" t="s">
        <v>13</v>
      </c>
      <c r="F248" s="27">
        <v>202102003</v>
      </c>
      <c r="G248" s="162" t="s">
        <v>157</v>
      </c>
      <c r="H248" s="162" t="s">
        <v>437</v>
      </c>
      <c r="I248" s="162" t="s">
        <v>179</v>
      </c>
      <c r="J248" s="162" t="s">
        <v>160</v>
      </c>
      <c r="K248" s="162" t="s">
        <v>161</v>
      </c>
      <c r="L248" s="162" t="s">
        <v>13</v>
      </c>
      <c r="M248" s="162" t="s">
        <v>438</v>
      </c>
      <c r="N248" s="118" t="str">
        <f>_xlfn.DISPIMG("ID_A9E5DA8466964C2D98F0B0FFCCE562D8",1)</f>
        <v>=DISPIMG("ID_A9E5DA8466964C2D98F0B0FFCCE562D8",1)</v>
      </c>
      <c r="O248" s="115" t="s">
        <v>439</v>
      </c>
      <c r="P248" s="27">
        <v>33</v>
      </c>
      <c r="Q248" s="125" t="s">
        <v>4553</v>
      </c>
      <c r="R248" s="126" t="s">
        <v>52</v>
      </c>
      <c r="S248" s="124">
        <v>8</v>
      </c>
    </row>
    <row r="249" s="3" customFormat="1" ht="20" customHeight="1" spans="1:19">
      <c r="A249" s="166" t="s">
        <v>484</v>
      </c>
      <c r="B249" s="166" t="s">
        <v>165</v>
      </c>
      <c r="C249" s="162" t="s">
        <v>485</v>
      </c>
      <c r="D249" s="162" t="s">
        <v>156</v>
      </c>
      <c r="E249" s="162" t="s">
        <v>13</v>
      </c>
      <c r="F249" s="27">
        <v>202102003</v>
      </c>
      <c r="G249" s="162" t="s">
        <v>279</v>
      </c>
      <c r="H249" s="162" t="s">
        <v>178</v>
      </c>
      <c r="I249" s="162" t="s">
        <v>223</v>
      </c>
      <c r="J249" s="162" t="s">
        <v>170</v>
      </c>
      <c r="K249" s="162" t="s">
        <v>180</v>
      </c>
      <c r="L249" s="162" t="s">
        <v>487</v>
      </c>
      <c r="M249" s="162" t="s">
        <v>488</v>
      </c>
      <c r="N249" s="118" t="str">
        <f>_xlfn.DISPIMG("ID_090E35C53BC1424DB22E97EDD7B66993",1)</f>
        <v>=DISPIMG("ID_090E35C53BC1424DB22E97EDD7B66993",1)</v>
      </c>
      <c r="O249" s="115" t="s">
        <v>489</v>
      </c>
      <c r="P249" s="27">
        <v>39</v>
      </c>
      <c r="Q249" s="125" t="s">
        <v>4554</v>
      </c>
      <c r="R249" s="126" t="s">
        <v>52</v>
      </c>
      <c r="S249" s="124">
        <v>17</v>
      </c>
    </row>
    <row r="250" s="3" customFormat="1" ht="20" customHeight="1" spans="1:19">
      <c r="A250" s="166" t="s">
        <v>503</v>
      </c>
      <c r="B250" s="166" t="s">
        <v>165</v>
      </c>
      <c r="C250" s="162" t="s">
        <v>504</v>
      </c>
      <c r="D250" s="162" t="s">
        <v>506</v>
      </c>
      <c r="E250" s="162" t="s">
        <v>13</v>
      </c>
      <c r="F250" s="27">
        <v>202102016</v>
      </c>
      <c r="G250" s="162" t="s">
        <v>157</v>
      </c>
      <c r="H250" s="162" t="s">
        <v>507</v>
      </c>
      <c r="I250" s="162" t="s">
        <v>298</v>
      </c>
      <c r="J250" s="162" t="s">
        <v>160</v>
      </c>
      <c r="K250" s="162" t="s">
        <v>252</v>
      </c>
      <c r="L250" s="162" t="s">
        <v>13</v>
      </c>
      <c r="M250" s="162" t="s">
        <v>508</v>
      </c>
      <c r="N250" s="118" t="str">
        <f>_xlfn.DISPIMG("ID_40FEE490C2E64411A9F9A70FED108C60",1)</f>
        <v>=DISPIMG("ID_40FEE490C2E64411A9F9A70FED108C60",1)</v>
      </c>
      <c r="O250" s="115" t="s">
        <v>509</v>
      </c>
      <c r="P250" s="27">
        <v>42</v>
      </c>
      <c r="Q250" s="125" t="s">
        <v>4555</v>
      </c>
      <c r="R250" s="126" t="s">
        <v>52</v>
      </c>
      <c r="S250" s="124">
        <v>20</v>
      </c>
    </row>
    <row r="251" s="3" customFormat="1" ht="20" customHeight="1" spans="1:19">
      <c r="A251" s="166" t="s">
        <v>537</v>
      </c>
      <c r="B251" s="166" t="s">
        <v>165</v>
      </c>
      <c r="C251" s="162" t="s">
        <v>538</v>
      </c>
      <c r="D251" s="162" t="s">
        <v>156</v>
      </c>
      <c r="E251" s="162" t="s">
        <v>13</v>
      </c>
      <c r="F251" s="27">
        <v>202102003</v>
      </c>
      <c r="G251" s="162" t="s">
        <v>157</v>
      </c>
      <c r="H251" s="162" t="s">
        <v>540</v>
      </c>
      <c r="I251" s="162" t="s">
        <v>179</v>
      </c>
      <c r="J251" s="162" t="s">
        <v>160</v>
      </c>
      <c r="K251" s="162" t="s">
        <v>541</v>
      </c>
      <c r="L251" s="162" t="s">
        <v>25</v>
      </c>
      <c r="M251" s="27">
        <v>0</v>
      </c>
      <c r="N251" s="118" t="str">
        <f>_xlfn.DISPIMG("ID_9605826B48E04C21832E1CDFB6E0AF15",1)</f>
        <v>=DISPIMG("ID_9605826B48E04C21832E1CDFB6E0AF15",1)</v>
      </c>
      <c r="O251" s="115" t="s">
        <v>542</v>
      </c>
      <c r="P251" s="27">
        <v>46</v>
      </c>
      <c r="Q251" s="125" t="s">
        <v>4556</v>
      </c>
      <c r="R251" s="126" t="s">
        <v>52</v>
      </c>
      <c r="S251" s="124">
        <v>29</v>
      </c>
    </row>
    <row r="252" s="3" customFormat="1" ht="20" customHeight="1" spans="1:19">
      <c r="A252" s="166" t="s">
        <v>600</v>
      </c>
      <c r="B252" s="166" t="s">
        <v>165</v>
      </c>
      <c r="C252" s="162" t="s">
        <v>601</v>
      </c>
      <c r="D252" s="162" t="s">
        <v>506</v>
      </c>
      <c r="E252" s="162" t="s">
        <v>13</v>
      </c>
      <c r="F252" s="27">
        <v>202102016</v>
      </c>
      <c r="G252" s="162" t="s">
        <v>157</v>
      </c>
      <c r="H252" s="162" t="s">
        <v>603</v>
      </c>
      <c r="I252" s="162" t="s">
        <v>179</v>
      </c>
      <c r="J252" s="162" t="s">
        <v>160</v>
      </c>
      <c r="K252" s="162" t="s">
        <v>216</v>
      </c>
      <c r="L252" s="162" t="s">
        <v>13</v>
      </c>
      <c r="M252" s="162" t="s">
        <v>604</v>
      </c>
      <c r="N252" s="118" t="str">
        <f>_xlfn.DISPIMG("ID_274A21E15DE94C9DB65D865C0AE50BA3",1)</f>
        <v>=DISPIMG("ID_274A21E15DE94C9DB65D865C0AE50BA3",1)</v>
      </c>
      <c r="O252" s="115" t="s">
        <v>605</v>
      </c>
      <c r="P252" s="27">
        <v>53</v>
      </c>
      <c r="Q252" s="125" t="s">
        <v>4557</v>
      </c>
      <c r="R252" s="126" t="s">
        <v>52</v>
      </c>
      <c r="S252" s="124">
        <v>4</v>
      </c>
    </row>
    <row r="253" s="3" customFormat="1" ht="20" customHeight="1" spans="1:19">
      <c r="A253" s="166" t="s">
        <v>608</v>
      </c>
      <c r="B253" s="166" t="s">
        <v>165</v>
      </c>
      <c r="C253" s="162" t="s">
        <v>609</v>
      </c>
      <c r="D253" s="162" t="s">
        <v>156</v>
      </c>
      <c r="E253" s="162" t="s">
        <v>13</v>
      </c>
      <c r="F253" s="27">
        <v>202102003</v>
      </c>
      <c r="G253" s="162" t="s">
        <v>157</v>
      </c>
      <c r="H253" s="162" t="s">
        <v>611</v>
      </c>
      <c r="I253" s="162" t="s">
        <v>179</v>
      </c>
      <c r="J253" s="162" t="s">
        <v>160</v>
      </c>
      <c r="K253" s="162" t="s">
        <v>261</v>
      </c>
      <c r="L253" s="162" t="s">
        <v>13</v>
      </c>
      <c r="M253" s="27">
        <v>0</v>
      </c>
      <c r="N253" s="118" t="str">
        <f>_xlfn.DISPIMG("ID_AED44616ADF34083BED4818BEE7F954D",1)</f>
        <v>=DISPIMG("ID_AED44616ADF34083BED4818BEE7F954D",1)</v>
      </c>
      <c r="O253" s="115" t="s">
        <v>612</v>
      </c>
      <c r="P253" s="27">
        <v>54</v>
      </c>
      <c r="Q253" s="125" t="s">
        <v>4558</v>
      </c>
      <c r="R253" s="126" t="s">
        <v>52</v>
      </c>
      <c r="S253" s="124">
        <v>9</v>
      </c>
    </row>
    <row r="254" s="3" customFormat="1" ht="20" customHeight="1" spans="1:19">
      <c r="A254" s="166" t="s">
        <v>833</v>
      </c>
      <c r="B254" s="166" t="s">
        <v>165</v>
      </c>
      <c r="C254" s="162" t="s">
        <v>834</v>
      </c>
      <c r="D254" s="162" t="s">
        <v>156</v>
      </c>
      <c r="E254" s="162" t="s">
        <v>13</v>
      </c>
      <c r="F254" s="27">
        <v>202102003</v>
      </c>
      <c r="G254" s="162" t="s">
        <v>279</v>
      </c>
      <c r="H254" s="162" t="s">
        <v>339</v>
      </c>
      <c r="I254" s="162" t="s">
        <v>223</v>
      </c>
      <c r="J254" s="162" t="s">
        <v>170</v>
      </c>
      <c r="K254" s="162" t="s">
        <v>224</v>
      </c>
      <c r="L254" s="162" t="s">
        <v>13</v>
      </c>
      <c r="M254" s="162" t="s">
        <v>836</v>
      </c>
      <c r="N254" s="118" t="str">
        <f>_xlfn.DISPIMG("ID_89C7FFEC948F45D4B7C91F290C37CCB6",1)</f>
        <v>=DISPIMG("ID_89C7FFEC948F45D4B7C91F290C37CCB6",1)</v>
      </c>
      <c r="O254" s="115" t="s">
        <v>837</v>
      </c>
      <c r="P254" s="27">
        <v>82</v>
      </c>
      <c r="Q254" s="125" t="s">
        <v>4559</v>
      </c>
      <c r="R254" s="126" t="s">
        <v>52</v>
      </c>
      <c r="S254" s="124">
        <v>16</v>
      </c>
    </row>
    <row r="255" s="3" customFormat="1" ht="20" customHeight="1" spans="1:19">
      <c r="A255" s="166" t="s">
        <v>994</v>
      </c>
      <c r="B255" s="166" t="s">
        <v>165</v>
      </c>
      <c r="C255" s="162" t="s">
        <v>995</v>
      </c>
      <c r="D255" s="162" t="s">
        <v>156</v>
      </c>
      <c r="E255" s="162" t="s">
        <v>13</v>
      </c>
      <c r="F255" s="27">
        <v>202102003</v>
      </c>
      <c r="G255" s="162" t="s">
        <v>157</v>
      </c>
      <c r="H255" s="162" t="s">
        <v>197</v>
      </c>
      <c r="I255" s="162" t="s">
        <v>179</v>
      </c>
      <c r="J255" s="162" t="s">
        <v>160</v>
      </c>
      <c r="K255" s="162" t="s">
        <v>180</v>
      </c>
      <c r="L255" s="162" t="s">
        <v>997</v>
      </c>
      <c r="M255" s="162" t="s">
        <v>998</v>
      </c>
      <c r="N255" s="118" t="str">
        <f>_xlfn.DISPIMG("ID_10318FA0EB2E4E7ABCD18627E825B2DF",1)</f>
        <v>=DISPIMG("ID_10318FA0EB2E4E7ABCD18627E825B2DF",1)</v>
      </c>
      <c r="O255" s="115" t="s">
        <v>999</v>
      </c>
      <c r="P255" s="27">
        <v>101</v>
      </c>
      <c r="Q255" s="125" t="s">
        <v>4560</v>
      </c>
      <c r="R255" s="126" t="s">
        <v>52</v>
      </c>
      <c r="S255" s="124">
        <v>21</v>
      </c>
    </row>
    <row r="256" s="3" customFormat="1" ht="20" customHeight="1" spans="1:19">
      <c r="A256" s="166" t="s">
        <v>1018</v>
      </c>
      <c r="B256" s="166" t="s">
        <v>165</v>
      </c>
      <c r="C256" s="162" t="s">
        <v>1019</v>
      </c>
      <c r="D256" s="162" t="s">
        <v>156</v>
      </c>
      <c r="E256" s="162" t="s">
        <v>13</v>
      </c>
      <c r="F256" s="27">
        <v>202102003</v>
      </c>
      <c r="G256" s="162" t="s">
        <v>157</v>
      </c>
      <c r="H256" s="162" t="s">
        <v>827</v>
      </c>
      <c r="I256" s="162" t="s">
        <v>1021</v>
      </c>
      <c r="J256" s="162" t="s">
        <v>160</v>
      </c>
      <c r="K256" s="162" t="s">
        <v>281</v>
      </c>
      <c r="L256" s="162" t="s">
        <v>1022</v>
      </c>
      <c r="M256" s="162" t="s">
        <v>1023</v>
      </c>
      <c r="N256" s="118" t="str">
        <f>_xlfn.DISPIMG("ID_8ABFE7CB3D4544BB889DAF8FFFAF27BC",1)</f>
        <v>=DISPIMG("ID_8ABFE7CB3D4544BB889DAF8FFFAF27BC",1)</v>
      </c>
      <c r="O256" s="115" t="s">
        <v>1024</v>
      </c>
      <c r="P256" s="27">
        <v>104</v>
      </c>
      <c r="Q256" s="125" t="s">
        <v>4561</v>
      </c>
      <c r="R256" s="126" t="s">
        <v>52</v>
      </c>
      <c r="S256" s="124">
        <v>28</v>
      </c>
    </row>
    <row r="257" s="3" customFormat="1" ht="20" customHeight="1" spans="1:19">
      <c r="A257" s="166" t="s">
        <v>1109</v>
      </c>
      <c r="B257" s="166" t="s">
        <v>165</v>
      </c>
      <c r="C257" s="162" t="s">
        <v>1110</v>
      </c>
      <c r="D257" s="162" t="s">
        <v>384</v>
      </c>
      <c r="E257" s="162" t="s">
        <v>13</v>
      </c>
      <c r="F257" s="27">
        <v>202102003</v>
      </c>
      <c r="G257" s="162" t="s">
        <v>157</v>
      </c>
      <c r="H257" s="162" t="s">
        <v>1112</v>
      </c>
      <c r="I257" s="162" t="s">
        <v>1113</v>
      </c>
      <c r="J257" s="162" t="s">
        <v>160</v>
      </c>
      <c r="K257" s="162" t="s">
        <v>368</v>
      </c>
      <c r="L257" s="162" t="s">
        <v>13</v>
      </c>
      <c r="M257" s="162" t="s">
        <v>1114</v>
      </c>
      <c r="N257" s="118" t="str">
        <f>_xlfn.DISPIMG("ID_E90456CE8BF84902B589BDD1B517D38B",1)</f>
        <v>=DISPIMG("ID_E90456CE8BF84902B589BDD1B517D38B",1)</v>
      </c>
      <c r="O257" s="115" t="s">
        <v>1115</v>
      </c>
      <c r="P257" s="27">
        <v>116</v>
      </c>
      <c r="Q257" s="125" t="s">
        <v>4562</v>
      </c>
      <c r="R257" s="126" t="s">
        <v>52</v>
      </c>
      <c r="S257" s="124">
        <v>3</v>
      </c>
    </row>
    <row r="258" s="3" customFormat="1" ht="20" customHeight="1" spans="1:19">
      <c r="A258" s="166" t="s">
        <v>1118</v>
      </c>
      <c r="B258" s="166" t="s">
        <v>165</v>
      </c>
      <c r="C258" s="162" t="s">
        <v>1119</v>
      </c>
      <c r="D258" s="162" t="s">
        <v>156</v>
      </c>
      <c r="E258" s="162" t="s">
        <v>13</v>
      </c>
      <c r="F258" s="27">
        <v>202102003</v>
      </c>
      <c r="G258" s="162" t="s">
        <v>157</v>
      </c>
      <c r="H258" s="162" t="s">
        <v>1121</v>
      </c>
      <c r="I258" s="162" t="s">
        <v>1122</v>
      </c>
      <c r="J258" s="162" t="s">
        <v>160</v>
      </c>
      <c r="K258" s="162" t="s">
        <v>577</v>
      </c>
      <c r="L258" s="162" t="s">
        <v>13</v>
      </c>
      <c r="M258" s="162" t="s">
        <v>1123</v>
      </c>
      <c r="N258" s="118" t="str">
        <f>_xlfn.DISPIMG("ID_FE9003ADDBCE49A4979CC74582466077",1)</f>
        <v>=DISPIMG("ID_FE9003ADDBCE49A4979CC74582466077",1)</v>
      </c>
      <c r="O258" s="115" t="s">
        <v>1124</v>
      </c>
      <c r="P258" s="27">
        <v>117</v>
      </c>
      <c r="Q258" s="125" t="s">
        <v>4563</v>
      </c>
      <c r="R258" s="126" t="s">
        <v>52</v>
      </c>
      <c r="S258" s="124">
        <v>10</v>
      </c>
    </row>
    <row r="259" s="3" customFormat="1" ht="20" customHeight="1" spans="1:19">
      <c r="A259" s="166" t="s">
        <v>1176</v>
      </c>
      <c r="B259" s="166" t="s">
        <v>165</v>
      </c>
      <c r="C259" s="162" t="s">
        <v>1177</v>
      </c>
      <c r="D259" s="162" t="s">
        <v>156</v>
      </c>
      <c r="E259" s="162" t="s">
        <v>13</v>
      </c>
      <c r="F259" s="27">
        <v>202102003</v>
      </c>
      <c r="G259" s="162" t="s">
        <v>157</v>
      </c>
      <c r="H259" s="162" t="s">
        <v>1179</v>
      </c>
      <c r="I259" s="162" t="s">
        <v>298</v>
      </c>
      <c r="J259" s="162" t="s">
        <v>160</v>
      </c>
      <c r="K259" s="162" t="s">
        <v>171</v>
      </c>
      <c r="L259" s="162" t="s">
        <v>13</v>
      </c>
      <c r="M259" s="162" t="s">
        <v>1180</v>
      </c>
      <c r="N259" s="118" t="str">
        <f>_xlfn.DISPIMG("ID_DB5AD54F043740C8B3AEB4879C927DCC",1)</f>
        <v>=DISPIMG("ID_DB5AD54F043740C8B3AEB4879C927DCC",1)</v>
      </c>
      <c r="O259" s="115" t="s">
        <v>1181</v>
      </c>
      <c r="P259" s="27">
        <v>124</v>
      </c>
      <c r="Q259" s="125" t="s">
        <v>4564</v>
      </c>
      <c r="R259" s="126" t="s">
        <v>52</v>
      </c>
      <c r="S259" s="124">
        <v>15</v>
      </c>
    </row>
    <row r="260" s="3" customFormat="1" ht="20" customHeight="1" spans="1:19">
      <c r="A260" s="166" t="s">
        <v>1184</v>
      </c>
      <c r="B260" s="166" t="s">
        <v>165</v>
      </c>
      <c r="C260" s="162" t="s">
        <v>1185</v>
      </c>
      <c r="D260" s="162" t="s">
        <v>156</v>
      </c>
      <c r="E260" s="162" t="s">
        <v>13</v>
      </c>
      <c r="F260" s="27">
        <v>202102003</v>
      </c>
      <c r="G260" s="162" t="s">
        <v>157</v>
      </c>
      <c r="H260" s="162" t="s">
        <v>197</v>
      </c>
      <c r="I260" s="162" t="s">
        <v>179</v>
      </c>
      <c r="J260" s="162" t="s">
        <v>160</v>
      </c>
      <c r="K260" s="162" t="s">
        <v>577</v>
      </c>
      <c r="L260" s="162" t="s">
        <v>1187</v>
      </c>
      <c r="M260" s="162" t="s">
        <v>1188</v>
      </c>
      <c r="N260" s="118" t="str">
        <f>_xlfn.DISPIMG("ID_CF1AB7C1F93745BDBA48E23E3B3C5BFF",1)</f>
        <v>=DISPIMG("ID_CF1AB7C1F93745BDBA48E23E3B3C5BFF",1)</v>
      </c>
      <c r="O260" s="115" t="s">
        <v>1189</v>
      </c>
      <c r="P260" s="27">
        <v>125</v>
      </c>
      <c r="Q260" s="125" t="s">
        <v>4565</v>
      </c>
      <c r="R260" s="126" t="s">
        <v>52</v>
      </c>
      <c r="S260" s="124">
        <v>22</v>
      </c>
    </row>
    <row r="261" s="3" customFormat="1" ht="20" customHeight="1" spans="1:19">
      <c r="A261" s="166" t="s">
        <v>1192</v>
      </c>
      <c r="B261" s="166" t="s">
        <v>165</v>
      </c>
      <c r="C261" s="162" t="s">
        <v>1193</v>
      </c>
      <c r="D261" s="162" t="s">
        <v>156</v>
      </c>
      <c r="E261" s="162" t="s">
        <v>13</v>
      </c>
      <c r="F261" s="27">
        <v>202102003</v>
      </c>
      <c r="G261" s="162" t="s">
        <v>157</v>
      </c>
      <c r="H261" s="162" t="s">
        <v>233</v>
      </c>
      <c r="I261" s="162" t="s">
        <v>1195</v>
      </c>
      <c r="J261" s="162" t="s">
        <v>170</v>
      </c>
      <c r="K261" s="162" t="s">
        <v>587</v>
      </c>
      <c r="L261" s="162" t="s">
        <v>13</v>
      </c>
      <c r="M261" s="162" t="s">
        <v>1196</v>
      </c>
      <c r="N261" s="118" t="str">
        <f>_xlfn.DISPIMG("ID_1776A5AD18184E18978F80ADFFF4A0AF",1)</f>
        <v>=DISPIMG("ID_1776A5AD18184E18978F80ADFFF4A0AF",1)</v>
      </c>
      <c r="O261" s="115" t="s">
        <v>1197</v>
      </c>
      <c r="P261" s="27">
        <v>126</v>
      </c>
      <c r="Q261" s="125" t="s">
        <v>4566</v>
      </c>
      <c r="R261" s="126" t="s">
        <v>52</v>
      </c>
      <c r="S261" s="124">
        <v>27</v>
      </c>
    </row>
    <row r="262" s="3" customFormat="1" ht="20" customHeight="1" spans="1:19">
      <c r="A262" s="166" t="s">
        <v>1210</v>
      </c>
      <c r="B262" s="166" t="s">
        <v>165</v>
      </c>
      <c r="C262" s="162" t="s">
        <v>1211</v>
      </c>
      <c r="D262" s="162" t="s">
        <v>156</v>
      </c>
      <c r="E262" s="162" t="s">
        <v>13</v>
      </c>
      <c r="F262" s="27">
        <v>202102003</v>
      </c>
      <c r="G262" s="162" t="s">
        <v>157</v>
      </c>
      <c r="H262" s="162" t="s">
        <v>1213</v>
      </c>
      <c r="I262" s="162" t="s">
        <v>1214</v>
      </c>
      <c r="J262" s="162" t="s">
        <v>160</v>
      </c>
      <c r="K262" s="162" t="s">
        <v>252</v>
      </c>
      <c r="L262" s="162" t="s">
        <v>13</v>
      </c>
      <c r="M262" s="27">
        <v>0</v>
      </c>
      <c r="N262" s="118" t="str">
        <f>_xlfn.DISPIMG("ID_FBB70D9010F74144B210C02BDB9CE6A1",1)</f>
        <v>=DISPIMG("ID_FBB70D9010F74144B210C02BDB9CE6A1",1)</v>
      </c>
      <c r="O262" s="115" t="s">
        <v>1215</v>
      </c>
      <c r="P262" s="27">
        <v>128</v>
      </c>
      <c r="Q262" s="125" t="s">
        <v>4567</v>
      </c>
      <c r="R262" s="126" t="s">
        <v>52</v>
      </c>
      <c r="S262" s="124">
        <v>2</v>
      </c>
    </row>
    <row r="263" s="3" customFormat="1" ht="20" customHeight="1" spans="1:19">
      <c r="A263" s="166" t="s">
        <v>1270</v>
      </c>
      <c r="B263" s="166" t="s">
        <v>153</v>
      </c>
      <c r="C263" s="162" t="s">
        <v>1271</v>
      </c>
      <c r="D263" s="162" t="s">
        <v>156</v>
      </c>
      <c r="E263" s="162" t="s">
        <v>13</v>
      </c>
      <c r="F263" s="27">
        <v>202102003</v>
      </c>
      <c r="G263" s="162" t="s">
        <v>279</v>
      </c>
      <c r="H263" s="162" t="s">
        <v>1273</v>
      </c>
      <c r="I263" s="162" t="s">
        <v>223</v>
      </c>
      <c r="J263" s="162" t="s">
        <v>170</v>
      </c>
      <c r="K263" s="162" t="s">
        <v>548</v>
      </c>
      <c r="L263" s="162" t="s">
        <v>13</v>
      </c>
      <c r="M263" s="162" t="s">
        <v>1274</v>
      </c>
      <c r="N263" s="118" t="str">
        <f>_xlfn.DISPIMG("ID_DF04DBFB481D40418B898CD7AB20784A",1)</f>
        <v>=DISPIMG("ID_DF04DBFB481D40418B898CD7AB20784A",1)</v>
      </c>
      <c r="O263" s="115" t="s">
        <v>1275</v>
      </c>
      <c r="P263" s="27">
        <v>136</v>
      </c>
      <c r="Q263" s="125" t="s">
        <v>4568</v>
      </c>
      <c r="R263" s="126" t="s">
        <v>52</v>
      </c>
      <c r="S263" s="124">
        <v>11</v>
      </c>
    </row>
    <row r="264" s="3" customFormat="1" ht="20" customHeight="1" spans="1:19">
      <c r="A264" s="166" t="s">
        <v>1311</v>
      </c>
      <c r="B264" s="166" t="s">
        <v>165</v>
      </c>
      <c r="C264" s="162" t="s">
        <v>1312</v>
      </c>
      <c r="D264" s="162" t="s">
        <v>156</v>
      </c>
      <c r="E264" s="162" t="s">
        <v>13</v>
      </c>
      <c r="F264" s="27">
        <v>202102003</v>
      </c>
      <c r="G264" s="162" t="s">
        <v>157</v>
      </c>
      <c r="H264" s="162" t="s">
        <v>697</v>
      </c>
      <c r="I264" s="162" t="s">
        <v>243</v>
      </c>
      <c r="J264" s="162" t="s">
        <v>160</v>
      </c>
      <c r="K264" s="162" t="s">
        <v>368</v>
      </c>
      <c r="L264" s="162" t="s">
        <v>13</v>
      </c>
      <c r="M264" s="162" t="s">
        <v>1314</v>
      </c>
      <c r="N264" s="118" t="str">
        <f>_xlfn.DISPIMG("ID_7D2290FD7009470AB45B6E90DB94AE0B",1)</f>
        <v>=DISPIMG("ID_7D2290FD7009470AB45B6E90DB94AE0B",1)</v>
      </c>
      <c r="O264" s="115" t="s">
        <v>1315</v>
      </c>
      <c r="P264" s="27">
        <v>142</v>
      </c>
      <c r="Q264" s="125" t="s">
        <v>4569</v>
      </c>
      <c r="R264" s="126" t="s">
        <v>52</v>
      </c>
      <c r="S264" s="124">
        <v>14</v>
      </c>
    </row>
    <row r="265" s="3" customFormat="1" ht="20" customHeight="1" spans="1:19">
      <c r="A265" s="166" t="s">
        <v>1357</v>
      </c>
      <c r="B265" s="166" t="s">
        <v>165</v>
      </c>
      <c r="C265" s="162" t="s">
        <v>1358</v>
      </c>
      <c r="D265" s="162" t="s">
        <v>156</v>
      </c>
      <c r="E265" s="162" t="s">
        <v>13</v>
      </c>
      <c r="F265" s="27">
        <v>202102003</v>
      </c>
      <c r="G265" s="162" t="s">
        <v>157</v>
      </c>
      <c r="H265" s="162" t="s">
        <v>1360</v>
      </c>
      <c r="I265" s="162" t="s">
        <v>223</v>
      </c>
      <c r="J265" s="162" t="s">
        <v>170</v>
      </c>
      <c r="K265" s="162" t="s">
        <v>587</v>
      </c>
      <c r="L265" s="162" t="s">
        <v>1361</v>
      </c>
      <c r="M265" s="162" t="s">
        <v>1362</v>
      </c>
      <c r="N265" s="118" t="str">
        <f>_xlfn.DISPIMG("ID_F234455BC8F04A26B7C1140CBE7FB1F1",1)</f>
        <v>=DISPIMG("ID_F234455BC8F04A26B7C1140CBE7FB1F1",1)</v>
      </c>
      <c r="O265" s="115" t="s">
        <v>1363</v>
      </c>
      <c r="P265" s="27">
        <v>148</v>
      </c>
      <c r="Q265" s="125" t="s">
        <v>4570</v>
      </c>
      <c r="R265" s="126" t="s">
        <v>52</v>
      </c>
      <c r="S265" s="124">
        <v>23</v>
      </c>
    </row>
    <row r="266" s="3" customFormat="1" ht="20" customHeight="1" spans="1:19">
      <c r="A266" s="166" t="s">
        <v>1463</v>
      </c>
      <c r="B266" s="166" t="s">
        <v>165</v>
      </c>
      <c r="C266" s="162" t="s">
        <v>1464</v>
      </c>
      <c r="D266" s="162" t="s">
        <v>156</v>
      </c>
      <c r="E266" s="162" t="s">
        <v>13</v>
      </c>
      <c r="F266" s="27">
        <v>202102003</v>
      </c>
      <c r="G266" s="162" t="s">
        <v>157</v>
      </c>
      <c r="H266" s="162" t="s">
        <v>1466</v>
      </c>
      <c r="I266" s="162" t="s">
        <v>179</v>
      </c>
      <c r="J266" s="162" t="s">
        <v>160</v>
      </c>
      <c r="K266" s="162" t="s">
        <v>281</v>
      </c>
      <c r="L266" s="162" t="s">
        <v>1467</v>
      </c>
      <c r="M266" s="162" t="s">
        <v>1468</v>
      </c>
      <c r="N266" s="118" t="str">
        <f>_xlfn.DISPIMG("ID_050656778A6D494197B2CC367B7C8BBA",1)</f>
        <v>=DISPIMG("ID_050656778A6D494197B2CC367B7C8BBA",1)</v>
      </c>
      <c r="O266" s="115" t="s">
        <v>1469</v>
      </c>
      <c r="P266" s="27">
        <v>162</v>
      </c>
      <c r="Q266" s="125" t="s">
        <v>4571</v>
      </c>
      <c r="R266" s="126" t="s">
        <v>52</v>
      </c>
      <c r="S266" s="124">
        <v>26</v>
      </c>
    </row>
    <row r="267" s="3" customFormat="1" ht="20" customHeight="1" spans="1:19">
      <c r="A267" s="166" t="s">
        <v>1477</v>
      </c>
      <c r="B267" s="166" t="s">
        <v>153</v>
      </c>
      <c r="C267" s="162" t="s">
        <v>1478</v>
      </c>
      <c r="D267" s="162" t="s">
        <v>156</v>
      </c>
      <c r="E267" s="162" t="s">
        <v>13</v>
      </c>
      <c r="F267" s="27">
        <v>202102003</v>
      </c>
      <c r="G267" s="162" t="s">
        <v>157</v>
      </c>
      <c r="H267" s="162" t="s">
        <v>1480</v>
      </c>
      <c r="I267" s="162" t="s">
        <v>1481</v>
      </c>
      <c r="J267" s="162" t="s">
        <v>160</v>
      </c>
      <c r="K267" s="162" t="s">
        <v>235</v>
      </c>
      <c r="L267" s="162" t="s">
        <v>13</v>
      </c>
      <c r="M267" s="162" t="s">
        <v>1482</v>
      </c>
      <c r="N267" s="118" t="str">
        <f>_xlfn.DISPIMG("ID_7EA9DB823A764F28A536B4FEC9EB2A2B",1)</f>
        <v>=DISPIMG("ID_7EA9DB823A764F28A536B4FEC9EB2A2B",1)</v>
      </c>
      <c r="O267" s="115" t="s">
        <v>1483</v>
      </c>
      <c r="P267" s="27">
        <v>164</v>
      </c>
      <c r="Q267" s="125" t="s">
        <v>4572</v>
      </c>
      <c r="R267" s="126" t="s">
        <v>52</v>
      </c>
      <c r="S267" s="124">
        <v>1</v>
      </c>
    </row>
    <row r="268" s="3" customFormat="1" ht="20" customHeight="1" spans="1:19">
      <c r="A268" s="166" t="s">
        <v>1486</v>
      </c>
      <c r="B268" s="166" t="s">
        <v>165</v>
      </c>
      <c r="C268" s="162" t="s">
        <v>1487</v>
      </c>
      <c r="D268" s="162" t="s">
        <v>156</v>
      </c>
      <c r="E268" s="162" t="s">
        <v>13</v>
      </c>
      <c r="F268" s="27">
        <v>202102003</v>
      </c>
      <c r="G268" s="162" t="s">
        <v>157</v>
      </c>
      <c r="H268" s="162" t="s">
        <v>233</v>
      </c>
      <c r="I268" s="162" t="s">
        <v>1489</v>
      </c>
      <c r="J268" s="162" t="s">
        <v>170</v>
      </c>
      <c r="K268" s="162" t="s">
        <v>1490</v>
      </c>
      <c r="L268" s="162" t="s">
        <v>1491</v>
      </c>
      <c r="M268" s="162" t="s">
        <v>1492</v>
      </c>
      <c r="N268" s="118" t="str">
        <f>_xlfn.DISPIMG("ID_8C3008D7D3C74B79A4E1698AF4E9725F",1)</f>
        <v>=DISPIMG("ID_8C3008D7D3C74B79A4E1698AF4E9725F",1)</v>
      </c>
      <c r="O268" s="115" t="s">
        <v>1493</v>
      </c>
      <c r="P268" s="27">
        <v>165</v>
      </c>
      <c r="Q268" s="125" t="s">
        <v>4573</v>
      </c>
      <c r="R268" s="126" t="s">
        <v>52</v>
      </c>
      <c r="S268" s="124">
        <v>12</v>
      </c>
    </row>
    <row r="269" s="3" customFormat="1" ht="20" customHeight="1" spans="1:19">
      <c r="A269" s="166" t="s">
        <v>1503</v>
      </c>
      <c r="B269" s="166" t="s">
        <v>165</v>
      </c>
      <c r="C269" s="162" t="s">
        <v>1504</v>
      </c>
      <c r="D269" s="162" t="s">
        <v>156</v>
      </c>
      <c r="E269" s="162" t="s">
        <v>13</v>
      </c>
      <c r="F269" s="27">
        <v>202102003</v>
      </c>
      <c r="G269" s="162" t="s">
        <v>157</v>
      </c>
      <c r="H269" s="162" t="s">
        <v>827</v>
      </c>
      <c r="I269" s="162" t="s">
        <v>223</v>
      </c>
      <c r="J269" s="162" t="s">
        <v>170</v>
      </c>
      <c r="K269" s="162" t="s">
        <v>180</v>
      </c>
      <c r="L269" s="162" t="s">
        <v>1506</v>
      </c>
      <c r="M269" s="162" t="s">
        <v>1507</v>
      </c>
      <c r="N269" s="118" t="str">
        <f>_xlfn.DISPIMG("ID_ADCECB4C3BFF4D9FA761F0B3617DDB20",1)</f>
        <v>=DISPIMG("ID_ADCECB4C3BFF4D9FA761F0B3617DDB20",1)</v>
      </c>
      <c r="O269" s="115" t="s">
        <v>1508</v>
      </c>
      <c r="P269" s="27">
        <v>167</v>
      </c>
      <c r="Q269" s="125" t="s">
        <v>4574</v>
      </c>
      <c r="R269" s="126" t="s">
        <v>52</v>
      </c>
      <c r="S269" s="124">
        <v>13</v>
      </c>
    </row>
    <row r="270" s="3" customFormat="1" ht="20" customHeight="1" spans="1:19">
      <c r="A270" s="166" t="s">
        <v>1528</v>
      </c>
      <c r="B270" s="166" t="s">
        <v>165</v>
      </c>
      <c r="C270" s="162" t="s">
        <v>1529</v>
      </c>
      <c r="D270" s="162" t="s">
        <v>156</v>
      </c>
      <c r="E270" s="162" t="s">
        <v>13</v>
      </c>
      <c r="F270" s="27">
        <v>202102003</v>
      </c>
      <c r="G270" s="162" t="s">
        <v>157</v>
      </c>
      <c r="H270" s="162" t="s">
        <v>385</v>
      </c>
      <c r="I270" s="162" t="s">
        <v>179</v>
      </c>
      <c r="J270" s="162" t="s">
        <v>160</v>
      </c>
      <c r="K270" s="162" t="s">
        <v>548</v>
      </c>
      <c r="L270" s="162" t="s">
        <v>25</v>
      </c>
      <c r="M270" s="162" t="s">
        <v>1531</v>
      </c>
      <c r="N270" s="118" t="str">
        <f>_xlfn.DISPIMG("ID_8A933BECC5A94F3D8B394A9689736C52",1)</f>
        <v>=DISPIMG("ID_8A933BECC5A94F3D8B394A9689736C52",1)</v>
      </c>
      <c r="O270" s="115" t="s">
        <v>1532</v>
      </c>
      <c r="P270" s="27">
        <v>170</v>
      </c>
      <c r="Q270" s="125" t="s">
        <v>4575</v>
      </c>
      <c r="R270" s="126" t="s">
        <v>52</v>
      </c>
      <c r="S270" s="124">
        <v>24</v>
      </c>
    </row>
    <row r="271" s="3" customFormat="1" ht="20" customHeight="1" spans="1:19">
      <c r="A271" s="166" t="s">
        <v>1643</v>
      </c>
      <c r="B271" s="166" t="s">
        <v>153</v>
      </c>
      <c r="C271" s="162" t="s">
        <v>1644</v>
      </c>
      <c r="D271" s="162" t="s">
        <v>156</v>
      </c>
      <c r="E271" s="162" t="s">
        <v>13</v>
      </c>
      <c r="F271" s="27">
        <v>202102003</v>
      </c>
      <c r="G271" s="162" t="s">
        <v>157</v>
      </c>
      <c r="H271" s="162" t="s">
        <v>1646</v>
      </c>
      <c r="I271" s="162" t="s">
        <v>1647</v>
      </c>
      <c r="J271" s="162" t="s">
        <v>160</v>
      </c>
      <c r="K271" s="162" t="s">
        <v>261</v>
      </c>
      <c r="L271" s="162" t="s">
        <v>1506</v>
      </c>
      <c r="M271" s="27">
        <v>0</v>
      </c>
      <c r="N271" s="118" t="str">
        <f>_xlfn.DISPIMG("ID_B4AD11310DDA4138B05F8034BA3D88DD",1)</f>
        <v>=DISPIMG("ID_B4AD11310DDA4138B05F8034BA3D88DD",1)</v>
      </c>
      <c r="O271" s="115" t="s">
        <v>1648</v>
      </c>
      <c r="P271" s="27">
        <v>185</v>
      </c>
      <c r="Q271" s="125" t="s">
        <v>4576</v>
      </c>
      <c r="R271" s="126" t="s">
        <v>52</v>
      </c>
      <c r="S271" s="124">
        <v>25</v>
      </c>
    </row>
    <row r="272" s="3" customFormat="1" ht="20" customHeight="1" spans="1:19">
      <c r="A272" s="166" t="s">
        <v>1651</v>
      </c>
      <c r="B272" s="166" t="s">
        <v>165</v>
      </c>
      <c r="C272" s="162" t="s">
        <v>1652</v>
      </c>
      <c r="D272" s="162" t="s">
        <v>156</v>
      </c>
      <c r="E272" s="162" t="s">
        <v>13</v>
      </c>
      <c r="F272" s="27">
        <v>202102003</v>
      </c>
      <c r="G272" s="162" t="s">
        <v>157</v>
      </c>
      <c r="H272" s="162" t="s">
        <v>1654</v>
      </c>
      <c r="I272" s="162" t="s">
        <v>179</v>
      </c>
      <c r="J272" s="162" t="s">
        <v>160</v>
      </c>
      <c r="K272" s="162" t="s">
        <v>235</v>
      </c>
      <c r="L272" s="162" t="s">
        <v>13</v>
      </c>
      <c r="M272" s="27">
        <v>0</v>
      </c>
      <c r="N272" s="118" t="str">
        <f>_xlfn.DISPIMG("ID_3972EE6FED8B40BFAB5CECB7F30981FD",1)</f>
        <v>=DISPIMG("ID_3972EE6FED8B40BFAB5CECB7F30981FD",1)</v>
      </c>
      <c r="O272" s="115" t="s">
        <v>1655</v>
      </c>
      <c r="P272" s="27">
        <v>186</v>
      </c>
      <c r="Q272" s="125" t="s">
        <v>4577</v>
      </c>
      <c r="R272" s="126" t="s">
        <v>54</v>
      </c>
      <c r="S272" s="124">
        <v>6</v>
      </c>
    </row>
    <row r="273" s="3" customFormat="1" ht="20" customHeight="1" spans="1:19">
      <c r="A273" s="166" t="s">
        <v>1715</v>
      </c>
      <c r="B273" s="166" t="s">
        <v>165</v>
      </c>
      <c r="C273" s="162" t="s">
        <v>1716</v>
      </c>
      <c r="D273" s="162" t="s">
        <v>156</v>
      </c>
      <c r="E273" s="162" t="s">
        <v>13</v>
      </c>
      <c r="F273" s="27">
        <v>202102003</v>
      </c>
      <c r="G273" s="162" t="s">
        <v>157</v>
      </c>
      <c r="H273" s="162" t="s">
        <v>1718</v>
      </c>
      <c r="I273" s="162" t="s">
        <v>1195</v>
      </c>
      <c r="J273" s="162" t="s">
        <v>170</v>
      </c>
      <c r="K273" s="162" t="s">
        <v>281</v>
      </c>
      <c r="L273" s="162" t="s">
        <v>13</v>
      </c>
      <c r="M273" s="162" t="s">
        <v>1719</v>
      </c>
      <c r="N273" s="118" t="str">
        <f>_xlfn.DISPIMG("ID_33BA8978EFEE4AA59909527B43B2E1C1",1)</f>
        <v>=DISPIMG("ID_33BA8978EFEE4AA59909527B43B2E1C1",1)</v>
      </c>
      <c r="O273" s="115" t="s">
        <v>1720</v>
      </c>
      <c r="P273" s="27">
        <v>194</v>
      </c>
      <c r="Q273" s="125" t="s">
        <v>4578</v>
      </c>
      <c r="R273" s="126" t="s">
        <v>54</v>
      </c>
      <c r="S273" s="124">
        <v>7</v>
      </c>
    </row>
    <row r="274" s="3" customFormat="1" ht="20" customHeight="1" spans="1:19">
      <c r="A274" s="166" t="s">
        <v>1744</v>
      </c>
      <c r="B274" s="166" t="s">
        <v>153</v>
      </c>
      <c r="C274" s="162" t="s">
        <v>1745</v>
      </c>
      <c r="D274" s="162" t="s">
        <v>384</v>
      </c>
      <c r="E274" s="162" t="s">
        <v>13</v>
      </c>
      <c r="F274" s="27">
        <v>202102003</v>
      </c>
      <c r="G274" s="162" t="s">
        <v>279</v>
      </c>
      <c r="H274" s="162" t="s">
        <v>158</v>
      </c>
      <c r="I274" s="162" t="s">
        <v>223</v>
      </c>
      <c r="J274" s="162" t="s">
        <v>170</v>
      </c>
      <c r="K274" s="162" t="s">
        <v>281</v>
      </c>
      <c r="L274" s="162" t="s">
        <v>225</v>
      </c>
      <c r="M274" s="162" t="s">
        <v>1747</v>
      </c>
      <c r="N274" s="118" t="str">
        <f>_xlfn.DISPIMG("ID_5044DE99F5764C15B715286BE7DA4EE0",1)</f>
        <v>=DISPIMG("ID_5044DE99F5764C15B715286BE7DA4EE0",1)</v>
      </c>
      <c r="O274" s="115" t="s">
        <v>1748</v>
      </c>
      <c r="P274" s="27">
        <v>198</v>
      </c>
      <c r="Q274" s="125" t="s">
        <v>4579</v>
      </c>
      <c r="R274" s="126" t="s">
        <v>54</v>
      </c>
      <c r="S274" s="124">
        <v>18</v>
      </c>
    </row>
    <row r="275" s="3" customFormat="1" ht="20" customHeight="1" spans="1:19">
      <c r="A275" s="166" t="s">
        <v>1759</v>
      </c>
      <c r="B275" s="166" t="s">
        <v>165</v>
      </c>
      <c r="C275" s="162" t="s">
        <v>1760</v>
      </c>
      <c r="D275" s="162" t="s">
        <v>156</v>
      </c>
      <c r="E275" s="162" t="s">
        <v>13</v>
      </c>
      <c r="F275" s="27">
        <v>202102003</v>
      </c>
      <c r="G275" s="162" t="s">
        <v>279</v>
      </c>
      <c r="H275" s="162" t="s">
        <v>158</v>
      </c>
      <c r="I275" s="162" t="s">
        <v>298</v>
      </c>
      <c r="J275" s="162" t="s">
        <v>160</v>
      </c>
      <c r="K275" s="162" t="s">
        <v>910</v>
      </c>
      <c r="L275" s="162" t="s">
        <v>13</v>
      </c>
      <c r="M275" s="162" t="s">
        <v>1762</v>
      </c>
      <c r="N275" s="118" t="str">
        <f>_xlfn.DISPIMG("ID_6061453C50E94D60AD50D7D119779DE5",1)</f>
        <v>=DISPIMG("ID_6061453C50E94D60AD50D7D119779DE5",1)</v>
      </c>
      <c r="O275" s="115" t="s">
        <v>1763</v>
      </c>
      <c r="P275" s="27">
        <v>200</v>
      </c>
      <c r="Q275" s="125" t="s">
        <v>4580</v>
      </c>
      <c r="R275" s="126" t="s">
        <v>54</v>
      </c>
      <c r="S275" s="124">
        <v>19</v>
      </c>
    </row>
    <row r="276" s="3" customFormat="1" ht="20" customHeight="1" spans="1:19">
      <c r="A276" s="166" t="s">
        <v>1781</v>
      </c>
      <c r="B276" s="166" t="s">
        <v>165</v>
      </c>
      <c r="C276" s="162" t="s">
        <v>1782</v>
      </c>
      <c r="D276" s="162" t="s">
        <v>156</v>
      </c>
      <c r="E276" s="162" t="s">
        <v>13</v>
      </c>
      <c r="F276" s="27">
        <v>202102003</v>
      </c>
      <c r="G276" s="162" t="s">
        <v>157</v>
      </c>
      <c r="H276" s="162" t="s">
        <v>1784</v>
      </c>
      <c r="I276" s="162" t="s">
        <v>243</v>
      </c>
      <c r="J276" s="162" t="s">
        <v>160</v>
      </c>
      <c r="K276" s="162" t="s">
        <v>516</v>
      </c>
      <c r="L276" s="162" t="s">
        <v>25</v>
      </c>
      <c r="M276" s="162" t="s">
        <v>1785</v>
      </c>
      <c r="N276" s="118" t="str">
        <f>_xlfn.DISPIMG("ID_FAA9DF7D97144F66A8EC0127C6ABD49F",1)</f>
        <v>=DISPIMG("ID_FAA9DF7D97144F66A8EC0127C6ABD49F",1)</v>
      </c>
      <c r="O276" s="115" t="s">
        <v>1786</v>
      </c>
      <c r="P276" s="27">
        <v>203</v>
      </c>
      <c r="Q276" s="125" t="s">
        <v>4581</v>
      </c>
      <c r="R276" s="126" t="s">
        <v>54</v>
      </c>
      <c r="S276" s="124">
        <v>30</v>
      </c>
    </row>
    <row r="277" s="3" customFormat="1" ht="20" customHeight="1" spans="1:19">
      <c r="A277" s="166" t="s">
        <v>1868</v>
      </c>
      <c r="B277" s="166" t="s">
        <v>165</v>
      </c>
      <c r="C277" s="162" t="s">
        <v>1869</v>
      </c>
      <c r="D277" s="162" t="s">
        <v>156</v>
      </c>
      <c r="E277" s="162" t="s">
        <v>13</v>
      </c>
      <c r="F277" s="27">
        <v>202102003</v>
      </c>
      <c r="G277" s="162" t="s">
        <v>157</v>
      </c>
      <c r="H277" s="162" t="s">
        <v>697</v>
      </c>
      <c r="I277" s="162" t="s">
        <v>179</v>
      </c>
      <c r="J277" s="162" t="s">
        <v>160</v>
      </c>
      <c r="K277" s="162" t="s">
        <v>161</v>
      </c>
      <c r="L277" s="162" t="s">
        <v>13</v>
      </c>
      <c r="M277" s="162" t="s">
        <v>1871</v>
      </c>
      <c r="N277" s="118" t="str">
        <f>_xlfn.DISPIMG("ID_8FA08A92AF314DECB56C8C1E101E9B2E",1)</f>
        <v>=DISPIMG("ID_8FA08A92AF314DECB56C8C1E101E9B2E",1)</v>
      </c>
      <c r="O277" s="115" t="s">
        <v>1872</v>
      </c>
      <c r="P277" s="27">
        <v>214</v>
      </c>
      <c r="Q277" s="125" t="s">
        <v>4582</v>
      </c>
      <c r="R277" s="126" t="s">
        <v>54</v>
      </c>
      <c r="S277" s="124">
        <v>5</v>
      </c>
    </row>
    <row r="278" s="3" customFormat="1" ht="20" customHeight="1" spans="1:19">
      <c r="A278" s="166" t="s">
        <v>1890</v>
      </c>
      <c r="B278" s="166" t="s">
        <v>165</v>
      </c>
      <c r="C278" s="162" t="s">
        <v>1891</v>
      </c>
      <c r="D278" s="162" t="s">
        <v>156</v>
      </c>
      <c r="E278" s="162" t="s">
        <v>13</v>
      </c>
      <c r="F278" s="27">
        <v>202102003</v>
      </c>
      <c r="G278" s="162" t="s">
        <v>157</v>
      </c>
      <c r="H278" s="162" t="s">
        <v>646</v>
      </c>
      <c r="I278" s="162" t="s">
        <v>179</v>
      </c>
      <c r="J278" s="162" t="s">
        <v>160</v>
      </c>
      <c r="K278" s="162" t="s">
        <v>161</v>
      </c>
      <c r="L278" s="162" t="s">
        <v>25</v>
      </c>
      <c r="M278" s="162" t="s">
        <v>1893</v>
      </c>
      <c r="N278" s="118" t="str">
        <f>_xlfn.DISPIMG("ID_E3FEEF4304AD40319195B6CB72FAB7DA",1)</f>
        <v>=DISPIMG("ID_E3FEEF4304AD40319195B6CB72FAB7DA",1)</v>
      </c>
      <c r="O278" s="115" t="s">
        <v>1894</v>
      </c>
      <c r="P278" s="27">
        <v>217</v>
      </c>
      <c r="Q278" s="125" t="s">
        <v>4583</v>
      </c>
      <c r="R278" s="126" t="s">
        <v>54</v>
      </c>
      <c r="S278" s="124">
        <v>8</v>
      </c>
    </row>
    <row r="279" s="3" customFormat="1" ht="20" customHeight="1" spans="1:19">
      <c r="A279" s="166" t="s">
        <v>1925</v>
      </c>
      <c r="B279" s="166" t="s">
        <v>165</v>
      </c>
      <c r="C279" s="162" t="s">
        <v>1926</v>
      </c>
      <c r="D279" s="162" t="s">
        <v>156</v>
      </c>
      <c r="E279" s="162" t="s">
        <v>13</v>
      </c>
      <c r="F279" s="27">
        <v>202102003</v>
      </c>
      <c r="G279" s="162" t="s">
        <v>157</v>
      </c>
      <c r="H279" s="162" t="s">
        <v>611</v>
      </c>
      <c r="I279" s="162" t="s">
        <v>179</v>
      </c>
      <c r="J279" s="162" t="s">
        <v>160</v>
      </c>
      <c r="K279" s="162" t="s">
        <v>281</v>
      </c>
      <c r="L279" s="162" t="s">
        <v>13</v>
      </c>
      <c r="M279" s="162" t="s">
        <v>1928</v>
      </c>
      <c r="N279" s="118" t="str">
        <f>_xlfn.DISPIMG("ID_F763BF131F364181A17D865B8B797D97",1)</f>
        <v>=DISPIMG("ID_F763BF131F364181A17D865B8B797D97",1)</v>
      </c>
      <c r="O279" s="115" t="s">
        <v>1929</v>
      </c>
      <c r="P279" s="27">
        <v>222</v>
      </c>
      <c r="Q279" s="125" t="s">
        <v>4584</v>
      </c>
      <c r="R279" s="126" t="s">
        <v>54</v>
      </c>
      <c r="S279" s="124">
        <v>17</v>
      </c>
    </row>
    <row r="280" s="3" customFormat="1" ht="20" customHeight="1" spans="1:19">
      <c r="A280" s="166" t="s">
        <v>1997</v>
      </c>
      <c r="B280" s="166" t="s">
        <v>165</v>
      </c>
      <c r="C280" s="162" t="s">
        <v>1998</v>
      </c>
      <c r="D280" s="162" t="s">
        <v>156</v>
      </c>
      <c r="E280" s="162" t="s">
        <v>13</v>
      </c>
      <c r="F280" s="27">
        <v>202102003</v>
      </c>
      <c r="G280" s="162" t="s">
        <v>157</v>
      </c>
      <c r="H280" s="162" t="s">
        <v>158</v>
      </c>
      <c r="I280" s="162" t="s">
        <v>2000</v>
      </c>
      <c r="J280" s="162" t="s">
        <v>160</v>
      </c>
      <c r="K280" s="162" t="s">
        <v>161</v>
      </c>
      <c r="L280" s="162" t="s">
        <v>13</v>
      </c>
      <c r="M280" s="27">
        <v>0</v>
      </c>
      <c r="N280" s="118" t="str">
        <f>_xlfn.DISPIMG("ID_08A4D05852A0412E805E12227EDF1C33",1)</f>
        <v>=DISPIMG("ID_08A4D05852A0412E805E12227EDF1C33",1)</v>
      </c>
      <c r="O280" s="115" t="s">
        <v>2001</v>
      </c>
      <c r="P280" s="27">
        <v>232</v>
      </c>
      <c r="Q280" s="125" t="s">
        <v>4585</v>
      </c>
      <c r="R280" s="126" t="s">
        <v>54</v>
      </c>
      <c r="S280" s="124">
        <v>20</v>
      </c>
    </row>
    <row r="281" s="3" customFormat="1" ht="20" customHeight="1" spans="1:19">
      <c r="A281" s="166" t="s">
        <v>2012</v>
      </c>
      <c r="B281" s="166" t="s">
        <v>165</v>
      </c>
      <c r="C281" s="162" t="s">
        <v>2013</v>
      </c>
      <c r="D281" s="162" t="s">
        <v>156</v>
      </c>
      <c r="E281" s="162" t="s">
        <v>13</v>
      </c>
      <c r="F281" s="27">
        <v>202102003</v>
      </c>
      <c r="G281" s="162" t="s">
        <v>279</v>
      </c>
      <c r="H281" s="162" t="s">
        <v>2015</v>
      </c>
      <c r="I281" s="162" t="s">
        <v>223</v>
      </c>
      <c r="J281" s="162" t="s">
        <v>170</v>
      </c>
      <c r="K281" s="162" t="s">
        <v>216</v>
      </c>
      <c r="L281" s="162" t="s">
        <v>2016</v>
      </c>
      <c r="M281" s="162" t="s">
        <v>2017</v>
      </c>
      <c r="N281" s="118" t="str">
        <f>_xlfn.DISPIMG("ID_DBB8A81F2D854EDC847C805211582887",1)</f>
        <v>=DISPIMG("ID_DBB8A81F2D854EDC847C805211582887",1)</v>
      </c>
      <c r="O281" s="115" t="s">
        <v>2018</v>
      </c>
      <c r="P281" s="27">
        <v>234</v>
      </c>
      <c r="Q281" s="125" t="s">
        <v>4586</v>
      </c>
      <c r="R281" s="126" t="s">
        <v>54</v>
      </c>
      <c r="S281" s="124">
        <v>29</v>
      </c>
    </row>
    <row r="282" s="3" customFormat="1" ht="20" customHeight="1" spans="1:19">
      <c r="A282" s="166" t="s">
        <v>2020</v>
      </c>
      <c r="B282" s="166" t="s">
        <v>165</v>
      </c>
      <c r="C282" s="162" t="s">
        <v>2021</v>
      </c>
      <c r="D282" s="162" t="s">
        <v>506</v>
      </c>
      <c r="E282" s="162" t="s">
        <v>13</v>
      </c>
      <c r="F282" s="27">
        <v>202102016</v>
      </c>
      <c r="G282" s="162" t="s">
        <v>157</v>
      </c>
      <c r="H282" s="162" t="s">
        <v>2015</v>
      </c>
      <c r="I282" s="162" t="s">
        <v>179</v>
      </c>
      <c r="J282" s="162" t="s">
        <v>170</v>
      </c>
      <c r="K282" s="162" t="s">
        <v>2023</v>
      </c>
      <c r="L282" s="162" t="s">
        <v>13</v>
      </c>
      <c r="M282" s="162" t="s">
        <v>2024</v>
      </c>
      <c r="N282" s="118" t="str">
        <f>_xlfn.DISPIMG("ID_391065F92F2843D5ABEC64E49971BF9B",1)</f>
        <v>=DISPIMG("ID_391065F92F2843D5ABEC64E49971BF9B",1)</v>
      </c>
      <c r="O282" s="115" t="s">
        <v>2025</v>
      </c>
      <c r="P282" s="27">
        <v>235</v>
      </c>
      <c r="Q282" s="125" t="s">
        <v>4587</v>
      </c>
      <c r="R282" s="126" t="s">
        <v>54</v>
      </c>
      <c r="S282" s="124">
        <v>4</v>
      </c>
    </row>
    <row r="283" s="3" customFormat="1" ht="20" customHeight="1" spans="1:19">
      <c r="A283" s="166" t="s">
        <v>2090</v>
      </c>
      <c r="B283" s="166" t="s">
        <v>153</v>
      </c>
      <c r="C283" s="162" t="s">
        <v>2091</v>
      </c>
      <c r="D283" s="162" t="s">
        <v>156</v>
      </c>
      <c r="E283" s="162" t="s">
        <v>13</v>
      </c>
      <c r="F283" s="27">
        <v>202102003</v>
      </c>
      <c r="G283" s="162" t="s">
        <v>157</v>
      </c>
      <c r="H283" s="162" t="s">
        <v>507</v>
      </c>
      <c r="I283" s="162" t="s">
        <v>2093</v>
      </c>
      <c r="J283" s="162" t="s">
        <v>160</v>
      </c>
      <c r="K283" s="162" t="s">
        <v>281</v>
      </c>
      <c r="L283" s="162" t="s">
        <v>25</v>
      </c>
      <c r="M283" s="162" t="s">
        <v>2094</v>
      </c>
      <c r="N283" s="118" t="str">
        <f>_xlfn.DISPIMG("ID_C4F6E9DAFE344DCCAABCAAE0A2F04564",1)</f>
        <v>=DISPIMG("ID_C4F6E9DAFE344DCCAABCAAE0A2F04564",1)</v>
      </c>
      <c r="O283" s="115" t="s">
        <v>2095</v>
      </c>
      <c r="P283" s="27">
        <v>244</v>
      </c>
      <c r="Q283" s="125" t="s">
        <v>4588</v>
      </c>
      <c r="R283" s="126" t="s">
        <v>54</v>
      </c>
      <c r="S283" s="124">
        <v>9</v>
      </c>
    </row>
    <row r="284" s="3" customFormat="1" ht="20" customHeight="1" spans="1:19">
      <c r="A284" s="166" t="s">
        <v>2113</v>
      </c>
      <c r="B284" s="166" t="s">
        <v>165</v>
      </c>
      <c r="C284" s="162" t="s">
        <v>2114</v>
      </c>
      <c r="D284" s="162" t="s">
        <v>156</v>
      </c>
      <c r="E284" s="162" t="s">
        <v>13</v>
      </c>
      <c r="F284" s="27">
        <v>202102003</v>
      </c>
      <c r="G284" s="162" t="s">
        <v>157</v>
      </c>
      <c r="H284" s="162" t="s">
        <v>168</v>
      </c>
      <c r="I284" s="162" t="s">
        <v>179</v>
      </c>
      <c r="J284" s="162" t="s">
        <v>170</v>
      </c>
      <c r="K284" s="162" t="s">
        <v>261</v>
      </c>
      <c r="L284" s="162" t="s">
        <v>13</v>
      </c>
      <c r="M284" s="162" t="s">
        <v>2116</v>
      </c>
      <c r="N284" s="118" t="str">
        <f>_xlfn.DISPIMG("ID_FD96452CC72B491AA69A0DC966FE8814",1)</f>
        <v>=DISPIMG("ID_FD96452CC72B491AA69A0DC966FE8814",1)</v>
      </c>
      <c r="O284" s="115" t="s">
        <v>2117</v>
      </c>
      <c r="P284" s="27">
        <v>247</v>
      </c>
      <c r="Q284" s="125" t="s">
        <v>4589</v>
      </c>
      <c r="R284" s="126" t="s">
        <v>54</v>
      </c>
      <c r="S284" s="124">
        <v>16</v>
      </c>
    </row>
    <row r="285" s="3" customFormat="1" ht="20" customHeight="1" spans="1:19">
      <c r="A285" s="166" t="s">
        <v>2120</v>
      </c>
      <c r="B285" s="166" t="s">
        <v>165</v>
      </c>
      <c r="C285" s="162" t="s">
        <v>2121</v>
      </c>
      <c r="D285" s="162" t="s">
        <v>156</v>
      </c>
      <c r="E285" s="162" t="s">
        <v>13</v>
      </c>
      <c r="F285" s="27">
        <v>202102003</v>
      </c>
      <c r="G285" s="162" t="s">
        <v>157</v>
      </c>
      <c r="H285" s="162" t="s">
        <v>197</v>
      </c>
      <c r="I285" s="162" t="s">
        <v>179</v>
      </c>
      <c r="J285" s="162" t="s">
        <v>160</v>
      </c>
      <c r="K285" s="162" t="s">
        <v>455</v>
      </c>
      <c r="L285" s="162" t="s">
        <v>225</v>
      </c>
      <c r="M285" s="27">
        <v>0</v>
      </c>
      <c r="N285" s="118" t="str">
        <f>_xlfn.DISPIMG("ID_BB45129897024B4183D09C0AA547B197",1)</f>
        <v>=DISPIMG("ID_BB45129897024B4183D09C0AA547B197",1)</v>
      </c>
      <c r="O285" s="115" t="s">
        <v>2123</v>
      </c>
      <c r="P285" s="27">
        <v>248</v>
      </c>
      <c r="Q285" s="125" t="s">
        <v>4590</v>
      </c>
      <c r="R285" s="126" t="s">
        <v>54</v>
      </c>
      <c r="S285" s="124">
        <v>21</v>
      </c>
    </row>
    <row r="286" s="3" customFormat="1" ht="20" customHeight="1" spans="1:19">
      <c r="A286" s="166" t="s">
        <v>2140</v>
      </c>
      <c r="B286" s="166" t="s">
        <v>165</v>
      </c>
      <c r="C286" s="162" t="s">
        <v>2141</v>
      </c>
      <c r="D286" s="162" t="s">
        <v>156</v>
      </c>
      <c r="E286" s="162" t="s">
        <v>13</v>
      </c>
      <c r="F286" s="27">
        <v>202102003</v>
      </c>
      <c r="G286" s="162" t="s">
        <v>157</v>
      </c>
      <c r="H286" s="162" t="s">
        <v>540</v>
      </c>
      <c r="I286" s="162" t="s">
        <v>298</v>
      </c>
      <c r="J286" s="162" t="s">
        <v>160</v>
      </c>
      <c r="K286" s="162" t="s">
        <v>180</v>
      </c>
      <c r="L286" s="162" t="s">
        <v>13</v>
      </c>
      <c r="M286" s="162" t="s">
        <v>2143</v>
      </c>
      <c r="N286" s="118" t="str">
        <f>_xlfn.DISPIMG("ID_5B22FFE3C77C4E8C9BD243D72EC649E2",1)</f>
        <v>=DISPIMG("ID_5B22FFE3C77C4E8C9BD243D72EC649E2",1)</v>
      </c>
      <c r="O286" s="115" t="s">
        <v>2144</v>
      </c>
      <c r="P286" s="27">
        <v>251</v>
      </c>
      <c r="Q286" s="125" t="s">
        <v>4591</v>
      </c>
      <c r="R286" s="126" t="s">
        <v>54</v>
      </c>
      <c r="S286" s="124">
        <v>28</v>
      </c>
    </row>
    <row r="287" s="3" customFormat="1" ht="20" customHeight="1" spans="1:19">
      <c r="A287" s="166" t="s">
        <v>2147</v>
      </c>
      <c r="B287" s="166" t="s">
        <v>165</v>
      </c>
      <c r="C287" s="162" t="s">
        <v>2148</v>
      </c>
      <c r="D287" s="162" t="s">
        <v>156</v>
      </c>
      <c r="E287" s="162" t="s">
        <v>13</v>
      </c>
      <c r="F287" s="27">
        <v>202102003</v>
      </c>
      <c r="G287" s="162" t="s">
        <v>157</v>
      </c>
      <c r="H287" s="162" t="s">
        <v>2150</v>
      </c>
      <c r="I287" s="162" t="s">
        <v>1832</v>
      </c>
      <c r="J287" s="162" t="s">
        <v>160</v>
      </c>
      <c r="K287" s="162" t="s">
        <v>2151</v>
      </c>
      <c r="L287" s="162" t="s">
        <v>13</v>
      </c>
      <c r="M287" s="162" t="s">
        <v>2152</v>
      </c>
      <c r="N287" s="118" t="str">
        <f>_xlfn.DISPIMG("ID_AE861B6E26D2460C9E654A52BE43B6F4",1)</f>
        <v>=DISPIMG("ID_AE861B6E26D2460C9E654A52BE43B6F4",1)</v>
      </c>
      <c r="O287" s="115" t="s">
        <v>2153</v>
      </c>
      <c r="P287" s="27">
        <v>252</v>
      </c>
      <c r="Q287" s="125" t="s">
        <v>4592</v>
      </c>
      <c r="R287" s="126" t="s">
        <v>54</v>
      </c>
      <c r="S287" s="124">
        <v>3</v>
      </c>
    </row>
    <row r="288" s="3" customFormat="1" ht="20" customHeight="1" spans="1:19">
      <c r="A288" s="166" t="s">
        <v>2156</v>
      </c>
      <c r="B288" s="166" t="s">
        <v>165</v>
      </c>
      <c r="C288" s="162" t="s">
        <v>2157</v>
      </c>
      <c r="D288" s="162" t="s">
        <v>156</v>
      </c>
      <c r="E288" s="162" t="s">
        <v>13</v>
      </c>
      <c r="F288" s="27">
        <v>202102003</v>
      </c>
      <c r="G288" s="162" t="s">
        <v>157</v>
      </c>
      <c r="H288" s="162" t="s">
        <v>2159</v>
      </c>
      <c r="I288" s="162" t="s">
        <v>179</v>
      </c>
      <c r="J288" s="162" t="s">
        <v>170</v>
      </c>
      <c r="K288" s="162" t="s">
        <v>2160</v>
      </c>
      <c r="L288" s="162" t="s">
        <v>13</v>
      </c>
      <c r="M288" s="162" t="s">
        <v>2161</v>
      </c>
      <c r="N288" s="118" t="str">
        <f>_xlfn.DISPIMG("ID_40A8AEA41DF44D5AB3229E18DF729A74",1)</f>
        <v>=DISPIMG("ID_40A8AEA41DF44D5AB3229E18DF729A74",1)</v>
      </c>
      <c r="O288" s="115" t="s">
        <v>2162</v>
      </c>
      <c r="P288" s="27">
        <v>253</v>
      </c>
      <c r="Q288" s="125" t="s">
        <v>4593</v>
      </c>
      <c r="R288" s="126" t="s">
        <v>54</v>
      </c>
      <c r="S288" s="124">
        <v>10</v>
      </c>
    </row>
    <row r="289" s="3" customFormat="1" ht="20" customHeight="1" spans="1:19">
      <c r="A289" s="166" t="s">
        <v>2188</v>
      </c>
      <c r="B289" s="166" t="s">
        <v>165</v>
      </c>
      <c r="C289" s="162" t="s">
        <v>2189</v>
      </c>
      <c r="D289" s="162" t="s">
        <v>156</v>
      </c>
      <c r="E289" s="162" t="s">
        <v>13</v>
      </c>
      <c r="F289" s="27">
        <v>202102003</v>
      </c>
      <c r="G289" s="162" t="s">
        <v>157</v>
      </c>
      <c r="H289" s="162" t="s">
        <v>178</v>
      </c>
      <c r="I289" s="162" t="s">
        <v>179</v>
      </c>
      <c r="J289" s="162" t="s">
        <v>170</v>
      </c>
      <c r="K289" s="162" t="s">
        <v>161</v>
      </c>
      <c r="L289" s="162" t="s">
        <v>25</v>
      </c>
      <c r="M289" s="27">
        <v>0</v>
      </c>
      <c r="N289" s="118" t="str">
        <f>_xlfn.DISPIMG("ID_D5F43AB9EBAD44A4B07E87AF936A6299",1)</f>
        <v>=DISPIMG("ID_D5F43AB9EBAD44A4B07E87AF936A6299",1)</v>
      </c>
      <c r="O289" s="115" t="s">
        <v>2191</v>
      </c>
      <c r="P289" s="27">
        <v>257</v>
      </c>
      <c r="Q289" s="125" t="s">
        <v>4594</v>
      </c>
      <c r="R289" s="126" t="s">
        <v>54</v>
      </c>
      <c r="S289" s="124">
        <v>15</v>
      </c>
    </row>
    <row r="290" s="3" customFormat="1" ht="20" customHeight="1" spans="1:19">
      <c r="A290" s="166" t="s">
        <v>2203</v>
      </c>
      <c r="B290" s="166" t="s">
        <v>165</v>
      </c>
      <c r="C290" s="162" t="s">
        <v>2204</v>
      </c>
      <c r="D290" s="162" t="s">
        <v>156</v>
      </c>
      <c r="E290" s="162" t="s">
        <v>13</v>
      </c>
      <c r="F290" s="27">
        <v>202102003</v>
      </c>
      <c r="G290" s="162" t="s">
        <v>157</v>
      </c>
      <c r="H290" s="162" t="s">
        <v>646</v>
      </c>
      <c r="I290" s="162" t="s">
        <v>179</v>
      </c>
      <c r="J290" s="162" t="s">
        <v>170</v>
      </c>
      <c r="K290" s="162" t="s">
        <v>368</v>
      </c>
      <c r="L290" s="162" t="s">
        <v>25</v>
      </c>
      <c r="M290" s="162" t="s">
        <v>2206</v>
      </c>
      <c r="N290" s="118" t="str">
        <f>_xlfn.DISPIMG("ID_06812EDB7CE84D14BCAEC56B86A3FB64",1)</f>
        <v>=DISPIMG("ID_06812EDB7CE84D14BCAEC56B86A3FB64",1)</v>
      </c>
      <c r="O290" s="115" t="s">
        <v>2207</v>
      </c>
      <c r="P290" s="27">
        <v>259</v>
      </c>
      <c r="Q290" s="125" t="s">
        <v>4595</v>
      </c>
      <c r="R290" s="126" t="s">
        <v>54</v>
      </c>
      <c r="S290" s="124">
        <v>22</v>
      </c>
    </row>
    <row r="291" s="3" customFormat="1" ht="20" customHeight="1" spans="1:19">
      <c r="A291" s="166" t="s">
        <v>2256</v>
      </c>
      <c r="B291" s="166" t="s">
        <v>165</v>
      </c>
      <c r="C291" s="162" t="s">
        <v>2257</v>
      </c>
      <c r="D291" s="162" t="s">
        <v>156</v>
      </c>
      <c r="E291" s="162" t="s">
        <v>13</v>
      </c>
      <c r="F291" s="27">
        <v>202102003</v>
      </c>
      <c r="G291" s="162" t="s">
        <v>157</v>
      </c>
      <c r="H291" s="162" t="s">
        <v>2259</v>
      </c>
      <c r="I291" s="162" t="s">
        <v>2260</v>
      </c>
      <c r="J291" s="162" t="s">
        <v>170</v>
      </c>
      <c r="K291" s="162" t="s">
        <v>252</v>
      </c>
      <c r="L291" s="162" t="s">
        <v>13</v>
      </c>
      <c r="M291" s="162" t="s">
        <v>2261</v>
      </c>
      <c r="N291" s="118" t="str">
        <f>_xlfn.DISPIMG("ID_796E86B7DB7B4E23A74B2B041E7E25B9",1)</f>
        <v>=DISPIMG("ID_796E86B7DB7B4E23A74B2B041E7E25B9",1)</v>
      </c>
      <c r="O291" s="115" t="s">
        <v>2262</v>
      </c>
      <c r="P291" s="27">
        <v>266</v>
      </c>
      <c r="Q291" s="125" t="s">
        <v>4596</v>
      </c>
      <c r="R291" s="126" t="s">
        <v>54</v>
      </c>
      <c r="S291" s="124">
        <v>27</v>
      </c>
    </row>
    <row r="292" s="3" customFormat="1" ht="20" customHeight="1" spans="1:19">
      <c r="A292" s="166" t="s">
        <v>2280</v>
      </c>
      <c r="B292" s="166" t="s">
        <v>153</v>
      </c>
      <c r="C292" s="162" t="s">
        <v>2281</v>
      </c>
      <c r="D292" s="162" t="s">
        <v>156</v>
      </c>
      <c r="E292" s="162" t="s">
        <v>13</v>
      </c>
      <c r="F292" s="27">
        <v>202102003</v>
      </c>
      <c r="G292" s="162" t="s">
        <v>279</v>
      </c>
      <c r="H292" s="162" t="s">
        <v>233</v>
      </c>
      <c r="I292" s="162" t="s">
        <v>223</v>
      </c>
      <c r="J292" s="162" t="s">
        <v>170</v>
      </c>
      <c r="K292" s="162" t="s">
        <v>2283</v>
      </c>
      <c r="L292" s="162" t="s">
        <v>2284</v>
      </c>
      <c r="M292" s="162" t="s">
        <v>2285</v>
      </c>
      <c r="N292" s="118" t="str">
        <f>_xlfn.DISPIMG("ID_89FA20207CD0456DA5278484203F3141",1)</f>
        <v>=DISPIMG("ID_89FA20207CD0456DA5278484203F3141",1)</v>
      </c>
      <c r="O292" s="115" t="s">
        <v>2286</v>
      </c>
      <c r="P292" s="27">
        <v>269</v>
      </c>
      <c r="Q292" s="125" t="s">
        <v>4597</v>
      </c>
      <c r="R292" s="126" t="s">
        <v>54</v>
      </c>
      <c r="S292" s="124">
        <v>2</v>
      </c>
    </row>
    <row r="293" s="3" customFormat="1" ht="20" customHeight="1" spans="1:19">
      <c r="A293" s="166" t="s">
        <v>2289</v>
      </c>
      <c r="B293" s="166" t="s">
        <v>165</v>
      </c>
      <c r="C293" s="162" t="s">
        <v>2290</v>
      </c>
      <c r="D293" s="162" t="s">
        <v>156</v>
      </c>
      <c r="E293" s="162" t="s">
        <v>13</v>
      </c>
      <c r="F293" s="27">
        <v>202102003</v>
      </c>
      <c r="G293" s="162" t="s">
        <v>157</v>
      </c>
      <c r="H293" s="162" t="s">
        <v>158</v>
      </c>
      <c r="I293" s="162" t="s">
        <v>223</v>
      </c>
      <c r="J293" s="162" t="s">
        <v>170</v>
      </c>
      <c r="K293" s="162" t="s">
        <v>349</v>
      </c>
      <c r="L293" s="162" t="s">
        <v>1692</v>
      </c>
      <c r="M293" s="162" t="s">
        <v>2290</v>
      </c>
      <c r="N293" s="118" t="str">
        <f>_xlfn.DISPIMG("ID_BC3CD3F4A07B4F5DB131E901992815BA",1)</f>
        <v>=DISPIMG("ID_BC3CD3F4A07B4F5DB131E901992815BA",1)</v>
      </c>
      <c r="O293" s="115" t="s">
        <v>2291</v>
      </c>
      <c r="P293" s="27">
        <v>270</v>
      </c>
      <c r="Q293" s="125" t="s">
        <v>4598</v>
      </c>
      <c r="R293" s="126" t="s">
        <v>54</v>
      </c>
      <c r="S293" s="124">
        <v>11</v>
      </c>
    </row>
    <row r="294" s="3" customFormat="1" ht="20" customHeight="1" spans="1:19">
      <c r="A294" s="166" t="s">
        <v>2303</v>
      </c>
      <c r="B294" s="166" t="s">
        <v>165</v>
      </c>
      <c r="C294" s="162" t="s">
        <v>2304</v>
      </c>
      <c r="D294" s="162" t="s">
        <v>156</v>
      </c>
      <c r="E294" s="162" t="s">
        <v>13</v>
      </c>
      <c r="F294" s="27">
        <v>202102003</v>
      </c>
      <c r="G294" s="162" t="s">
        <v>157</v>
      </c>
      <c r="H294" s="162" t="s">
        <v>233</v>
      </c>
      <c r="I294" s="162" t="s">
        <v>1832</v>
      </c>
      <c r="J294" s="162" t="s">
        <v>160</v>
      </c>
      <c r="K294" s="162" t="s">
        <v>161</v>
      </c>
      <c r="L294" s="162" t="s">
        <v>2284</v>
      </c>
      <c r="M294" s="27">
        <v>0</v>
      </c>
      <c r="N294" s="118" t="str">
        <f>_xlfn.DISPIMG("ID_D3E1E42587914F6EA2229B8441CD1EF2",1)</f>
        <v>=DISPIMG("ID_D3E1E42587914F6EA2229B8441CD1EF2",1)</v>
      </c>
      <c r="O294" s="115" t="s">
        <v>2306</v>
      </c>
      <c r="P294" s="27">
        <v>272</v>
      </c>
      <c r="Q294" s="125" t="s">
        <v>4599</v>
      </c>
      <c r="R294" s="126" t="s">
        <v>54</v>
      </c>
      <c r="S294" s="124">
        <v>14</v>
      </c>
    </row>
    <row r="295" s="3" customFormat="1" ht="20" customHeight="1" spans="1:19">
      <c r="A295" s="166" t="s">
        <v>2422</v>
      </c>
      <c r="B295" s="166" t="s">
        <v>165</v>
      </c>
      <c r="C295" s="162" t="s">
        <v>2423</v>
      </c>
      <c r="D295" s="162" t="s">
        <v>156</v>
      </c>
      <c r="E295" s="162" t="s">
        <v>13</v>
      </c>
      <c r="F295" s="27">
        <v>202102003</v>
      </c>
      <c r="G295" s="162" t="s">
        <v>157</v>
      </c>
      <c r="H295" s="162" t="s">
        <v>2425</v>
      </c>
      <c r="I295" s="162" t="s">
        <v>395</v>
      </c>
      <c r="J295" s="162" t="s">
        <v>160</v>
      </c>
      <c r="K295" s="162" t="s">
        <v>577</v>
      </c>
      <c r="L295" s="162" t="s">
        <v>324</v>
      </c>
      <c r="M295" s="162" t="s">
        <v>2426</v>
      </c>
      <c r="N295" s="118" t="str">
        <f>_xlfn.DISPIMG("ID_93FC4398D0D24B119D9D1B8E0038C2BD",1)</f>
        <v>=DISPIMG("ID_93FC4398D0D24B119D9D1B8E0038C2BD",1)</v>
      </c>
      <c r="O295" s="115" t="s">
        <v>2427</v>
      </c>
      <c r="P295" s="27">
        <v>288</v>
      </c>
      <c r="Q295" s="125" t="s">
        <v>4600</v>
      </c>
      <c r="R295" s="126" t="s">
        <v>54</v>
      </c>
      <c r="S295" s="124">
        <v>23</v>
      </c>
    </row>
    <row r="296" s="3" customFormat="1" ht="20" customHeight="1" spans="1:19">
      <c r="A296" s="166" t="s">
        <v>2532</v>
      </c>
      <c r="B296" s="166" t="s">
        <v>165</v>
      </c>
      <c r="C296" s="162" t="s">
        <v>2533</v>
      </c>
      <c r="D296" s="162" t="s">
        <v>156</v>
      </c>
      <c r="E296" s="162" t="s">
        <v>13</v>
      </c>
      <c r="F296" s="27">
        <v>202102003</v>
      </c>
      <c r="G296" s="162" t="s">
        <v>157</v>
      </c>
      <c r="H296" s="162" t="s">
        <v>2535</v>
      </c>
      <c r="I296" s="162" t="s">
        <v>179</v>
      </c>
      <c r="J296" s="162" t="s">
        <v>160</v>
      </c>
      <c r="K296" s="162" t="s">
        <v>161</v>
      </c>
      <c r="L296" s="162" t="s">
        <v>13</v>
      </c>
      <c r="M296" s="27">
        <v>0</v>
      </c>
      <c r="N296" s="118" t="str">
        <f>_xlfn.DISPIMG("ID_B2A378810E7443059EBD825CE991BFE9",1)</f>
        <v>=DISPIMG("ID_B2A378810E7443059EBD825CE991BFE9",1)</v>
      </c>
      <c r="O296" s="115" t="s">
        <v>2536</v>
      </c>
      <c r="P296" s="27">
        <v>303</v>
      </c>
      <c r="Q296" s="125" t="s">
        <v>4601</v>
      </c>
      <c r="R296" s="126" t="s">
        <v>54</v>
      </c>
      <c r="S296" s="124">
        <v>26</v>
      </c>
    </row>
    <row r="297" s="3" customFormat="1" ht="20" customHeight="1" spans="1:19">
      <c r="A297" s="166" t="s">
        <v>2547</v>
      </c>
      <c r="B297" s="166" t="s">
        <v>165</v>
      </c>
      <c r="C297" s="162" t="s">
        <v>2548</v>
      </c>
      <c r="D297" s="162" t="s">
        <v>156</v>
      </c>
      <c r="E297" s="162" t="s">
        <v>13</v>
      </c>
      <c r="F297" s="27">
        <v>202102003</v>
      </c>
      <c r="G297" s="162" t="s">
        <v>157</v>
      </c>
      <c r="H297" s="162" t="s">
        <v>158</v>
      </c>
      <c r="I297" s="162" t="s">
        <v>179</v>
      </c>
      <c r="J297" s="162" t="s">
        <v>170</v>
      </c>
      <c r="K297" s="162" t="s">
        <v>2550</v>
      </c>
      <c r="L297" s="162" t="s">
        <v>2551</v>
      </c>
      <c r="M297" s="162" t="s">
        <v>2552</v>
      </c>
      <c r="N297" s="118" t="str">
        <f>_xlfn.DISPIMG("ID_4531DA1F574D4F7CA2AF28BAD514AF1A",1)</f>
        <v>=DISPIMG("ID_4531DA1F574D4F7CA2AF28BAD514AF1A",1)</v>
      </c>
      <c r="O297" s="115" t="s">
        <v>2553</v>
      </c>
      <c r="P297" s="27">
        <v>305</v>
      </c>
      <c r="Q297" s="125" t="s">
        <v>4602</v>
      </c>
      <c r="R297" s="126" t="s">
        <v>54</v>
      </c>
      <c r="S297" s="124">
        <v>1</v>
      </c>
    </row>
    <row r="298" s="3" customFormat="1" ht="20" customHeight="1" spans="1:19">
      <c r="A298" s="166" t="s">
        <v>2578</v>
      </c>
      <c r="B298" s="166" t="s">
        <v>165</v>
      </c>
      <c r="C298" s="162" t="s">
        <v>2579</v>
      </c>
      <c r="D298" s="162" t="s">
        <v>506</v>
      </c>
      <c r="E298" s="162" t="s">
        <v>13</v>
      </c>
      <c r="F298" s="27">
        <v>202102016</v>
      </c>
      <c r="G298" s="162" t="s">
        <v>279</v>
      </c>
      <c r="H298" s="162" t="s">
        <v>1237</v>
      </c>
      <c r="I298" s="162" t="s">
        <v>169</v>
      </c>
      <c r="J298" s="162" t="s">
        <v>170</v>
      </c>
      <c r="K298" s="162" t="s">
        <v>161</v>
      </c>
      <c r="L298" s="162" t="s">
        <v>2284</v>
      </c>
      <c r="M298" s="162" t="s">
        <v>2581</v>
      </c>
      <c r="N298" s="118" t="str">
        <f>_xlfn.DISPIMG("ID_1B69D0009E5944278A43199D519E50CB",1)</f>
        <v>=DISPIMG("ID_1B69D0009E5944278A43199D519E50CB",1)</v>
      </c>
      <c r="O298" s="115" t="s">
        <v>2582</v>
      </c>
      <c r="P298" s="27">
        <v>309</v>
      </c>
      <c r="Q298" s="125" t="s">
        <v>4603</v>
      </c>
      <c r="R298" s="126" t="s">
        <v>54</v>
      </c>
      <c r="S298" s="124">
        <v>12</v>
      </c>
    </row>
    <row r="299" s="3" customFormat="1" ht="20" customHeight="1" spans="1:19">
      <c r="A299" s="166" t="s">
        <v>2585</v>
      </c>
      <c r="B299" s="166" t="s">
        <v>153</v>
      </c>
      <c r="C299" s="162" t="s">
        <v>2586</v>
      </c>
      <c r="D299" s="162" t="s">
        <v>156</v>
      </c>
      <c r="E299" s="162" t="s">
        <v>13</v>
      </c>
      <c r="F299" s="27">
        <v>202102003</v>
      </c>
      <c r="G299" s="162" t="s">
        <v>157</v>
      </c>
      <c r="H299" s="162" t="s">
        <v>233</v>
      </c>
      <c r="I299" s="162" t="s">
        <v>179</v>
      </c>
      <c r="J299" s="162" t="s">
        <v>160</v>
      </c>
      <c r="K299" s="162" t="s">
        <v>2298</v>
      </c>
      <c r="L299" s="162" t="s">
        <v>1692</v>
      </c>
      <c r="M299" s="162" t="s">
        <v>2588</v>
      </c>
      <c r="N299" s="118" t="str">
        <f>_xlfn.DISPIMG("ID_C226BACFF043492F9C2831E3F2035CBF",1)</f>
        <v>=DISPIMG("ID_C226BACFF043492F9C2831E3F2035CBF",1)</v>
      </c>
      <c r="O299" s="115" t="s">
        <v>2589</v>
      </c>
      <c r="P299" s="27">
        <v>310</v>
      </c>
      <c r="Q299" s="125" t="s">
        <v>4604</v>
      </c>
      <c r="R299" s="126" t="s">
        <v>54</v>
      </c>
      <c r="S299" s="124">
        <v>13</v>
      </c>
    </row>
    <row r="300" s="3" customFormat="1" ht="20" customHeight="1" spans="1:19">
      <c r="A300" s="166" t="s">
        <v>2592</v>
      </c>
      <c r="B300" s="166" t="s">
        <v>165</v>
      </c>
      <c r="C300" s="162" t="s">
        <v>2593</v>
      </c>
      <c r="D300" s="162" t="s">
        <v>156</v>
      </c>
      <c r="E300" s="162" t="s">
        <v>13</v>
      </c>
      <c r="F300" s="27">
        <v>202102003</v>
      </c>
      <c r="G300" s="162" t="s">
        <v>157</v>
      </c>
      <c r="H300" s="162" t="s">
        <v>269</v>
      </c>
      <c r="I300" s="162" t="s">
        <v>298</v>
      </c>
      <c r="J300" s="162" t="s">
        <v>160</v>
      </c>
      <c r="K300" s="162" t="s">
        <v>161</v>
      </c>
      <c r="L300" s="162" t="s">
        <v>13</v>
      </c>
      <c r="M300" s="162" t="s">
        <v>2595</v>
      </c>
      <c r="N300" s="118" t="str">
        <f>_xlfn.DISPIMG("ID_4B5E37E946EA4E60BDCBA196E50050B9",1)</f>
        <v>=DISPIMG("ID_4B5E37E946EA4E60BDCBA196E50050B9",1)</v>
      </c>
      <c r="O300" s="115" t="s">
        <v>2596</v>
      </c>
      <c r="P300" s="27">
        <v>311</v>
      </c>
      <c r="Q300" s="125" t="s">
        <v>4605</v>
      </c>
      <c r="R300" s="126" t="s">
        <v>54</v>
      </c>
      <c r="S300" s="124">
        <v>24</v>
      </c>
    </row>
    <row r="301" s="3" customFormat="1" ht="20" customHeight="1" spans="1:19">
      <c r="A301" s="166" t="s">
        <v>2620</v>
      </c>
      <c r="B301" s="166" t="s">
        <v>165</v>
      </c>
      <c r="C301" s="162" t="s">
        <v>2621</v>
      </c>
      <c r="D301" s="162" t="s">
        <v>156</v>
      </c>
      <c r="E301" s="162" t="s">
        <v>13</v>
      </c>
      <c r="F301" s="27">
        <v>202102003</v>
      </c>
      <c r="G301" s="162" t="s">
        <v>279</v>
      </c>
      <c r="H301" s="162" t="s">
        <v>2623</v>
      </c>
      <c r="I301" s="162" t="s">
        <v>223</v>
      </c>
      <c r="J301" s="162" t="s">
        <v>170</v>
      </c>
      <c r="K301" s="162" t="s">
        <v>587</v>
      </c>
      <c r="L301" s="162" t="s">
        <v>487</v>
      </c>
      <c r="M301" s="162" t="s">
        <v>2624</v>
      </c>
      <c r="N301" s="118" t="str">
        <f>_xlfn.DISPIMG("ID_2F48B8B967A44C168C6D69CE2A1FBAF0",1)</f>
        <v>=DISPIMG("ID_2F48B8B967A44C168C6D69CE2A1FBAF0",1)</v>
      </c>
      <c r="O301" s="115" t="s">
        <v>2625</v>
      </c>
      <c r="P301" s="27">
        <v>315</v>
      </c>
      <c r="Q301" s="125" t="s">
        <v>4606</v>
      </c>
      <c r="R301" s="126" t="s">
        <v>54</v>
      </c>
      <c r="S301" s="124">
        <v>25</v>
      </c>
    </row>
    <row r="302" s="3" customFormat="1" ht="20" customHeight="1" spans="1:19">
      <c r="A302" s="166" t="s">
        <v>2698</v>
      </c>
      <c r="B302" s="166" t="s">
        <v>165</v>
      </c>
      <c r="C302" s="162" t="s">
        <v>2699</v>
      </c>
      <c r="D302" s="162" t="s">
        <v>156</v>
      </c>
      <c r="E302" s="162" t="s">
        <v>13</v>
      </c>
      <c r="F302" s="27">
        <v>202102003</v>
      </c>
      <c r="G302" s="162" t="s">
        <v>157</v>
      </c>
      <c r="H302" s="162" t="s">
        <v>603</v>
      </c>
      <c r="I302" s="162" t="s">
        <v>179</v>
      </c>
      <c r="J302" s="162" t="s">
        <v>160</v>
      </c>
      <c r="K302" s="162" t="s">
        <v>161</v>
      </c>
      <c r="L302" s="162" t="s">
        <v>13</v>
      </c>
      <c r="M302" s="162" t="s">
        <v>2701</v>
      </c>
      <c r="N302" s="118" t="str">
        <f>_xlfn.DISPIMG("ID_F144CD0E4B7B43F08EC41420B132D7BF",1)</f>
        <v>=DISPIMG("ID_F144CD0E4B7B43F08EC41420B132D7BF",1)</v>
      </c>
      <c r="O302" s="115" t="s">
        <v>2702</v>
      </c>
      <c r="P302" s="27">
        <v>325</v>
      </c>
      <c r="Q302" s="125" t="s">
        <v>4607</v>
      </c>
      <c r="R302" s="126" t="s">
        <v>55</v>
      </c>
      <c r="S302" s="124">
        <v>6</v>
      </c>
    </row>
    <row r="303" s="3" customFormat="1" ht="20" customHeight="1" spans="1:19">
      <c r="A303" s="166" t="s">
        <v>2711</v>
      </c>
      <c r="B303" s="166" t="s">
        <v>165</v>
      </c>
      <c r="C303" s="162" t="s">
        <v>2712</v>
      </c>
      <c r="D303" s="162" t="s">
        <v>156</v>
      </c>
      <c r="E303" s="162" t="s">
        <v>13</v>
      </c>
      <c r="F303" s="27">
        <v>202102003</v>
      </c>
      <c r="G303" s="162" t="s">
        <v>157</v>
      </c>
      <c r="H303" s="162" t="s">
        <v>2714</v>
      </c>
      <c r="I303" s="162" t="s">
        <v>179</v>
      </c>
      <c r="J303" s="162" t="s">
        <v>160</v>
      </c>
      <c r="K303" s="162" t="s">
        <v>216</v>
      </c>
      <c r="L303" s="162" t="s">
        <v>13</v>
      </c>
      <c r="M303" s="27">
        <v>0</v>
      </c>
      <c r="N303" s="118" t="str">
        <f>_xlfn.DISPIMG("ID_8518D0C3018F4000B213F1115E41EEAA",1)</f>
        <v>=DISPIMG("ID_8518D0C3018F4000B213F1115E41EEAA",1)</v>
      </c>
      <c r="O303" s="115" t="s">
        <v>2715</v>
      </c>
      <c r="P303" s="27">
        <v>327</v>
      </c>
      <c r="Q303" s="125" t="s">
        <v>4608</v>
      </c>
      <c r="R303" s="126" t="s">
        <v>55</v>
      </c>
      <c r="S303" s="124">
        <v>7</v>
      </c>
    </row>
    <row r="304" s="3" customFormat="1" ht="20" customHeight="1" spans="1:19">
      <c r="A304" s="166" t="s">
        <v>2753</v>
      </c>
      <c r="B304" s="166" t="s">
        <v>165</v>
      </c>
      <c r="C304" s="162" t="s">
        <v>2754</v>
      </c>
      <c r="D304" s="162" t="s">
        <v>156</v>
      </c>
      <c r="E304" s="162" t="s">
        <v>13</v>
      </c>
      <c r="F304" s="27">
        <v>202102003</v>
      </c>
      <c r="G304" s="162" t="s">
        <v>157</v>
      </c>
      <c r="H304" s="162" t="s">
        <v>646</v>
      </c>
      <c r="I304" s="162" t="s">
        <v>179</v>
      </c>
      <c r="J304" s="162" t="s">
        <v>160</v>
      </c>
      <c r="K304" s="162" t="s">
        <v>548</v>
      </c>
      <c r="L304" s="162" t="s">
        <v>2284</v>
      </c>
      <c r="M304" s="162" t="s">
        <v>2756</v>
      </c>
      <c r="N304" s="118" t="str">
        <f>_xlfn.DISPIMG("ID_2E6C674524F0427FBB4E2C3FFA53D3DF",1)</f>
        <v>=DISPIMG("ID_2E6C674524F0427FBB4E2C3FFA53D3DF",1)</v>
      </c>
      <c r="O304" s="115" t="s">
        <v>2757</v>
      </c>
      <c r="P304" s="27">
        <v>333</v>
      </c>
      <c r="Q304" s="125" t="s">
        <v>4609</v>
      </c>
      <c r="R304" s="126" t="s">
        <v>55</v>
      </c>
      <c r="S304" s="124">
        <v>18</v>
      </c>
    </row>
    <row r="305" s="3" customFormat="1" ht="20" customHeight="1" spans="1:19">
      <c r="A305" s="166" t="s">
        <v>2760</v>
      </c>
      <c r="B305" s="166" t="s">
        <v>165</v>
      </c>
      <c r="C305" s="162" t="s">
        <v>2761</v>
      </c>
      <c r="D305" s="162" t="s">
        <v>156</v>
      </c>
      <c r="E305" s="162" t="s">
        <v>13</v>
      </c>
      <c r="F305" s="27">
        <v>202102003</v>
      </c>
      <c r="G305" s="162" t="s">
        <v>157</v>
      </c>
      <c r="H305" s="162" t="s">
        <v>2763</v>
      </c>
      <c r="I305" s="162" t="s">
        <v>179</v>
      </c>
      <c r="J305" s="162" t="s">
        <v>160</v>
      </c>
      <c r="K305" s="162" t="s">
        <v>261</v>
      </c>
      <c r="L305" s="162" t="s">
        <v>487</v>
      </c>
      <c r="M305" s="27">
        <v>0</v>
      </c>
      <c r="N305" s="118" t="str">
        <f>_xlfn.DISPIMG("ID_345E5ECE839B455186CF8C80E701C44C",1)</f>
        <v>=DISPIMG("ID_345E5ECE839B455186CF8C80E701C44C",1)</v>
      </c>
      <c r="O305" s="115" t="s">
        <v>2764</v>
      </c>
      <c r="P305" s="27">
        <v>334</v>
      </c>
      <c r="Q305" s="125" t="s">
        <v>4610</v>
      </c>
      <c r="R305" s="126" t="s">
        <v>55</v>
      </c>
      <c r="S305" s="124">
        <v>19</v>
      </c>
    </row>
    <row r="306" s="3" customFormat="1" ht="20" customHeight="1" spans="1:19">
      <c r="A306" s="166" t="s">
        <v>2781</v>
      </c>
      <c r="B306" s="166" t="s">
        <v>165</v>
      </c>
      <c r="C306" s="162" t="s">
        <v>2782</v>
      </c>
      <c r="D306" s="162" t="s">
        <v>156</v>
      </c>
      <c r="E306" s="162" t="s">
        <v>13</v>
      </c>
      <c r="F306" s="27">
        <v>202102003</v>
      </c>
      <c r="G306" s="162" t="s">
        <v>279</v>
      </c>
      <c r="H306" s="162" t="s">
        <v>178</v>
      </c>
      <c r="I306" s="162" t="s">
        <v>223</v>
      </c>
      <c r="J306" s="162" t="s">
        <v>170</v>
      </c>
      <c r="K306" s="162" t="s">
        <v>281</v>
      </c>
      <c r="L306" s="162" t="s">
        <v>13</v>
      </c>
      <c r="M306" s="162" t="s">
        <v>2784</v>
      </c>
      <c r="N306" s="118" t="str">
        <f>_xlfn.DISPIMG("ID_88B18CBF153241AE8E07B8EDC59079D6",1)</f>
        <v>=DISPIMG("ID_88B18CBF153241AE8E07B8EDC59079D6",1)</v>
      </c>
      <c r="O306" s="115" t="s">
        <v>2785</v>
      </c>
      <c r="P306" s="27">
        <v>337</v>
      </c>
      <c r="Q306" s="125" t="s">
        <v>4611</v>
      </c>
      <c r="R306" s="126" t="s">
        <v>55</v>
      </c>
      <c r="S306" s="124">
        <v>30</v>
      </c>
    </row>
    <row r="307" s="3" customFormat="1" ht="20" customHeight="1" spans="1:19">
      <c r="A307" s="166" t="s">
        <v>2788</v>
      </c>
      <c r="B307" s="166" t="s">
        <v>165</v>
      </c>
      <c r="C307" s="162" t="s">
        <v>2789</v>
      </c>
      <c r="D307" s="162" t="s">
        <v>156</v>
      </c>
      <c r="E307" s="162" t="s">
        <v>13</v>
      </c>
      <c r="F307" s="27">
        <v>202102003</v>
      </c>
      <c r="G307" s="162" t="s">
        <v>157</v>
      </c>
      <c r="H307" s="162" t="s">
        <v>827</v>
      </c>
      <c r="I307" s="162" t="s">
        <v>223</v>
      </c>
      <c r="J307" s="162" t="s">
        <v>170</v>
      </c>
      <c r="K307" s="162" t="s">
        <v>306</v>
      </c>
      <c r="L307" s="162" t="s">
        <v>2791</v>
      </c>
      <c r="M307" s="162" t="s">
        <v>2792</v>
      </c>
      <c r="N307" s="118" t="str">
        <f>_xlfn.DISPIMG("ID_5273CD0F4AF44426A565D4F4C926815B",1)</f>
        <v>=DISPIMG("ID_5273CD0F4AF44426A565D4F4C926815B",1)</v>
      </c>
      <c r="O307" s="115" t="s">
        <v>2793</v>
      </c>
      <c r="P307" s="27">
        <v>338</v>
      </c>
      <c r="Q307" s="125" t="s">
        <v>4612</v>
      </c>
      <c r="R307" s="126" t="s">
        <v>55</v>
      </c>
      <c r="S307" s="124">
        <v>5</v>
      </c>
    </row>
    <row r="308" s="3" customFormat="1" ht="20" customHeight="1" spans="1:19">
      <c r="A308" s="166" t="s">
        <v>2812</v>
      </c>
      <c r="B308" s="166" t="s">
        <v>165</v>
      </c>
      <c r="C308" s="162" t="s">
        <v>2813</v>
      </c>
      <c r="D308" s="162" t="s">
        <v>156</v>
      </c>
      <c r="E308" s="162" t="s">
        <v>13</v>
      </c>
      <c r="F308" s="27">
        <v>202102003</v>
      </c>
      <c r="G308" s="162" t="s">
        <v>157</v>
      </c>
      <c r="H308" s="162" t="s">
        <v>385</v>
      </c>
      <c r="I308" s="162" t="s">
        <v>179</v>
      </c>
      <c r="J308" s="162" t="s">
        <v>170</v>
      </c>
      <c r="K308" s="162" t="s">
        <v>2047</v>
      </c>
      <c r="L308" s="162" t="s">
        <v>1692</v>
      </c>
      <c r="M308" s="162" t="s">
        <v>2815</v>
      </c>
      <c r="N308" s="118" t="str">
        <f>_xlfn.DISPIMG("ID_5757AB93890A4F58A4EA7B46206D2416",1)</f>
        <v>=DISPIMG("ID_5757AB93890A4F58A4EA7B46206D2416",1)</v>
      </c>
      <c r="O308" s="115" t="s">
        <v>2816</v>
      </c>
      <c r="P308" s="27">
        <v>341</v>
      </c>
      <c r="Q308" s="125" t="s">
        <v>4613</v>
      </c>
      <c r="R308" s="126" t="s">
        <v>55</v>
      </c>
      <c r="S308" s="124">
        <v>8</v>
      </c>
    </row>
    <row r="309" s="3" customFormat="1" ht="20" customHeight="1" spans="1:19">
      <c r="A309" s="166" t="s">
        <v>2819</v>
      </c>
      <c r="B309" s="166" t="s">
        <v>165</v>
      </c>
      <c r="C309" s="162" t="s">
        <v>2820</v>
      </c>
      <c r="D309" s="162" t="s">
        <v>156</v>
      </c>
      <c r="E309" s="162" t="s">
        <v>13</v>
      </c>
      <c r="F309" s="27">
        <v>202102003</v>
      </c>
      <c r="G309" s="162" t="s">
        <v>157</v>
      </c>
      <c r="H309" s="162" t="s">
        <v>269</v>
      </c>
      <c r="I309" s="162" t="s">
        <v>2821</v>
      </c>
      <c r="J309" s="162" t="s">
        <v>170</v>
      </c>
      <c r="K309" s="162" t="s">
        <v>455</v>
      </c>
      <c r="L309" s="162" t="s">
        <v>13</v>
      </c>
      <c r="M309" s="27">
        <v>0</v>
      </c>
      <c r="N309" s="118" t="str">
        <f>_xlfn.DISPIMG("ID_3C9269A8B40D486AA589E83B191F62F8",1)</f>
        <v>=DISPIMG("ID_3C9269A8B40D486AA589E83B191F62F8",1)</v>
      </c>
      <c r="O309" s="115" t="s">
        <v>2822</v>
      </c>
      <c r="P309" s="27">
        <v>342</v>
      </c>
      <c r="Q309" s="125" t="s">
        <v>4614</v>
      </c>
      <c r="R309" s="126" t="s">
        <v>55</v>
      </c>
      <c r="S309" s="124">
        <v>17</v>
      </c>
    </row>
    <row r="310" s="3" customFormat="1" ht="20" customHeight="1" spans="1:19">
      <c r="A310" s="166" t="s">
        <v>2895</v>
      </c>
      <c r="B310" s="166" t="s">
        <v>165</v>
      </c>
      <c r="C310" s="162" t="s">
        <v>2896</v>
      </c>
      <c r="D310" s="162" t="s">
        <v>156</v>
      </c>
      <c r="E310" s="162" t="s">
        <v>13</v>
      </c>
      <c r="F310" s="27">
        <v>202102003</v>
      </c>
      <c r="G310" s="162" t="s">
        <v>157</v>
      </c>
      <c r="H310" s="162" t="s">
        <v>1413</v>
      </c>
      <c r="I310" s="162" t="s">
        <v>298</v>
      </c>
      <c r="J310" s="162" t="s">
        <v>160</v>
      </c>
      <c r="K310" s="162" t="s">
        <v>455</v>
      </c>
      <c r="L310" s="162" t="s">
        <v>13</v>
      </c>
      <c r="M310" s="27">
        <v>0</v>
      </c>
      <c r="N310" s="118" t="str">
        <f>_xlfn.DISPIMG("ID_C271EED4B7664E51B0603E12A2C5BA93",1)</f>
        <v>=DISPIMG("ID_C271EED4B7664E51B0603E12A2C5BA93",1)</v>
      </c>
      <c r="O310" s="115" t="s">
        <v>2898</v>
      </c>
      <c r="P310" s="27">
        <v>352</v>
      </c>
      <c r="Q310" s="125" t="s">
        <v>4615</v>
      </c>
      <c r="R310" s="126" t="s">
        <v>55</v>
      </c>
      <c r="S310" s="124">
        <v>20</v>
      </c>
    </row>
    <row r="311" s="3" customFormat="1" ht="20" customHeight="1" spans="1:19">
      <c r="A311" s="166" t="s">
        <v>2901</v>
      </c>
      <c r="B311" s="166" t="s">
        <v>165</v>
      </c>
      <c r="C311" s="162" t="s">
        <v>2902</v>
      </c>
      <c r="D311" s="162" t="s">
        <v>156</v>
      </c>
      <c r="E311" s="162" t="s">
        <v>13</v>
      </c>
      <c r="F311" s="27">
        <v>202102003</v>
      </c>
      <c r="G311" s="162" t="s">
        <v>157</v>
      </c>
      <c r="H311" s="162" t="s">
        <v>2904</v>
      </c>
      <c r="I311" s="162" t="s">
        <v>2379</v>
      </c>
      <c r="J311" s="162" t="s">
        <v>160</v>
      </c>
      <c r="K311" s="162" t="s">
        <v>396</v>
      </c>
      <c r="L311" s="162" t="s">
        <v>13</v>
      </c>
      <c r="M311" s="27">
        <v>0</v>
      </c>
      <c r="N311" s="118" t="str">
        <f>_xlfn.DISPIMG("ID_C611D78CF3534BF4A6063B88C3B55BD9",1)</f>
        <v>=DISPIMG("ID_C611D78CF3534BF4A6063B88C3B55BD9",1)</v>
      </c>
      <c r="O311" s="115" t="s">
        <v>2905</v>
      </c>
      <c r="P311" s="27">
        <v>353</v>
      </c>
      <c r="Q311" s="125" t="s">
        <v>4616</v>
      </c>
      <c r="R311" s="126" t="s">
        <v>55</v>
      </c>
      <c r="S311" s="124">
        <v>29</v>
      </c>
    </row>
    <row r="312" s="6" customFormat="1" ht="20" customHeight="1" spans="1:19">
      <c r="A312" s="166" t="s">
        <v>2932</v>
      </c>
      <c r="B312" s="166" t="s">
        <v>165</v>
      </c>
      <c r="C312" s="162" t="s">
        <v>2933</v>
      </c>
      <c r="D312" s="162" t="s">
        <v>156</v>
      </c>
      <c r="E312" s="162" t="s">
        <v>13</v>
      </c>
      <c r="F312" s="27">
        <v>202102003</v>
      </c>
      <c r="G312" s="162" t="s">
        <v>157</v>
      </c>
      <c r="H312" s="162" t="s">
        <v>385</v>
      </c>
      <c r="I312" s="162" t="s">
        <v>1832</v>
      </c>
      <c r="J312" s="162" t="s">
        <v>160</v>
      </c>
      <c r="K312" s="162" t="s">
        <v>2935</v>
      </c>
      <c r="L312" s="162" t="s">
        <v>487</v>
      </c>
      <c r="M312" s="162" t="s">
        <v>2936</v>
      </c>
      <c r="N312" s="118" t="str">
        <f>_xlfn.DISPIMG("ID_63C75D62D3BC4F35AC4FD3D224F21D03",1)</f>
        <v>=DISPIMG("ID_63C75D62D3BC4F35AC4FD3D224F21D03",1)</v>
      </c>
      <c r="O312" s="115" t="s">
        <v>2937</v>
      </c>
      <c r="P312" s="27">
        <v>360</v>
      </c>
      <c r="Q312" s="125" t="s">
        <v>4617</v>
      </c>
      <c r="R312" s="126" t="s">
        <v>55</v>
      </c>
      <c r="S312" s="124">
        <v>4</v>
      </c>
    </row>
    <row r="313" s="3" customFormat="1" ht="20" customHeight="1" spans="1:19">
      <c r="A313" s="166" t="s">
        <v>2955</v>
      </c>
      <c r="B313" s="166" t="s">
        <v>165</v>
      </c>
      <c r="C313" s="162" t="s">
        <v>2956</v>
      </c>
      <c r="D313" s="162" t="s">
        <v>384</v>
      </c>
      <c r="E313" s="162" t="s">
        <v>13</v>
      </c>
      <c r="F313" s="27">
        <v>202102003</v>
      </c>
      <c r="G313" s="162" t="s">
        <v>157</v>
      </c>
      <c r="H313" s="162" t="s">
        <v>158</v>
      </c>
      <c r="I313" s="162" t="s">
        <v>179</v>
      </c>
      <c r="J313" s="162" t="s">
        <v>160</v>
      </c>
      <c r="K313" s="162" t="s">
        <v>171</v>
      </c>
      <c r="L313" s="162" t="s">
        <v>1156</v>
      </c>
      <c r="M313" s="27">
        <v>0</v>
      </c>
      <c r="N313" s="118" t="str">
        <f>_xlfn.DISPIMG("ID_89E1C4B49DA543108DA428FD2BB17935",1)</f>
        <v>=DISPIMG("ID_89E1C4B49DA543108DA428FD2BB17935",1)</v>
      </c>
      <c r="O313" s="115" t="s">
        <v>2958</v>
      </c>
      <c r="P313" s="27">
        <v>363</v>
      </c>
      <c r="Q313" s="125" t="s">
        <v>4618</v>
      </c>
      <c r="R313" s="126" t="s">
        <v>55</v>
      </c>
      <c r="S313" s="124">
        <v>9</v>
      </c>
    </row>
    <row r="314" s="3" customFormat="1" ht="20" customHeight="1" spans="1:19">
      <c r="A314" s="166" t="s">
        <v>3008</v>
      </c>
      <c r="B314" s="166" t="s">
        <v>165</v>
      </c>
      <c r="C314" s="162" t="s">
        <v>3009</v>
      </c>
      <c r="D314" s="162" t="s">
        <v>156</v>
      </c>
      <c r="E314" s="162" t="s">
        <v>13</v>
      </c>
      <c r="F314" s="27">
        <v>202102003</v>
      </c>
      <c r="G314" s="162" t="s">
        <v>157</v>
      </c>
      <c r="H314" s="162" t="s">
        <v>197</v>
      </c>
      <c r="I314" s="162" t="s">
        <v>179</v>
      </c>
      <c r="J314" s="162" t="s">
        <v>160</v>
      </c>
      <c r="K314" s="162" t="s">
        <v>261</v>
      </c>
      <c r="L314" s="162" t="s">
        <v>3011</v>
      </c>
      <c r="M314" s="27">
        <v>0</v>
      </c>
      <c r="N314" s="118" t="str">
        <f>_xlfn.DISPIMG("ID_81E01CE746794A43971E9E864E9A0098",1)</f>
        <v>=DISPIMG("ID_81E01CE746794A43971E9E864E9A0098",1)</v>
      </c>
      <c r="O314" s="115" t="s">
        <v>3012</v>
      </c>
      <c r="P314" s="27">
        <v>371</v>
      </c>
      <c r="Q314" s="125" t="s">
        <v>4619</v>
      </c>
      <c r="R314" s="126" t="s">
        <v>55</v>
      </c>
      <c r="S314" s="124">
        <v>16</v>
      </c>
    </row>
    <row r="315" s="3" customFormat="1" ht="20" customHeight="1" spans="1:19">
      <c r="A315" s="166" t="s">
        <v>3044</v>
      </c>
      <c r="B315" s="166" t="s">
        <v>165</v>
      </c>
      <c r="C315" s="162" t="s">
        <v>3045</v>
      </c>
      <c r="D315" s="162" t="s">
        <v>384</v>
      </c>
      <c r="E315" s="162" t="s">
        <v>13</v>
      </c>
      <c r="F315" s="27">
        <v>202102003</v>
      </c>
      <c r="G315" s="162" t="s">
        <v>157</v>
      </c>
      <c r="H315" s="162" t="s">
        <v>385</v>
      </c>
      <c r="I315" s="162" t="s">
        <v>828</v>
      </c>
      <c r="J315" s="162" t="s">
        <v>170</v>
      </c>
      <c r="K315" s="162" t="s">
        <v>180</v>
      </c>
      <c r="L315" s="162" t="s">
        <v>25</v>
      </c>
      <c r="M315" s="162" t="s">
        <v>3047</v>
      </c>
      <c r="N315" s="118" t="str">
        <f>_xlfn.DISPIMG("ID_FA7CA8E8B8074253ACA743E7DE4282F0",1)</f>
        <v>=DISPIMG("ID_FA7CA8E8B8074253ACA743E7DE4282F0",1)</v>
      </c>
      <c r="O315" s="115" t="s">
        <v>3048</v>
      </c>
      <c r="P315" s="27">
        <v>376</v>
      </c>
      <c r="Q315" s="125" t="s">
        <v>4620</v>
      </c>
      <c r="R315" s="126" t="s">
        <v>55</v>
      </c>
      <c r="S315" s="124">
        <v>21</v>
      </c>
    </row>
    <row r="316" s="3" customFormat="1" ht="20" customHeight="1" spans="1:19">
      <c r="A316" s="166" t="s">
        <v>3151</v>
      </c>
      <c r="B316" s="166" t="s">
        <v>165</v>
      </c>
      <c r="C316" s="162" t="s">
        <v>3152</v>
      </c>
      <c r="D316" s="162" t="s">
        <v>156</v>
      </c>
      <c r="E316" s="162" t="s">
        <v>13</v>
      </c>
      <c r="F316" s="27">
        <v>202102003</v>
      </c>
      <c r="G316" s="162" t="s">
        <v>157</v>
      </c>
      <c r="H316" s="162" t="s">
        <v>611</v>
      </c>
      <c r="I316" s="162" t="s">
        <v>179</v>
      </c>
      <c r="J316" s="162" t="s">
        <v>160</v>
      </c>
      <c r="K316" s="162" t="s">
        <v>261</v>
      </c>
      <c r="L316" s="162" t="s">
        <v>13</v>
      </c>
      <c r="M316" s="162" t="s">
        <v>3154</v>
      </c>
      <c r="N316" s="118" t="str">
        <f>_xlfn.DISPIMG("ID_677BA8871B344518950747C60527229E",1)</f>
        <v>=DISPIMG("ID_677BA8871B344518950747C60527229E",1)</v>
      </c>
      <c r="O316" s="115" t="s">
        <v>3155</v>
      </c>
      <c r="P316" s="27">
        <v>390</v>
      </c>
      <c r="Q316" s="125" t="s">
        <v>4621</v>
      </c>
      <c r="R316" s="126" t="s">
        <v>55</v>
      </c>
      <c r="S316" s="124">
        <v>28</v>
      </c>
    </row>
    <row r="317" s="3" customFormat="1" ht="20" customHeight="1" spans="1:19">
      <c r="A317" s="166" t="s">
        <v>3204</v>
      </c>
      <c r="B317" s="166" t="s">
        <v>165</v>
      </c>
      <c r="C317" s="162" t="s">
        <v>3205</v>
      </c>
      <c r="D317" s="162" t="s">
        <v>156</v>
      </c>
      <c r="E317" s="162" t="s">
        <v>13</v>
      </c>
      <c r="F317" s="27">
        <v>202102003</v>
      </c>
      <c r="G317" s="162" t="s">
        <v>279</v>
      </c>
      <c r="H317" s="162" t="s">
        <v>168</v>
      </c>
      <c r="I317" s="162" t="s">
        <v>223</v>
      </c>
      <c r="J317" s="162" t="s">
        <v>170</v>
      </c>
      <c r="K317" s="162" t="s">
        <v>171</v>
      </c>
      <c r="L317" s="162" t="s">
        <v>13</v>
      </c>
      <c r="M317" s="162" t="s">
        <v>3207</v>
      </c>
      <c r="N317" s="118" t="str">
        <f>_xlfn.DISPIMG("ID_51BC672EACDF4F87BCFEE4B4000126C2",1)</f>
        <v>=DISPIMG("ID_51BC672EACDF4F87BCFEE4B4000126C2",1)</v>
      </c>
      <c r="O317" s="115" t="s">
        <v>3208</v>
      </c>
      <c r="P317" s="27">
        <v>399</v>
      </c>
      <c r="Q317" s="125" t="s">
        <v>4622</v>
      </c>
      <c r="R317" s="126" t="s">
        <v>55</v>
      </c>
      <c r="S317" s="124">
        <v>3</v>
      </c>
    </row>
    <row r="318" s="3" customFormat="1" ht="20" customHeight="1" spans="1:19">
      <c r="A318" s="166" t="s">
        <v>3241</v>
      </c>
      <c r="B318" s="166" t="s">
        <v>165</v>
      </c>
      <c r="C318" s="162" t="s">
        <v>3242</v>
      </c>
      <c r="D318" s="162" t="s">
        <v>156</v>
      </c>
      <c r="E318" s="162" t="s">
        <v>13</v>
      </c>
      <c r="F318" s="27">
        <v>202102003</v>
      </c>
      <c r="G318" s="162" t="s">
        <v>157</v>
      </c>
      <c r="H318" s="162" t="s">
        <v>3244</v>
      </c>
      <c r="I318" s="162" t="s">
        <v>179</v>
      </c>
      <c r="J318" s="162" t="s">
        <v>160</v>
      </c>
      <c r="K318" s="162" t="s">
        <v>161</v>
      </c>
      <c r="L318" s="162" t="s">
        <v>190</v>
      </c>
      <c r="M318" s="27">
        <v>0</v>
      </c>
      <c r="N318" s="118" t="str">
        <f>_xlfn.DISPIMG("ID_AED07D8F3E8D4336A7B785D8FBC52BF4",1)</f>
        <v>=DISPIMG("ID_AED07D8F3E8D4336A7B785D8FBC52BF4",1)</v>
      </c>
      <c r="O318" s="115" t="s">
        <v>3245</v>
      </c>
      <c r="P318" s="27">
        <v>404</v>
      </c>
      <c r="Q318" s="125" t="s">
        <v>4623</v>
      </c>
      <c r="R318" s="126" t="s">
        <v>55</v>
      </c>
      <c r="S318" s="124">
        <v>10</v>
      </c>
    </row>
    <row r="319" s="4" customFormat="1" ht="20" customHeight="1" spans="1:19">
      <c r="A319" s="166" t="s">
        <v>3255</v>
      </c>
      <c r="B319" s="166" t="s">
        <v>165</v>
      </c>
      <c r="C319" s="164" t="s">
        <v>3256</v>
      </c>
      <c r="D319" s="164" t="s">
        <v>156</v>
      </c>
      <c r="E319" s="164" t="s">
        <v>13</v>
      </c>
      <c r="F319" s="22">
        <v>202102003</v>
      </c>
      <c r="G319" s="164" t="s">
        <v>157</v>
      </c>
      <c r="H319" s="164" t="s">
        <v>611</v>
      </c>
      <c r="I319" s="164" t="s">
        <v>179</v>
      </c>
      <c r="J319" s="164" t="s">
        <v>160</v>
      </c>
      <c r="K319" s="164" t="s">
        <v>577</v>
      </c>
      <c r="L319" s="164" t="s">
        <v>3258</v>
      </c>
      <c r="M319" s="164" t="s">
        <v>3259</v>
      </c>
      <c r="N319" s="23" t="str">
        <f>_xlfn.DISPIMG("ID_9640DE1808F9498F8612547EA44506E8",1)</f>
        <v>=DISPIMG("ID_9640DE1808F9498F8612547EA44506E8",1)</v>
      </c>
      <c r="O319" s="103" t="s">
        <v>3260</v>
      </c>
      <c r="P319" s="27">
        <v>406</v>
      </c>
      <c r="Q319" s="125" t="s">
        <v>4624</v>
      </c>
      <c r="R319" s="126" t="s">
        <v>55</v>
      </c>
      <c r="S319" s="124">
        <v>15</v>
      </c>
    </row>
    <row r="320" s="3" customFormat="1" ht="20" customHeight="1" spans="1:19">
      <c r="A320" s="166" t="s">
        <v>3314</v>
      </c>
      <c r="B320" s="166" t="s">
        <v>165</v>
      </c>
      <c r="C320" s="162" t="s">
        <v>3315</v>
      </c>
      <c r="D320" s="162" t="s">
        <v>156</v>
      </c>
      <c r="E320" s="162" t="s">
        <v>13</v>
      </c>
      <c r="F320" s="27">
        <v>202102003</v>
      </c>
      <c r="G320" s="162" t="s">
        <v>157</v>
      </c>
      <c r="H320" s="162" t="s">
        <v>385</v>
      </c>
      <c r="I320" s="162" t="s">
        <v>2821</v>
      </c>
      <c r="J320" s="162" t="s">
        <v>170</v>
      </c>
      <c r="K320" s="162" t="s">
        <v>281</v>
      </c>
      <c r="L320" s="162" t="s">
        <v>25</v>
      </c>
      <c r="M320" s="162" t="s">
        <v>3317</v>
      </c>
      <c r="N320" s="118" t="str">
        <f>_xlfn.DISPIMG("ID_395A3D0BD71445EA85EA2ACA292A2801",1)</f>
        <v>=DISPIMG("ID_395A3D0BD71445EA85EA2ACA292A2801",1)</v>
      </c>
      <c r="O320" s="115" t="s">
        <v>3318</v>
      </c>
      <c r="P320" s="27">
        <v>416</v>
      </c>
      <c r="Q320" s="125" t="s">
        <v>4625</v>
      </c>
      <c r="R320" s="126" t="s">
        <v>55</v>
      </c>
      <c r="S320" s="124">
        <v>22</v>
      </c>
    </row>
    <row r="321" s="3" customFormat="1" ht="20" customHeight="1" spans="1:19">
      <c r="A321" s="166" t="s">
        <v>3351</v>
      </c>
      <c r="B321" s="166" t="s">
        <v>165</v>
      </c>
      <c r="C321" s="162" t="s">
        <v>3352</v>
      </c>
      <c r="D321" s="162" t="s">
        <v>156</v>
      </c>
      <c r="E321" s="162" t="s">
        <v>13</v>
      </c>
      <c r="F321" s="27">
        <v>202102003</v>
      </c>
      <c r="G321" s="162" t="s">
        <v>279</v>
      </c>
      <c r="H321" s="162" t="s">
        <v>158</v>
      </c>
      <c r="I321" s="162" t="s">
        <v>223</v>
      </c>
      <c r="J321" s="162" t="s">
        <v>170</v>
      </c>
      <c r="K321" s="162" t="s">
        <v>180</v>
      </c>
      <c r="L321" s="162" t="s">
        <v>3354</v>
      </c>
      <c r="M321" s="162" t="s">
        <v>3355</v>
      </c>
      <c r="N321" s="118" t="str">
        <f>_xlfn.DISPIMG("ID_74A8F2037BB844E7BAC2F04950084CD2",1)</f>
        <v>=DISPIMG("ID_74A8F2037BB844E7BAC2F04950084CD2",1)</v>
      </c>
      <c r="O321" s="115" t="s">
        <v>3356</v>
      </c>
      <c r="P321" s="27">
        <v>422</v>
      </c>
      <c r="Q321" s="125" t="s">
        <v>4626</v>
      </c>
      <c r="R321" s="126" t="s">
        <v>55</v>
      </c>
      <c r="S321" s="124">
        <v>27</v>
      </c>
    </row>
    <row r="322" s="3" customFormat="1" ht="20" customHeight="1" spans="1:19">
      <c r="A322" s="166" t="s">
        <v>3409</v>
      </c>
      <c r="B322" s="166" t="s">
        <v>165</v>
      </c>
      <c r="C322" s="162" t="s">
        <v>3410</v>
      </c>
      <c r="D322" s="162" t="s">
        <v>156</v>
      </c>
      <c r="E322" s="162" t="s">
        <v>13</v>
      </c>
      <c r="F322" s="27">
        <v>202102003</v>
      </c>
      <c r="G322" s="162" t="s">
        <v>157</v>
      </c>
      <c r="H322" s="162" t="s">
        <v>158</v>
      </c>
      <c r="I322" s="162" t="s">
        <v>298</v>
      </c>
      <c r="J322" s="162" t="s">
        <v>160</v>
      </c>
      <c r="K322" s="162" t="s">
        <v>306</v>
      </c>
      <c r="L322" s="162" t="s">
        <v>13</v>
      </c>
      <c r="M322" s="162" t="s">
        <v>3412</v>
      </c>
      <c r="N322" s="118" t="str">
        <f>_xlfn.DISPIMG("ID_36F8A707A81B40EC83CC116E77C5C07D",1)</f>
        <v>=DISPIMG("ID_36F8A707A81B40EC83CC116E77C5C07D",1)</v>
      </c>
      <c r="O322" s="115" t="s">
        <v>3413</v>
      </c>
      <c r="P322" s="27">
        <v>430</v>
      </c>
      <c r="Q322" s="125" t="s">
        <v>4627</v>
      </c>
      <c r="R322" s="126" t="s">
        <v>55</v>
      </c>
      <c r="S322" s="124">
        <v>2</v>
      </c>
    </row>
    <row r="323" s="3" customFormat="1" ht="20" customHeight="1" spans="1:19">
      <c r="A323" s="166" t="s">
        <v>3458</v>
      </c>
      <c r="B323" s="166" t="s">
        <v>165</v>
      </c>
      <c r="C323" s="162" t="s">
        <v>3459</v>
      </c>
      <c r="D323" s="162" t="s">
        <v>156</v>
      </c>
      <c r="E323" s="162" t="s">
        <v>13</v>
      </c>
      <c r="F323" s="27">
        <v>202102003</v>
      </c>
      <c r="G323" s="162" t="s">
        <v>157</v>
      </c>
      <c r="H323" s="162" t="s">
        <v>385</v>
      </c>
      <c r="I323" s="162" t="s">
        <v>3461</v>
      </c>
      <c r="J323" s="162" t="s">
        <v>160</v>
      </c>
      <c r="K323" s="162" t="s">
        <v>368</v>
      </c>
      <c r="L323" s="162" t="s">
        <v>3011</v>
      </c>
      <c r="M323" s="162" t="s">
        <v>3462</v>
      </c>
      <c r="N323" s="118" t="str">
        <f>_xlfn.DISPIMG("ID_D2C4D691F93F4717949BB5BBCD3994DD",1)</f>
        <v>=DISPIMG("ID_D2C4D691F93F4717949BB5BBCD3994DD",1)</v>
      </c>
      <c r="O323" s="115" t="s">
        <v>3463</v>
      </c>
      <c r="P323" s="27">
        <v>437</v>
      </c>
      <c r="Q323" s="125" t="s">
        <v>4628</v>
      </c>
      <c r="R323" s="126" t="s">
        <v>55</v>
      </c>
      <c r="S323" s="124">
        <v>11</v>
      </c>
    </row>
    <row r="324" s="3" customFormat="1" ht="20" customHeight="1" spans="1:19">
      <c r="A324" s="166" t="s">
        <v>3481</v>
      </c>
      <c r="B324" s="166" t="s">
        <v>153</v>
      </c>
      <c r="C324" s="162" t="s">
        <v>3482</v>
      </c>
      <c r="D324" s="162" t="s">
        <v>506</v>
      </c>
      <c r="E324" s="162" t="s">
        <v>13</v>
      </c>
      <c r="F324" s="27">
        <v>202102016</v>
      </c>
      <c r="G324" s="162" t="s">
        <v>157</v>
      </c>
      <c r="H324" s="162" t="s">
        <v>1112</v>
      </c>
      <c r="I324" s="162" t="s">
        <v>3484</v>
      </c>
      <c r="J324" s="162" t="s">
        <v>160</v>
      </c>
      <c r="K324" s="162" t="s">
        <v>216</v>
      </c>
      <c r="L324" s="162" t="s">
        <v>2284</v>
      </c>
      <c r="M324" s="162" t="s">
        <v>3485</v>
      </c>
      <c r="N324" s="118" t="str">
        <f>_xlfn.DISPIMG("ID_9C9702A9D71D49F4A0D4283BE0B57A8D",1)</f>
        <v>=DISPIMG("ID_9C9702A9D71D49F4A0D4283BE0B57A8D",1)</v>
      </c>
      <c r="O324" s="115" t="s">
        <v>3486</v>
      </c>
      <c r="P324" s="27">
        <v>440</v>
      </c>
      <c r="Q324" s="125" t="s">
        <v>4629</v>
      </c>
      <c r="R324" s="126" t="s">
        <v>55</v>
      </c>
      <c r="S324" s="124">
        <v>14</v>
      </c>
    </row>
    <row r="325" s="4" customFormat="1" ht="20" customHeight="1" spans="1:19">
      <c r="A325" s="166" t="s">
        <v>3615</v>
      </c>
      <c r="B325" s="166" t="s">
        <v>165</v>
      </c>
      <c r="C325" s="164" t="s">
        <v>3616</v>
      </c>
      <c r="D325" s="164" t="s">
        <v>156</v>
      </c>
      <c r="E325" s="164" t="s">
        <v>13</v>
      </c>
      <c r="F325" s="22">
        <v>202101003</v>
      </c>
      <c r="G325" s="164" t="s">
        <v>157</v>
      </c>
      <c r="H325" s="164" t="s">
        <v>2243</v>
      </c>
      <c r="I325" s="164" t="s">
        <v>179</v>
      </c>
      <c r="J325" s="164" t="s">
        <v>160</v>
      </c>
      <c r="K325" s="164" t="s">
        <v>910</v>
      </c>
      <c r="L325" s="164" t="s">
        <v>2244</v>
      </c>
      <c r="M325" s="164" t="s">
        <v>3618</v>
      </c>
      <c r="N325" s="23" t="str">
        <f>_xlfn.DISPIMG("ID_33D1BE3856DC4BDE83B623418C60EC26",1)</f>
        <v>=DISPIMG("ID_33D1BE3856DC4BDE83B623418C60EC26",1)</v>
      </c>
      <c r="O325" s="103" t="s">
        <v>3619</v>
      </c>
      <c r="P325" s="27">
        <v>460</v>
      </c>
      <c r="Q325" s="125" t="s">
        <v>4630</v>
      </c>
      <c r="R325" s="126" t="s">
        <v>55</v>
      </c>
      <c r="S325" s="124">
        <v>23</v>
      </c>
    </row>
    <row r="326" s="3" customFormat="1" ht="20" customHeight="1" spans="1:19">
      <c r="A326" s="166" t="s">
        <v>3647</v>
      </c>
      <c r="B326" s="166" t="s">
        <v>165</v>
      </c>
      <c r="C326" s="162" t="s">
        <v>3648</v>
      </c>
      <c r="D326" s="162" t="s">
        <v>156</v>
      </c>
      <c r="E326" s="162" t="s">
        <v>13</v>
      </c>
      <c r="F326" s="27">
        <v>202102003</v>
      </c>
      <c r="G326" s="162" t="s">
        <v>705</v>
      </c>
      <c r="H326" s="162" t="s">
        <v>1413</v>
      </c>
      <c r="I326" s="162" t="s">
        <v>3650</v>
      </c>
      <c r="J326" s="162" t="s">
        <v>170</v>
      </c>
      <c r="K326" s="162" t="s">
        <v>455</v>
      </c>
      <c r="L326" s="162" t="s">
        <v>3651</v>
      </c>
      <c r="M326" s="27">
        <v>0</v>
      </c>
      <c r="N326" s="118" t="str">
        <f>_xlfn.DISPIMG("ID_5D17E050202348DFAA14EEF8D985F66D",1)</f>
        <v>=DISPIMG("ID_5D17E050202348DFAA14EEF8D985F66D",1)</v>
      </c>
      <c r="O326" s="115" t="s">
        <v>3652</v>
      </c>
      <c r="P326" s="27">
        <v>464</v>
      </c>
      <c r="Q326" s="125" t="s">
        <v>4631</v>
      </c>
      <c r="R326" s="126" t="s">
        <v>55</v>
      </c>
      <c r="S326" s="124">
        <v>26</v>
      </c>
    </row>
    <row r="327" s="3" customFormat="1" ht="20" customHeight="1" spans="1:19">
      <c r="A327" s="166" t="s">
        <v>3804</v>
      </c>
      <c r="B327" s="166" t="s">
        <v>165</v>
      </c>
      <c r="C327" s="162" t="s">
        <v>3805</v>
      </c>
      <c r="D327" s="162" t="s">
        <v>156</v>
      </c>
      <c r="E327" s="162" t="s">
        <v>13</v>
      </c>
      <c r="F327" s="27">
        <v>202102003</v>
      </c>
      <c r="G327" s="162" t="s">
        <v>157</v>
      </c>
      <c r="H327" s="162" t="s">
        <v>2943</v>
      </c>
      <c r="I327" s="162" t="s">
        <v>179</v>
      </c>
      <c r="J327" s="162" t="s">
        <v>160</v>
      </c>
      <c r="K327" s="162" t="s">
        <v>235</v>
      </c>
      <c r="L327" s="162" t="s">
        <v>1187</v>
      </c>
      <c r="M327" s="162" t="s">
        <v>3807</v>
      </c>
      <c r="N327" s="118" t="str">
        <f>_xlfn.DISPIMG("ID_958C237DE20E4119882FD97115456597",1)</f>
        <v>=DISPIMG("ID_958C237DE20E4119882FD97115456597",1)</v>
      </c>
      <c r="O327" s="115" t="s">
        <v>3808</v>
      </c>
      <c r="P327" s="127">
        <v>485</v>
      </c>
      <c r="Q327" s="125" t="s">
        <v>4632</v>
      </c>
      <c r="R327" s="126" t="s">
        <v>55</v>
      </c>
      <c r="S327" s="124">
        <v>1</v>
      </c>
    </row>
    <row r="328" s="3" customFormat="1" ht="20" customHeight="1" spans="1:19">
      <c r="A328" s="166" t="s">
        <v>3826</v>
      </c>
      <c r="B328" s="166" t="s">
        <v>165</v>
      </c>
      <c r="C328" s="162" t="s">
        <v>3827</v>
      </c>
      <c r="D328" s="162" t="s">
        <v>156</v>
      </c>
      <c r="E328" s="162" t="s">
        <v>13</v>
      </c>
      <c r="F328" s="27">
        <v>202102003</v>
      </c>
      <c r="G328" s="162" t="s">
        <v>279</v>
      </c>
      <c r="H328" s="162" t="s">
        <v>158</v>
      </c>
      <c r="I328" s="162" t="s">
        <v>223</v>
      </c>
      <c r="J328" s="162" t="s">
        <v>170</v>
      </c>
      <c r="K328" s="162" t="s">
        <v>180</v>
      </c>
      <c r="L328" s="162" t="s">
        <v>487</v>
      </c>
      <c r="M328" s="162" t="s">
        <v>3829</v>
      </c>
      <c r="N328" s="118" t="str">
        <f>_xlfn.DISPIMG("ID_0F27C17184DB40E4ADCCEAF2E242F8D5",1)</f>
        <v>=DISPIMG("ID_0F27C17184DB40E4ADCCEAF2E242F8D5",1)</v>
      </c>
      <c r="O328" s="115" t="s">
        <v>3830</v>
      </c>
      <c r="P328" s="127">
        <v>488</v>
      </c>
      <c r="Q328" s="125" t="s">
        <v>4633</v>
      </c>
      <c r="R328" s="126" t="s">
        <v>55</v>
      </c>
      <c r="S328" s="124">
        <v>12</v>
      </c>
    </row>
    <row r="329" s="3" customFormat="1" ht="20" customHeight="1" spans="1:19">
      <c r="A329" s="166" t="s">
        <v>3970</v>
      </c>
      <c r="B329" s="166" t="s">
        <v>165</v>
      </c>
      <c r="C329" s="162" t="s">
        <v>3971</v>
      </c>
      <c r="D329" s="162" t="s">
        <v>156</v>
      </c>
      <c r="E329" s="162" t="s">
        <v>13</v>
      </c>
      <c r="F329" s="27">
        <v>202102003</v>
      </c>
      <c r="G329" s="162" t="s">
        <v>157</v>
      </c>
      <c r="H329" s="162" t="s">
        <v>233</v>
      </c>
      <c r="I329" s="162" t="s">
        <v>3973</v>
      </c>
      <c r="J329" s="162" t="s">
        <v>160</v>
      </c>
      <c r="K329" s="162" t="s">
        <v>161</v>
      </c>
      <c r="L329" s="162" t="s">
        <v>25</v>
      </c>
      <c r="M329" s="162" t="s">
        <v>3974</v>
      </c>
      <c r="N329" s="118" t="str">
        <f>_xlfn.DISPIMG("ID_B1F0BA2C377444B08B7692E1B53E42C5",1)</f>
        <v>=DISPIMG("ID_B1F0BA2C377444B08B7692E1B53E42C5",1)</v>
      </c>
      <c r="O329" s="115" t="s">
        <v>3975</v>
      </c>
      <c r="P329" s="127">
        <v>507</v>
      </c>
      <c r="Q329" s="125" t="s">
        <v>4634</v>
      </c>
      <c r="R329" s="126" t="s">
        <v>55</v>
      </c>
      <c r="S329" s="124">
        <v>13</v>
      </c>
    </row>
    <row r="330" s="3" customFormat="1" ht="20" customHeight="1" spans="1:19">
      <c r="A330" s="166" t="s">
        <v>3983</v>
      </c>
      <c r="B330" s="166" t="s">
        <v>165</v>
      </c>
      <c r="C330" s="162" t="s">
        <v>3984</v>
      </c>
      <c r="D330" s="162" t="s">
        <v>156</v>
      </c>
      <c r="E330" s="162" t="s">
        <v>13</v>
      </c>
      <c r="F330" s="27">
        <v>202101003</v>
      </c>
      <c r="G330" s="162" t="s">
        <v>157</v>
      </c>
      <c r="H330" s="162" t="s">
        <v>158</v>
      </c>
      <c r="I330" s="162" t="s">
        <v>298</v>
      </c>
      <c r="J330" s="162" t="s">
        <v>160</v>
      </c>
      <c r="K330" s="162" t="s">
        <v>587</v>
      </c>
      <c r="L330" s="162" t="s">
        <v>3986</v>
      </c>
      <c r="M330" s="162" t="s">
        <v>3987</v>
      </c>
      <c r="N330" s="118" t="str">
        <f>_xlfn.DISPIMG("ID_FF960F7406E14486AD9AB0EFE51B3C2E",1)</f>
        <v>=DISPIMG("ID_FF960F7406E14486AD9AB0EFE51B3C2E",1)</v>
      </c>
      <c r="O330" s="115" t="s">
        <v>3988</v>
      </c>
      <c r="P330" s="127">
        <v>509</v>
      </c>
      <c r="Q330" s="125" t="s">
        <v>4635</v>
      </c>
      <c r="R330" s="126" t="s">
        <v>55</v>
      </c>
      <c r="S330" s="124">
        <v>24</v>
      </c>
    </row>
    <row r="331" s="3" customFormat="1" ht="20" customHeight="1" spans="1:19">
      <c r="A331" s="166" t="s">
        <v>3991</v>
      </c>
      <c r="B331" s="166" t="s">
        <v>165</v>
      </c>
      <c r="C331" s="162" t="s">
        <v>3992</v>
      </c>
      <c r="D331" s="162" t="s">
        <v>156</v>
      </c>
      <c r="E331" s="162" t="s">
        <v>13</v>
      </c>
      <c r="F331" s="27">
        <v>202102003</v>
      </c>
      <c r="G331" s="162" t="s">
        <v>157</v>
      </c>
      <c r="H331" s="162" t="s">
        <v>158</v>
      </c>
      <c r="I331" s="162" t="s">
        <v>298</v>
      </c>
      <c r="J331" s="162" t="s">
        <v>160</v>
      </c>
      <c r="K331" s="162" t="s">
        <v>171</v>
      </c>
      <c r="L331" s="162" t="s">
        <v>1692</v>
      </c>
      <c r="M331" s="162" t="s">
        <v>3994</v>
      </c>
      <c r="N331" s="118" t="str">
        <f>_xlfn.DISPIMG("ID_78A88502741143D5850B496E71BE5DA0",1)</f>
        <v>=DISPIMG("ID_78A88502741143D5850B496E71BE5DA0",1)</v>
      </c>
      <c r="O331" s="115" t="s">
        <v>3995</v>
      </c>
      <c r="P331" s="127">
        <v>510</v>
      </c>
      <c r="Q331" s="125" t="s">
        <v>4636</v>
      </c>
      <c r="R331" s="126" t="s">
        <v>55</v>
      </c>
      <c r="S331" s="124">
        <v>25</v>
      </c>
    </row>
    <row r="332" s="3" customFormat="1" ht="20" customHeight="1" spans="1:19">
      <c r="A332" s="166" t="s">
        <v>4013</v>
      </c>
      <c r="B332" s="166" t="s">
        <v>165</v>
      </c>
      <c r="C332" s="162" t="s">
        <v>4014</v>
      </c>
      <c r="D332" s="162" t="s">
        <v>156</v>
      </c>
      <c r="E332" s="162" t="s">
        <v>13</v>
      </c>
      <c r="F332" s="27">
        <v>202102003</v>
      </c>
      <c r="G332" s="162" t="s">
        <v>279</v>
      </c>
      <c r="H332" s="162" t="s">
        <v>158</v>
      </c>
      <c r="I332" s="162" t="s">
        <v>223</v>
      </c>
      <c r="J332" s="162" t="s">
        <v>170</v>
      </c>
      <c r="K332" s="162" t="s">
        <v>306</v>
      </c>
      <c r="L332" s="162" t="s">
        <v>4016</v>
      </c>
      <c r="M332" s="162" t="s">
        <v>4017</v>
      </c>
      <c r="N332" s="118" t="str">
        <f>_xlfn.DISPIMG("ID_4B6C2F7765194334A42FC9F1088827FE",1)</f>
        <v>=DISPIMG("ID_4B6C2F7765194334A42FC9F1088827FE",1)</v>
      </c>
      <c r="O332" s="115" t="s">
        <v>4018</v>
      </c>
      <c r="P332" s="127">
        <v>513</v>
      </c>
      <c r="Q332" s="125" t="s">
        <v>4637</v>
      </c>
      <c r="R332" s="126" t="s">
        <v>56</v>
      </c>
      <c r="S332" s="131">
        <v>6</v>
      </c>
    </row>
    <row r="333" s="3" customFormat="1" ht="20" customHeight="1" spans="1:19">
      <c r="A333" s="166" t="s">
        <v>4021</v>
      </c>
      <c r="B333" s="166" t="s">
        <v>165</v>
      </c>
      <c r="C333" s="162" t="s">
        <v>4022</v>
      </c>
      <c r="D333" s="162" t="s">
        <v>156</v>
      </c>
      <c r="E333" s="162" t="s">
        <v>13</v>
      </c>
      <c r="F333" s="27">
        <v>202102003</v>
      </c>
      <c r="G333" s="162" t="s">
        <v>157</v>
      </c>
      <c r="H333" s="162" t="s">
        <v>1413</v>
      </c>
      <c r="I333" s="162" t="s">
        <v>1122</v>
      </c>
      <c r="J333" s="162" t="s">
        <v>160</v>
      </c>
      <c r="K333" s="162" t="s">
        <v>235</v>
      </c>
      <c r="L333" s="162" t="s">
        <v>487</v>
      </c>
      <c r="M333" s="162" t="s">
        <v>4024</v>
      </c>
      <c r="N333" s="118" t="str">
        <f>_xlfn.DISPIMG("ID_678965A481D64CEABA15E59CA2B84698",1)</f>
        <v>=DISPIMG("ID_678965A481D64CEABA15E59CA2B84698",1)</v>
      </c>
      <c r="O333" s="115" t="s">
        <v>4025</v>
      </c>
      <c r="P333" s="127">
        <v>514</v>
      </c>
      <c r="Q333" s="125" t="s">
        <v>4638</v>
      </c>
      <c r="R333" s="126" t="s">
        <v>56</v>
      </c>
      <c r="S333" s="131">
        <v>7</v>
      </c>
    </row>
    <row r="334" s="3" customFormat="1" ht="20" customHeight="1" spans="1:19">
      <c r="A334" s="166" t="s">
        <v>441</v>
      </c>
      <c r="B334" s="166" t="s">
        <v>165</v>
      </c>
      <c r="C334" s="162" t="s">
        <v>442</v>
      </c>
      <c r="D334" s="162" t="s">
        <v>156</v>
      </c>
      <c r="E334" s="162" t="s">
        <v>12</v>
      </c>
      <c r="F334" s="27">
        <v>202102010</v>
      </c>
      <c r="G334" s="162" t="s">
        <v>157</v>
      </c>
      <c r="H334" s="162" t="s">
        <v>444</v>
      </c>
      <c r="I334" s="162" t="s">
        <v>445</v>
      </c>
      <c r="J334" s="162" t="s">
        <v>160</v>
      </c>
      <c r="K334" s="162" t="s">
        <v>252</v>
      </c>
      <c r="L334" s="162" t="s">
        <v>446</v>
      </c>
      <c r="M334" s="162" t="s">
        <v>447</v>
      </c>
      <c r="N334" s="118" t="str">
        <f>_xlfn.DISPIMG("ID_8FDFD8CDACA94911BFEF3051E2235221",1)</f>
        <v>=DISPIMG("ID_8FDFD8CDACA94911BFEF3051E2235221",1)</v>
      </c>
      <c r="O334" s="115" t="s">
        <v>448</v>
      </c>
      <c r="P334" s="27">
        <v>34</v>
      </c>
      <c r="Q334" s="125" t="s">
        <v>4639</v>
      </c>
      <c r="R334" s="126" t="s">
        <v>56</v>
      </c>
      <c r="S334" s="131">
        <v>18</v>
      </c>
    </row>
    <row r="335" s="3" customFormat="1" ht="20" customHeight="1" spans="1:19">
      <c r="A335" s="166" t="s">
        <v>906</v>
      </c>
      <c r="B335" s="166" t="s">
        <v>165</v>
      </c>
      <c r="C335" s="162" t="s">
        <v>907</v>
      </c>
      <c r="D335" s="162" t="s">
        <v>156</v>
      </c>
      <c r="E335" s="162" t="s">
        <v>12</v>
      </c>
      <c r="F335" s="27">
        <v>202102010</v>
      </c>
      <c r="G335" s="162" t="s">
        <v>157</v>
      </c>
      <c r="H335" s="162" t="s">
        <v>909</v>
      </c>
      <c r="I335" s="162" t="s">
        <v>445</v>
      </c>
      <c r="J335" s="162" t="s">
        <v>170</v>
      </c>
      <c r="K335" s="162" t="s">
        <v>910</v>
      </c>
      <c r="L335" s="162" t="s">
        <v>911</v>
      </c>
      <c r="M335" s="162" t="s">
        <v>912</v>
      </c>
      <c r="N335" s="118" t="str">
        <f>_xlfn.DISPIMG("ID_5478E78BEF25454AA0569457DA503AEE",1)</f>
        <v>=DISPIMG("ID_5478E78BEF25454AA0569457DA503AEE",1)</v>
      </c>
      <c r="O335" s="115" t="s">
        <v>913</v>
      </c>
      <c r="P335" s="27">
        <v>91</v>
      </c>
      <c r="Q335" s="125" t="s">
        <v>4640</v>
      </c>
      <c r="R335" s="126" t="s">
        <v>56</v>
      </c>
      <c r="S335" s="131">
        <v>19</v>
      </c>
    </row>
    <row r="336" s="3" customFormat="1" ht="20" customHeight="1" spans="1:19">
      <c r="A336" s="166" t="s">
        <v>239</v>
      </c>
      <c r="B336" s="166" t="s">
        <v>165</v>
      </c>
      <c r="C336" s="162" t="s">
        <v>240</v>
      </c>
      <c r="D336" s="162" t="s">
        <v>156</v>
      </c>
      <c r="E336" s="162" t="s">
        <v>5</v>
      </c>
      <c r="F336" s="27">
        <v>202102008</v>
      </c>
      <c r="G336" s="162" t="s">
        <v>157</v>
      </c>
      <c r="H336" s="162" t="s">
        <v>242</v>
      </c>
      <c r="I336" s="162" t="s">
        <v>243</v>
      </c>
      <c r="J336" s="162" t="s">
        <v>160</v>
      </c>
      <c r="K336" s="162" t="s">
        <v>161</v>
      </c>
      <c r="L336" s="162" t="s">
        <v>5</v>
      </c>
      <c r="M336" s="27">
        <v>0</v>
      </c>
      <c r="N336" s="118" t="str">
        <f>_xlfn.DISPIMG("ID_9CBFB21D3F5B4658948522EF0C2AECE4",1)</f>
        <v>=DISPIMG("ID_9CBFB21D3F5B4658948522EF0C2AECE4",1)</v>
      </c>
      <c r="O336" s="115" t="s">
        <v>244</v>
      </c>
      <c r="P336" s="27">
        <v>11</v>
      </c>
      <c r="Q336" s="125" t="s">
        <v>4641</v>
      </c>
      <c r="R336" s="126" t="s">
        <v>56</v>
      </c>
      <c r="S336" s="131">
        <v>30</v>
      </c>
    </row>
    <row r="337" s="3" customFormat="1" ht="20" customHeight="1" spans="1:19">
      <c r="A337" s="166" t="s">
        <v>4065</v>
      </c>
      <c r="B337" s="166" t="s">
        <v>165</v>
      </c>
      <c r="C337" s="162" t="s">
        <v>4066</v>
      </c>
      <c r="D337" s="162" t="s">
        <v>506</v>
      </c>
      <c r="E337" s="162" t="s">
        <v>13</v>
      </c>
      <c r="F337" s="27">
        <v>202102016</v>
      </c>
      <c r="G337" s="162" t="s">
        <v>279</v>
      </c>
      <c r="H337" s="162" t="s">
        <v>158</v>
      </c>
      <c r="I337" s="162" t="s">
        <v>223</v>
      </c>
      <c r="J337" s="162" t="s">
        <v>170</v>
      </c>
      <c r="K337" s="162" t="s">
        <v>368</v>
      </c>
      <c r="L337" s="162" t="s">
        <v>4068</v>
      </c>
      <c r="M337" s="162" t="s">
        <v>4069</v>
      </c>
      <c r="N337" s="118" t="str">
        <f>_xlfn.DISPIMG("ID_699B420D06BD4D209FB40A52E07C758F",1)</f>
        <v>=DISPIMG("ID_699B420D06BD4D209FB40A52E07C758F",1)</v>
      </c>
      <c r="O337" s="115" t="s">
        <v>4070</v>
      </c>
      <c r="P337" s="127">
        <v>520</v>
      </c>
      <c r="Q337" s="125" t="s">
        <v>4642</v>
      </c>
      <c r="R337" s="126" t="s">
        <v>56</v>
      </c>
      <c r="S337" s="131">
        <v>5</v>
      </c>
    </row>
    <row r="338" s="3" customFormat="1" ht="20" customHeight="1" spans="1:19">
      <c r="A338" s="166" t="s">
        <v>4096</v>
      </c>
      <c r="B338" s="166" t="s">
        <v>165</v>
      </c>
      <c r="C338" s="162" t="s">
        <v>4097</v>
      </c>
      <c r="D338" s="162" t="s">
        <v>506</v>
      </c>
      <c r="E338" s="162" t="s">
        <v>13</v>
      </c>
      <c r="F338" s="27">
        <v>202102016</v>
      </c>
      <c r="G338" s="162" t="s">
        <v>157</v>
      </c>
      <c r="H338" s="162" t="s">
        <v>1121</v>
      </c>
      <c r="I338" s="162" t="s">
        <v>179</v>
      </c>
      <c r="J338" s="162" t="s">
        <v>160</v>
      </c>
      <c r="K338" s="162" t="s">
        <v>199</v>
      </c>
      <c r="L338" s="162" t="s">
        <v>13</v>
      </c>
      <c r="M338" s="162" t="s">
        <v>4099</v>
      </c>
      <c r="N338" s="118" t="str">
        <f>_xlfn.DISPIMG("ID_AF2EA5B71B5B4904B17F83B386FDD8B5",1)</f>
        <v>=DISPIMG("ID_AF2EA5B71B5B4904B17F83B386FDD8B5",1)</v>
      </c>
      <c r="O338" s="115" t="s">
        <v>4100</v>
      </c>
      <c r="P338" s="27">
        <v>524</v>
      </c>
      <c r="Q338" s="125" t="s">
        <v>4643</v>
      </c>
      <c r="R338" s="126" t="s">
        <v>56</v>
      </c>
      <c r="S338" s="131">
        <v>8</v>
      </c>
    </row>
    <row r="339" s="3" customFormat="1" ht="20" customHeight="1" spans="1:19">
      <c r="A339" s="166" t="s">
        <v>1034</v>
      </c>
      <c r="B339" s="166" t="s">
        <v>165</v>
      </c>
      <c r="C339" s="162" t="s">
        <v>1035</v>
      </c>
      <c r="D339" s="162" t="s">
        <v>156</v>
      </c>
      <c r="E339" s="162" t="s">
        <v>12</v>
      </c>
      <c r="F339" s="27">
        <v>202102010</v>
      </c>
      <c r="G339" s="162" t="s">
        <v>157</v>
      </c>
      <c r="H339" s="162" t="s">
        <v>178</v>
      </c>
      <c r="I339" s="162" t="s">
        <v>1037</v>
      </c>
      <c r="J339" s="162" t="s">
        <v>170</v>
      </c>
      <c r="K339" s="162" t="s">
        <v>161</v>
      </c>
      <c r="L339" s="162" t="s">
        <v>1038</v>
      </c>
      <c r="M339" s="162" t="s">
        <v>1039</v>
      </c>
      <c r="N339" s="118" t="str">
        <f>_xlfn.DISPIMG("ID_0FA5FFDB4D0442D5AB7C6CB6A0A51E2D",1)</f>
        <v>=DISPIMG("ID_0FA5FFDB4D0442D5AB7C6CB6A0A51E2D",1)</v>
      </c>
      <c r="O339" s="115" t="s">
        <v>1040</v>
      </c>
      <c r="P339" s="127">
        <v>106</v>
      </c>
      <c r="Q339" s="125" t="s">
        <v>4644</v>
      </c>
      <c r="R339" s="126" t="s">
        <v>56</v>
      </c>
      <c r="S339" s="131">
        <v>17</v>
      </c>
    </row>
    <row r="340" s="3" customFormat="1" ht="20" customHeight="1" spans="1:19">
      <c r="A340" s="166" t="s">
        <v>1153</v>
      </c>
      <c r="B340" s="166" t="s">
        <v>165</v>
      </c>
      <c r="C340" s="162" t="s">
        <v>1154</v>
      </c>
      <c r="D340" s="162" t="s">
        <v>156</v>
      </c>
      <c r="E340" s="162" t="s">
        <v>12</v>
      </c>
      <c r="F340" s="27">
        <v>202102010</v>
      </c>
      <c r="G340" s="162" t="s">
        <v>157</v>
      </c>
      <c r="H340" s="162" t="s">
        <v>385</v>
      </c>
      <c r="I340" s="162" t="s">
        <v>445</v>
      </c>
      <c r="J340" s="162" t="s">
        <v>160</v>
      </c>
      <c r="K340" s="162" t="s">
        <v>261</v>
      </c>
      <c r="L340" s="162" t="s">
        <v>1156</v>
      </c>
      <c r="M340" s="162" t="s">
        <v>1157</v>
      </c>
      <c r="N340" s="118" t="str">
        <f>_xlfn.DISPIMG("ID_2A6402E44B2C4CB5B00B003CEEB85AA0",1)</f>
        <v>=DISPIMG("ID_2A6402E44B2C4CB5B00B003CEEB85AA0",1)</v>
      </c>
      <c r="O340" s="115" t="s">
        <v>1158</v>
      </c>
      <c r="P340" s="127">
        <v>121</v>
      </c>
      <c r="Q340" s="125" t="s">
        <v>4645</v>
      </c>
      <c r="R340" s="126" t="s">
        <v>56</v>
      </c>
      <c r="S340" s="131">
        <v>20</v>
      </c>
    </row>
    <row r="341" s="3" customFormat="1" ht="20" customHeight="1" spans="1:19">
      <c r="A341" s="166" t="s">
        <v>286</v>
      </c>
      <c r="B341" s="166" t="s">
        <v>153</v>
      </c>
      <c r="C341" s="162" t="s">
        <v>287</v>
      </c>
      <c r="D341" s="162" t="s">
        <v>156</v>
      </c>
      <c r="E341" s="162" t="s">
        <v>5</v>
      </c>
      <c r="F341" s="27">
        <v>202102008</v>
      </c>
      <c r="G341" s="162" t="s">
        <v>157</v>
      </c>
      <c r="H341" s="162" t="s">
        <v>289</v>
      </c>
      <c r="I341" s="162" t="s">
        <v>290</v>
      </c>
      <c r="J341" s="162" t="s">
        <v>170</v>
      </c>
      <c r="K341" s="162" t="s">
        <v>261</v>
      </c>
      <c r="L341" s="162" t="s">
        <v>5</v>
      </c>
      <c r="M341" s="27">
        <v>0</v>
      </c>
      <c r="N341" s="118" t="str">
        <f>_xlfn.DISPIMG("ID_5BB4AA0F377240A584934BCE0D4B941B",1)</f>
        <v>=DISPIMG("ID_5BB4AA0F377240A584934BCE0D4B941B",1)</v>
      </c>
      <c r="O341" s="115" t="s">
        <v>291</v>
      </c>
      <c r="P341" s="27">
        <v>16</v>
      </c>
      <c r="Q341" s="125" t="s">
        <v>4646</v>
      </c>
      <c r="R341" s="126" t="s">
        <v>56</v>
      </c>
      <c r="S341" s="131">
        <v>29</v>
      </c>
    </row>
    <row r="342" s="3" customFormat="1" ht="20" customHeight="1" spans="1:19">
      <c r="A342" s="166" t="s">
        <v>4120</v>
      </c>
      <c r="B342" s="166" t="s">
        <v>153</v>
      </c>
      <c r="C342" s="162" t="s">
        <v>4121</v>
      </c>
      <c r="D342" s="162" t="s">
        <v>506</v>
      </c>
      <c r="E342" s="162" t="s">
        <v>13</v>
      </c>
      <c r="F342" s="27">
        <v>202102016</v>
      </c>
      <c r="G342" s="162" t="s">
        <v>157</v>
      </c>
      <c r="H342" s="162" t="s">
        <v>269</v>
      </c>
      <c r="I342" s="162" t="s">
        <v>179</v>
      </c>
      <c r="J342" s="162" t="s">
        <v>170</v>
      </c>
      <c r="K342" s="162" t="s">
        <v>3039</v>
      </c>
      <c r="L342" s="162" t="s">
        <v>307</v>
      </c>
      <c r="M342" s="162" t="s">
        <v>4123</v>
      </c>
      <c r="N342" s="118" t="str">
        <f>_xlfn.DISPIMG("ID_E27C6548F4194D02B9DC397724E0FA4F",1)</f>
        <v>=DISPIMG("ID_E27C6548F4194D02B9DC397724E0FA4F",1)</v>
      </c>
      <c r="O342" s="115" t="s">
        <v>4124</v>
      </c>
      <c r="P342" s="27">
        <v>527</v>
      </c>
      <c r="Q342" s="125" t="s">
        <v>4647</v>
      </c>
      <c r="R342" s="126" t="s">
        <v>56</v>
      </c>
      <c r="S342" s="131">
        <v>4</v>
      </c>
    </row>
    <row r="343" s="3" customFormat="1" ht="20" customHeight="1" spans="1:19">
      <c r="A343" s="166" t="s">
        <v>4169</v>
      </c>
      <c r="B343" s="166" t="s">
        <v>165</v>
      </c>
      <c r="C343" s="162" t="s">
        <v>4170</v>
      </c>
      <c r="D343" s="162" t="s">
        <v>156</v>
      </c>
      <c r="E343" s="162" t="s">
        <v>13</v>
      </c>
      <c r="F343" s="27">
        <v>202102003</v>
      </c>
      <c r="G343" s="162" t="s">
        <v>157</v>
      </c>
      <c r="H343" s="162" t="s">
        <v>233</v>
      </c>
      <c r="I343" s="162" t="s">
        <v>4172</v>
      </c>
      <c r="J343" s="162" t="s">
        <v>170</v>
      </c>
      <c r="K343" s="162" t="s">
        <v>161</v>
      </c>
      <c r="L343" s="162" t="s">
        <v>4173</v>
      </c>
      <c r="M343" s="27">
        <v>0</v>
      </c>
      <c r="N343" s="118" t="str">
        <f>_xlfn.DISPIMG("ID_5B6CA2E5A2044344BC4069C94E27DF22",1)</f>
        <v>=DISPIMG("ID_5B6CA2E5A2044344BC4069C94E27DF22",1)</v>
      </c>
      <c r="O343" s="115" t="s">
        <v>4174</v>
      </c>
      <c r="P343" s="127">
        <v>533</v>
      </c>
      <c r="Q343" s="125" t="s">
        <v>4648</v>
      </c>
      <c r="R343" s="126" t="s">
        <v>56</v>
      </c>
      <c r="S343" s="131">
        <v>9</v>
      </c>
    </row>
    <row r="344" s="3" customFormat="1" ht="20" customHeight="1" spans="1:19">
      <c r="A344" s="166" t="s">
        <v>1439</v>
      </c>
      <c r="B344" s="166" t="s">
        <v>165</v>
      </c>
      <c r="C344" s="162" t="s">
        <v>1440</v>
      </c>
      <c r="D344" s="162" t="s">
        <v>156</v>
      </c>
      <c r="E344" s="162" t="s">
        <v>12</v>
      </c>
      <c r="F344" s="27">
        <v>202102010</v>
      </c>
      <c r="G344" s="162" t="s">
        <v>157</v>
      </c>
      <c r="H344" s="162" t="s">
        <v>444</v>
      </c>
      <c r="I344" s="162" t="s">
        <v>1442</v>
      </c>
      <c r="J344" s="162" t="s">
        <v>160</v>
      </c>
      <c r="K344" s="162" t="s">
        <v>396</v>
      </c>
      <c r="L344" s="162" t="s">
        <v>24</v>
      </c>
      <c r="M344" s="27">
        <v>0</v>
      </c>
      <c r="N344" s="118" t="str">
        <f>_xlfn.DISPIMG("ID_4F7FAD79CF244D82AC4A116B39238E93",1)</f>
        <v>=DISPIMG("ID_4F7FAD79CF244D82AC4A116B39238E93",1)</v>
      </c>
      <c r="O344" s="115" t="s">
        <v>1443</v>
      </c>
      <c r="P344" s="27">
        <v>159</v>
      </c>
      <c r="Q344" s="125" t="s">
        <v>4649</v>
      </c>
      <c r="R344" s="126" t="s">
        <v>56</v>
      </c>
      <c r="S344" s="131">
        <v>16</v>
      </c>
    </row>
    <row r="345" s="3" customFormat="1" ht="20" customHeight="1" spans="1:19">
      <c r="A345" s="166" t="s">
        <v>2240</v>
      </c>
      <c r="B345" s="166" t="s">
        <v>153</v>
      </c>
      <c r="C345" s="162" t="s">
        <v>2241</v>
      </c>
      <c r="D345" s="162" t="s">
        <v>156</v>
      </c>
      <c r="E345" s="162" t="s">
        <v>12</v>
      </c>
      <c r="F345" s="27">
        <v>202102010</v>
      </c>
      <c r="G345" s="162" t="s">
        <v>157</v>
      </c>
      <c r="H345" s="162" t="s">
        <v>2243</v>
      </c>
      <c r="I345" s="162" t="s">
        <v>445</v>
      </c>
      <c r="J345" s="162" t="s">
        <v>160</v>
      </c>
      <c r="K345" s="162" t="s">
        <v>368</v>
      </c>
      <c r="L345" s="162" t="s">
        <v>2244</v>
      </c>
      <c r="M345" s="162" t="s">
        <v>2245</v>
      </c>
      <c r="N345" s="118" t="str">
        <f>_xlfn.DISPIMG("ID_36DB22886E2542F0B08D8BC7EEC58760",1)</f>
        <v>=DISPIMG("ID_36DB22886E2542F0B08D8BC7EEC58760",1)</v>
      </c>
      <c r="O345" s="115" t="s">
        <v>2246</v>
      </c>
      <c r="P345" s="27">
        <v>264</v>
      </c>
      <c r="Q345" s="125" t="s">
        <v>4650</v>
      </c>
      <c r="R345" s="126" t="s">
        <v>56</v>
      </c>
      <c r="S345" s="131">
        <v>21</v>
      </c>
    </row>
    <row r="346" s="3" customFormat="1" ht="20" customHeight="1" spans="1:19">
      <c r="A346" s="166" t="s">
        <v>1630</v>
      </c>
      <c r="B346" s="166" t="s">
        <v>153</v>
      </c>
      <c r="C346" s="162" t="s">
        <v>1631</v>
      </c>
      <c r="D346" s="162" t="s">
        <v>156</v>
      </c>
      <c r="E346" s="162" t="s">
        <v>5</v>
      </c>
      <c r="F346" s="27">
        <v>202102008</v>
      </c>
      <c r="G346" s="162" t="s">
        <v>157</v>
      </c>
      <c r="H346" s="162" t="s">
        <v>1633</v>
      </c>
      <c r="I346" s="162" t="s">
        <v>280</v>
      </c>
      <c r="J346" s="162" t="s">
        <v>170</v>
      </c>
      <c r="K346" s="162" t="s">
        <v>199</v>
      </c>
      <c r="L346" s="162" t="s">
        <v>5</v>
      </c>
      <c r="M346" s="27">
        <v>0</v>
      </c>
      <c r="N346" s="118" t="str">
        <f>_xlfn.DISPIMG("ID_30389EE5D2254B4693F3D201E2C25479",1)</f>
        <v>=DISPIMG("ID_30389EE5D2254B4693F3D201E2C25479",1)</v>
      </c>
      <c r="O346" s="115" t="s">
        <v>1634</v>
      </c>
      <c r="P346" s="27">
        <v>183</v>
      </c>
      <c r="Q346" s="125" t="s">
        <v>4651</v>
      </c>
      <c r="R346" s="126" t="s">
        <v>56</v>
      </c>
      <c r="S346" s="131">
        <v>28</v>
      </c>
    </row>
    <row r="347" s="3" customFormat="1" ht="20" customHeight="1" spans="1:19">
      <c r="A347" s="166" t="s">
        <v>4206</v>
      </c>
      <c r="B347" s="166" t="s">
        <v>153</v>
      </c>
      <c r="C347" s="162" t="s">
        <v>4207</v>
      </c>
      <c r="D347" s="162" t="s">
        <v>506</v>
      </c>
      <c r="E347" s="162" t="s">
        <v>13</v>
      </c>
      <c r="F347" s="27">
        <v>202101016</v>
      </c>
      <c r="G347" s="162" t="s">
        <v>157</v>
      </c>
      <c r="H347" s="162" t="s">
        <v>4209</v>
      </c>
      <c r="I347" s="162" t="s">
        <v>179</v>
      </c>
      <c r="J347" s="162" t="s">
        <v>160</v>
      </c>
      <c r="K347" s="162" t="s">
        <v>396</v>
      </c>
      <c r="L347" s="162" t="s">
        <v>25</v>
      </c>
      <c r="M347" s="162" t="s">
        <v>4210</v>
      </c>
      <c r="N347" s="118" t="str">
        <f>_xlfn.DISPIMG("ID_7372970AEB0B4E9DBEDB39C293267296",1)</f>
        <v>=DISPIMG("ID_7372970AEB0B4E9DBEDB39C293267296",1)</v>
      </c>
      <c r="O347" s="115" t="s">
        <v>4211</v>
      </c>
      <c r="P347" s="127">
        <v>538</v>
      </c>
      <c r="Q347" s="125" t="s">
        <v>4652</v>
      </c>
      <c r="R347" s="126" t="s">
        <v>56</v>
      </c>
      <c r="S347" s="131">
        <v>3</v>
      </c>
    </row>
    <row r="348" s="3" customFormat="1" ht="20" customHeight="1" spans="1:19">
      <c r="A348" s="166" t="s">
        <v>4244</v>
      </c>
      <c r="B348" s="166" t="s">
        <v>165</v>
      </c>
      <c r="C348" s="162" t="s">
        <v>4245</v>
      </c>
      <c r="D348" s="162" t="s">
        <v>156</v>
      </c>
      <c r="E348" s="162" t="s">
        <v>13</v>
      </c>
      <c r="F348" s="27">
        <v>202102003</v>
      </c>
      <c r="G348" s="162" t="s">
        <v>157</v>
      </c>
      <c r="H348" s="162" t="s">
        <v>646</v>
      </c>
      <c r="I348" s="162" t="s">
        <v>179</v>
      </c>
      <c r="J348" s="162" t="s">
        <v>160</v>
      </c>
      <c r="K348" s="162" t="s">
        <v>180</v>
      </c>
      <c r="L348" s="162" t="s">
        <v>25</v>
      </c>
      <c r="M348" s="162" t="s">
        <v>4247</v>
      </c>
      <c r="N348" s="118" t="str">
        <f>_xlfn.DISPIMG("ID_36DA19808F4346CB8F6359485B7E0248",1)</f>
        <v>=DISPIMG("ID_36DA19808F4346CB8F6359485B7E0248",1)</v>
      </c>
      <c r="O348" s="115" t="s">
        <v>4248</v>
      </c>
      <c r="P348" s="27">
        <v>543</v>
      </c>
      <c r="Q348" s="125" t="s">
        <v>4653</v>
      </c>
      <c r="R348" s="126" t="s">
        <v>56</v>
      </c>
      <c r="S348" s="131">
        <v>10</v>
      </c>
    </row>
    <row r="349" s="3" customFormat="1" ht="20" customHeight="1" spans="1:19">
      <c r="A349" s="166" t="s">
        <v>3274</v>
      </c>
      <c r="B349" s="166" t="s">
        <v>165</v>
      </c>
      <c r="C349" s="162" t="s">
        <v>3275</v>
      </c>
      <c r="D349" s="162" t="s">
        <v>156</v>
      </c>
      <c r="E349" s="162" t="s">
        <v>12</v>
      </c>
      <c r="F349" s="27">
        <v>202102010</v>
      </c>
      <c r="G349" s="162" t="s">
        <v>157</v>
      </c>
      <c r="H349" s="162" t="s">
        <v>3276</v>
      </c>
      <c r="I349" s="162" t="s">
        <v>3277</v>
      </c>
      <c r="J349" s="162" t="s">
        <v>170</v>
      </c>
      <c r="K349" s="162" t="s">
        <v>516</v>
      </c>
      <c r="L349" s="162" t="s">
        <v>3278</v>
      </c>
      <c r="M349" s="162" t="s">
        <v>3279</v>
      </c>
      <c r="N349" s="118" t="str">
        <f>_xlfn.DISPIMG("ID_CA7F81D47ACB4FA38E0278F330AEC9F9",1)</f>
        <v>=DISPIMG("ID_CA7F81D47ACB4FA38E0278F330AEC9F9",1)</v>
      </c>
      <c r="O349" s="115" t="s">
        <v>3280</v>
      </c>
      <c r="P349" s="27">
        <v>409</v>
      </c>
      <c r="Q349" s="125" t="s">
        <v>4654</v>
      </c>
      <c r="R349" s="126" t="s">
        <v>56</v>
      </c>
      <c r="S349" s="131">
        <v>15</v>
      </c>
    </row>
    <row r="350" s="3" customFormat="1" ht="20" customHeight="1" spans="1:19">
      <c r="A350" s="166" t="s">
        <v>4134</v>
      </c>
      <c r="B350" s="166" t="s">
        <v>165</v>
      </c>
      <c r="C350" s="162" t="s">
        <v>4135</v>
      </c>
      <c r="D350" s="162" t="s">
        <v>156</v>
      </c>
      <c r="E350" s="162" t="s">
        <v>12</v>
      </c>
      <c r="F350" s="27">
        <v>202102010</v>
      </c>
      <c r="G350" s="162" t="s">
        <v>157</v>
      </c>
      <c r="H350" s="162" t="s">
        <v>4137</v>
      </c>
      <c r="I350" s="162" t="s">
        <v>1442</v>
      </c>
      <c r="J350" s="162" t="s">
        <v>160</v>
      </c>
      <c r="K350" s="162" t="s">
        <v>368</v>
      </c>
      <c r="L350" s="162" t="s">
        <v>4138</v>
      </c>
      <c r="M350" s="27">
        <v>0</v>
      </c>
      <c r="N350" s="118" t="str">
        <f>_xlfn.DISPIMG("ID_911EFC838815489D872B9030D6735741",1)</f>
        <v>=DISPIMG("ID_911EFC838815489D872B9030D6735741",1)</v>
      </c>
      <c r="O350" s="115" t="s">
        <v>4139</v>
      </c>
      <c r="P350" s="127">
        <v>529</v>
      </c>
      <c r="Q350" s="125" t="s">
        <v>4655</v>
      </c>
      <c r="R350" s="126" t="s">
        <v>56</v>
      </c>
      <c r="S350" s="131">
        <v>22</v>
      </c>
    </row>
    <row r="351" s="3" customFormat="1" ht="20" customHeight="1" spans="1:19">
      <c r="A351" s="166" t="s">
        <v>1706</v>
      </c>
      <c r="B351" s="166" t="s">
        <v>153</v>
      </c>
      <c r="C351" s="162" t="s">
        <v>1707</v>
      </c>
      <c r="D351" s="162" t="s">
        <v>506</v>
      </c>
      <c r="E351" s="162" t="s">
        <v>5</v>
      </c>
      <c r="F351" s="27">
        <v>202102020</v>
      </c>
      <c r="G351" s="162" t="s">
        <v>157</v>
      </c>
      <c r="H351" s="162" t="s">
        <v>789</v>
      </c>
      <c r="I351" s="162" t="s">
        <v>1709</v>
      </c>
      <c r="J351" s="162" t="s">
        <v>160</v>
      </c>
      <c r="K351" s="162" t="s">
        <v>1346</v>
      </c>
      <c r="L351" s="162" t="s">
        <v>1710</v>
      </c>
      <c r="M351" s="162" t="s">
        <v>1711</v>
      </c>
      <c r="N351" s="118" t="str">
        <f>_xlfn.DISPIMG("ID_B3E8781AF7454377842FD7EC53A6E781",1)</f>
        <v>=DISPIMG("ID_B3E8781AF7454377842FD7EC53A6E781",1)</v>
      </c>
      <c r="O351" s="115" t="s">
        <v>1712</v>
      </c>
      <c r="P351" s="127">
        <v>193</v>
      </c>
      <c r="Q351" s="125" t="s">
        <v>4656</v>
      </c>
      <c r="R351" s="126" t="s">
        <v>56</v>
      </c>
      <c r="S351" s="131">
        <v>27</v>
      </c>
    </row>
    <row r="352" s="3" customFormat="1" ht="20" customHeight="1" spans="1:19">
      <c r="A352" s="166" t="s">
        <v>4273</v>
      </c>
      <c r="B352" s="166" t="s">
        <v>165</v>
      </c>
      <c r="C352" s="162" t="s">
        <v>4274</v>
      </c>
      <c r="D352" s="162" t="s">
        <v>156</v>
      </c>
      <c r="E352" s="162" t="s">
        <v>13</v>
      </c>
      <c r="F352" s="27">
        <v>202102003</v>
      </c>
      <c r="G352" s="162" t="s">
        <v>157</v>
      </c>
      <c r="H352" s="162" t="s">
        <v>1513</v>
      </c>
      <c r="I352" s="162" t="s">
        <v>1331</v>
      </c>
      <c r="J352" s="162" t="s">
        <v>160</v>
      </c>
      <c r="K352" s="162" t="s">
        <v>368</v>
      </c>
      <c r="L352" s="162" t="s">
        <v>13</v>
      </c>
      <c r="M352" s="162" t="s">
        <v>4276</v>
      </c>
      <c r="N352" s="118" t="str">
        <f>_xlfn.DISPIMG("ID_BFA48D3AEAE641428A104A2BB93F50F8",1)</f>
        <v>=DISPIMG("ID_BFA48D3AEAE641428A104A2BB93F50F8",1)</v>
      </c>
      <c r="O352" s="115" t="s">
        <v>4277</v>
      </c>
      <c r="P352" s="27">
        <v>547</v>
      </c>
      <c r="Q352" s="125" t="s">
        <v>4657</v>
      </c>
      <c r="R352" s="126" t="s">
        <v>56</v>
      </c>
      <c r="S352" s="131">
        <v>2</v>
      </c>
    </row>
    <row r="353" s="3" customFormat="1" ht="20" customHeight="1" spans="1:19">
      <c r="A353" s="166" t="s">
        <v>4280</v>
      </c>
      <c r="B353" s="166" t="s">
        <v>165</v>
      </c>
      <c r="C353" s="162" t="s">
        <v>4281</v>
      </c>
      <c r="D353" s="162" t="s">
        <v>156</v>
      </c>
      <c r="E353" s="162" t="s">
        <v>13</v>
      </c>
      <c r="F353" s="27">
        <v>202102003</v>
      </c>
      <c r="G353" s="162" t="s">
        <v>157</v>
      </c>
      <c r="H353" s="162" t="s">
        <v>158</v>
      </c>
      <c r="I353" s="162" t="s">
        <v>298</v>
      </c>
      <c r="J353" s="162" t="s">
        <v>160</v>
      </c>
      <c r="K353" s="162" t="s">
        <v>252</v>
      </c>
      <c r="L353" s="162" t="s">
        <v>13</v>
      </c>
      <c r="M353" s="162" t="s">
        <v>4283</v>
      </c>
      <c r="N353" s="118" t="str">
        <f>_xlfn.DISPIMG("ID_0A7C024448EB4671A840FBA92AB35983",1)</f>
        <v>=DISPIMG("ID_0A7C024448EB4671A840FBA92AB35983",1)</v>
      </c>
      <c r="O353" s="115" t="s">
        <v>4284</v>
      </c>
      <c r="P353" s="27">
        <v>548</v>
      </c>
      <c r="Q353" s="125" t="s">
        <v>4658</v>
      </c>
      <c r="R353" s="126" t="s">
        <v>56</v>
      </c>
      <c r="S353" s="131">
        <v>11</v>
      </c>
    </row>
    <row r="354" s="3" customFormat="1" ht="20" customHeight="1" spans="1:19">
      <c r="A354" s="166" t="s">
        <v>4198</v>
      </c>
      <c r="B354" s="166" t="s">
        <v>165</v>
      </c>
      <c r="C354" s="162" t="s">
        <v>4199</v>
      </c>
      <c r="D354" s="162" t="s">
        <v>156</v>
      </c>
      <c r="E354" s="162" t="s">
        <v>12</v>
      </c>
      <c r="F354" s="27">
        <v>202102010</v>
      </c>
      <c r="G354" s="162" t="s">
        <v>157</v>
      </c>
      <c r="H354" s="162" t="s">
        <v>4201</v>
      </c>
      <c r="I354" s="162" t="s">
        <v>445</v>
      </c>
      <c r="J354" s="162" t="s">
        <v>170</v>
      </c>
      <c r="K354" s="162" t="s">
        <v>199</v>
      </c>
      <c r="L354" s="162" t="s">
        <v>359</v>
      </c>
      <c r="M354" s="162" t="s">
        <v>4202</v>
      </c>
      <c r="N354" s="118" t="str">
        <f>_xlfn.DISPIMG("ID_85E134BF0AB1468FAAB0CB1A9F9C4F34",1)</f>
        <v>=DISPIMG("ID_85E134BF0AB1468FAAB0CB1A9F9C4F34",1)</v>
      </c>
      <c r="O354" s="115" t="s">
        <v>4203</v>
      </c>
      <c r="P354" s="127">
        <v>537</v>
      </c>
      <c r="Q354" s="125" t="s">
        <v>4659</v>
      </c>
      <c r="R354" s="126" t="s">
        <v>56</v>
      </c>
      <c r="S354" s="131">
        <v>14</v>
      </c>
    </row>
    <row r="355" s="3" customFormat="1" ht="20" customHeight="1" spans="1:19">
      <c r="A355" s="166" t="s">
        <v>1846</v>
      </c>
      <c r="B355" s="166" t="s">
        <v>165</v>
      </c>
      <c r="C355" s="162" t="s">
        <v>1847</v>
      </c>
      <c r="D355" s="162" t="s">
        <v>156</v>
      </c>
      <c r="E355" s="162" t="s">
        <v>5</v>
      </c>
      <c r="F355" s="27">
        <v>202102008</v>
      </c>
      <c r="G355" s="162" t="s">
        <v>279</v>
      </c>
      <c r="H355" s="162" t="s">
        <v>158</v>
      </c>
      <c r="I355" s="162" t="s">
        <v>1849</v>
      </c>
      <c r="J355" s="162" t="s">
        <v>170</v>
      </c>
      <c r="K355" s="162" t="s">
        <v>396</v>
      </c>
      <c r="L355" s="162" t="s">
        <v>1850</v>
      </c>
      <c r="M355" s="162" t="s">
        <v>1851</v>
      </c>
      <c r="N355" s="118" t="str">
        <f>_xlfn.DISPIMG("ID_19DBAF911A5F41D795A3B7585DA543D3",1)</f>
        <v>=DISPIMG("ID_19DBAF911A5F41D795A3B7585DA543D3",1)</v>
      </c>
      <c r="O355" s="115" t="s">
        <v>1852</v>
      </c>
      <c r="P355" s="127">
        <v>211</v>
      </c>
      <c r="Q355" s="125" t="s">
        <v>4660</v>
      </c>
      <c r="R355" s="126" t="s">
        <v>56</v>
      </c>
      <c r="S355" s="131">
        <v>23</v>
      </c>
    </row>
    <row r="356" s="3" customFormat="1" ht="20" customHeight="1" spans="1:19">
      <c r="A356" s="166" t="s">
        <v>2294</v>
      </c>
      <c r="B356" s="166" t="s">
        <v>153</v>
      </c>
      <c r="C356" s="162" t="s">
        <v>2295</v>
      </c>
      <c r="D356" s="162" t="s">
        <v>156</v>
      </c>
      <c r="E356" s="162" t="s">
        <v>5</v>
      </c>
      <c r="F356" s="27">
        <v>202102008</v>
      </c>
      <c r="G356" s="162" t="s">
        <v>157</v>
      </c>
      <c r="H356" s="162" t="s">
        <v>1654</v>
      </c>
      <c r="I356" s="162" t="s">
        <v>2297</v>
      </c>
      <c r="J356" s="162" t="s">
        <v>160</v>
      </c>
      <c r="K356" s="162" t="s">
        <v>2298</v>
      </c>
      <c r="L356" s="162" t="s">
        <v>2299</v>
      </c>
      <c r="M356" s="27">
        <v>0</v>
      </c>
      <c r="N356" s="118" t="str">
        <f>_xlfn.DISPIMG("ID_2348B3C3CCB6443B92AD1A08F0A487FA",1)</f>
        <v>=DISPIMG("ID_2348B3C3CCB6443B92AD1A08F0A487FA",1)</v>
      </c>
      <c r="O356" s="115" t="s">
        <v>2300</v>
      </c>
      <c r="P356" s="127">
        <v>271</v>
      </c>
      <c r="Q356" s="125" t="s">
        <v>4661</v>
      </c>
      <c r="R356" s="126" t="s">
        <v>56</v>
      </c>
      <c r="S356" s="131">
        <v>26</v>
      </c>
    </row>
    <row r="357" s="3" customFormat="1" ht="20" customHeight="1" spans="1:19">
      <c r="A357" s="166" t="s">
        <v>4287</v>
      </c>
      <c r="B357" s="166" t="s">
        <v>165</v>
      </c>
      <c r="C357" s="162" t="s">
        <v>4288</v>
      </c>
      <c r="D357" s="162" t="s">
        <v>156</v>
      </c>
      <c r="E357" s="162" t="s">
        <v>13</v>
      </c>
      <c r="F357" s="27">
        <v>202102003</v>
      </c>
      <c r="G357" s="162" t="s">
        <v>279</v>
      </c>
      <c r="H357" s="162" t="s">
        <v>4290</v>
      </c>
      <c r="I357" s="162" t="s">
        <v>4291</v>
      </c>
      <c r="J357" s="162" t="s">
        <v>170</v>
      </c>
      <c r="K357" s="162" t="s">
        <v>224</v>
      </c>
      <c r="L357" s="162" t="s">
        <v>1398</v>
      </c>
      <c r="M357" s="27">
        <v>0</v>
      </c>
      <c r="N357" s="118" t="str">
        <f>_xlfn.DISPIMG("ID_722A9A1419ED4209B5078EB200B4615A",1)</f>
        <v>=DISPIMG("ID_722A9A1419ED4209B5078EB200B4615A",1)</v>
      </c>
      <c r="O357" s="115" t="s">
        <v>4292</v>
      </c>
      <c r="P357" s="127">
        <v>549</v>
      </c>
      <c r="Q357" s="125" t="s">
        <v>4662</v>
      </c>
      <c r="R357" s="126" t="s">
        <v>56</v>
      </c>
      <c r="S357" s="131">
        <v>1</v>
      </c>
    </row>
    <row r="358" s="3" customFormat="1" ht="20" customHeight="1" spans="1:19">
      <c r="A358" s="166" t="s">
        <v>4295</v>
      </c>
      <c r="B358" s="166" t="s">
        <v>165</v>
      </c>
      <c r="C358" s="162" t="s">
        <v>4296</v>
      </c>
      <c r="D358" s="162" t="s">
        <v>156</v>
      </c>
      <c r="E358" s="162" t="s">
        <v>13</v>
      </c>
      <c r="F358" s="27">
        <v>202102003</v>
      </c>
      <c r="G358" s="162" t="s">
        <v>157</v>
      </c>
      <c r="H358" s="162" t="s">
        <v>3054</v>
      </c>
      <c r="I358" s="162" t="s">
        <v>4298</v>
      </c>
      <c r="J358" s="162" t="s">
        <v>160</v>
      </c>
      <c r="K358" s="162" t="s">
        <v>261</v>
      </c>
      <c r="L358" s="162" t="s">
        <v>13</v>
      </c>
      <c r="M358" s="27">
        <v>0</v>
      </c>
      <c r="N358" s="118" t="str">
        <f>_xlfn.DISPIMG("ID_AB63EA744ECF442183CACE9AA5A6EA85",1)</f>
        <v>=DISPIMG("ID_AB63EA744ECF442183CACE9AA5A6EA85",1)</v>
      </c>
      <c r="O358" s="115" t="s">
        <v>4299</v>
      </c>
      <c r="P358" s="127">
        <v>550</v>
      </c>
      <c r="Q358" s="125" t="s">
        <v>4663</v>
      </c>
      <c r="R358" s="126" t="s">
        <v>56</v>
      </c>
      <c r="S358" s="131">
        <v>12</v>
      </c>
    </row>
    <row r="359" s="3" customFormat="1" ht="20" customHeight="1" spans="1:19">
      <c r="A359" s="166" t="s">
        <v>4302</v>
      </c>
      <c r="B359" s="166" t="s">
        <v>165</v>
      </c>
      <c r="C359" s="162" t="s">
        <v>4303</v>
      </c>
      <c r="D359" s="162" t="s">
        <v>506</v>
      </c>
      <c r="E359" s="162" t="s">
        <v>13</v>
      </c>
      <c r="F359" s="27">
        <v>202102016</v>
      </c>
      <c r="G359" s="162" t="s">
        <v>279</v>
      </c>
      <c r="H359" s="162" t="s">
        <v>168</v>
      </c>
      <c r="I359" s="162" t="s">
        <v>223</v>
      </c>
      <c r="J359" s="162" t="s">
        <v>170</v>
      </c>
      <c r="K359" s="162" t="s">
        <v>577</v>
      </c>
      <c r="L359" s="162" t="s">
        <v>487</v>
      </c>
      <c r="M359" s="162" t="s">
        <v>4304</v>
      </c>
      <c r="N359" s="118" t="str">
        <f>_xlfn.DISPIMG("ID_2F1FB7C94C004C5BAD8EEBBBB9C7D0C9",1)</f>
        <v>=DISPIMG("ID_2F1FB7C94C004C5BAD8EEBBBB9C7D0C9",1)</v>
      </c>
      <c r="O359" s="115" t="s">
        <v>4305</v>
      </c>
      <c r="P359" s="27">
        <v>551</v>
      </c>
      <c r="Q359" s="125" t="s">
        <v>4664</v>
      </c>
      <c r="R359" s="126" t="s">
        <v>56</v>
      </c>
      <c r="S359" s="131">
        <v>13</v>
      </c>
    </row>
    <row r="360" s="3" customFormat="1" ht="20" customHeight="1" spans="1:19">
      <c r="A360" s="166" t="s">
        <v>2459</v>
      </c>
      <c r="B360" s="166" t="s">
        <v>165</v>
      </c>
      <c r="C360" s="162" t="s">
        <v>2460</v>
      </c>
      <c r="D360" s="162" t="s">
        <v>156</v>
      </c>
      <c r="E360" s="162" t="s">
        <v>5</v>
      </c>
      <c r="F360" s="27">
        <v>202102008</v>
      </c>
      <c r="G360" s="162" t="s">
        <v>279</v>
      </c>
      <c r="H360" s="162" t="s">
        <v>662</v>
      </c>
      <c r="I360" s="162" t="s">
        <v>348</v>
      </c>
      <c r="J360" s="162" t="s">
        <v>170</v>
      </c>
      <c r="K360" s="162" t="s">
        <v>199</v>
      </c>
      <c r="L360" s="162" t="s">
        <v>2462</v>
      </c>
      <c r="M360" s="27">
        <v>0</v>
      </c>
      <c r="N360" s="118" t="str">
        <f>_xlfn.DISPIMG("ID_C162899F9DDD4F8CA771F69FFB2795AD",1)</f>
        <v>=DISPIMG("ID_C162899F9DDD4F8CA771F69FFB2795AD",1)</v>
      </c>
      <c r="O360" s="115" t="s">
        <v>2463</v>
      </c>
      <c r="P360" s="127">
        <v>293</v>
      </c>
      <c r="Q360" s="125" t="s">
        <v>4665</v>
      </c>
      <c r="R360" s="126" t="s">
        <v>56</v>
      </c>
      <c r="S360" s="131">
        <v>24</v>
      </c>
    </row>
    <row r="361" s="3" customFormat="1" ht="20" customHeight="1" spans="1:19">
      <c r="A361" s="166" t="s">
        <v>3873</v>
      </c>
      <c r="B361" s="166" t="s">
        <v>153</v>
      </c>
      <c r="C361" s="162" t="s">
        <v>3874</v>
      </c>
      <c r="D361" s="162" t="s">
        <v>156</v>
      </c>
      <c r="E361" s="162" t="s">
        <v>5</v>
      </c>
      <c r="F361" s="27">
        <v>202102008</v>
      </c>
      <c r="G361" s="162" t="s">
        <v>157</v>
      </c>
      <c r="H361" s="162" t="s">
        <v>3876</v>
      </c>
      <c r="I361" s="162" t="s">
        <v>290</v>
      </c>
      <c r="J361" s="162" t="s">
        <v>170</v>
      </c>
      <c r="K361" s="162" t="s">
        <v>171</v>
      </c>
      <c r="L361" s="162" t="s">
        <v>1064</v>
      </c>
      <c r="M361" s="162" t="s">
        <v>3877</v>
      </c>
      <c r="N361" s="118" t="str">
        <f>_xlfn.DISPIMG("ID_707B86616C5E4D0A96852FA2ECC7652E",1)</f>
        <v>=DISPIMG("ID_707B86616C5E4D0A96852FA2ECC7652E",1)</v>
      </c>
      <c r="O361" s="115" t="s">
        <v>3878</v>
      </c>
      <c r="P361" s="127">
        <v>494</v>
      </c>
      <c r="Q361" s="125" t="s">
        <v>4666</v>
      </c>
      <c r="R361" s="126" t="s">
        <v>56</v>
      </c>
      <c r="S361" s="131">
        <v>25</v>
      </c>
    </row>
    <row r="362" s="3" customFormat="1" ht="20" customHeight="1" spans="1:19">
      <c r="A362" s="166" t="s">
        <v>184</v>
      </c>
      <c r="B362" s="166" t="s">
        <v>153</v>
      </c>
      <c r="C362" s="162" t="s">
        <v>185</v>
      </c>
      <c r="D362" s="162" t="s">
        <v>156</v>
      </c>
      <c r="E362" s="162" t="s">
        <v>6</v>
      </c>
      <c r="F362" s="27">
        <v>202102012</v>
      </c>
      <c r="G362" s="162" t="s">
        <v>157</v>
      </c>
      <c r="H362" s="162" t="s">
        <v>187</v>
      </c>
      <c r="I362" s="162" t="s">
        <v>188</v>
      </c>
      <c r="J362" s="162" t="s">
        <v>160</v>
      </c>
      <c r="K362" s="162" t="s">
        <v>189</v>
      </c>
      <c r="L362" s="162" t="s">
        <v>190</v>
      </c>
      <c r="M362" s="27">
        <v>0</v>
      </c>
      <c r="N362" s="118" t="str">
        <f>_xlfn.DISPIMG("ID_F9EC90828AC344EC8EE9AB75C1318672",1)</f>
        <v>=DISPIMG("ID_F9EC90828AC344EC8EE9AB75C1318672",1)</v>
      </c>
      <c r="O362" s="115" t="s">
        <v>191</v>
      </c>
      <c r="P362" s="27">
        <v>5</v>
      </c>
      <c r="Q362" s="125" t="s">
        <v>4667</v>
      </c>
      <c r="R362" s="126" t="s">
        <v>60</v>
      </c>
      <c r="S362" s="124">
        <v>6</v>
      </c>
    </row>
    <row r="363" s="3" customFormat="1" ht="20" customHeight="1" spans="1:19">
      <c r="A363" s="166" t="s">
        <v>203</v>
      </c>
      <c r="B363" s="166" t="s">
        <v>165</v>
      </c>
      <c r="C363" s="162" t="s">
        <v>204</v>
      </c>
      <c r="D363" s="162" t="s">
        <v>156</v>
      </c>
      <c r="E363" s="162" t="s">
        <v>6</v>
      </c>
      <c r="F363" s="27">
        <v>202102012</v>
      </c>
      <c r="G363" s="162" t="s">
        <v>157</v>
      </c>
      <c r="H363" s="162" t="s">
        <v>206</v>
      </c>
      <c r="I363" s="162" t="s">
        <v>207</v>
      </c>
      <c r="J363" s="162" t="s">
        <v>160</v>
      </c>
      <c r="K363" s="162" t="s">
        <v>199</v>
      </c>
      <c r="L363" s="162" t="s">
        <v>6</v>
      </c>
      <c r="M363" s="162" t="s">
        <v>208</v>
      </c>
      <c r="N363" s="118" t="str">
        <f>_xlfn.DISPIMG("ID_F7457C8055E845839E12BBC94DC0151A",1)</f>
        <v>=DISPIMG("ID_F7457C8055E845839E12BBC94DC0151A",1)</v>
      </c>
      <c r="O363" s="115" t="s">
        <v>209</v>
      </c>
      <c r="P363" s="27">
        <v>7</v>
      </c>
      <c r="Q363" s="125" t="s">
        <v>4668</v>
      </c>
      <c r="R363" s="126" t="s">
        <v>60</v>
      </c>
      <c r="S363" s="124">
        <v>7</v>
      </c>
    </row>
    <row r="364" s="3" customFormat="1" ht="20" customHeight="1" spans="1:19">
      <c r="A364" s="166" t="s">
        <v>247</v>
      </c>
      <c r="B364" s="166" t="s">
        <v>165</v>
      </c>
      <c r="C364" s="162" t="s">
        <v>248</v>
      </c>
      <c r="D364" s="162" t="s">
        <v>156</v>
      </c>
      <c r="E364" s="162" t="s">
        <v>6</v>
      </c>
      <c r="F364" s="27">
        <v>202102012</v>
      </c>
      <c r="G364" s="162" t="s">
        <v>157</v>
      </c>
      <c r="H364" s="162" t="s">
        <v>250</v>
      </c>
      <c r="I364" s="162" t="s">
        <v>251</v>
      </c>
      <c r="J364" s="162" t="s">
        <v>160</v>
      </c>
      <c r="K364" s="162" t="s">
        <v>252</v>
      </c>
      <c r="L364" s="162" t="s">
        <v>253</v>
      </c>
      <c r="M364" s="162" t="s">
        <v>254</v>
      </c>
      <c r="N364" s="118" t="str">
        <f>_xlfn.DISPIMG("ID_75E1D16F2E6F48168F32947A4DF07EC3",1)</f>
        <v>=DISPIMG("ID_75E1D16F2E6F48168F32947A4DF07EC3",1)</v>
      </c>
      <c r="O364" s="115" t="s">
        <v>255</v>
      </c>
      <c r="P364" s="27">
        <v>12</v>
      </c>
      <c r="Q364" s="125" t="s">
        <v>4669</v>
      </c>
      <c r="R364" s="126" t="s">
        <v>60</v>
      </c>
      <c r="S364" s="124">
        <v>18</v>
      </c>
    </row>
    <row r="365" s="3" customFormat="1" ht="20" customHeight="1" spans="1:19">
      <c r="A365" s="166" t="s">
        <v>319</v>
      </c>
      <c r="B365" s="166" t="s">
        <v>165</v>
      </c>
      <c r="C365" s="162" t="s">
        <v>320</v>
      </c>
      <c r="D365" s="162" t="s">
        <v>156</v>
      </c>
      <c r="E365" s="162" t="s">
        <v>6</v>
      </c>
      <c r="F365" s="27">
        <v>202102012</v>
      </c>
      <c r="G365" s="162" t="s">
        <v>157</v>
      </c>
      <c r="H365" s="162" t="s">
        <v>322</v>
      </c>
      <c r="I365" s="162" t="s">
        <v>323</v>
      </c>
      <c r="J365" s="162" t="s">
        <v>170</v>
      </c>
      <c r="K365" s="162" t="s">
        <v>180</v>
      </c>
      <c r="L365" s="162" t="s">
        <v>324</v>
      </c>
      <c r="M365" s="162" t="s">
        <v>325</v>
      </c>
      <c r="N365" s="118" t="str">
        <f>_xlfn.DISPIMG("ID_7D94F98EB3D041FA910044FDF5DF1027",1)</f>
        <v>=DISPIMG("ID_7D94F98EB3D041FA910044FDF5DF1027",1)</v>
      </c>
      <c r="O365" s="115" t="s">
        <v>326</v>
      </c>
      <c r="P365" s="27">
        <v>20</v>
      </c>
      <c r="Q365" s="125" t="s">
        <v>4670</v>
      </c>
      <c r="R365" s="126" t="s">
        <v>60</v>
      </c>
      <c r="S365" s="124">
        <v>19</v>
      </c>
    </row>
    <row r="366" s="3" customFormat="1" ht="20" customHeight="1" spans="1:19">
      <c r="A366" s="166" t="s">
        <v>400</v>
      </c>
      <c r="B366" s="166" t="s">
        <v>165</v>
      </c>
      <c r="C366" s="162" t="s">
        <v>401</v>
      </c>
      <c r="D366" s="162" t="s">
        <v>156</v>
      </c>
      <c r="E366" s="162" t="s">
        <v>6</v>
      </c>
      <c r="F366" s="27">
        <v>202102012</v>
      </c>
      <c r="G366" s="162" t="s">
        <v>157</v>
      </c>
      <c r="H366" s="162" t="s">
        <v>403</v>
      </c>
      <c r="I366" s="162" t="s">
        <v>404</v>
      </c>
      <c r="J366" s="162" t="s">
        <v>160</v>
      </c>
      <c r="K366" s="162" t="s">
        <v>252</v>
      </c>
      <c r="L366" s="162" t="s">
        <v>6</v>
      </c>
      <c r="M366" s="162" t="s">
        <v>405</v>
      </c>
      <c r="N366" s="118" t="str">
        <f>_xlfn.DISPIMG("ID_CF4959AF4AC44C8391DB8D257F1D8B87",1)</f>
        <v>=DISPIMG("ID_CF4959AF4AC44C8391DB8D257F1D8B87",1)</v>
      </c>
      <c r="O366" s="115" t="s">
        <v>406</v>
      </c>
      <c r="P366" s="27">
        <v>29</v>
      </c>
      <c r="Q366" s="125" t="s">
        <v>4671</v>
      </c>
      <c r="R366" s="126" t="s">
        <v>60</v>
      </c>
      <c r="S366" s="124">
        <v>30</v>
      </c>
    </row>
    <row r="367" s="3" customFormat="1" ht="20" customHeight="1" spans="1:19">
      <c r="A367" s="166" t="s">
        <v>409</v>
      </c>
      <c r="B367" s="166" t="s">
        <v>153</v>
      </c>
      <c r="C367" s="162" t="s">
        <v>410</v>
      </c>
      <c r="D367" s="162" t="s">
        <v>156</v>
      </c>
      <c r="E367" s="162" t="s">
        <v>6</v>
      </c>
      <c r="F367" s="27">
        <v>202102012</v>
      </c>
      <c r="G367" s="162" t="s">
        <v>157</v>
      </c>
      <c r="H367" s="162" t="s">
        <v>412</v>
      </c>
      <c r="I367" s="162" t="s">
        <v>323</v>
      </c>
      <c r="J367" s="162" t="s">
        <v>170</v>
      </c>
      <c r="K367" s="162" t="s">
        <v>252</v>
      </c>
      <c r="L367" s="162" t="s">
        <v>413</v>
      </c>
      <c r="M367" s="162" t="s">
        <v>414</v>
      </c>
      <c r="N367" s="118" t="str">
        <f>_xlfn.DISPIMG("ID_C929C0A6F3B54FF18F2B98BE28643203",1)</f>
        <v>=DISPIMG("ID_C929C0A6F3B54FF18F2B98BE28643203",1)</v>
      </c>
      <c r="O367" s="115" t="s">
        <v>415</v>
      </c>
      <c r="P367" s="27">
        <v>30</v>
      </c>
      <c r="Q367" s="125" t="s">
        <v>4672</v>
      </c>
      <c r="R367" s="126" t="s">
        <v>60</v>
      </c>
      <c r="S367" s="124">
        <v>5</v>
      </c>
    </row>
    <row r="368" s="3" customFormat="1" ht="20" customHeight="1" spans="1:19">
      <c r="A368" s="166" t="s">
        <v>627</v>
      </c>
      <c r="B368" s="166" t="s">
        <v>165</v>
      </c>
      <c r="C368" s="162" t="s">
        <v>628</v>
      </c>
      <c r="D368" s="162" t="s">
        <v>156</v>
      </c>
      <c r="E368" s="162" t="s">
        <v>6</v>
      </c>
      <c r="F368" s="27">
        <v>202102012</v>
      </c>
      <c r="G368" s="162" t="s">
        <v>157</v>
      </c>
      <c r="H368" s="162" t="s">
        <v>630</v>
      </c>
      <c r="I368" s="162" t="s">
        <v>207</v>
      </c>
      <c r="J368" s="162" t="s">
        <v>160</v>
      </c>
      <c r="K368" s="162" t="s">
        <v>541</v>
      </c>
      <c r="L368" s="162" t="s">
        <v>18</v>
      </c>
      <c r="M368" s="162" t="s">
        <v>631</v>
      </c>
      <c r="N368" s="118" t="str">
        <f>_xlfn.DISPIMG("ID_50ADA4D0B38B42B786E2DD18C78CCC60",1)</f>
        <v>=DISPIMG("ID_50ADA4D0B38B42B786E2DD18C78CCC60",1)</v>
      </c>
      <c r="O368" s="115" t="s">
        <v>632</v>
      </c>
      <c r="P368" s="27">
        <v>57</v>
      </c>
      <c r="Q368" s="125" t="s">
        <v>4673</v>
      </c>
      <c r="R368" s="126" t="s">
        <v>60</v>
      </c>
      <c r="S368" s="124">
        <v>8</v>
      </c>
    </row>
    <row r="369" s="3" customFormat="1" ht="20" customHeight="1" spans="1:19">
      <c r="A369" s="166" t="s">
        <v>746</v>
      </c>
      <c r="B369" s="166" t="s">
        <v>165</v>
      </c>
      <c r="C369" s="162" t="s">
        <v>747</v>
      </c>
      <c r="D369" s="162" t="s">
        <v>156</v>
      </c>
      <c r="E369" s="162" t="s">
        <v>6</v>
      </c>
      <c r="F369" s="27">
        <v>202102012</v>
      </c>
      <c r="G369" s="162" t="s">
        <v>157</v>
      </c>
      <c r="H369" s="162" t="s">
        <v>749</v>
      </c>
      <c r="I369" s="162" t="s">
        <v>750</v>
      </c>
      <c r="J369" s="162" t="s">
        <v>160</v>
      </c>
      <c r="K369" s="162" t="s">
        <v>252</v>
      </c>
      <c r="L369" s="162" t="s">
        <v>6</v>
      </c>
      <c r="M369" s="27">
        <v>0</v>
      </c>
      <c r="N369" s="118" t="str">
        <f>_xlfn.DISPIMG("ID_7B1FBC3D2E8F42D28CA9AC35B8C2D010",1)</f>
        <v>=DISPIMG("ID_7B1FBC3D2E8F42D28CA9AC35B8C2D010",1)</v>
      </c>
      <c r="O369" s="115" t="s">
        <v>751</v>
      </c>
      <c r="P369" s="27">
        <v>71</v>
      </c>
      <c r="Q369" s="125" t="s">
        <v>4674</v>
      </c>
      <c r="R369" s="126" t="s">
        <v>60</v>
      </c>
      <c r="S369" s="124">
        <v>17</v>
      </c>
    </row>
    <row r="370" s="3" customFormat="1" ht="20" customHeight="1" spans="1:19">
      <c r="A370" s="166" t="s">
        <v>770</v>
      </c>
      <c r="B370" s="166" t="s">
        <v>165</v>
      </c>
      <c r="C370" s="162" t="s">
        <v>771</v>
      </c>
      <c r="D370" s="162" t="s">
        <v>156</v>
      </c>
      <c r="E370" s="162" t="s">
        <v>6</v>
      </c>
      <c r="F370" s="27">
        <v>202102012</v>
      </c>
      <c r="G370" s="162" t="s">
        <v>157</v>
      </c>
      <c r="H370" s="162" t="s">
        <v>773</v>
      </c>
      <c r="I370" s="162" t="s">
        <v>188</v>
      </c>
      <c r="J370" s="162" t="s">
        <v>160</v>
      </c>
      <c r="K370" s="162" t="s">
        <v>516</v>
      </c>
      <c r="L370" s="162" t="s">
        <v>774</v>
      </c>
      <c r="M370" s="162" t="s">
        <v>775</v>
      </c>
      <c r="N370" s="118" t="str">
        <f>_xlfn.DISPIMG("ID_F0D9772787374E2C95921274F505EDAD",1)</f>
        <v>=DISPIMG("ID_F0D9772787374E2C95921274F505EDAD",1)</v>
      </c>
      <c r="O370" s="115" t="s">
        <v>776</v>
      </c>
      <c r="P370" s="27">
        <v>74</v>
      </c>
      <c r="Q370" s="125" t="s">
        <v>4675</v>
      </c>
      <c r="R370" s="126" t="s">
        <v>60</v>
      </c>
      <c r="S370" s="124">
        <v>20</v>
      </c>
    </row>
    <row r="371" s="3" customFormat="1" ht="20" customHeight="1" spans="1:19">
      <c r="A371" s="166" t="s">
        <v>1076</v>
      </c>
      <c r="B371" s="166" t="s">
        <v>165</v>
      </c>
      <c r="C371" s="162" t="s">
        <v>1077</v>
      </c>
      <c r="D371" s="162" t="s">
        <v>156</v>
      </c>
      <c r="E371" s="162" t="s">
        <v>6</v>
      </c>
      <c r="F371" s="27">
        <v>202102012</v>
      </c>
      <c r="G371" s="162" t="s">
        <v>157</v>
      </c>
      <c r="H371" s="162" t="s">
        <v>1079</v>
      </c>
      <c r="I371" s="162" t="s">
        <v>1080</v>
      </c>
      <c r="J371" s="162" t="s">
        <v>160</v>
      </c>
      <c r="K371" s="162" t="s">
        <v>235</v>
      </c>
      <c r="L371" s="162" t="s">
        <v>413</v>
      </c>
      <c r="M371" s="162" t="s">
        <v>1081</v>
      </c>
      <c r="N371" s="118" t="str">
        <f>_xlfn.DISPIMG("ID_78C412614C7B42A0AA2A4D942DD9F1A2",1)</f>
        <v>=DISPIMG("ID_78C412614C7B42A0AA2A4D942DD9F1A2",1)</v>
      </c>
      <c r="O371" s="115" t="s">
        <v>1082</v>
      </c>
      <c r="P371" s="27">
        <v>112</v>
      </c>
      <c r="Q371" s="125" t="s">
        <v>4676</v>
      </c>
      <c r="R371" s="126" t="s">
        <v>60</v>
      </c>
      <c r="S371" s="124">
        <v>29</v>
      </c>
    </row>
    <row r="372" s="3" customFormat="1" ht="20" customHeight="1" spans="1:19">
      <c r="A372" s="166" t="s">
        <v>1135</v>
      </c>
      <c r="B372" s="166" t="s">
        <v>165</v>
      </c>
      <c r="C372" s="162" t="s">
        <v>1136</v>
      </c>
      <c r="D372" s="162" t="s">
        <v>506</v>
      </c>
      <c r="E372" s="162" t="s">
        <v>6</v>
      </c>
      <c r="F372" s="27">
        <v>202102021</v>
      </c>
      <c r="G372" s="162" t="s">
        <v>279</v>
      </c>
      <c r="H372" s="162" t="s">
        <v>158</v>
      </c>
      <c r="I372" s="162" t="s">
        <v>1138</v>
      </c>
      <c r="J372" s="162" t="s">
        <v>170</v>
      </c>
      <c r="K372" s="162" t="s">
        <v>673</v>
      </c>
      <c r="L372" s="162" t="s">
        <v>6</v>
      </c>
      <c r="M372" s="162" t="s">
        <v>1139</v>
      </c>
      <c r="N372" s="118" t="str">
        <f>_xlfn.DISPIMG("ID_18B5B97762B948069F50AE4DD03BA465",1)</f>
        <v>=DISPIMG("ID_18B5B97762B948069F50AE4DD03BA465",1)</v>
      </c>
      <c r="O372" s="115" t="s">
        <v>1140</v>
      </c>
      <c r="P372" s="27">
        <v>119</v>
      </c>
      <c r="Q372" s="125" t="s">
        <v>4677</v>
      </c>
      <c r="R372" s="126" t="s">
        <v>60</v>
      </c>
      <c r="S372" s="124">
        <v>4</v>
      </c>
    </row>
    <row r="373" s="3" customFormat="1" ht="20" customHeight="1" spans="1:19">
      <c r="A373" s="166" t="s">
        <v>1227</v>
      </c>
      <c r="B373" s="166" t="s">
        <v>165</v>
      </c>
      <c r="C373" s="162" t="s">
        <v>1228</v>
      </c>
      <c r="D373" s="162" t="s">
        <v>156</v>
      </c>
      <c r="E373" s="162" t="s">
        <v>6</v>
      </c>
      <c r="F373" s="27">
        <v>202102012</v>
      </c>
      <c r="G373" s="162" t="s">
        <v>279</v>
      </c>
      <c r="H373" s="162" t="s">
        <v>168</v>
      </c>
      <c r="I373" s="162" t="s">
        <v>1138</v>
      </c>
      <c r="J373" s="162" t="s">
        <v>170</v>
      </c>
      <c r="K373" s="162" t="s">
        <v>368</v>
      </c>
      <c r="L373" s="162" t="s">
        <v>498</v>
      </c>
      <c r="M373" s="162" t="s">
        <v>1230</v>
      </c>
      <c r="N373" s="118" t="str">
        <f>_xlfn.DISPIMG("ID_F7BC6213D6E44840BB6BEB26E73F83E9",1)</f>
        <v>=DISPIMG("ID_F7BC6213D6E44840BB6BEB26E73F83E9",1)</v>
      </c>
      <c r="O373" s="115" t="s">
        <v>1231</v>
      </c>
      <c r="P373" s="27">
        <v>130</v>
      </c>
      <c r="Q373" s="125" t="s">
        <v>4678</v>
      </c>
      <c r="R373" s="126" t="s">
        <v>60</v>
      </c>
      <c r="S373" s="124">
        <v>9</v>
      </c>
    </row>
    <row r="374" s="3" customFormat="1" ht="20" customHeight="1" spans="1:19">
      <c r="A374" s="166" t="s">
        <v>1068</v>
      </c>
      <c r="B374" s="166" t="s">
        <v>165</v>
      </c>
      <c r="C374" s="162" t="s">
        <v>1069</v>
      </c>
      <c r="D374" s="162" t="s">
        <v>506</v>
      </c>
      <c r="E374" s="162" t="s">
        <v>6</v>
      </c>
      <c r="F374" s="27">
        <v>202102021</v>
      </c>
      <c r="G374" s="162" t="s">
        <v>157</v>
      </c>
      <c r="H374" s="162" t="s">
        <v>1071</v>
      </c>
      <c r="I374" s="162" t="s">
        <v>454</v>
      </c>
      <c r="J374" s="162" t="s">
        <v>160</v>
      </c>
      <c r="K374" s="162" t="s">
        <v>161</v>
      </c>
      <c r="L374" s="162" t="s">
        <v>413</v>
      </c>
      <c r="M374" s="162" t="s">
        <v>1072</v>
      </c>
      <c r="N374" s="118" t="str">
        <f>_xlfn.DISPIMG("ID_4A5DEA3E498746E9A9AC483CF4ABDF91",1)</f>
        <v>=DISPIMG("ID_4A5DEA3E498746E9A9AC483CF4ABDF91",1)</v>
      </c>
      <c r="O374" s="115" t="s">
        <v>1073</v>
      </c>
      <c r="P374" s="27">
        <v>137</v>
      </c>
      <c r="Q374" s="125" t="s">
        <v>4679</v>
      </c>
      <c r="R374" s="126" t="s">
        <v>60</v>
      </c>
      <c r="S374" s="124">
        <v>16</v>
      </c>
    </row>
    <row r="375" s="3" customFormat="1" ht="20" customHeight="1" spans="1:19">
      <c r="A375" s="166" t="s">
        <v>1336</v>
      </c>
      <c r="B375" s="166" t="s">
        <v>165</v>
      </c>
      <c r="C375" s="162" t="s">
        <v>1337</v>
      </c>
      <c r="D375" s="162" t="s">
        <v>506</v>
      </c>
      <c r="E375" s="162" t="s">
        <v>6</v>
      </c>
      <c r="F375" s="27">
        <v>202102021</v>
      </c>
      <c r="G375" s="162" t="s">
        <v>157</v>
      </c>
      <c r="H375" s="162" t="s">
        <v>909</v>
      </c>
      <c r="I375" s="162" t="s">
        <v>323</v>
      </c>
      <c r="J375" s="162" t="s">
        <v>170</v>
      </c>
      <c r="K375" s="162" t="s">
        <v>235</v>
      </c>
      <c r="L375" s="162" t="s">
        <v>1339</v>
      </c>
      <c r="M375" s="162" t="s">
        <v>1340</v>
      </c>
      <c r="N375" s="118" t="str">
        <f>_xlfn.DISPIMG("ID_59602C342648425A87CF8C12540A5579",1)</f>
        <v>=DISPIMG("ID_59602C342648425A87CF8C12540A5579",1)</v>
      </c>
      <c r="O375" s="115" t="s">
        <v>1341</v>
      </c>
      <c r="P375" s="27">
        <v>145</v>
      </c>
      <c r="Q375" s="125" t="s">
        <v>4680</v>
      </c>
      <c r="R375" s="126" t="s">
        <v>60</v>
      </c>
      <c r="S375" s="124">
        <v>21</v>
      </c>
    </row>
    <row r="376" s="3" customFormat="1" ht="20" customHeight="1" spans="1:19">
      <c r="A376" s="166" t="s">
        <v>1622</v>
      </c>
      <c r="B376" s="166" t="s">
        <v>165</v>
      </c>
      <c r="C376" s="162" t="s">
        <v>1623</v>
      </c>
      <c r="D376" s="162" t="s">
        <v>506</v>
      </c>
      <c r="E376" s="162" t="s">
        <v>6</v>
      </c>
      <c r="F376" s="27">
        <v>202102021</v>
      </c>
      <c r="G376" s="162" t="s">
        <v>157</v>
      </c>
      <c r="H376" s="162" t="s">
        <v>1625</v>
      </c>
      <c r="I376" s="162" t="s">
        <v>750</v>
      </c>
      <c r="J376" s="162" t="s">
        <v>160</v>
      </c>
      <c r="K376" s="162" t="s">
        <v>1089</v>
      </c>
      <c r="L376" s="162" t="s">
        <v>6</v>
      </c>
      <c r="M376" s="162" t="s">
        <v>1626</v>
      </c>
      <c r="N376" s="118" t="str">
        <f>_xlfn.DISPIMG("ID_F5B5B7553FD14A38A3CEAB4A3171FC0C",1)</f>
        <v>=DISPIMG("ID_F5B5B7553FD14A38A3CEAB4A3171FC0C",1)</v>
      </c>
      <c r="O376" s="115" t="s">
        <v>1627</v>
      </c>
      <c r="P376" s="27">
        <v>182</v>
      </c>
      <c r="Q376" s="125" t="s">
        <v>4681</v>
      </c>
      <c r="R376" s="126" t="s">
        <v>60</v>
      </c>
      <c r="S376" s="124">
        <v>28</v>
      </c>
    </row>
    <row r="377" s="3" customFormat="1" ht="20" customHeight="1" spans="1:19">
      <c r="A377" s="166" t="s">
        <v>1798</v>
      </c>
      <c r="B377" s="166" t="s">
        <v>165</v>
      </c>
      <c r="C377" s="162" t="s">
        <v>1799</v>
      </c>
      <c r="D377" s="162" t="s">
        <v>506</v>
      </c>
      <c r="E377" s="162" t="s">
        <v>6</v>
      </c>
      <c r="F377" s="27">
        <v>202102021</v>
      </c>
      <c r="G377" s="162" t="s">
        <v>157</v>
      </c>
      <c r="H377" s="162" t="s">
        <v>1801</v>
      </c>
      <c r="I377" s="162" t="s">
        <v>1802</v>
      </c>
      <c r="J377" s="162" t="s">
        <v>160</v>
      </c>
      <c r="K377" s="162" t="s">
        <v>161</v>
      </c>
      <c r="L377" s="162" t="s">
        <v>6</v>
      </c>
      <c r="M377" s="162" t="s">
        <v>1803</v>
      </c>
      <c r="N377" s="118" t="str">
        <f>_xlfn.DISPIMG("ID_054E9F37DEBB4C16973D352603A54499",1)</f>
        <v>=DISPIMG("ID_054E9F37DEBB4C16973D352603A54499",1)</v>
      </c>
      <c r="O377" s="115" t="s">
        <v>1804</v>
      </c>
      <c r="P377" s="27">
        <v>205</v>
      </c>
      <c r="Q377" s="125" t="s">
        <v>4682</v>
      </c>
      <c r="R377" s="126" t="s">
        <v>60</v>
      </c>
      <c r="S377" s="124">
        <v>3</v>
      </c>
    </row>
    <row r="378" s="3" customFormat="1" ht="20" customHeight="1" spans="1:19">
      <c r="A378" s="166" t="s">
        <v>2233</v>
      </c>
      <c r="B378" s="166" t="s">
        <v>165</v>
      </c>
      <c r="C378" s="162" t="s">
        <v>2234</v>
      </c>
      <c r="D378" s="162" t="s">
        <v>156</v>
      </c>
      <c r="E378" s="162" t="s">
        <v>6</v>
      </c>
      <c r="F378" s="27">
        <v>202102012</v>
      </c>
      <c r="G378" s="162" t="s">
        <v>157</v>
      </c>
      <c r="H378" s="162" t="s">
        <v>2236</v>
      </c>
      <c r="I378" s="162" t="s">
        <v>188</v>
      </c>
      <c r="J378" s="162" t="s">
        <v>160</v>
      </c>
      <c r="K378" s="162" t="s">
        <v>516</v>
      </c>
      <c r="L378" s="162" t="s">
        <v>18</v>
      </c>
      <c r="M378" s="27">
        <v>0</v>
      </c>
      <c r="N378" s="118" t="str">
        <f>_xlfn.DISPIMG("ID_B83409D3E833484EAA2409A5675BAA5D",1)</f>
        <v>=DISPIMG("ID_B83409D3E833484EAA2409A5675BAA5D",1)</v>
      </c>
      <c r="O378" s="115" t="s">
        <v>2237</v>
      </c>
      <c r="P378" s="27">
        <v>263</v>
      </c>
      <c r="Q378" s="125" t="s">
        <v>4683</v>
      </c>
      <c r="R378" s="126" t="s">
        <v>60</v>
      </c>
      <c r="S378" s="124">
        <v>10</v>
      </c>
    </row>
    <row r="379" s="3" customFormat="1" ht="20" customHeight="1" spans="1:19">
      <c r="A379" s="166" t="s">
        <v>2264</v>
      </c>
      <c r="B379" s="166" t="s">
        <v>153</v>
      </c>
      <c r="C379" s="162" t="s">
        <v>2265</v>
      </c>
      <c r="D379" s="162" t="s">
        <v>506</v>
      </c>
      <c r="E379" s="162" t="s">
        <v>6</v>
      </c>
      <c r="F379" s="27">
        <v>202102021</v>
      </c>
      <c r="G379" s="162" t="s">
        <v>157</v>
      </c>
      <c r="H379" s="162" t="s">
        <v>2267</v>
      </c>
      <c r="I379" s="162" t="s">
        <v>2268</v>
      </c>
      <c r="J379" s="162" t="s">
        <v>160</v>
      </c>
      <c r="K379" s="162" t="s">
        <v>161</v>
      </c>
      <c r="L379" s="162" t="s">
        <v>2269</v>
      </c>
      <c r="M379" s="27">
        <v>0</v>
      </c>
      <c r="N379" s="118" t="str">
        <f>_xlfn.DISPIMG("ID_73D56986F7DE44CDB5B00B7AF01CF017",1)</f>
        <v>=DISPIMG("ID_73D56986F7DE44CDB5B00B7AF01CF017",1)</v>
      </c>
      <c r="O379" s="115" t="s">
        <v>2270</v>
      </c>
      <c r="P379" s="27">
        <v>267</v>
      </c>
      <c r="Q379" s="125" t="s">
        <v>4684</v>
      </c>
      <c r="R379" s="126" t="s">
        <v>60</v>
      </c>
      <c r="S379" s="124">
        <v>15</v>
      </c>
    </row>
    <row r="380" s="3" customFormat="1" ht="20" customHeight="1" spans="1:19">
      <c r="A380" s="166" t="s">
        <v>2316</v>
      </c>
      <c r="B380" s="166" t="s">
        <v>165</v>
      </c>
      <c r="C380" s="162" t="s">
        <v>2317</v>
      </c>
      <c r="D380" s="162" t="s">
        <v>156</v>
      </c>
      <c r="E380" s="162" t="s">
        <v>6</v>
      </c>
      <c r="F380" s="27">
        <v>202102012</v>
      </c>
      <c r="G380" s="162" t="s">
        <v>157</v>
      </c>
      <c r="H380" s="162" t="s">
        <v>403</v>
      </c>
      <c r="I380" s="162" t="s">
        <v>207</v>
      </c>
      <c r="J380" s="162" t="s">
        <v>160</v>
      </c>
      <c r="K380" s="162" t="s">
        <v>161</v>
      </c>
      <c r="L380" s="162" t="s">
        <v>1156</v>
      </c>
      <c r="M380" s="162" t="s">
        <v>2319</v>
      </c>
      <c r="N380" s="118" t="str">
        <f>_xlfn.DISPIMG("ID_CE4D4038789D4DF1AB53AB5B07B379E6",1)</f>
        <v>=DISPIMG("ID_CE4D4038789D4DF1AB53AB5B07B379E6",1)</v>
      </c>
      <c r="O380" s="115" t="s">
        <v>2320</v>
      </c>
      <c r="P380" s="27">
        <v>274</v>
      </c>
      <c r="Q380" s="125" t="s">
        <v>4685</v>
      </c>
      <c r="R380" s="126" t="s">
        <v>60</v>
      </c>
      <c r="S380" s="124">
        <v>22</v>
      </c>
    </row>
    <row r="381" s="3" customFormat="1" ht="20" customHeight="1" spans="1:19">
      <c r="A381" s="166" t="s">
        <v>2643</v>
      </c>
      <c r="B381" s="166" t="s">
        <v>165</v>
      </c>
      <c r="C381" s="162" t="s">
        <v>2644</v>
      </c>
      <c r="D381" s="162" t="s">
        <v>156</v>
      </c>
      <c r="E381" s="162" t="s">
        <v>6</v>
      </c>
      <c r="F381" s="27">
        <v>202102012</v>
      </c>
      <c r="G381" s="162" t="s">
        <v>157</v>
      </c>
      <c r="H381" s="162" t="s">
        <v>2646</v>
      </c>
      <c r="I381" s="162" t="s">
        <v>2647</v>
      </c>
      <c r="J381" s="162" t="s">
        <v>160</v>
      </c>
      <c r="K381" s="162" t="s">
        <v>306</v>
      </c>
      <c r="L381" s="162" t="s">
        <v>18</v>
      </c>
      <c r="M381" s="162" t="s">
        <v>2648</v>
      </c>
      <c r="N381" s="118" t="str">
        <f>_xlfn.DISPIMG("ID_5444703683DB4591A53B76ECB3D8FAE4",1)</f>
        <v>=DISPIMG("ID_5444703683DB4591A53B76ECB3D8FAE4",1)</v>
      </c>
      <c r="O381" s="115" t="s">
        <v>2649</v>
      </c>
      <c r="P381" s="27">
        <v>318</v>
      </c>
      <c r="Q381" s="125" t="s">
        <v>4686</v>
      </c>
      <c r="R381" s="126" t="s">
        <v>60</v>
      </c>
      <c r="S381" s="124">
        <v>27</v>
      </c>
    </row>
    <row r="382" s="3" customFormat="1" ht="20" customHeight="1" spans="1:19">
      <c r="A382" s="166" t="s">
        <v>2705</v>
      </c>
      <c r="B382" s="166" t="s">
        <v>165</v>
      </c>
      <c r="C382" s="162" t="s">
        <v>2706</v>
      </c>
      <c r="D382" s="162" t="s">
        <v>156</v>
      </c>
      <c r="E382" s="162" t="s">
        <v>6</v>
      </c>
      <c r="F382" s="27">
        <v>202102012</v>
      </c>
      <c r="G382" s="162" t="s">
        <v>157</v>
      </c>
      <c r="H382" s="162" t="s">
        <v>2708</v>
      </c>
      <c r="I382" s="162" t="s">
        <v>750</v>
      </c>
      <c r="J382" s="162" t="s">
        <v>160</v>
      </c>
      <c r="K382" s="162" t="s">
        <v>216</v>
      </c>
      <c r="L382" s="162" t="s">
        <v>18</v>
      </c>
      <c r="M382" s="27">
        <v>0</v>
      </c>
      <c r="N382" s="118" t="str">
        <f>_xlfn.DISPIMG("ID_4ECDECBC23404DF3A6E316268C69D43E",1)</f>
        <v>=DISPIMG("ID_4ECDECBC23404DF3A6E316268C69D43E",1)</v>
      </c>
      <c r="O382" s="115" t="s">
        <v>2709</v>
      </c>
      <c r="P382" s="27">
        <v>326</v>
      </c>
      <c r="Q382" s="125" t="s">
        <v>4687</v>
      </c>
      <c r="R382" s="126" t="s">
        <v>60</v>
      </c>
      <c r="S382" s="124">
        <v>2</v>
      </c>
    </row>
    <row r="383" s="3" customFormat="1" ht="20" customHeight="1" spans="1:19">
      <c r="A383" s="166" t="s">
        <v>2718</v>
      </c>
      <c r="B383" s="166" t="s">
        <v>153</v>
      </c>
      <c r="C383" s="162" t="s">
        <v>2719</v>
      </c>
      <c r="D383" s="162" t="s">
        <v>156</v>
      </c>
      <c r="E383" s="162" t="s">
        <v>6</v>
      </c>
      <c r="F383" s="27">
        <v>202102012</v>
      </c>
      <c r="G383" s="162" t="s">
        <v>157</v>
      </c>
      <c r="H383" s="162" t="s">
        <v>168</v>
      </c>
      <c r="I383" s="162" t="s">
        <v>2721</v>
      </c>
      <c r="J383" s="162" t="s">
        <v>160</v>
      </c>
      <c r="K383" s="162" t="s">
        <v>455</v>
      </c>
      <c r="L383" s="162" t="s">
        <v>18</v>
      </c>
      <c r="M383" s="162" t="s">
        <v>2722</v>
      </c>
      <c r="N383" s="118" t="str">
        <f>_xlfn.DISPIMG("ID_2B62698B077F4147874AB6F7E19938E7",1)</f>
        <v>=DISPIMG("ID_2B62698B077F4147874AB6F7E19938E7",1)</v>
      </c>
      <c r="O383" s="115" t="s">
        <v>2723</v>
      </c>
      <c r="P383" s="27">
        <v>328</v>
      </c>
      <c r="Q383" s="125" t="s">
        <v>4688</v>
      </c>
      <c r="R383" s="126" t="s">
        <v>60</v>
      </c>
      <c r="S383" s="124">
        <v>11</v>
      </c>
    </row>
    <row r="384" s="3" customFormat="1" ht="20" customHeight="1" spans="1:19">
      <c r="A384" s="166" t="s">
        <v>2922</v>
      </c>
      <c r="B384" s="166" t="s">
        <v>165</v>
      </c>
      <c r="C384" s="162" t="s">
        <v>2923</v>
      </c>
      <c r="D384" s="162" t="s">
        <v>156</v>
      </c>
      <c r="E384" s="162" t="s">
        <v>6</v>
      </c>
      <c r="F384" s="27">
        <v>202102012</v>
      </c>
      <c r="G384" s="162" t="s">
        <v>157</v>
      </c>
      <c r="H384" s="162" t="s">
        <v>322</v>
      </c>
      <c r="I384" s="162" t="s">
        <v>2268</v>
      </c>
      <c r="J384" s="162" t="s">
        <v>160</v>
      </c>
      <c r="K384" s="162" t="s">
        <v>455</v>
      </c>
      <c r="L384" s="162" t="s">
        <v>2925</v>
      </c>
      <c r="M384" s="27">
        <v>0</v>
      </c>
      <c r="N384" s="118" t="str">
        <f>_xlfn.DISPIMG("ID_40B4A1C67261465298C744E0F0D93767",1)</f>
        <v>=DISPIMG("ID_40B4A1C67261465298C744E0F0D93767",1)</v>
      </c>
      <c r="O384" s="115" t="s">
        <v>2926</v>
      </c>
      <c r="P384" s="27">
        <v>356</v>
      </c>
      <c r="Q384" s="125" t="s">
        <v>4689</v>
      </c>
      <c r="R384" s="126" t="s">
        <v>60</v>
      </c>
      <c r="S384" s="124">
        <v>14</v>
      </c>
    </row>
    <row r="385" s="3" customFormat="1" ht="20" customHeight="1" spans="1:19">
      <c r="A385" s="166" t="s">
        <v>3091</v>
      </c>
      <c r="B385" s="166" t="s">
        <v>165</v>
      </c>
      <c r="C385" s="162" t="s">
        <v>3092</v>
      </c>
      <c r="D385" s="162" t="s">
        <v>156</v>
      </c>
      <c r="E385" s="162" t="s">
        <v>6</v>
      </c>
      <c r="F385" s="27">
        <v>202102012</v>
      </c>
      <c r="G385" s="162" t="s">
        <v>157</v>
      </c>
      <c r="H385" s="162" t="s">
        <v>3094</v>
      </c>
      <c r="I385" s="162" t="s">
        <v>3095</v>
      </c>
      <c r="J385" s="162" t="s">
        <v>160</v>
      </c>
      <c r="K385" s="162" t="s">
        <v>171</v>
      </c>
      <c r="L385" s="162" t="s">
        <v>18</v>
      </c>
      <c r="M385" s="162" t="s">
        <v>3096</v>
      </c>
      <c r="N385" s="118" t="str">
        <f>_xlfn.DISPIMG("ID_26230D3A7A254FB387523A67FAC705F7",1)</f>
        <v>=DISPIMG("ID_26230D3A7A254FB387523A67FAC705F7",1)</v>
      </c>
      <c r="O385" s="115" t="s">
        <v>3097</v>
      </c>
      <c r="P385" s="27">
        <v>382</v>
      </c>
      <c r="Q385" s="125" t="s">
        <v>4690</v>
      </c>
      <c r="R385" s="126" t="s">
        <v>60</v>
      </c>
      <c r="S385" s="124">
        <v>23</v>
      </c>
    </row>
    <row r="386" s="3" customFormat="1" ht="20" customHeight="1" spans="1:19">
      <c r="A386" s="166" t="s">
        <v>3123</v>
      </c>
      <c r="B386" s="166" t="s">
        <v>165</v>
      </c>
      <c r="C386" s="162" t="s">
        <v>3124</v>
      </c>
      <c r="D386" s="162" t="s">
        <v>156</v>
      </c>
      <c r="E386" s="162" t="s">
        <v>6</v>
      </c>
      <c r="F386" s="27">
        <v>202102012</v>
      </c>
      <c r="G386" s="162" t="s">
        <v>157</v>
      </c>
      <c r="H386" s="162" t="s">
        <v>3126</v>
      </c>
      <c r="I386" s="162" t="s">
        <v>404</v>
      </c>
      <c r="J386" s="162" t="s">
        <v>160</v>
      </c>
      <c r="K386" s="162" t="s">
        <v>199</v>
      </c>
      <c r="L386" s="162" t="s">
        <v>18</v>
      </c>
      <c r="M386" s="27">
        <v>0</v>
      </c>
      <c r="N386" s="118" t="str">
        <f>_xlfn.DISPIMG("ID_A2488CA19AE844B4BBFD68619FFEAA1D",1)</f>
        <v>=DISPIMG("ID_A2488CA19AE844B4BBFD68619FFEAA1D",1)</v>
      </c>
      <c r="O386" s="115" t="s">
        <v>3127</v>
      </c>
      <c r="P386" s="27">
        <v>386</v>
      </c>
      <c r="Q386" s="125" t="s">
        <v>4691</v>
      </c>
      <c r="R386" s="126" t="s">
        <v>60</v>
      </c>
      <c r="S386" s="124">
        <v>26</v>
      </c>
    </row>
    <row r="387" s="3" customFormat="1" ht="20" customHeight="1" spans="1:19">
      <c r="A387" s="166" t="s">
        <v>3366</v>
      </c>
      <c r="B387" s="166" t="s">
        <v>153</v>
      </c>
      <c r="C387" s="162" t="s">
        <v>3367</v>
      </c>
      <c r="D387" s="162" t="s">
        <v>506</v>
      </c>
      <c r="E387" s="162" t="s">
        <v>6</v>
      </c>
      <c r="F387" s="27">
        <v>202102021</v>
      </c>
      <c r="G387" s="162" t="s">
        <v>279</v>
      </c>
      <c r="H387" s="162" t="s">
        <v>178</v>
      </c>
      <c r="I387" s="162" t="s">
        <v>1138</v>
      </c>
      <c r="J387" s="162" t="s">
        <v>170</v>
      </c>
      <c r="K387" s="162" t="s">
        <v>216</v>
      </c>
      <c r="L387" s="162" t="s">
        <v>3369</v>
      </c>
      <c r="M387" s="162" t="s">
        <v>3370</v>
      </c>
      <c r="N387" s="118" t="str">
        <f>_xlfn.DISPIMG("ID_5C988A3540504C69ADD9A8ABF15446E0",1)</f>
        <v>=DISPIMG("ID_5C988A3540504C69ADD9A8ABF15446E0",1)</v>
      </c>
      <c r="O387" s="115" t="s">
        <v>3371</v>
      </c>
      <c r="P387" s="27">
        <v>424</v>
      </c>
      <c r="Q387" s="125" t="s">
        <v>4692</v>
      </c>
      <c r="R387" s="126" t="s">
        <v>60</v>
      </c>
      <c r="S387" s="124">
        <v>1</v>
      </c>
    </row>
    <row r="388" s="3" customFormat="1" ht="20" customHeight="1" spans="1:19">
      <c r="A388" s="166" t="s">
        <v>3423</v>
      </c>
      <c r="B388" s="166" t="s">
        <v>165</v>
      </c>
      <c r="C388" s="162" t="s">
        <v>3424</v>
      </c>
      <c r="D388" s="162" t="s">
        <v>156</v>
      </c>
      <c r="E388" s="162" t="s">
        <v>6</v>
      </c>
      <c r="F388" s="27">
        <v>202102012</v>
      </c>
      <c r="G388" s="162" t="s">
        <v>157</v>
      </c>
      <c r="H388" s="162" t="s">
        <v>1424</v>
      </c>
      <c r="I388" s="162" t="s">
        <v>404</v>
      </c>
      <c r="J388" s="162" t="s">
        <v>160</v>
      </c>
      <c r="K388" s="162" t="s">
        <v>171</v>
      </c>
      <c r="L388" s="162" t="s">
        <v>18</v>
      </c>
      <c r="M388" s="162" t="s">
        <v>3425</v>
      </c>
      <c r="N388" s="118" t="str">
        <f>_xlfn.DISPIMG("ID_F35EB404C32C41B8B6B9DFFF6A73D9A8",1)</f>
        <v>=DISPIMG("ID_F35EB404C32C41B8B6B9DFFF6A73D9A8",1)</v>
      </c>
      <c r="O388" s="115" t="s">
        <v>3426</v>
      </c>
      <c r="P388" s="27">
        <v>432</v>
      </c>
      <c r="Q388" s="125" t="s">
        <v>4693</v>
      </c>
      <c r="R388" s="126" t="s">
        <v>60</v>
      </c>
      <c r="S388" s="124">
        <v>12</v>
      </c>
    </row>
    <row r="389" s="3" customFormat="1" ht="20" customHeight="1" spans="1:19">
      <c r="A389" s="166" t="s">
        <v>3450</v>
      </c>
      <c r="B389" s="166" t="s">
        <v>165</v>
      </c>
      <c r="C389" s="162" t="s">
        <v>3451</v>
      </c>
      <c r="D389" s="162" t="s">
        <v>156</v>
      </c>
      <c r="E389" s="162" t="s">
        <v>6</v>
      </c>
      <c r="F389" s="27">
        <v>202102012</v>
      </c>
      <c r="G389" s="162" t="s">
        <v>157</v>
      </c>
      <c r="H389" s="162" t="s">
        <v>3453</v>
      </c>
      <c r="I389" s="162" t="s">
        <v>323</v>
      </c>
      <c r="J389" s="162" t="s">
        <v>170</v>
      </c>
      <c r="K389" s="162" t="s">
        <v>396</v>
      </c>
      <c r="L389" s="162" t="s">
        <v>2244</v>
      </c>
      <c r="M389" s="162" t="s">
        <v>3454</v>
      </c>
      <c r="N389" s="118" t="str">
        <f>_xlfn.DISPIMG("ID_75AF34168E0448D4A462EFA2E90CB632",1)</f>
        <v>=DISPIMG("ID_75AF34168E0448D4A462EFA2E90CB632",1)</v>
      </c>
      <c r="O389" s="115" t="s">
        <v>3455</v>
      </c>
      <c r="P389" s="27">
        <v>436</v>
      </c>
      <c r="Q389" s="125" t="s">
        <v>4694</v>
      </c>
      <c r="R389" s="126" t="s">
        <v>60</v>
      </c>
      <c r="S389" s="124">
        <v>13</v>
      </c>
    </row>
    <row r="390" s="3" customFormat="1" ht="20" customHeight="1" spans="1:19">
      <c r="A390" s="166" t="s">
        <v>3466</v>
      </c>
      <c r="B390" s="166" t="s">
        <v>165</v>
      </c>
      <c r="C390" s="162" t="s">
        <v>3467</v>
      </c>
      <c r="D390" s="162" t="s">
        <v>156</v>
      </c>
      <c r="E390" s="162" t="s">
        <v>6</v>
      </c>
      <c r="F390" s="27">
        <v>202102012</v>
      </c>
      <c r="G390" s="162" t="s">
        <v>157</v>
      </c>
      <c r="H390" s="162" t="s">
        <v>901</v>
      </c>
      <c r="I390" s="162" t="s">
        <v>188</v>
      </c>
      <c r="J390" s="162" t="s">
        <v>160</v>
      </c>
      <c r="K390" s="162" t="s">
        <v>281</v>
      </c>
      <c r="L390" s="162" t="s">
        <v>1579</v>
      </c>
      <c r="M390" s="162" t="s">
        <v>3469</v>
      </c>
      <c r="N390" s="118" t="str">
        <f>_xlfn.DISPIMG("ID_F4E1B2AC46944606B0ACE14F8CC9918C",1)</f>
        <v>=DISPIMG("ID_F4E1B2AC46944606B0ACE14F8CC9918C",1)</v>
      </c>
      <c r="O390" s="115" t="s">
        <v>3470</v>
      </c>
      <c r="P390" s="27">
        <v>438</v>
      </c>
      <c r="Q390" s="125" t="s">
        <v>4695</v>
      </c>
      <c r="R390" s="126" t="s">
        <v>60</v>
      </c>
      <c r="S390" s="124">
        <v>24</v>
      </c>
    </row>
    <row r="391" s="3" customFormat="1" ht="20" customHeight="1" spans="1:19">
      <c r="A391" s="166" t="s">
        <v>3630</v>
      </c>
      <c r="B391" s="166" t="s">
        <v>153</v>
      </c>
      <c r="C391" s="162" t="s">
        <v>3631</v>
      </c>
      <c r="D391" s="162" t="s">
        <v>506</v>
      </c>
      <c r="E391" s="162" t="s">
        <v>6</v>
      </c>
      <c r="F391" s="27">
        <v>202102021</v>
      </c>
      <c r="G391" s="162" t="s">
        <v>157</v>
      </c>
      <c r="H391" s="162" t="s">
        <v>3633</v>
      </c>
      <c r="I391" s="162" t="s">
        <v>323</v>
      </c>
      <c r="J391" s="162" t="s">
        <v>170</v>
      </c>
      <c r="K391" s="162" t="s">
        <v>171</v>
      </c>
      <c r="L391" s="162" t="s">
        <v>3634</v>
      </c>
      <c r="M391" s="162" t="s">
        <v>3635</v>
      </c>
      <c r="N391" s="118" t="str">
        <f>_xlfn.DISPIMG("ID_7CE83E02BD574BEF88ED6441327C41EF",1)</f>
        <v>=DISPIMG("ID_7CE83E02BD574BEF88ED6441327C41EF",1)</v>
      </c>
      <c r="O391" s="115" t="s">
        <v>3636</v>
      </c>
      <c r="P391" s="27">
        <v>462</v>
      </c>
      <c r="Q391" s="125" t="s">
        <v>4696</v>
      </c>
      <c r="R391" s="126" t="s">
        <v>60</v>
      </c>
      <c r="S391" s="124">
        <v>25</v>
      </c>
    </row>
    <row r="392" s="3" customFormat="1" ht="20" customHeight="1" spans="1:19">
      <c r="A392" s="166" t="s">
        <v>3743</v>
      </c>
      <c r="B392" s="166" t="s">
        <v>165</v>
      </c>
      <c r="C392" s="162" t="s">
        <v>3744</v>
      </c>
      <c r="D392" s="162" t="s">
        <v>156</v>
      </c>
      <c r="E392" s="162" t="s">
        <v>6</v>
      </c>
      <c r="F392" s="27">
        <v>202102012</v>
      </c>
      <c r="G392" s="162" t="s">
        <v>157</v>
      </c>
      <c r="H392" s="162" t="s">
        <v>437</v>
      </c>
      <c r="I392" s="162" t="s">
        <v>3746</v>
      </c>
      <c r="J392" s="162" t="s">
        <v>160</v>
      </c>
      <c r="K392" s="162" t="s">
        <v>216</v>
      </c>
      <c r="L392" s="162" t="s">
        <v>18</v>
      </c>
      <c r="M392" s="162" t="s">
        <v>3747</v>
      </c>
      <c r="N392" s="118" t="str">
        <f>_xlfn.DISPIMG("ID_B41ADE81115D4115B428E62357BC8F70",1)</f>
        <v>=DISPIMG("ID_B41ADE81115D4115B428E62357BC8F70",1)</v>
      </c>
      <c r="O392" s="115" t="s">
        <v>3748</v>
      </c>
      <c r="P392" s="127">
        <v>477</v>
      </c>
      <c r="Q392" s="125" t="s">
        <v>4697</v>
      </c>
      <c r="R392" s="126" t="s">
        <v>62</v>
      </c>
      <c r="S392" s="131">
        <v>6</v>
      </c>
    </row>
    <row r="393" s="3" customFormat="1" ht="20" customHeight="1" spans="1:19">
      <c r="A393" s="166" t="s">
        <v>164</v>
      </c>
      <c r="B393" s="166" t="s">
        <v>165</v>
      </c>
      <c r="C393" s="162" t="s">
        <v>166</v>
      </c>
      <c r="D393" s="162" t="s">
        <v>156</v>
      </c>
      <c r="E393" s="162" t="s">
        <v>4</v>
      </c>
      <c r="F393" s="27">
        <v>202102005</v>
      </c>
      <c r="G393" s="162" t="s">
        <v>157</v>
      </c>
      <c r="H393" s="162" t="s">
        <v>168</v>
      </c>
      <c r="I393" s="162" t="s">
        <v>169</v>
      </c>
      <c r="J393" s="162" t="s">
        <v>170</v>
      </c>
      <c r="K393" s="162" t="s">
        <v>171</v>
      </c>
      <c r="L393" s="162" t="s">
        <v>4</v>
      </c>
      <c r="M393" s="27">
        <v>0</v>
      </c>
      <c r="N393" s="118" t="str">
        <f>_xlfn.DISPIMG("ID_7D4B330FD7544FC19CF8CAA4A42A6F11",1)</f>
        <v>=DISPIMG("ID_7D4B330FD7544FC19CF8CAA4A42A6F11",1)</v>
      </c>
      <c r="O393" s="115" t="s">
        <v>172</v>
      </c>
      <c r="P393" s="27">
        <v>3</v>
      </c>
      <c r="Q393" s="125" t="s">
        <v>4698</v>
      </c>
      <c r="R393" s="126" t="s">
        <v>62</v>
      </c>
      <c r="S393" s="131">
        <v>7</v>
      </c>
    </row>
    <row r="394" s="3" customFormat="1" ht="20" customHeight="1" spans="1:19">
      <c r="A394" s="166" t="s">
        <v>1085</v>
      </c>
      <c r="B394" s="166" t="s">
        <v>165</v>
      </c>
      <c r="C394" s="162" t="s">
        <v>1086</v>
      </c>
      <c r="D394" s="162" t="s">
        <v>156</v>
      </c>
      <c r="E394" s="162" t="s">
        <v>4</v>
      </c>
      <c r="F394" s="27">
        <v>202102005</v>
      </c>
      <c r="G394" s="162" t="s">
        <v>279</v>
      </c>
      <c r="H394" s="162" t="s">
        <v>158</v>
      </c>
      <c r="I394" s="162" t="s">
        <v>1088</v>
      </c>
      <c r="J394" s="162" t="s">
        <v>170</v>
      </c>
      <c r="K394" s="162" t="s">
        <v>1089</v>
      </c>
      <c r="L394" s="162" t="s">
        <v>4</v>
      </c>
      <c r="M394" s="162" t="s">
        <v>1090</v>
      </c>
      <c r="N394" s="118" t="str">
        <f>_xlfn.DISPIMG("ID_2B72C85721DF4DA8A46A71B57C490F39",1)</f>
        <v>=DISPIMG("ID_2B72C85721DF4DA8A46A71B57C490F39",1)</v>
      </c>
      <c r="O394" s="115" t="s">
        <v>1091</v>
      </c>
      <c r="P394" s="27">
        <v>113</v>
      </c>
      <c r="Q394" s="125" t="s">
        <v>4699</v>
      </c>
      <c r="R394" s="126" t="s">
        <v>62</v>
      </c>
      <c r="S394" s="131">
        <v>18</v>
      </c>
    </row>
    <row r="395" s="3" customFormat="1" ht="20" customHeight="1" spans="1:19">
      <c r="A395" s="166" t="s">
        <v>212</v>
      </c>
      <c r="B395" s="166" t="s">
        <v>165</v>
      </c>
      <c r="C395" s="162" t="s">
        <v>213</v>
      </c>
      <c r="D395" s="162" t="s">
        <v>156</v>
      </c>
      <c r="E395" s="162" t="s">
        <v>15</v>
      </c>
      <c r="F395" s="27">
        <v>202102007</v>
      </c>
      <c r="G395" s="162" t="s">
        <v>157</v>
      </c>
      <c r="H395" s="162" t="s">
        <v>178</v>
      </c>
      <c r="I395" s="162" t="s">
        <v>215</v>
      </c>
      <c r="J395" s="162" t="s">
        <v>170</v>
      </c>
      <c r="K395" s="162" t="s">
        <v>216</v>
      </c>
      <c r="L395" s="162" t="s">
        <v>15</v>
      </c>
      <c r="M395" s="27">
        <v>0</v>
      </c>
      <c r="N395" s="118" t="str">
        <f>_xlfn.DISPIMG("ID_A8B2B34FEB1F4C29AD364FF328B946F1",1)</f>
        <v>=DISPIMG("ID_A8B2B34FEB1F4C29AD364FF328B946F1",1)</v>
      </c>
      <c r="O395" s="115" t="s">
        <v>217</v>
      </c>
      <c r="P395" s="27">
        <v>8</v>
      </c>
      <c r="Q395" s="125" t="s">
        <v>4700</v>
      </c>
      <c r="R395" s="126" t="s">
        <v>62</v>
      </c>
      <c r="S395" s="131">
        <v>19</v>
      </c>
    </row>
    <row r="396" s="3" customFormat="1" ht="20" customHeight="1" spans="1:19">
      <c r="A396" s="9"/>
      <c r="B396" s="9"/>
      <c r="C396" s="27"/>
      <c r="D396" s="27"/>
      <c r="E396" s="27"/>
      <c r="F396" s="27"/>
      <c r="G396" s="27"/>
      <c r="H396" s="27"/>
      <c r="I396" s="27"/>
      <c r="J396" s="27"/>
      <c r="K396" s="27"/>
      <c r="L396" s="27"/>
      <c r="M396" s="27"/>
      <c r="N396" s="118"/>
      <c r="O396" s="115" t="s">
        <v>4409</v>
      </c>
      <c r="P396" s="127"/>
      <c r="Q396" s="125" t="s">
        <v>4410</v>
      </c>
      <c r="R396" s="126"/>
      <c r="S396" s="131">
        <v>30</v>
      </c>
    </row>
    <row r="397" s="3" customFormat="1" ht="20" customHeight="1" spans="1:19">
      <c r="A397" s="166" t="s">
        <v>3758</v>
      </c>
      <c r="B397" s="166" t="s">
        <v>165</v>
      </c>
      <c r="C397" s="162" t="s">
        <v>3759</v>
      </c>
      <c r="D397" s="162" t="s">
        <v>156</v>
      </c>
      <c r="E397" s="162" t="s">
        <v>6</v>
      </c>
      <c r="F397" s="27">
        <v>202102012</v>
      </c>
      <c r="G397" s="162" t="s">
        <v>157</v>
      </c>
      <c r="H397" s="162" t="s">
        <v>3761</v>
      </c>
      <c r="I397" s="162" t="s">
        <v>404</v>
      </c>
      <c r="J397" s="162" t="s">
        <v>160</v>
      </c>
      <c r="K397" s="162" t="s">
        <v>252</v>
      </c>
      <c r="L397" s="162" t="s">
        <v>6</v>
      </c>
      <c r="M397" s="162" t="s">
        <v>3762</v>
      </c>
      <c r="N397" s="118" t="str">
        <f>_xlfn.DISPIMG("ID_C2F02D4F7B2D4545A16075F83680F752",1)</f>
        <v>=DISPIMG("ID_C2F02D4F7B2D4545A16075F83680F752",1)</v>
      </c>
      <c r="O397" s="115" t="s">
        <v>3763</v>
      </c>
      <c r="P397" s="127">
        <v>479</v>
      </c>
      <c r="Q397" s="125" t="s">
        <v>4701</v>
      </c>
      <c r="R397" s="126" t="s">
        <v>62</v>
      </c>
      <c r="S397" s="131">
        <v>5</v>
      </c>
    </row>
    <row r="398" s="4" customFormat="1" ht="20" customHeight="1" spans="1:19">
      <c r="A398" s="166" t="s">
        <v>1393</v>
      </c>
      <c r="B398" s="166" t="s">
        <v>165</v>
      </c>
      <c r="C398" s="164" t="s">
        <v>1394</v>
      </c>
      <c r="D398" s="164" t="s">
        <v>156</v>
      </c>
      <c r="E398" s="164" t="s">
        <v>4</v>
      </c>
      <c r="F398" s="22">
        <v>202102005</v>
      </c>
      <c r="G398" s="164" t="s">
        <v>157</v>
      </c>
      <c r="H398" s="164" t="s">
        <v>1396</v>
      </c>
      <c r="I398" s="164" t="s">
        <v>1397</v>
      </c>
      <c r="J398" s="164" t="s">
        <v>160</v>
      </c>
      <c r="K398" s="164" t="s">
        <v>548</v>
      </c>
      <c r="L398" s="164" t="s">
        <v>1398</v>
      </c>
      <c r="M398" s="164" t="s">
        <v>1399</v>
      </c>
      <c r="N398" s="23" t="str">
        <f>_xlfn.DISPIMG("ID_55E386EEE22A4F28AA3DFCB82607D0EC",1)</f>
        <v>=DISPIMG("ID_55E386EEE22A4F28AA3DFCB82607D0EC",1)</v>
      </c>
      <c r="O398" s="103" t="s">
        <v>1400</v>
      </c>
      <c r="P398" s="27">
        <v>153</v>
      </c>
      <c r="Q398" s="125" t="s">
        <v>4702</v>
      </c>
      <c r="R398" s="126" t="s">
        <v>62</v>
      </c>
      <c r="S398" s="132">
        <v>8</v>
      </c>
    </row>
    <row r="399" s="3" customFormat="1" ht="20" customHeight="1" spans="1:19">
      <c r="A399" s="166" t="s">
        <v>1511</v>
      </c>
      <c r="B399" s="166" t="s">
        <v>165</v>
      </c>
      <c r="C399" s="162" t="s">
        <v>1512</v>
      </c>
      <c r="D399" s="162" t="s">
        <v>156</v>
      </c>
      <c r="E399" s="162" t="s">
        <v>4</v>
      </c>
      <c r="F399" s="27">
        <v>202102005</v>
      </c>
      <c r="G399" s="162" t="s">
        <v>157</v>
      </c>
      <c r="H399" s="162" t="s">
        <v>1513</v>
      </c>
      <c r="I399" s="162" t="s">
        <v>1514</v>
      </c>
      <c r="J399" s="162" t="s">
        <v>160</v>
      </c>
      <c r="K399" s="162" t="s">
        <v>396</v>
      </c>
      <c r="L399" s="162" t="s">
        <v>1515</v>
      </c>
      <c r="M399" s="162" t="s">
        <v>1516</v>
      </c>
      <c r="N399" s="118" t="str">
        <f>_xlfn.DISPIMG("ID_0409F7F95EEA403395B315D31E8491E7",1)</f>
        <v>=DISPIMG("ID_0409F7F95EEA403395B315D31E8491E7",1)</v>
      </c>
      <c r="O399" s="115" t="s">
        <v>1517</v>
      </c>
      <c r="P399" s="27">
        <v>168</v>
      </c>
      <c r="Q399" s="125" t="s">
        <v>4703</v>
      </c>
      <c r="R399" s="126" t="s">
        <v>62</v>
      </c>
      <c r="S399" s="131">
        <v>17</v>
      </c>
    </row>
    <row r="400" s="3" customFormat="1" ht="20" customHeight="1" spans="1:19">
      <c r="A400" s="166" t="s">
        <v>391</v>
      </c>
      <c r="B400" s="166" t="s">
        <v>165</v>
      </c>
      <c r="C400" s="162" t="s">
        <v>392</v>
      </c>
      <c r="D400" s="162" t="s">
        <v>156</v>
      </c>
      <c r="E400" s="162" t="s">
        <v>15</v>
      </c>
      <c r="F400" s="27">
        <v>202102007</v>
      </c>
      <c r="G400" s="162" t="s">
        <v>157</v>
      </c>
      <c r="H400" s="162" t="s">
        <v>394</v>
      </c>
      <c r="I400" s="162" t="s">
        <v>395</v>
      </c>
      <c r="J400" s="162" t="s">
        <v>160</v>
      </c>
      <c r="K400" s="162" t="s">
        <v>396</v>
      </c>
      <c r="L400" s="162" t="s">
        <v>15</v>
      </c>
      <c r="M400" s="27">
        <v>0</v>
      </c>
      <c r="N400" s="118" t="str">
        <f>_xlfn.DISPIMG("ID_EBB3EDBB16514C57957D178C829CE459",1)</f>
        <v>=DISPIMG("ID_EBB3EDBB16514C57957D178C829CE459",1)</v>
      </c>
      <c r="O400" s="115" t="s">
        <v>397</v>
      </c>
      <c r="P400" s="27">
        <v>28</v>
      </c>
      <c r="Q400" s="125" t="s">
        <v>4704</v>
      </c>
      <c r="R400" s="126" t="s">
        <v>62</v>
      </c>
      <c r="S400" s="131">
        <v>20</v>
      </c>
    </row>
    <row r="401" s="3" customFormat="1" ht="20" customHeight="1" spans="1:19">
      <c r="A401" s="166" t="s">
        <v>856</v>
      </c>
      <c r="B401" s="166" t="s">
        <v>165</v>
      </c>
      <c r="C401" s="162" t="s">
        <v>857</v>
      </c>
      <c r="D401" s="162" t="s">
        <v>156</v>
      </c>
      <c r="E401" s="162" t="s">
        <v>15</v>
      </c>
      <c r="F401" s="27">
        <v>202102007</v>
      </c>
      <c r="G401" s="162" t="s">
        <v>279</v>
      </c>
      <c r="H401" s="162" t="s">
        <v>178</v>
      </c>
      <c r="I401" s="162" t="s">
        <v>215</v>
      </c>
      <c r="J401" s="162" t="s">
        <v>170</v>
      </c>
      <c r="K401" s="162" t="s">
        <v>216</v>
      </c>
      <c r="L401" s="162" t="s">
        <v>859</v>
      </c>
      <c r="M401" s="162" t="s">
        <v>860</v>
      </c>
      <c r="N401" s="118" t="str">
        <f>_xlfn.DISPIMG("ID_D74EFBEA1A81482A857D7A1473663067",1)</f>
        <v>=DISPIMG("ID_D74EFBEA1A81482A857D7A1473663067",1)</v>
      </c>
      <c r="O401" s="115" t="s">
        <v>861</v>
      </c>
      <c r="P401" s="27">
        <v>85</v>
      </c>
      <c r="Q401" s="125" t="s">
        <v>4705</v>
      </c>
      <c r="R401" s="126" t="s">
        <v>62</v>
      </c>
      <c r="S401" s="131">
        <v>29</v>
      </c>
    </row>
    <row r="402" s="3" customFormat="1" ht="20" customHeight="1" spans="1:19">
      <c r="A402" s="166" t="s">
        <v>3780</v>
      </c>
      <c r="B402" s="166" t="s">
        <v>165</v>
      </c>
      <c r="C402" s="162" t="s">
        <v>3781</v>
      </c>
      <c r="D402" s="162" t="s">
        <v>156</v>
      </c>
      <c r="E402" s="162" t="s">
        <v>6</v>
      </c>
      <c r="F402" s="27">
        <v>202102012</v>
      </c>
      <c r="G402" s="162" t="s">
        <v>157</v>
      </c>
      <c r="H402" s="162" t="s">
        <v>3783</v>
      </c>
      <c r="I402" s="162" t="s">
        <v>3784</v>
      </c>
      <c r="J402" s="162" t="s">
        <v>160</v>
      </c>
      <c r="K402" s="162" t="s">
        <v>252</v>
      </c>
      <c r="L402" s="162" t="s">
        <v>6</v>
      </c>
      <c r="M402" s="162" t="s">
        <v>3785</v>
      </c>
      <c r="N402" s="118" t="str">
        <f>_xlfn.DISPIMG("ID_D2BC3DB6B6B24D07A1729D0ECE731594",1)</f>
        <v>=DISPIMG("ID_D2BC3DB6B6B24D07A1729D0ECE731594",1)</v>
      </c>
      <c r="O402" s="115" t="s">
        <v>3786</v>
      </c>
      <c r="P402" s="127">
        <v>482</v>
      </c>
      <c r="Q402" s="125" t="s">
        <v>4706</v>
      </c>
      <c r="R402" s="126" t="s">
        <v>62</v>
      </c>
      <c r="S402" s="131">
        <v>4</v>
      </c>
    </row>
    <row r="403" s="3" customFormat="1" ht="20" customHeight="1" spans="1:19">
      <c r="A403" s="166" t="s">
        <v>1882</v>
      </c>
      <c r="B403" s="166" t="s">
        <v>165</v>
      </c>
      <c r="C403" s="162" t="s">
        <v>1883</v>
      </c>
      <c r="D403" s="162" t="s">
        <v>156</v>
      </c>
      <c r="E403" s="162" t="s">
        <v>4</v>
      </c>
      <c r="F403" s="27">
        <v>202102005</v>
      </c>
      <c r="G403" s="162" t="s">
        <v>279</v>
      </c>
      <c r="H403" s="162" t="s">
        <v>269</v>
      </c>
      <c r="I403" s="162" t="s">
        <v>1088</v>
      </c>
      <c r="J403" s="162" t="s">
        <v>170</v>
      </c>
      <c r="K403" s="162" t="s">
        <v>171</v>
      </c>
      <c r="L403" s="162" t="s">
        <v>1885</v>
      </c>
      <c r="M403" s="162" t="s">
        <v>1886</v>
      </c>
      <c r="N403" s="118" t="str">
        <f>_xlfn.DISPIMG("ID_D29EC84107E94871B7B70E677BC40AB8",1)</f>
        <v>=DISPIMG("ID_D29EC84107E94871B7B70E677BC40AB8",1)</v>
      </c>
      <c r="O403" s="115" t="s">
        <v>1887</v>
      </c>
      <c r="P403" s="27">
        <v>216</v>
      </c>
      <c r="Q403" s="125" t="s">
        <v>4707</v>
      </c>
      <c r="R403" s="126" t="s">
        <v>62</v>
      </c>
      <c r="S403" s="131">
        <v>9</v>
      </c>
    </row>
    <row r="404" s="3" customFormat="1" ht="20" customHeight="1" spans="1:19">
      <c r="A404" s="166" t="s">
        <v>2878</v>
      </c>
      <c r="B404" s="166" t="s">
        <v>165</v>
      </c>
      <c r="C404" s="162" t="s">
        <v>2879</v>
      </c>
      <c r="D404" s="162" t="s">
        <v>156</v>
      </c>
      <c r="E404" s="162" t="s">
        <v>4</v>
      </c>
      <c r="F404" s="27">
        <v>202102005</v>
      </c>
      <c r="G404" s="162" t="s">
        <v>157</v>
      </c>
      <c r="H404" s="162" t="s">
        <v>385</v>
      </c>
      <c r="I404" s="162" t="s">
        <v>2881</v>
      </c>
      <c r="J404" s="162" t="s">
        <v>170</v>
      </c>
      <c r="K404" s="162" t="s">
        <v>306</v>
      </c>
      <c r="L404" s="162" t="s">
        <v>2882</v>
      </c>
      <c r="M404" s="162" t="s">
        <v>2883</v>
      </c>
      <c r="N404" s="118" t="str">
        <f>_xlfn.DISPIMG("ID_EC7DE1A270244013822D2AF30798D0D0",1)</f>
        <v>=DISPIMG("ID_EC7DE1A270244013822D2AF30798D0D0",1)</v>
      </c>
      <c r="O404" s="115" t="s">
        <v>2884</v>
      </c>
      <c r="P404" s="27">
        <v>350</v>
      </c>
      <c r="Q404" s="125" t="s">
        <v>4708</v>
      </c>
      <c r="R404" s="126" t="s">
        <v>62</v>
      </c>
      <c r="S404" s="131">
        <v>16</v>
      </c>
    </row>
    <row r="405" s="3" customFormat="1" ht="20" customHeight="1" spans="1:19">
      <c r="A405" s="166" t="s">
        <v>1658</v>
      </c>
      <c r="B405" s="166" t="s">
        <v>153</v>
      </c>
      <c r="C405" s="162" t="s">
        <v>1659</v>
      </c>
      <c r="D405" s="162" t="s">
        <v>506</v>
      </c>
      <c r="E405" s="162" t="s">
        <v>15</v>
      </c>
      <c r="F405" s="27">
        <v>202102019</v>
      </c>
      <c r="G405" s="162" t="s">
        <v>157</v>
      </c>
      <c r="H405" s="162" t="s">
        <v>611</v>
      </c>
      <c r="I405" s="162" t="s">
        <v>454</v>
      </c>
      <c r="J405" s="162" t="s">
        <v>160</v>
      </c>
      <c r="K405" s="162" t="s">
        <v>261</v>
      </c>
      <c r="L405" s="162" t="s">
        <v>1661</v>
      </c>
      <c r="M405" s="27">
        <v>0</v>
      </c>
      <c r="N405" s="118" t="str">
        <f>_xlfn.DISPIMG("ID_40EE23CAD6BE466D8A6330DBB5734F8E",1)</f>
        <v>=DISPIMG("ID_40EE23CAD6BE466D8A6330DBB5734F8E",1)</v>
      </c>
      <c r="O405" s="115" t="s">
        <v>1662</v>
      </c>
      <c r="P405" s="27">
        <v>187</v>
      </c>
      <c r="Q405" s="125" t="s">
        <v>4709</v>
      </c>
      <c r="R405" s="126" t="s">
        <v>62</v>
      </c>
      <c r="S405" s="131">
        <v>21</v>
      </c>
    </row>
    <row r="406" s="4" customFormat="1" ht="20" customHeight="1" spans="1:19">
      <c r="A406" s="166" t="s">
        <v>1897</v>
      </c>
      <c r="B406" s="166" t="s">
        <v>165</v>
      </c>
      <c r="C406" s="164" t="s">
        <v>1898</v>
      </c>
      <c r="D406" s="164" t="s">
        <v>156</v>
      </c>
      <c r="E406" s="164" t="s">
        <v>15</v>
      </c>
      <c r="F406" s="22">
        <v>202102007</v>
      </c>
      <c r="G406" s="164" t="s">
        <v>157</v>
      </c>
      <c r="H406" s="164" t="s">
        <v>1900</v>
      </c>
      <c r="I406" s="164" t="s">
        <v>179</v>
      </c>
      <c r="J406" s="164" t="s">
        <v>160</v>
      </c>
      <c r="K406" s="164" t="s">
        <v>235</v>
      </c>
      <c r="L406" s="164" t="s">
        <v>15</v>
      </c>
      <c r="M406" s="22">
        <v>0</v>
      </c>
      <c r="N406" s="23" t="str">
        <f>_xlfn.DISPIMG("ID_427E6301FF984C74BA8E87820A04494C",1)</f>
        <v>=DISPIMG("ID_427E6301FF984C74BA8E87820A04494C",1)</v>
      </c>
      <c r="O406" s="103" t="s">
        <v>1901</v>
      </c>
      <c r="P406" s="27">
        <v>218</v>
      </c>
      <c r="Q406" s="125" t="s">
        <v>4710</v>
      </c>
      <c r="R406" s="126" t="s">
        <v>62</v>
      </c>
      <c r="S406" s="132">
        <v>28</v>
      </c>
    </row>
    <row r="407" s="3" customFormat="1" ht="20" customHeight="1" spans="1:19">
      <c r="A407" s="166" t="s">
        <v>3797</v>
      </c>
      <c r="B407" s="166" t="s">
        <v>165</v>
      </c>
      <c r="C407" s="162" t="s">
        <v>3798</v>
      </c>
      <c r="D407" s="162" t="s">
        <v>506</v>
      </c>
      <c r="E407" s="162" t="s">
        <v>6</v>
      </c>
      <c r="F407" s="27">
        <v>202102021</v>
      </c>
      <c r="G407" s="162" t="s">
        <v>157</v>
      </c>
      <c r="H407" s="162" t="s">
        <v>158</v>
      </c>
      <c r="I407" s="162" t="s">
        <v>188</v>
      </c>
      <c r="J407" s="162" t="s">
        <v>160</v>
      </c>
      <c r="K407" s="162" t="s">
        <v>306</v>
      </c>
      <c r="L407" s="162" t="s">
        <v>3800</v>
      </c>
      <c r="M407" s="27">
        <v>0</v>
      </c>
      <c r="N407" s="118" t="str">
        <f>_xlfn.DISPIMG("ID_B80DCC3A028B4FB2A6977287EC2BFAD8",1)</f>
        <v>=DISPIMG("ID_B80DCC3A028B4FB2A6977287EC2BFAD8",1)</v>
      </c>
      <c r="O407" s="115" t="s">
        <v>3801</v>
      </c>
      <c r="P407" s="127">
        <v>484</v>
      </c>
      <c r="Q407" s="125" t="s">
        <v>4711</v>
      </c>
      <c r="R407" s="126" t="s">
        <v>62</v>
      </c>
      <c r="S407" s="131">
        <v>3</v>
      </c>
    </row>
    <row r="408" s="3" customFormat="1" ht="20" customHeight="1" spans="1:19">
      <c r="A408" s="166" t="s">
        <v>3586</v>
      </c>
      <c r="B408" s="166" t="s">
        <v>165</v>
      </c>
      <c r="C408" s="162" t="s">
        <v>3587</v>
      </c>
      <c r="D408" s="162" t="s">
        <v>156</v>
      </c>
      <c r="E408" s="162" t="s">
        <v>4</v>
      </c>
      <c r="F408" s="27">
        <v>202102006</v>
      </c>
      <c r="G408" s="162" t="s">
        <v>157</v>
      </c>
      <c r="H408" s="162" t="s">
        <v>158</v>
      </c>
      <c r="I408" s="162" t="s">
        <v>3589</v>
      </c>
      <c r="J408" s="162" t="s">
        <v>160</v>
      </c>
      <c r="K408" s="162" t="s">
        <v>235</v>
      </c>
      <c r="L408" s="162" t="s">
        <v>4</v>
      </c>
      <c r="M408" s="162" t="s">
        <v>3590</v>
      </c>
      <c r="N408" s="118" t="str">
        <f>_xlfn.DISPIMG("ID_1E4E55AF2274433A8809E53B95627C78",1)</f>
        <v>=DISPIMG("ID_1E4E55AF2274433A8809E53B95627C78",1)</v>
      </c>
      <c r="O408" s="115" t="s">
        <v>3591</v>
      </c>
      <c r="P408" s="27">
        <v>456</v>
      </c>
      <c r="Q408" s="125" t="s">
        <v>4712</v>
      </c>
      <c r="R408" s="126" t="s">
        <v>62</v>
      </c>
      <c r="S408" s="131">
        <v>10</v>
      </c>
    </row>
    <row r="409" s="3" customFormat="1" ht="20" customHeight="1" spans="1:19">
      <c r="A409" s="166" t="s">
        <v>3655</v>
      </c>
      <c r="B409" s="166" t="s">
        <v>153</v>
      </c>
      <c r="C409" s="162" t="s">
        <v>3656</v>
      </c>
      <c r="D409" s="162" t="s">
        <v>156</v>
      </c>
      <c r="E409" s="162" t="s">
        <v>4</v>
      </c>
      <c r="F409" s="27">
        <v>202102005</v>
      </c>
      <c r="G409" s="162" t="s">
        <v>157</v>
      </c>
      <c r="H409" s="162" t="s">
        <v>385</v>
      </c>
      <c r="I409" s="162" t="s">
        <v>179</v>
      </c>
      <c r="J409" s="162" t="s">
        <v>170</v>
      </c>
      <c r="K409" s="162" t="s">
        <v>368</v>
      </c>
      <c r="L409" s="162" t="s">
        <v>4</v>
      </c>
      <c r="M409" s="27">
        <v>0</v>
      </c>
      <c r="N409" s="118" t="str">
        <f>_xlfn.DISPIMG("ID_252B07FFDA0E4134A421E2449004C504",1)</f>
        <v>=DISPIMG("ID_252B07FFDA0E4134A421E2449004C504",1)</v>
      </c>
      <c r="O409" s="115" t="s">
        <v>3658</v>
      </c>
      <c r="P409" s="27">
        <v>465</v>
      </c>
      <c r="Q409" s="125" t="s">
        <v>4713</v>
      </c>
      <c r="R409" s="126" t="s">
        <v>62</v>
      </c>
      <c r="S409" s="131">
        <v>15</v>
      </c>
    </row>
    <row r="410" s="3" customFormat="1" ht="20" customHeight="1" spans="1:19">
      <c r="A410" s="166" t="s">
        <v>2407</v>
      </c>
      <c r="B410" s="166" t="s">
        <v>165</v>
      </c>
      <c r="C410" s="162" t="s">
        <v>2408</v>
      </c>
      <c r="D410" s="162" t="s">
        <v>156</v>
      </c>
      <c r="E410" s="162" t="s">
        <v>15</v>
      </c>
      <c r="F410" s="27">
        <v>202102007</v>
      </c>
      <c r="G410" s="162" t="s">
        <v>157</v>
      </c>
      <c r="H410" s="162" t="s">
        <v>827</v>
      </c>
      <c r="I410" s="162" t="s">
        <v>2394</v>
      </c>
      <c r="J410" s="162" t="s">
        <v>160</v>
      </c>
      <c r="K410" s="162" t="s">
        <v>171</v>
      </c>
      <c r="L410" s="162" t="s">
        <v>2410</v>
      </c>
      <c r="M410" s="162" t="s">
        <v>2411</v>
      </c>
      <c r="N410" s="118" t="str">
        <f>_xlfn.DISPIMG("ID_AC752CE0DFA24D83A60721AFA892E1C6",1)</f>
        <v>=DISPIMG("ID_AC752CE0DFA24D83A60721AFA892E1C6",1)</v>
      </c>
      <c r="O410" s="115" t="s">
        <v>2412</v>
      </c>
      <c r="P410" s="27">
        <v>286</v>
      </c>
      <c r="Q410" s="125" t="s">
        <v>4714</v>
      </c>
      <c r="R410" s="126" t="s">
        <v>62</v>
      </c>
      <c r="S410" s="131">
        <v>22</v>
      </c>
    </row>
    <row r="411" s="3" customFormat="1" ht="20" customHeight="1" spans="1:19">
      <c r="A411" s="166" t="s">
        <v>2915</v>
      </c>
      <c r="B411" s="166" t="s">
        <v>165</v>
      </c>
      <c r="C411" s="162" t="s">
        <v>2916</v>
      </c>
      <c r="D411" s="162" t="s">
        <v>506</v>
      </c>
      <c r="E411" s="162" t="s">
        <v>15</v>
      </c>
      <c r="F411" s="27">
        <v>202102019</v>
      </c>
      <c r="G411" s="162" t="s">
        <v>279</v>
      </c>
      <c r="H411" s="162" t="s">
        <v>367</v>
      </c>
      <c r="I411" s="162" t="s">
        <v>348</v>
      </c>
      <c r="J411" s="162" t="s">
        <v>170</v>
      </c>
      <c r="K411" s="162" t="s">
        <v>180</v>
      </c>
      <c r="L411" s="162" t="s">
        <v>2918</v>
      </c>
      <c r="M411" s="27">
        <v>0</v>
      </c>
      <c r="N411" s="118" t="str">
        <f>_xlfn.DISPIMG("ID_0C4A3B774E384F888DCC2803C749C7F6",1)</f>
        <v>=DISPIMG("ID_0C4A3B774E384F888DCC2803C749C7F6",1)</v>
      </c>
      <c r="O411" s="115" t="s">
        <v>2919</v>
      </c>
      <c r="P411" s="27">
        <v>355</v>
      </c>
      <c r="Q411" s="125" t="s">
        <v>4715</v>
      </c>
      <c r="R411" s="126" t="s">
        <v>62</v>
      </c>
      <c r="S411" s="131">
        <v>27</v>
      </c>
    </row>
    <row r="412" s="3" customFormat="1" ht="20" customHeight="1" spans="1:19">
      <c r="A412" s="166" t="s">
        <v>3895</v>
      </c>
      <c r="B412" s="166" t="s">
        <v>165</v>
      </c>
      <c r="C412" s="162" t="s">
        <v>3896</v>
      </c>
      <c r="D412" s="162" t="s">
        <v>156</v>
      </c>
      <c r="E412" s="162" t="s">
        <v>6</v>
      </c>
      <c r="F412" s="27">
        <v>202102012</v>
      </c>
      <c r="G412" s="162" t="s">
        <v>157</v>
      </c>
      <c r="H412" s="162" t="s">
        <v>3898</v>
      </c>
      <c r="I412" s="162" t="s">
        <v>3784</v>
      </c>
      <c r="J412" s="162" t="s">
        <v>160</v>
      </c>
      <c r="K412" s="162" t="s">
        <v>235</v>
      </c>
      <c r="L412" s="162" t="s">
        <v>3899</v>
      </c>
      <c r="M412" s="162" t="s">
        <v>3900</v>
      </c>
      <c r="N412" s="118" t="str">
        <f>_xlfn.DISPIMG("ID_BC241117C250469C89F85CEC4B64E8AA",1)</f>
        <v>=DISPIMG("ID_BC241117C250469C89F85CEC4B64E8AA",1)</v>
      </c>
      <c r="O412" s="115" t="s">
        <v>3901</v>
      </c>
      <c r="P412" s="127">
        <v>497</v>
      </c>
      <c r="Q412" s="125" t="s">
        <v>4716</v>
      </c>
      <c r="R412" s="126" t="s">
        <v>62</v>
      </c>
      <c r="S412" s="131">
        <v>2</v>
      </c>
    </row>
    <row r="413" s="3" customFormat="1" ht="20" customHeight="1" spans="1:19">
      <c r="A413" s="166" t="s">
        <v>3817</v>
      </c>
      <c r="B413" s="166" t="s">
        <v>165</v>
      </c>
      <c r="C413" s="162" t="s">
        <v>3818</v>
      </c>
      <c r="D413" s="162" t="s">
        <v>156</v>
      </c>
      <c r="E413" s="162" t="s">
        <v>4</v>
      </c>
      <c r="F413" s="27">
        <v>202102005</v>
      </c>
      <c r="G413" s="162" t="s">
        <v>157</v>
      </c>
      <c r="H413" s="162" t="s">
        <v>3820</v>
      </c>
      <c r="I413" s="162" t="s">
        <v>3821</v>
      </c>
      <c r="J413" s="162" t="s">
        <v>160</v>
      </c>
      <c r="K413" s="162" t="s">
        <v>199</v>
      </c>
      <c r="L413" s="162" t="s">
        <v>4</v>
      </c>
      <c r="M413" s="162" t="s">
        <v>3822</v>
      </c>
      <c r="N413" s="118" t="str">
        <f>_xlfn.DISPIMG("ID_F12BD6FEE7C74060A499738E5A967A51",1)</f>
        <v>=DISPIMG("ID_F12BD6FEE7C74060A499738E5A967A51",1)</v>
      </c>
      <c r="O413" s="115" t="s">
        <v>3823</v>
      </c>
      <c r="P413" s="127">
        <v>487</v>
      </c>
      <c r="Q413" s="125" t="s">
        <v>4717</v>
      </c>
      <c r="R413" s="126" t="s">
        <v>62</v>
      </c>
      <c r="S413" s="131">
        <v>11</v>
      </c>
    </row>
    <row r="414" s="3" customFormat="1" ht="20" customHeight="1" spans="1:19">
      <c r="A414" s="166" t="s">
        <v>3940</v>
      </c>
      <c r="B414" s="166" t="s">
        <v>165</v>
      </c>
      <c r="C414" s="162" t="s">
        <v>3941</v>
      </c>
      <c r="D414" s="162" t="s">
        <v>156</v>
      </c>
      <c r="E414" s="162" t="s">
        <v>4</v>
      </c>
      <c r="F414" s="27">
        <v>202102005</v>
      </c>
      <c r="G414" s="162" t="s">
        <v>157</v>
      </c>
      <c r="H414" s="162" t="s">
        <v>385</v>
      </c>
      <c r="I414" s="162" t="s">
        <v>3943</v>
      </c>
      <c r="J414" s="162" t="s">
        <v>170</v>
      </c>
      <c r="K414" s="162" t="s">
        <v>180</v>
      </c>
      <c r="L414" s="162" t="s">
        <v>4</v>
      </c>
      <c r="M414" s="162" t="s">
        <v>3944</v>
      </c>
      <c r="N414" s="118" t="str">
        <f>_xlfn.DISPIMG("ID_5F49521312D540BAA0750C7E0D3B723B",1)</f>
        <v>=DISPIMG("ID_5F49521312D540BAA0750C7E0D3B723B",1)</v>
      </c>
      <c r="O414" s="115" t="s">
        <v>3945</v>
      </c>
      <c r="P414" s="127">
        <v>503</v>
      </c>
      <c r="Q414" s="125" t="s">
        <v>4718</v>
      </c>
      <c r="R414" s="126" t="s">
        <v>62</v>
      </c>
      <c r="S414" s="131">
        <v>14</v>
      </c>
    </row>
    <row r="415" s="3" customFormat="1" ht="20" customHeight="1" spans="1:19">
      <c r="A415" s="166" t="s">
        <v>3211</v>
      </c>
      <c r="B415" s="166" t="s">
        <v>165</v>
      </c>
      <c r="C415" s="162" t="s">
        <v>3212</v>
      </c>
      <c r="D415" s="162" t="s">
        <v>506</v>
      </c>
      <c r="E415" s="162" t="s">
        <v>15</v>
      </c>
      <c r="F415" s="27">
        <v>202101019</v>
      </c>
      <c r="G415" s="162" t="s">
        <v>157</v>
      </c>
      <c r="H415" s="162" t="s">
        <v>178</v>
      </c>
      <c r="I415" s="162" t="s">
        <v>215</v>
      </c>
      <c r="J415" s="162" t="s">
        <v>170</v>
      </c>
      <c r="K415" s="162" t="s">
        <v>199</v>
      </c>
      <c r="L415" s="162" t="s">
        <v>3214</v>
      </c>
      <c r="M415" s="162" t="s">
        <v>3215</v>
      </c>
      <c r="N415" s="118" t="str">
        <f>_xlfn.DISPIMG("ID_C6192F8F8B3E4D2CBC3C30A06AF40B6E",1)</f>
        <v>=DISPIMG("ID_C6192F8F8B3E4D2CBC3C30A06AF40B6E",1)</v>
      </c>
      <c r="O415" s="115" t="s">
        <v>3216</v>
      </c>
      <c r="P415" s="27">
        <v>400</v>
      </c>
      <c r="Q415" s="125" t="s">
        <v>4719</v>
      </c>
      <c r="R415" s="126" t="s">
        <v>62</v>
      </c>
      <c r="S415" s="131">
        <v>23</v>
      </c>
    </row>
    <row r="416" s="3" customFormat="1" ht="20" customHeight="1" spans="1:19">
      <c r="A416" s="166" t="s">
        <v>3570</v>
      </c>
      <c r="B416" s="166" t="s">
        <v>165</v>
      </c>
      <c r="C416" s="162" t="s">
        <v>3571</v>
      </c>
      <c r="D416" s="162" t="s">
        <v>156</v>
      </c>
      <c r="E416" s="162" t="s">
        <v>15</v>
      </c>
      <c r="F416" s="27">
        <v>202102007</v>
      </c>
      <c r="G416" s="162" t="s">
        <v>157</v>
      </c>
      <c r="H416" s="162" t="s">
        <v>233</v>
      </c>
      <c r="I416" s="162" t="s">
        <v>454</v>
      </c>
      <c r="J416" s="162" t="s">
        <v>170</v>
      </c>
      <c r="K416" s="162" t="s">
        <v>3573</v>
      </c>
      <c r="L416" s="162" t="s">
        <v>3574</v>
      </c>
      <c r="M416" s="162" t="s">
        <v>3575</v>
      </c>
      <c r="N416" s="118" t="str">
        <f>_xlfn.DISPIMG("ID_4E9B8A157E55446AAA9BAC9D6541DF67",1)</f>
        <v>=DISPIMG("ID_4E9B8A157E55446AAA9BAC9D6541DF67",1)</v>
      </c>
      <c r="O416" s="115" t="s">
        <v>3576</v>
      </c>
      <c r="P416" s="27">
        <v>454</v>
      </c>
      <c r="Q416" s="125" t="s">
        <v>4720</v>
      </c>
      <c r="R416" s="126" t="s">
        <v>62</v>
      </c>
      <c r="S416" s="131">
        <v>26</v>
      </c>
    </row>
    <row r="417" s="3" customFormat="1" ht="20" customHeight="1" spans="1:19">
      <c r="A417" s="166" t="s">
        <v>4058</v>
      </c>
      <c r="B417" s="166" t="s">
        <v>165</v>
      </c>
      <c r="C417" s="162" t="s">
        <v>4059</v>
      </c>
      <c r="D417" s="162" t="s">
        <v>156</v>
      </c>
      <c r="E417" s="162" t="s">
        <v>6</v>
      </c>
      <c r="F417" s="27">
        <v>202102022</v>
      </c>
      <c r="G417" s="162" t="s">
        <v>157</v>
      </c>
      <c r="H417" s="162" t="s">
        <v>3054</v>
      </c>
      <c r="I417" s="162" t="s">
        <v>404</v>
      </c>
      <c r="J417" s="162" t="s">
        <v>160</v>
      </c>
      <c r="K417" s="162" t="s">
        <v>261</v>
      </c>
      <c r="L417" s="162" t="s">
        <v>4061</v>
      </c>
      <c r="M417" s="27">
        <v>0</v>
      </c>
      <c r="N417" s="118" t="str">
        <f>_xlfn.DISPIMG("ID_9ECCE1798899427AA809C16B6659E359",1)</f>
        <v>=DISPIMG("ID_9ECCE1798899427AA809C16B6659E359",1)</v>
      </c>
      <c r="O417" s="115" t="s">
        <v>4062</v>
      </c>
      <c r="P417" s="127">
        <v>519</v>
      </c>
      <c r="Q417" s="125" t="s">
        <v>4721</v>
      </c>
      <c r="R417" s="126" t="s">
        <v>62</v>
      </c>
      <c r="S417" s="131">
        <v>1</v>
      </c>
    </row>
    <row r="418" s="3" customFormat="1" ht="20" customHeight="1" spans="1:19">
      <c r="A418" s="166" t="s">
        <v>3962</v>
      </c>
      <c r="B418" s="166" t="s">
        <v>165</v>
      </c>
      <c r="C418" s="162" t="s">
        <v>3963</v>
      </c>
      <c r="D418" s="162" t="s">
        <v>156</v>
      </c>
      <c r="E418" s="162" t="s">
        <v>4</v>
      </c>
      <c r="F418" s="27">
        <v>202102005</v>
      </c>
      <c r="G418" s="162" t="s">
        <v>157</v>
      </c>
      <c r="H418" s="162" t="s">
        <v>3965</v>
      </c>
      <c r="I418" s="162" t="s">
        <v>3966</v>
      </c>
      <c r="J418" s="162" t="s">
        <v>160</v>
      </c>
      <c r="K418" s="162" t="s">
        <v>216</v>
      </c>
      <c r="L418" s="162" t="s">
        <v>4</v>
      </c>
      <c r="M418" s="27">
        <v>0</v>
      </c>
      <c r="N418" s="118" t="str">
        <f>_xlfn.DISPIMG("ID_B16A7073492C47F799EB61B1BAB98F3E",1)</f>
        <v>=DISPIMG("ID_B16A7073492C47F799EB61B1BAB98F3E",1)</v>
      </c>
      <c r="O418" s="115" t="s">
        <v>3967</v>
      </c>
      <c r="P418" s="127">
        <v>506</v>
      </c>
      <c r="Q418" s="125" t="s">
        <v>4722</v>
      </c>
      <c r="R418" s="126" t="s">
        <v>62</v>
      </c>
      <c r="S418" s="131">
        <v>12</v>
      </c>
    </row>
    <row r="419" s="3" customFormat="1" ht="20" customHeight="1" spans="1:19">
      <c r="A419" s="166" t="s">
        <v>4267</v>
      </c>
      <c r="B419" s="166" t="s">
        <v>165</v>
      </c>
      <c r="C419" s="162" t="s">
        <v>4268</v>
      </c>
      <c r="D419" s="162" t="s">
        <v>156</v>
      </c>
      <c r="E419" s="162" t="s">
        <v>4</v>
      </c>
      <c r="F419" s="27">
        <v>202102005</v>
      </c>
      <c r="G419" s="162" t="s">
        <v>279</v>
      </c>
      <c r="H419" s="162" t="s">
        <v>269</v>
      </c>
      <c r="I419" s="162" t="s">
        <v>1088</v>
      </c>
      <c r="J419" s="162" t="s">
        <v>170</v>
      </c>
      <c r="K419" s="162" t="s">
        <v>235</v>
      </c>
      <c r="L419" s="162" t="s">
        <v>4</v>
      </c>
      <c r="M419" s="27">
        <v>0</v>
      </c>
      <c r="N419" s="118" t="str">
        <f>_xlfn.DISPIMG("ID_6B663AA29D5341758E4C0EAB0E013B9E",1)</f>
        <v>=DISPIMG("ID_6B663AA29D5341758E4C0EAB0E013B9E",1)</v>
      </c>
      <c r="O419" s="115" t="s">
        <v>4270</v>
      </c>
      <c r="P419" s="127">
        <v>546</v>
      </c>
      <c r="Q419" s="125" t="s">
        <v>4723</v>
      </c>
      <c r="R419" s="126" t="s">
        <v>62</v>
      </c>
      <c r="S419" s="131">
        <v>13</v>
      </c>
    </row>
    <row r="420" s="3" customFormat="1" ht="20" customHeight="1" spans="1:19">
      <c r="A420" s="166" t="s">
        <v>3579</v>
      </c>
      <c r="B420" s="166" t="s">
        <v>153</v>
      </c>
      <c r="C420" s="162" t="s">
        <v>3580</v>
      </c>
      <c r="D420" s="162" t="s">
        <v>156</v>
      </c>
      <c r="E420" s="162" t="s">
        <v>15</v>
      </c>
      <c r="F420" s="27">
        <v>202102007</v>
      </c>
      <c r="G420" s="162" t="s">
        <v>157</v>
      </c>
      <c r="H420" s="162" t="s">
        <v>158</v>
      </c>
      <c r="I420" s="162" t="s">
        <v>1832</v>
      </c>
      <c r="J420" s="162" t="s">
        <v>160</v>
      </c>
      <c r="K420" s="162" t="s">
        <v>368</v>
      </c>
      <c r="L420" s="162" t="s">
        <v>3582</v>
      </c>
      <c r="M420" s="27">
        <v>0</v>
      </c>
      <c r="N420" s="118" t="str">
        <f>_xlfn.DISPIMG("ID_10B7637016814F53B0B0689821F0D756",1)</f>
        <v>=DISPIMG("ID_10B7637016814F53B0B0689821F0D756",1)</v>
      </c>
      <c r="O420" s="115" t="s">
        <v>3583</v>
      </c>
      <c r="P420" s="27">
        <v>455</v>
      </c>
      <c r="Q420" s="125" t="s">
        <v>4724</v>
      </c>
      <c r="R420" s="126" t="s">
        <v>62</v>
      </c>
      <c r="S420" s="131">
        <v>24</v>
      </c>
    </row>
    <row r="421" s="3" customFormat="1" ht="20" customHeight="1" spans="1:19">
      <c r="A421" s="166" t="s">
        <v>3841</v>
      </c>
      <c r="B421" s="166" t="s">
        <v>165</v>
      </c>
      <c r="C421" s="162" t="s">
        <v>3842</v>
      </c>
      <c r="D421" s="162" t="s">
        <v>156</v>
      </c>
      <c r="E421" s="162" t="s">
        <v>15</v>
      </c>
      <c r="F421" s="27">
        <v>202102007</v>
      </c>
      <c r="G421" s="162" t="s">
        <v>157</v>
      </c>
      <c r="H421" s="162" t="s">
        <v>233</v>
      </c>
      <c r="I421" s="162" t="s">
        <v>169</v>
      </c>
      <c r="J421" s="162" t="s">
        <v>170</v>
      </c>
      <c r="K421" s="162" t="s">
        <v>3844</v>
      </c>
      <c r="L421" s="162" t="s">
        <v>3845</v>
      </c>
      <c r="M421" s="162" t="s">
        <v>3846</v>
      </c>
      <c r="N421" s="118" t="str">
        <f>_xlfn.DISPIMG("ID_0D39E07DE3FA4F1EAFE382357648332E",1)</f>
        <v>=DISPIMG("ID_0D39E07DE3FA4F1EAFE382357648332E",1)</v>
      </c>
      <c r="O421" s="115" t="s">
        <v>3847</v>
      </c>
      <c r="P421" s="127">
        <v>490</v>
      </c>
      <c r="Q421" s="125" t="s">
        <v>4725</v>
      </c>
      <c r="R421" s="126" t="s">
        <v>62</v>
      </c>
      <c r="S421" s="131">
        <v>25</v>
      </c>
    </row>
    <row r="422" s="3" customFormat="1" ht="20" customHeight="1" spans="1:19">
      <c r="A422" s="166" t="s">
        <v>1671</v>
      </c>
      <c r="B422" s="166" t="s">
        <v>153</v>
      </c>
      <c r="C422" s="162" t="s">
        <v>1672</v>
      </c>
      <c r="D422" s="162" t="s">
        <v>156</v>
      </c>
      <c r="E422" s="162" t="s">
        <v>7</v>
      </c>
      <c r="F422" s="27">
        <v>202102006</v>
      </c>
      <c r="G422" s="162" t="s">
        <v>157</v>
      </c>
      <c r="H422" s="162" t="s">
        <v>1674</v>
      </c>
      <c r="I422" s="162" t="s">
        <v>1675</v>
      </c>
      <c r="J422" s="162" t="s">
        <v>170</v>
      </c>
      <c r="K422" s="162" t="s">
        <v>1676</v>
      </c>
      <c r="L422" s="162" t="s">
        <v>7</v>
      </c>
      <c r="M422" s="162" t="s">
        <v>1677</v>
      </c>
      <c r="N422" s="118" t="str">
        <f>_xlfn.DISPIMG("ID_834E256FE11F482DB22CD6E09A0E87FD",1)</f>
        <v>=DISPIMG("ID_834E256FE11F482DB22CD6E09A0E87FD",1)</v>
      </c>
      <c r="O422" s="115" t="s">
        <v>1678</v>
      </c>
      <c r="P422" s="27">
        <v>189</v>
      </c>
      <c r="Q422" s="125" t="s">
        <v>4726</v>
      </c>
      <c r="R422" s="126" t="s">
        <v>66</v>
      </c>
      <c r="S422" s="131">
        <v>6</v>
      </c>
    </row>
    <row r="423" s="3" customFormat="1" ht="20" customHeight="1" spans="1:19">
      <c r="A423" s="166" t="s">
        <v>459</v>
      </c>
      <c r="B423" s="166" t="s">
        <v>153</v>
      </c>
      <c r="C423" s="162" t="s">
        <v>460</v>
      </c>
      <c r="D423" s="162" t="s">
        <v>156</v>
      </c>
      <c r="E423" s="162" t="s">
        <v>9</v>
      </c>
      <c r="F423" s="27">
        <v>202102011</v>
      </c>
      <c r="G423" s="162" t="s">
        <v>157</v>
      </c>
      <c r="H423" s="162" t="s">
        <v>462</v>
      </c>
      <c r="I423" s="162" t="s">
        <v>463</v>
      </c>
      <c r="J423" s="162" t="s">
        <v>160</v>
      </c>
      <c r="K423" s="162" t="s">
        <v>161</v>
      </c>
      <c r="L423" s="162" t="s">
        <v>464</v>
      </c>
      <c r="M423" s="27">
        <v>0</v>
      </c>
      <c r="N423" s="118" t="str">
        <f>_xlfn.DISPIMG("ID_DCCAD4E9E505474E946107D340C03662",1)</f>
        <v>=DISPIMG("ID_DCCAD4E9E505474E946107D340C03662",1)</v>
      </c>
      <c r="O423" s="115" t="s">
        <v>465</v>
      </c>
      <c r="P423" s="27">
        <v>36</v>
      </c>
      <c r="Q423" s="125" t="s">
        <v>4727</v>
      </c>
      <c r="R423" s="126" t="s">
        <v>66</v>
      </c>
      <c r="S423" s="131">
        <v>7</v>
      </c>
    </row>
    <row r="424" s="3" customFormat="1" ht="20" customHeight="1" spans="1:19">
      <c r="A424" s="166" t="s">
        <v>468</v>
      </c>
      <c r="B424" s="166" t="s">
        <v>165</v>
      </c>
      <c r="C424" s="162" t="s">
        <v>469</v>
      </c>
      <c r="D424" s="162" t="s">
        <v>156</v>
      </c>
      <c r="E424" s="162" t="s">
        <v>9</v>
      </c>
      <c r="F424" s="27">
        <v>202101011</v>
      </c>
      <c r="G424" s="162" t="s">
        <v>157</v>
      </c>
      <c r="H424" s="162" t="s">
        <v>471</v>
      </c>
      <c r="I424" s="162" t="s">
        <v>472</v>
      </c>
      <c r="J424" s="162" t="s">
        <v>160</v>
      </c>
      <c r="K424" s="162" t="s">
        <v>261</v>
      </c>
      <c r="L424" s="162" t="s">
        <v>473</v>
      </c>
      <c r="M424" s="162" t="s">
        <v>474</v>
      </c>
      <c r="N424" s="118" t="str">
        <f>_xlfn.DISPIMG("ID_1D525F375CC54BBBB3EFFDF9EC99FC2F",1)</f>
        <v>=DISPIMG("ID_1D525F375CC54BBBB3EFFDF9EC99FC2F",1)</v>
      </c>
      <c r="O424" s="115" t="s">
        <v>475</v>
      </c>
      <c r="P424" s="27">
        <v>37</v>
      </c>
      <c r="Q424" s="125" t="s">
        <v>4728</v>
      </c>
      <c r="R424" s="126" t="s">
        <v>66</v>
      </c>
      <c r="S424" s="131">
        <v>18</v>
      </c>
    </row>
    <row r="425" s="3" customFormat="1" ht="20" customHeight="1" spans="1:19">
      <c r="A425" s="166" t="s">
        <v>1167</v>
      </c>
      <c r="B425" s="166" t="s">
        <v>153</v>
      </c>
      <c r="C425" s="162" t="s">
        <v>1168</v>
      </c>
      <c r="D425" s="162" t="s">
        <v>156</v>
      </c>
      <c r="E425" s="162" t="s">
        <v>9</v>
      </c>
      <c r="F425" s="27">
        <v>202102011</v>
      </c>
      <c r="G425" s="162" t="s">
        <v>279</v>
      </c>
      <c r="H425" s="162" t="s">
        <v>158</v>
      </c>
      <c r="I425" s="162" t="s">
        <v>682</v>
      </c>
      <c r="J425" s="162" t="s">
        <v>170</v>
      </c>
      <c r="K425" s="162" t="s">
        <v>1170</v>
      </c>
      <c r="L425" s="162" t="s">
        <v>1171</v>
      </c>
      <c r="M425" s="162" t="s">
        <v>1172</v>
      </c>
      <c r="N425" s="118" t="str">
        <f>_xlfn.DISPIMG("ID_A11E1242B6CE401EA988641535D09239",1)</f>
        <v>=DISPIMG("ID_A11E1242B6CE401EA988641535D09239",1)</v>
      </c>
      <c r="O425" s="115" t="s">
        <v>1173</v>
      </c>
      <c r="P425" s="27">
        <v>123</v>
      </c>
      <c r="Q425" s="125" t="s">
        <v>4729</v>
      </c>
      <c r="R425" s="126" t="s">
        <v>66</v>
      </c>
      <c r="S425" s="131">
        <v>19</v>
      </c>
    </row>
    <row r="426" s="3" customFormat="1" ht="20" customHeight="1" spans="1:19">
      <c r="A426" s="9"/>
      <c r="B426" s="9"/>
      <c r="C426" s="27"/>
      <c r="D426" s="27"/>
      <c r="E426" s="27"/>
      <c r="F426" s="27"/>
      <c r="G426" s="27"/>
      <c r="H426" s="27"/>
      <c r="I426" s="27"/>
      <c r="J426" s="27"/>
      <c r="K426" s="27"/>
      <c r="L426" s="27"/>
      <c r="M426" s="27"/>
      <c r="N426" s="118"/>
      <c r="O426" s="115" t="s">
        <v>4409</v>
      </c>
      <c r="P426" s="27"/>
      <c r="Q426" s="125" t="s">
        <v>4410</v>
      </c>
      <c r="R426" s="126"/>
      <c r="S426" s="131">
        <v>30</v>
      </c>
    </row>
    <row r="427" s="3" customFormat="1" ht="20" customHeight="1" spans="1:19">
      <c r="A427" s="166" t="s">
        <v>2004</v>
      </c>
      <c r="B427" s="166" t="s">
        <v>153</v>
      </c>
      <c r="C427" s="162" t="s">
        <v>2005</v>
      </c>
      <c r="D427" s="162" t="s">
        <v>156</v>
      </c>
      <c r="E427" s="162" t="s">
        <v>7</v>
      </c>
      <c r="F427" s="27">
        <v>202102006</v>
      </c>
      <c r="G427" s="162" t="s">
        <v>157</v>
      </c>
      <c r="H427" s="162" t="s">
        <v>1112</v>
      </c>
      <c r="I427" s="162" t="s">
        <v>159</v>
      </c>
      <c r="J427" s="162" t="s">
        <v>160</v>
      </c>
      <c r="K427" s="162" t="s">
        <v>368</v>
      </c>
      <c r="L427" s="162" t="s">
        <v>2007</v>
      </c>
      <c r="M427" s="162" t="s">
        <v>2008</v>
      </c>
      <c r="N427" s="118" t="str">
        <f>_xlfn.DISPIMG("ID_56BCD58120C9403E8AA33B4C6EF6927A",1)</f>
        <v>=DISPIMG("ID_56BCD58120C9403E8AA33B4C6EF6927A",1)</v>
      </c>
      <c r="O427" s="115" t="s">
        <v>2009</v>
      </c>
      <c r="P427" s="27">
        <v>233</v>
      </c>
      <c r="Q427" s="125" t="s">
        <v>4730</v>
      </c>
      <c r="R427" s="126" t="s">
        <v>66</v>
      </c>
      <c r="S427" s="131">
        <v>5</v>
      </c>
    </row>
    <row r="428" s="3" customFormat="1" ht="20" customHeight="1" spans="1:19">
      <c r="A428" s="166" t="s">
        <v>1403</v>
      </c>
      <c r="B428" s="166" t="s">
        <v>153</v>
      </c>
      <c r="C428" s="162" t="s">
        <v>1404</v>
      </c>
      <c r="D428" s="162" t="s">
        <v>156</v>
      </c>
      <c r="E428" s="162" t="s">
        <v>9</v>
      </c>
      <c r="F428" s="27">
        <v>202102011</v>
      </c>
      <c r="G428" s="162" t="s">
        <v>157</v>
      </c>
      <c r="H428" s="162" t="s">
        <v>827</v>
      </c>
      <c r="I428" s="162" t="s">
        <v>682</v>
      </c>
      <c r="J428" s="162" t="s">
        <v>170</v>
      </c>
      <c r="K428" s="162" t="s">
        <v>261</v>
      </c>
      <c r="L428" s="162" t="s">
        <v>1406</v>
      </c>
      <c r="M428" s="27">
        <v>0</v>
      </c>
      <c r="N428" s="118" t="str">
        <f>_xlfn.DISPIMG("ID_FA69E1E4EF8743A583B1A39075AAAF21",1)</f>
        <v>=DISPIMG("ID_FA69E1E4EF8743A583B1A39075AAAF21",1)</v>
      </c>
      <c r="O428" s="115" t="s">
        <v>1407</v>
      </c>
      <c r="P428" s="27">
        <v>154</v>
      </c>
      <c r="Q428" s="125" t="s">
        <v>4731</v>
      </c>
      <c r="R428" s="126" t="s">
        <v>66</v>
      </c>
      <c r="S428" s="131">
        <v>8</v>
      </c>
    </row>
    <row r="429" s="3" customFormat="1" ht="20" customHeight="1" spans="1:19">
      <c r="A429" s="166" t="s">
        <v>1821</v>
      </c>
      <c r="B429" s="166" t="s">
        <v>153</v>
      </c>
      <c r="C429" s="162" t="s">
        <v>1822</v>
      </c>
      <c r="D429" s="162" t="s">
        <v>156</v>
      </c>
      <c r="E429" s="162" t="s">
        <v>9</v>
      </c>
      <c r="F429" s="27">
        <v>202102011</v>
      </c>
      <c r="G429" s="162" t="s">
        <v>157</v>
      </c>
      <c r="H429" s="162" t="s">
        <v>437</v>
      </c>
      <c r="I429" s="162" t="s">
        <v>682</v>
      </c>
      <c r="J429" s="162" t="s">
        <v>170</v>
      </c>
      <c r="K429" s="162" t="s">
        <v>455</v>
      </c>
      <c r="L429" s="162" t="s">
        <v>1824</v>
      </c>
      <c r="M429" s="27">
        <v>0</v>
      </c>
      <c r="N429" s="118" t="str">
        <f>_xlfn.DISPIMG("ID_DDBA99C80B934FEAA0E6DE75BE0B792D",1)</f>
        <v>=DISPIMG("ID_DDBA99C80B934FEAA0E6DE75BE0B792D",1)</v>
      </c>
      <c r="O429" s="115" t="s">
        <v>1825</v>
      </c>
      <c r="P429" s="27">
        <v>208</v>
      </c>
      <c r="Q429" s="125" t="s">
        <v>4732</v>
      </c>
      <c r="R429" s="126" t="s">
        <v>66</v>
      </c>
      <c r="S429" s="131">
        <v>17</v>
      </c>
    </row>
    <row r="430" s="3" customFormat="1" ht="20" customHeight="1" spans="1:19">
      <c r="A430" s="166" t="s">
        <v>2330</v>
      </c>
      <c r="B430" s="166" t="s">
        <v>165</v>
      </c>
      <c r="C430" s="162" t="s">
        <v>2331</v>
      </c>
      <c r="D430" s="162" t="s">
        <v>156</v>
      </c>
      <c r="E430" s="162" t="s">
        <v>9</v>
      </c>
      <c r="F430" s="27">
        <v>202102011</v>
      </c>
      <c r="G430" s="162" t="s">
        <v>157</v>
      </c>
      <c r="H430" s="162" t="s">
        <v>233</v>
      </c>
      <c r="I430" s="162" t="s">
        <v>2333</v>
      </c>
      <c r="J430" s="162" t="s">
        <v>160</v>
      </c>
      <c r="K430" s="162" t="s">
        <v>455</v>
      </c>
      <c r="L430" s="162" t="s">
        <v>9</v>
      </c>
      <c r="M430" s="27">
        <v>0</v>
      </c>
      <c r="N430" s="118" t="str">
        <f>_xlfn.DISPIMG("ID_1491B19669C14541B371C6C8BBB97425",1)</f>
        <v>=DISPIMG("ID_1491B19669C14541B371C6C8BBB97425",1)</v>
      </c>
      <c r="O430" s="115" t="s">
        <v>2334</v>
      </c>
      <c r="P430" s="27">
        <v>276</v>
      </c>
      <c r="Q430" s="125" t="s">
        <v>4733</v>
      </c>
      <c r="R430" s="126" t="s">
        <v>66</v>
      </c>
      <c r="S430" s="131">
        <v>20</v>
      </c>
    </row>
    <row r="431" s="3" customFormat="1" ht="20" customHeight="1" spans="1:19">
      <c r="A431" s="9"/>
      <c r="B431" s="9"/>
      <c r="C431" s="27"/>
      <c r="D431" s="27"/>
      <c r="E431" s="27"/>
      <c r="F431" s="27"/>
      <c r="G431" s="27"/>
      <c r="H431" s="27"/>
      <c r="I431" s="27"/>
      <c r="J431" s="27"/>
      <c r="K431" s="27"/>
      <c r="L431" s="27"/>
      <c r="M431" s="27"/>
      <c r="N431" s="118"/>
      <c r="O431" s="115" t="s">
        <v>4409</v>
      </c>
      <c r="P431" s="27"/>
      <c r="Q431" s="125" t="s">
        <v>4410</v>
      </c>
      <c r="R431" s="126"/>
      <c r="S431" s="131">
        <v>29</v>
      </c>
    </row>
    <row r="432" s="3" customFormat="1" ht="20" customHeight="1" spans="1:19">
      <c r="A432" s="166" t="s">
        <v>2732</v>
      </c>
      <c r="B432" s="166" t="s">
        <v>165</v>
      </c>
      <c r="C432" s="162" t="s">
        <v>2733</v>
      </c>
      <c r="D432" s="162" t="s">
        <v>156</v>
      </c>
      <c r="E432" s="162" t="s">
        <v>7</v>
      </c>
      <c r="F432" s="27">
        <v>202102006</v>
      </c>
      <c r="G432" s="162" t="s">
        <v>157</v>
      </c>
      <c r="H432" s="162" t="s">
        <v>1112</v>
      </c>
      <c r="I432" s="162" t="s">
        <v>159</v>
      </c>
      <c r="J432" s="162" t="s">
        <v>160</v>
      </c>
      <c r="K432" s="162" t="s">
        <v>199</v>
      </c>
      <c r="L432" s="162" t="s">
        <v>19</v>
      </c>
      <c r="M432" s="162" t="s">
        <v>2735</v>
      </c>
      <c r="N432" s="118" t="str">
        <f>_xlfn.DISPIMG("ID_8B921756A8224507AE26B26EA7A47E29",1)</f>
        <v>=DISPIMG("ID_8B921756A8224507AE26B26EA7A47E29",1)</v>
      </c>
      <c r="O432" s="115" t="s">
        <v>2736</v>
      </c>
      <c r="P432" s="27">
        <v>330</v>
      </c>
      <c r="Q432" s="125" t="s">
        <v>4734</v>
      </c>
      <c r="R432" s="126" t="s">
        <v>66</v>
      </c>
      <c r="S432" s="131">
        <v>4</v>
      </c>
    </row>
    <row r="433" s="3" customFormat="1" ht="20" customHeight="1" spans="1:19">
      <c r="A433" s="166" t="s">
        <v>2598</v>
      </c>
      <c r="B433" s="166" t="s">
        <v>153</v>
      </c>
      <c r="C433" s="162" t="s">
        <v>2599</v>
      </c>
      <c r="D433" s="162" t="s">
        <v>156</v>
      </c>
      <c r="E433" s="162" t="s">
        <v>9</v>
      </c>
      <c r="F433" s="27">
        <v>202102011</v>
      </c>
      <c r="G433" s="162" t="s">
        <v>157</v>
      </c>
      <c r="H433" s="162" t="s">
        <v>2601</v>
      </c>
      <c r="I433" s="162" t="s">
        <v>463</v>
      </c>
      <c r="J433" s="162" t="s">
        <v>160</v>
      </c>
      <c r="K433" s="162" t="s">
        <v>368</v>
      </c>
      <c r="L433" s="162" t="s">
        <v>1406</v>
      </c>
      <c r="M433" s="162" t="s">
        <v>2602</v>
      </c>
      <c r="N433" s="118" t="str">
        <f>_xlfn.DISPIMG("ID_6E5E26FD0608404987009AB35A215594",1)</f>
        <v>=DISPIMG("ID_6E5E26FD0608404987009AB35A215594",1)</v>
      </c>
      <c r="O433" s="115" t="s">
        <v>2603</v>
      </c>
      <c r="P433" s="27">
        <v>312</v>
      </c>
      <c r="Q433" s="125" t="s">
        <v>4735</v>
      </c>
      <c r="R433" s="126" t="s">
        <v>66</v>
      </c>
      <c r="S433" s="131">
        <v>9</v>
      </c>
    </row>
    <row r="434" s="4" customFormat="1" ht="20" customHeight="1" spans="1:19">
      <c r="A434" s="166" t="s">
        <v>3515</v>
      </c>
      <c r="B434" s="166" t="s">
        <v>153</v>
      </c>
      <c r="C434" s="164" t="s">
        <v>3516</v>
      </c>
      <c r="D434" s="164" t="s">
        <v>384</v>
      </c>
      <c r="E434" s="164" t="s">
        <v>9</v>
      </c>
      <c r="F434" s="22">
        <v>202101001</v>
      </c>
      <c r="G434" s="164" t="s">
        <v>157</v>
      </c>
      <c r="H434" s="164" t="s">
        <v>3518</v>
      </c>
      <c r="I434" s="164" t="s">
        <v>472</v>
      </c>
      <c r="J434" s="164" t="s">
        <v>160</v>
      </c>
      <c r="K434" s="164" t="s">
        <v>455</v>
      </c>
      <c r="L434" s="164" t="s">
        <v>3519</v>
      </c>
      <c r="M434" s="22">
        <v>202101023</v>
      </c>
      <c r="N434" s="23" t="str">
        <f>_xlfn.DISPIMG("ID_C58F0E7AF40D45868F2F2F76C4EDE485",1)</f>
        <v>=DISPIMG("ID_C58F0E7AF40D45868F2F2F76C4EDE485",1)</v>
      </c>
      <c r="O434" s="103" t="s">
        <v>3520</v>
      </c>
      <c r="P434" s="27">
        <v>446</v>
      </c>
      <c r="Q434" s="125" t="s">
        <v>4736</v>
      </c>
      <c r="R434" s="126" t="s">
        <v>66</v>
      </c>
      <c r="S434" s="132">
        <v>16</v>
      </c>
    </row>
    <row r="435" s="4" customFormat="1" ht="20" customHeight="1" spans="1:19">
      <c r="A435" s="166" t="s">
        <v>3538</v>
      </c>
      <c r="B435" s="166" t="s">
        <v>153</v>
      </c>
      <c r="C435" s="164" t="s">
        <v>3539</v>
      </c>
      <c r="D435" s="164" t="s">
        <v>156</v>
      </c>
      <c r="E435" s="164" t="s">
        <v>9</v>
      </c>
      <c r="F435" s="22">
        <v>202102011</v>
      </c>
      <c r="G435" s="164" t="s">
        <v>157</v>
      </c>
      <c r="H435" s="164" t="s">
        <v>3518</v>
      </c>
      <c r="I435" s="164" t="s">
        <v>472</v>
      </c>
      <c r="J435" s="164" t="s">
        <v>160</v>
      </c>
      <c r="K435" s="164" t="s">
        <v>455</v>
      </c>
      <c r="L435" s="164" t="s">
        <v>3519</v>
      </c>
      <c r="M435" s="164" t="s">
        <v>3519</v>
      </c>
      <c r="N435" s="23" t="str">
        <f>_xlfn.DISPIMG("ID_0BCC1778ACA14DBF957E729E6605C713",1)</f>
        <v>=DISPIMG("ID_0BCC1778ACA14DBF957E729E6605C713",1)</v>
      </c>
      <c r="O435" s="103" t="s">
        <v>3541</v>
      </c>
      <c r="P435" s="27">
        <v>449</v>
      </c>
      <c r="Q435" s="125" t="s">
        <v>4737</v>
      </c>
      <c r="R435" s="126" t="s">
        <v>66</v>
      </c>
      <c r="S435" s="132">
        <v>21</v>
      </c>
    </row>
    <row r="436" s="4" customFormat="1" ht="20" customHeight="1" spans="1:19">
      <c r="A436" s="9"/>
      <c r="B436" s="9"/>
      <c r="C436" s="22"/>
      <c r="D436" s="22"/>
      <c r="E436" s="22"/>
      <c r="F436" s="22"/>
      <c r="G436" s="22"/>
      <c r="H436" s="22"/>
      <c r="I436" s="22"/>
      <c r="J436" s="22"/>
      <c r="K436" s="22"/>
      <c r="L436" s="22"/>
      <c r="M436" s="22"/>
      <c r="N436" s="23"/>
      <c r="O436" s="115" t="s">
        <v>4409</v>
      </c>
      <c r="P436" s="27"/>
      <c r="Q436" s="125" t="s">
        <v>4410</v>
      </c>
      <c r="R436" s="126"/>
      <c r="S436" s="132">
        <v>28</v>
      </c>
    </row>
    <row r="437" s="5" customFormat="1" ht="20" customHeight="1" spans="1:19">
      <c r="A437" s="166" t="s">
        <v>2774</v>
      </c>
      <c r="B437" s="166" t="s">
        <v>165</v>
      </c>
      <c r="C437" s="165" t="s">
        <v>2775</v>
      </c>
      <c r="D437" s="165" t="s">
        <v>156</v>
      </c>
      <c r="E437" s="165" t="s">
        <v>7</v>
      </c>
      <c r="F437" s="116">
        <v>202102006</v>
      </c>
      <c r="G437" s="165" t="s">
        <v>157</v>
      </c>
      <c r="H437" s="165" t="s">
        <v>158</v>
      </c>
      <c r="I437" s="165" t="s">
        <v>1639</v>
      </c>
      <c r="J437" s="165" t="s">
        <v>170</v>
      </c>
      <c r="K437" s="165" t="s">
        <v>306</v>
      </c>
      <c r="L437" s="165" t="s">
        <v>19</v>
      </c>
      <c r="M437" s="165" t="s">
        <v>2777</v>
      </c>
      <c r="N437" s="119" t="str">
        <f>_xlfn.DISPIMG("ID_DC860A7FCB384FE48AFC2F135021FF6F",1)</f>
        <v>=DISPIMG("ID_DC860A7FCB384FE48AFC2F135021FF6F",1)</v>
      </c>
      <c r="O437" s="120" t="s">
        <v>2778</v>
      </c>
      <c r="P437" s="27">
        <v>336</v>
      </c>
      <c r="Q437" s="125" t="s">
        <v>4738</v>
      </c>
      <c r="R437" s="126" t="s">
        <v>66</v>
      </c>
      <c r="S437" s="133">
        <v>3</v>
      </c>
    </row>
    <row r="438" s="3" customFormat="1" ht="20" customHeight="1" spans="1:19">
      <c r="A438" s="166" t="s">
        <v>3543</v>
      </c>
      <c r="B438" s="166" t="s">
        <v>153</v>
      </c>
      <c r="C438" s="162" t="s">
        <v>3544</v>
      </c>
      <c r="D438" s="162" t="s">
        <v>156</v>
      </c>
      <c r="E438" s="162" t="s">
        <v>9</v>
      </c>
      <c r="F438" s="27">
        <v>202102011</v>
      </c>
      <c r="G438" s="162" t="s">
        <v>157</v>
      </c>
      <c r="H438" s="162" t="s">
        <v>3518</v>
      </c>
      <c r="I438" s="162" t="s">
        <v>472</v>
      </c>
      <c r="J438" s="162" t="s">
        <v>160</v>
      </c>
      <c r="K438" s="162" t="s">
        <v>455</v>
      </c>
      <c r="L438" s="162" t="s">
        <v>3519</v>
      </c>
      <c r="M438" s="27">
        <v>0</v>
      </c>
      <c r="N438" s="118" t="str">
        <f>_xlfn.DISPIMG("ID_2D99CEE979EF4ECAAD8A877BAF74FBA6",1)</f>
        <v>=DISPIMG("ID_2D99CEE979EF4ECAAD8A877BAF74FBA6",1)</v>
      </c>
      <c r="O438" s="115" t="s">
        <v>3546</v>
      </c>
      <c r="P438" s="27">
        <v>450</v>
      </c>
      <c r="Q438" s="125" t="s">
        <v>4739</v>
      </c>
      <c r="R438" s="126" t="s">
        <v>66</v>
      </c>
      <c r="S438" s="131">
        <v>10</v>
      </c>
    </row>
    <row r="439" s="3" customFormat="1" ht="20" customHeight="1" spans="1:19">
      <c r="A439" s="166" t="s">
        <v>3549</v>
      </c>
      <c r="B439" s="166" t="s">
        <v>153</v>
      </c>
      <c r="C439" s="162" t="s">
        <v>3550</v>
      </c>
      <c r="D439" s="162" t="s">
        <v>156</v>
      </c>
      <c r="E439" s="162" t="s">
        <v>9</v>
      </c>
      <c r="F439" s="27">
        <v>202102011</v>
      </c>
      <c r="G439" s="162" t="s">
        <v>157</v>
      </c>
      <c r="H439" s="162" t="s">
        <v>1413</v>
      </c>
      <c r="I439" s="162" t="s">
        <v>682</v>
      </c>
      <c r="J439" s="162" t="s">
        <v>170</v>
      </c>
      <c r="K439" s="162" t="s">
        <v>261</v>
      </c>
      <c r="L439" s="162" t="s">
        <v>3552</v>
      </c>
      <c r="M439" s="27">
        <v>0</v>
      </c>
      <c r="N439" s="118" t="str">
        <f>_xlfn.DISPIMG("ID_DB61A8C4A58C4CD3A7E5339498EDC8D8",1)</f>
        <v>=DISPIMG("ID_DB61A8C4A58C4CD3A7E5339498EDC8D8",1)</v>
      </c>
      <c r="O439" s="115" t="s">
        <v>3553</v>
      </c>
      <c r="P439" s="27">
        <v>451</v>
      </c>
      <c r="Q439" s="125" t="s">
        <v>4740</v>
      </c>
      <c r="R439" s="126" t="s">
        <v>66</v>
      </c>
      <c r="S439" s="131">
        <v>15</v>
      </c>
    </row>
    <row r="440" s="3" customFormat="1" ht="20" customHeight="1" spans="1:19">
      <c r="A440" s="166" t="s">
        <v>3556</v>
      </c>
      <c r="B440" s="166" t="s">
        <v>153</v>
      </c>
      <c r="C440" s="162" t="s">
        <v>3557</v>
      </c>
      <c r="D440" s="162" t="s">
        <v>156</v>
      </c>
      <c r="E440" s="162" t="s">
        <v>9</v>
      </c>
      <c r="F440" s="27">
        <v>202102011</v>
      </c>
      <c r="G440" s="162" t="s">
        <v>157</v>
      </c>
      <c r="H440" s="162" t="s">
        <v>3518</v>
      </c>
      <c r="I440" s="162" t="s">
        <v>3559</v>
      </c>
      <c r="J440" s="162" t="s">
        <v>160</v>
      </c>
      <c r="K440" s="162" t="s">
        <v>455</v>
      </c>
      <c r="L440" s="162" t="s">
        <v>3519</v>
      </c>
      <c r="M440" s="27">
        <v>0</v>
      </c>
      <c r="N440" s="118" t="str">
        <f>_xlfn.DISPIMG("ID_21EB11AFC3FB431C8DEC9B4C05162E66",1)</f>
        <v>=DISPIMG("ID_21EB11AFC3FB431C8DEC9B4C05162E66",1)</v>
      </c>
      <c r="O440" s="115" t="s">
        <v>3560</v>
      </c>
      <c r="P440" s="27">
        <v>452</v>
      </c>
      <c r="Q440" s="125" t="s">
        <v>4741</v>
      </c>
      <c r="R440" s="126" t="s">
        <v>66</v>
      </c>
      <c r="S440" s="131">
        <v>22</v>
      </c>
    </row>
    <row r="441" s="3" customFormat="1" ht="20" customHeight="1" spans="1:19">
      <c r="A441" s="9"/>
      <c r="B441" s="9"/>
      <c r="C441" s="27"/>
      <c r="D441" s="27"/>
      <c r="E441" s="27"/>
      <c r="F441" s="27"/>
      <c r="G441" s="27"/>
      <c r="H441" s="27"/>
      <c r="I441" s="27"/>
      <c r="J441" s="27"/>
      <c r="K441" s="27"/>
      <c r="L441" s="27"/>
      <c r="M441" s="27"/>
      <c r="N441" s="118"/>
      <c r="O441" s="115" t="s">
        <v>4409</v>
      </c>
      <c r="P441" s="27"/>
      <c r="Q441" s="125" t="s">
        <v>4410</v>
      </c>
      <c r="R441" s="126"/>
      <c r="S441" s="131">
        <v>27</v>
      </c>
    </row>
    <row r="442" s="3" customFormat="1" ht="20" customHeight="1" spans="1:19">
      <c r="A442" s="166" t="s">
        <v>3263</v>
      </c>
      <c r="B442" s="166" t="s">
        <v>165</v>
      </c>
      <c r="C442" s="162" t="s">
        <v>3264</v>
      </c>
      <c r="D442" s="162" t="s">
        <v>156</v>
      </c>
      <c r="E442" s="162" t="s">
        <v>7</v>
      </c>
      <c r="F442" s="27">
        <v>202102006</v>
      </c>
      <c r="G442" s="162" t="s">
        <v>157</v>
      </c>
      <c r="H442" s="162" t="s">
        <v>507</v>
      </c>
      <c r="I442" s="162" t="s">
        <v>243</v>
      </c>
      <c r="J442" s="162" t="s">
        <v>160</v>
      </c>
      <c r="K442" s="162" t="s">
        <v>1089</v>
      </c>
      <c r="L442" s="162" t="s">
        <v>13</v>
      </c>
      <c r="M442" s="27">
        <v>0</v>
      </c>
      <c r="N442" s="118" t="str">
        <f>_xlfn.DISPIMG("ID_E2A16755D9294F19AC6C5724406D1776",1)</f>
        <v>=DISPIMG("ID_E2A16755D9294F19AC6C5724406D1776",1)</v>
      </c>
      <c r="O442" s="115" t="s">
        <v>3265</v>
      </c>
      <c r="P442" s="27">
        <v>407</v>
      </c>
      <c r="Q442" s="125" t="s">
        <v>4742</v>
      </c>
      <c r="R442" s="126" t="s">
        <v>66</v>
      </c>
      <c r="S442" s="131">
        <v>2</v>
      </c>
    </row>
    <row r="443" s="4" customFormat="1" ht="20" customHeight="1" spans="1:19">
      <c r="A443" s="166" t="s">
        <v>3563</v>
      </c>
      <c r="B443" s="166" t="s">
        <v>153</v>
      </c>
      <c r="C443" s="164" t="s">
        <v>3564</v>
      </c>
      <c r="D443" s="164" t="s">
        <v>156</v>
      </c>
      <c r="E443" s="164" t="s">
        <v>9</v>
      </c>
      <c r="F443" s="22">
        <v>202102011</v>
      </c>
      <c r="G443" s="164" t="s">
        <v>157</v>
      </c>
      <c r="H443" s="164" t="s">
        <v>233</v>
      </c>
      <c r="I443" s="164" t="s">
        <v>3566</v>
      </c>
      <c r="J443" s="164" t="s">
        <v>170</v>
      </c>
      <c r="K443" s="164" t="s">
        <v>261</v>
      </c>
      <c r="L443" s="164" t="s">
        <v>1579</v>
      </c>
      <c r="M443" s="22">
        <v>0</v>
      </c>
      <c r="N443" s="23" t="str">
        <f>_xlfn.DISPIMG("ID_3C6447D057EF4BF7AE9ECFE35CBC5ECF",1)</f>
        <v>=DISPIMG("ID_3C6447D057EF4BF7AE9ECFE35CBC5ECF",1)</v>
      </c>
      <c r="O443" s="103" t="s">
        <v>3567</v>
      </c>
      <c r="P443" s="27">
        <v>453</v>
      </c>
      <c r="Q443" s="125" t="s">
        <v>4743</v>
      </c>
      <c r="R443" s="126" t="s">
        <v>66</v>
      </c>
      <c r="S443" s="132">
        <v>11</v>
      </c>
    </row>
    <row r="444" s="3" customFormat="1" ht="20" customHeight="1" spans="1:19">
      <c r="A444" s="166" t="s">
        <v>3248</v>
      </c>
      <c r="B444" s="166" t="s">
        <v>153</v>
      </c>
      <c r="C444" s="162" t="s">
        <v>3249</v>
      </c>
      <c r="D444" s="162" t="s">
        <v>156</v>
      </c>
      <c r="E444" s="162" t="s">
        <v>11</v>
      </c>
      <c r="F444" s="27">
        <v>202102013</v>
      </c>
      <c r="G444" s="162" t="s">
        <v>157</v>
      </c>
      <c r="H444" s="162" t="s">
        <v>827</v>
      </c>
      <c r="I444" s="162" t="s">
        <v>3251</v>
      </c>
      <c r="J444" s="162" t="s">
        <v>160</v>
      </c>
      <c r="K444" s="162" t="s">
        <v>161</v>
      </c>
      <c r="L444" s="162" t="s">
        <v>8</v>
      </c>
      <c r="M444" s="27">
        <v>0</v>
      </c>
      <c r="N444" s="118" t="str">
        <f>_xlfn.DISPIMG("ID_80F22CEDB358451BB7235F67F99FD33D",1)</f>
        <v>=DISPIMG("ID_80F22CEDB358451BB7235F67F99FD33D",1)</v>
      </c>
      <c r="O444" s="115" t="s">
        <v>3252</v>
      </c>
      <c r="P444" s="27">
        <v>405</v>
      </c>
      <c r="Q444" s="125" t="s">
        <v>4744</v>
      </c>
      <c r="R444" s="126" t="s">
        <v>66</v>
      </c>
      <c r="S444" s="131">
        <v>14</v>
      </c>
    </row>
    <row r="445" s="3" customFormat="1" ht="20" customHeight="1" spans="1:19">
      <c r="A445" s="9"/>
      <c r="B445" s="9"/>
      <c r="C445" s="27"/>
      <c r="D445" s="27"/>
      <c r="E445" s="27"/>
      <c r="F445" s="27"/>
      <c r="G445" s="27"/>
      <c r="H445" s="27"/>
      <c r="I445" s="27"/>
      <c r="J445" s="27"/>
      <c r="K445" s="27"/>
      <c r="L445" s="27"/>
      <c r="M445" s="27"/>
      <c r="N445" s="118"/>
      <c r="O445" s="115" t="s">
        <v>4409</v>
      </c>
      <c r="P445" s="27"/>
      <c r="Q445" s="125" t="s">
        <v>4410</v>
      </c>
      <c r="R445" s="126"/>
      <c r="S445" s="131">
        <v>23</v>
      </c>
    </row>
    <row r="446" s="3" customFormat="1" ht="20" customHeight="1" spans="1:19">
      <c r="A446" s="9"/>
      <c r="B446" s="9"/>
      <c r="C446" s="27"/>
      <c r="D446" s="27"/>
      <c r="E446" s="27"/>
      <c r="F446" s="27"/>
      <c r="G446" s="27"/>
      <c r="H446" s="27"/>
      <c r="I446" s="27"/>
      <c r="J446" s="27"/>
      <c r="K446" s="27"/>
      <c r="L446" s="27"/>
      <c r="M446" s="27"/>
      <c r="N446" s="118"/>
      <c r="O446" s="115" t="s">
        <v>4409</v>
      </c>
      <c r="P446" s="27"/>
      <c r="Q446" s="125" t="s">
        <v>4410</v>
      </c>
      <c r="R446" s="126"/>
      <c r="S446" s="131">
        <v>26</v>
      </c>
    </row>
    <row r="447" s="3" customFormat="1" ht="20" customHeight="1" spans="1:19">
      <c r="A447" s="166" t="s">
        <v>3685</v>
      </c>
      <c r="B447" s="166" t="s">
        <v>165</v>
      </c>
      <c r="C447" s="162" t="s">
        <v>3686</v>
      </c>
      <c r="D447" s="162" t="s">
        <v>156</v>
      </c>
      <c r="E447" s="162" t="s">
        <v>7</v>
      </c>
      <c r="F447" s="27">
        <v>202102006</v>
      </c>
      <c r="G447" s="162" t="s">
        <v>157</v>
      </c>
      <c r="H447" s="162" t="s">
        <v>884</v>
      </c>
      <c r="I447" s="162" t="s">
        <v>454</v>
      </c>
      <c r="J447" s="162" t="s">
        <v>170</v>
      </c>
      <c r="K447" s="162" t="s">
        <v>3687</v>
      </c>
      <c r="L447" s="162" t="s">
        <v>7</v>
      </c>
      <c r="M447" s="162" t="s">
        <v>3688</v>
      </c>
      <c r="N447" s="118" t="str">
        <f>_xlfn.DISPIMG("ID_E15A59AE3AB3482DA375DB6FC21D8F4C",1)</f>
        <v>=DISPIMG("ID_E15A59AE3AB3482DA375DB6FC21D8F4C",1)</v>
      </c>
      <c r="O447" s="115" t="s">
        <v>3689</v>
      </c>
      <c r="P447" s="27">
        <v>469</v>
      </c>
      <c r="Q447" s="125" t="s">
        <v>4745</v>
      </c>
      <c r="R447" s="126" t="s">
        <v>66</v>
      </c>
      <c r="S447" s="131">
        <v>1</v>
      </c>
    </row>
    <row r="448" s="3" customFormat="1" ht="20" customHeight="1" spans="1:19">
      <c r="A448" s="166" t="s">
        <v>3335</v>
      </c>
      <c r="B448" s="166" t="s">
        <v>165</v>
      </c>
      <c r="C448" s="162" t="s">
        <v>3336</v>
      </c>
      <c r="D448" s="162" t="s">
        <v>156</v>
      </c>
      <c r="E448" s="162" t="s">
        <v>11</v>
      </c>
      <c r="F448" s="27">
        <v>202102013</v>
      </c>
      <c r="G448" s="162" t="s">
        <v>157</v>
      </c>
      <c r="H448" s="162" t="s">
        <v>3070</v>
      </c>
      <c r="I448" s="162" t="s">
        <v>1147</v>
      </c>
      <c r="J448" s="162" t="s">
        <v>170</v>
      </c>
      <c r="K448" s="162" t="s">
        <v>306</v>
      </c>
      <c r="L448" s="162" t="s">
        <v>23</v>
      </c>
      <c r="M448" s="162" t="s">
        <v>3338</v>
      </c>
      <c r="N448" s="118" t="str">
        <f>_xlfn.DISPIMG("ID_1086188647994FC4A050F44FE33ED3AF",1)</f>
        <v>=DISPIMG("ID_1086188647994FC4A050F44FE33ED3AF",1)</v>
      </c>
      <c r="O448" s="115" t="s">
        <v>3339</v>
      </c>
      <c r="P448" s="27">
        <v>420</v>
      </c>
      <c r="Q448" s="125" t="s">
        <v>4746</v>
      </c>
      <c r="R448" s="126" t="s">
        <v>66</v>
      </c>
      <c r="S448" s="131">
        <v>12</v>
      </c>
    </row>
    <row r="449" s="3" customFormat="1" ht="20" customHeight="1" spans="1:19">
      <c r="A449" s="166" t="s">
        <v>3727</v>
      </c>
      <c r="B449" s="166" t="s">
        <v>165</v>
      </c>
      <c r="C449" s="162" t="s">
        <v>3728</v>
      </c>
      <c r="D449" s="162" t="s">
        <v>297</v>
      </c>
      <c r="E449" s="162" t="s">
        <v>11</v>
      </c>
      <c r="F449" s="27">
        <v>202101031</v>
      </c>
      <c r="G449" s="162" t="s">
        <v>157</v>
      </c>
      <c r="H449" s="162" t="s">
        <v>385</v>
      </c>
      <c r="I449" s="162" t="s">
        <v>1147</v>
      </c>
      <c r="J449" s="162" t="s">
        <v>170</v>
      </c>
      <c r="K449" s="162" t="s">
        <v>368</v>
      </c>
      <c r="L449" s="162" t="s">
        <v>2882</v>
      </c>
      <c r="M449" s="162" t="s">
        <v>3730</v>
      </c>
      <c r="N449" s="118" t="str">
        <f>_xlfn.DISPIMG("ID_9A8E5B0A21704ED9ACFE9C7380F006F7",1)</f>
        <v>=DISPIMG("ID_9A8E5B0A21704ED9ACFE9C7380F006F7",1)</v>
      </c>
      <c r="O449" s="115" t="s">
        <v>3731</v>
      </c>
      <c r="P449" s="127">
        <v>475</v>
      </c>
      <c r="Q449" s="125" t="s">
        <v>4747</v>
      </c>
      <c r="R449" s="126" t="s">
        <v>66</v>
      </c>
      <c r="S449" s="131">
        <v>13</v>
      </c>
    </row>
    <row r="450" s="3" customFormat="1" ht="20" customHeight="1" spans="1:19">
      <c r="A450" s="9"/>
      <c r="B450" s="9"/>
      <c r="C450" s="27"/>
      <c r="D450" s="27"/>
      <c r="E450" s="27"/>
      <c r="F450" s="27"/>
      <c r="G450" s="27"/>
      <c r="H450" s="27"/>
      <c r="I450" s="27"/>
      <c r="J450" s="27"/>
      <c r="K450" s="27"/>
      <c r="L450" s="27"/>
      <c r="M450" s="27"/>
      <c r="N450" s="118"/>
      <c r="O450" s="115" t="s">
        <v>4409</v>
      </c>
      <c r="P450" s="27"/>
      <c r="Q450" s="125" t="s">
        <v>4410</v>
      </c>
      <c r="R450" s="126"/>
      <c r="S450" s="131">
        <v>24</v>
      </c>
    </row>
    <row r="451" s="3" customFormat="1" ht="20" customHeight="1" spans="1:19">
      <c r="A451" s="9"/>
      <c r="B451" s="9"/>
      <c r="C451" s="27"/>
      <c r="D451" s="27"/>
      <c r="E451" s="27"/>
      <c r="F451" s="27"/>
      <c r="G451" s="27"/>
      <c r="H451" s="27"/>
      <c r="I451" s="27"/>
      <c r="J451" s="27"/>
      <c r="K451" s="27"/>
      <c r="L451" s="27"/>
      <c r="M451" s="27"/>
      <c r="N451" s="118"/>
      <c r="O451" s="115" t="s">
        <v>4409</v>
      </c>
      <c r="P451" s="27"/>
      <c r="Q451" s="125" t="s">
        <v>4410</v>
      </c>
      <c r="R451" s="126"/>
      <c r="S451" s="131">
        <v>25</v>
      </c>
    </row>
    <row r="452" s="3" customFormat="1" ht="20" customHeight="1" spans="1:19">
      <c r="A452" s="166" t="s">
        <v>294</v>
      </c>
      <c r="B452" s="166" t="s">
        <v>165</v>
      </c>
      <c r="C452" s="162" t="s">
        <v>295</v>
      </c>
      <c r="D452" s="162" t="s">
        <v>297</v>
      </c>
      <c r="E452" s="162" t="s">
        <v>25</v>
      </c>
      <c r="F452" s="27">
        <v>202101008</v>
      </c>
      <c r="G452" s="162" t="s">
        <v>157</v>
      </c>
      <c r="H452" s="162" t="s">
        <v>178</v>
      </c>
      <c r="I452" s="162" t="s">
        <v>298</v>
      </c>
      <c r="J452" s="162" t="s">
        <v>160</v>
      </c>
      <c r="K452" s="162" t="s">
        <v>261</v>
      </c>
      <c r="L452" s="162" t="s">
        <v>25</v>
      </c>
      <c r="M452" s="27">
        <v>0</v>
      </c>
      <c r="N452" s="118" t="str">
        <f>_xlfn.DISPIMG("ID_60CDE70AF1564D1B99D89BFC637EF6FF",1)</f>
        <v>=DISPIMG("ID_60CDE70AF1564D1B99D89BFC637EF6FF",1)</v>
      </c>
      <c r="O452" s="115" t="s">
        <v>299</v>
      </c>
      <c r="P452" s="27">
        <v>17</v>
      </c>
      <c r="Q452" s="125" t="s">
        <v>4748</v>
      </c>
      <c r="R452" s="126" t="s">
        <v>70</v>
      </c>
      <c r="S452" s="124">
        <v>6</v>
      </c>
    </row>
    <row r="453" s="3" customFormat="1" ht="20" customHeight="1" spans="1:19">
      <c r="A453" s="166" t="s">
        <v>312</v>
      </c>
      <c r="B453" s="166" t="s">
        <v>165</v>
      </c>
      <c r="C453" s="162" t="s">
        <v>313</v>
      </c>
      <c r="D453" s="162" t="s">
        <v>297</v>
      </c>
      <c r="E453" s="162" t="s">
        <v>25</v>
      </c>
      <c r="F453" s="27">
        <v>202101008</v>
      </c>
      <c r="G453" s="162" t="s">
        <v>157</v>
      </c>
      <c r="H453" s="162" t="s">
        <v>158</v>
      </c>
      <c r="I453" s="162" t="s">
        <v>223</v>
      </c>
      <c r="J453" s="162" t="s">
        <v>170</v>
      </c>
      <c r="K453" s="162" t="s">
        <v>306</v>
      </c>
      <c r="L453" s="162" t="s">
        <v>315</v>
      </c>
      <c r="M453" s="162" t="s">
        <v>316</v>
      </c>
      <c r="N453" s="118" t="str">
        <f>_xlfn.DISPIMG("ID_70953AC2E42945A88FA3E573D09D6D1B",1)</f>
        <v>=DISPIMG("ID_70953AC2E42945A88FA3E573D09D6D1B",1)</v>
      </c>
      <c r="O453" s="115" t="s">
        <v>317</v>
      </c>
      <c r="P453" s="27">
        <v>19</v>
      </c>
      <c r="Q453" s="125" t="s">
        <v>4749</v>
      </c>
      <c r="R453" s="126" t="s">
        <v>70</v>
      </c>
      <c r="S453" s="124">
        <v>7</v>
      </c>
    </row>
    <row r="454" s="3" customFormat="1" ht="20" customHeight="1" spans="1:19">
      <c r="A454" s="166" t="s">
        <v>381</v>
      </c>
      <c r="B454" s="166" t="s">
        <v>165</v>
      </c>
      <c r="C454" s="162" t="s">
        <v>382</v>
      </c>
      <c r="D454" s="162" t="s">
        <v>384</v>
      </c>
      <c r="E454" s="162" t="s">
        <v>25</v>
      </c>
      <c r="F454" s="27">
        <v>202101007</v>
      </c>
      <c r="G454" s="162" t="s">
        <v>157</v>
      </c>
      <c r="H454" s="162" t="s">
        <v>385</v>
      </c>
      <c r="I454" s="162" t="s">
        <v>386</v>
      </c>
      <c r="J454" s="162" t="s">
        <v>170</v>
      </c>
      <c r="K454" s="162" t="s">
        <v>216</v>
      </c>
      <c r="L454" s="162" t="s">
        <v>25</v>
      </c>
      <c r="M454" s="162" t="s">
        <v>387</v>
      </c>
      <c r="N454" s="118" t="str">
        <f>_xlfn.DISPIMG("ID_66D69597049F4F76B0A0201065CACE75",1)</f>
        <v>=DISPIMG("ID_66D69597049F4F76B0A0201065CACE75",1)</v>
      </c>
      <c r="O454" s="115" t="s">
        <v>388</v>
      </c>
      <c r="P454" s="27">
        <v>27</v>
      </c>
      <c r="Q454" s="125" t="s">
        <v>4750</v>
      </c>
      <c r="R454" s="126" t="s">
        <v>70</v>
      </c>
      <c r="S454" s="124">
        <v>18</v>
      </c>
    </row>
    <row r="455" s="3" customFormat="1" ht="20" customHeight="1" spans="1:19">
      <c r="A455" s="166" t="s">
        <v>545</v>
      </c>
      <c r="B455" s="166" t="s">
        <v>165</v>
      </c>
      <c r="C455" s="162" t="s">
        <v>546</v>
      </c>
      <c r="D455" s="162" t="s">
        <v>384</v>
      </c>
      <c r="E455" s="162" t="s">
        <v>25</v>
      </c>
      <c r="F455" s="27">
        <v>202101007</v>
      </c>
      <c r="G455" s="162" t="s">
        <v>157</v>
      </c>
      <c r="H455" s="162" t="s">
        <v>158</v>
      </c>
      <c r="I455" s="162" t="s">
        <v>223</v>
      </c>
      <c r="J455" s="162" t="s">
        <v>170</v>
      </c>
      <c r="K455" s="162" t="s">
        <v>548</v>
      </c>
      <c r="L455" s="162" t="s">
        <v>549</v>
      </c>
      <c r="M455" s="162" t="s">
        <v>550</v>
      </c>
      <c r="N455" s="118" t="str">
        <f>_xlfn.DISPIMG("ID_815DB3FDB9924FE5A27318CA3E9A763D",1)</f>
        <v>=DISPIMG("ID_815DB3FDB9924FE5A27318CA3E9A763D",1)</v>
      </c>
      <c r="O455" s="115" t="s">
        <v>551</v>
      </c>
      <c r="P455" s="27">
        <v>47</v>
      </c>
      <c r="Q455" s="125" t="s">
        <v>4751</v>
      </c>
      <c r="R455" s="126" t="s">
        <v>70</v>
      </c>
      <c r="S455" s="124">
        <v>19</v>
      </c>
    </row>
    <row r="456" s="3" customFormat="1" ht="20" customHeight="1" spans="1:19">
      <c r="A456" s="166" t="s">
        <v>554</v>
      </c>
      <c r="B456" s="166" t="s">
        <v>165</v>
      </c>
      <c r="C456" s="162" t="s">
        <v>555</v>
      </c>
      <c r="D456" s="162" t="s">
        <v>384</v>
      </c>
      <c r="E456" s="162" t="s">
        <v>25</v>
      </c>
      <c r="F456" s="27">
        <v>202101007</v>
      </c>
      <c r="G456" s="162" t="s">
        <v>157</v>
      </c>
      <c r="H456" s="162" t="s">
        <v>557</v>
      </c>
      <c r="I456" s="162" t="s">
        <v>558</v>
      </c>
      <c r="J456" s="162" t="s">
        <v>170</v>
      </c>
      <c r="K456" s="162" t="s">
        <v>559</v>
      </c>
      <c r="L456" s="162" t="s">
        <v>560</v>
      </c>
      <c r="M456" s="162" t="s">
        <v>561</v>
      </c>
      <c r="N456" s="118" t="str">
        <f>_xlfn.DISPIMG("ID_ED037D5B8E7D49BEA8FD0DBFF3A4827B",1)</f>
        <v>=DISPIMG("ID_ED037D5B8E7D49BEA8FD0DBFF3A4827B",1)</v>
      </c>
      <c r="O456" s="115" t="s">
        <v>562</v>
      </c>
      <c r="P456" s="27">
        <v>48</v>
      </c>
      <c r="Q456" s="125" t="s">
        <v>4752</v>
      </c>
      <c r="R456" s="126" t="s">
        <v>70</v>
      </c>
      <c r="S456" s="124">
        <v>30</v>
      </c>
    </row>
    <row r="457" s="3" customFormat="1" ht="20" customHeight="1" spans="1:19">
      <c r="A457" s="166" t="s">
        <v>720</v>
      </c>
      <c r="B457" s="166" t="s">
        <v>165</v>
      </c>
      <c r="C457" s="162" t="s">
        <v>721</v>
      </c>
      <c r="D457" s="162" t="s">
        <v>384</v>
      </c>
      <c r="E457" s="162" t="s">
        <v>25</v>
      </c>
      <c r="F457" s="27">
        <v>202101007</v>
      </c>
      <c r="G457" s="162" t="s">
        <v>157</v>
      </c>
      <c r="H457" s="162" t="s">
        <v>723</v>
      </c>
      <c r="I457" s="162" t="s">
        <v>223</v>
      </c>
      <c r="J457" s="162" t="s">
        <v>170</v>
      </c>
      <c r="K457" s="162" t="s">
        <v>252</v>
      </c>
      <c r="L457" s="162" t="s">
        <v>724</v>
      </c>
      <c r="M457" s="162" t="s">
        <v>725</v>
      </c>
      <c r="N457" s="118" t="str">
        <f>_xlfn.DISPIMG("ID_18752421A8044E9999D06F0B98A5B3A9",1)</f>
        <v>=DISPIMG("ID_18752421A8044E9999D06F0B98A5B3A9",1)</v>
      </c>
      <c r="O457" s="115" t="s">
        <v>726</v>
      </c>
      <c r="P457" s="27">
        <v>68</v>
      </c>
      <c r="Q457" s="125" t="s">
        <v>4753</v>
      </c>
      <c r="R457" s="126" t="s">
        <v>70</v>
      </c>
      <c r="S457" s="124">
        <v>5</v>
      </c>
    </row>
    <row r="458" s="3" customFormat="1" ht="20" customHeight="1" spans="1:19">
      <c r="A458" s="166" t="s">
        <v>786</v>
      </c>
      <c r="B458" s="166" t="s">
        <v>165</v>
      </c>
      <c r="C458" s="162" t="s">
        <v>787</v>
      </c>
      <c r="D458" s="162" t="s">
        <v>384</v>
      </c>
      <c r="E458" s="162" t="s">
        <v>25</v>
      </c>
      <c r="F458" s="27">
        <v>202101007</v>
      </c>
      <c r="G458" s="162" t="s">
        <v>705</v>
      </c>
      <c r="H458" s="162" t="s">
        <v>789</v>
      </c>
      <c r="I458" s="162" t="s">
        <v>790</v>
      </c>
      <c r="J458" s="162" t="s">
        <v>160</v>
      </c>
      <c r="K458" s="162" t="s">
        <v>455</v>
      </c>
      <c r="L458" s="162" t="s">
        <v>307</v>
      </c>
      <c r="M458" s="162" t="s">
        <v>791</v>
      </c>
      <c r="N458" s="118" t="str">
        <f>_xlfn.DISPIMG("ID_81CFC0148DBF4084ADB804B82E5E7200",1)</f>
        <v>=DISPIMG("ID_81CFC0148DBF4084ADB804B82E5E7200",1)</v>
      </c>
      <c r="O458" s="115" t="s">
        <v>792</v>
      </c>
      <c r="P458" s="27">
        <v>76</v>
      </c>
      <c r="Q458" s="125" t="s">
        <v>4754</v>
      </c>
      <c r="R458" s="126" t="s">
        <v>70</v>
      </c>
      <c r="S458" s="124">
        <v>8</v>
      </c>
    </row>
    <row r="459" s="3" customFormat="1" ht="20" customHeight="1" spans="1:19">
      <c r="A459" s="166" t="s">
        <v>824</v>
      </c>
      <c r="B459" s="166" t="s">
        <v>165</v>
      </c>
      <c r="C459" s="162" t="s">
        <v>825</v>
      </c>
      <c r="D459" s="162" t="s">
        <v>297</v>
      </c>
      <c r="E459" s="162" t="s">
        <v>25</v>
      </c>
      <c r="F459" s="27">
        <v>202101008</v>
      </c>
      <c r="G459" s="162" t="s">
        <v>157</v>
      </c>
      <c r="H459" s="162" t="s">
        <v>827</v>
      </c>
      <c r="I459" s="162" t="s">
        <v>828</v>
      </c>
      <c r="J459" s="162" t="s">
        <v>170</v>
      </c>
      <c r="K459" s="162" t="s">
        <v>396</v>
      </c>
      <c r="L459" s="162" t="s">
        <v>25</v>
      </c>
      <c r="M459" s="162" t="s">
        <v>829</v>
      </c>
      <c r="N459" s="118" t="str">
        <f>_xlfn.DISPIMG("ID_8A1A22938F334E1D900FC8311DB2BE9A",1)</f>
        <v>=DISPIMG("ID_8A1A22938F334E1D900FC8311DB2BE9A",1)</v>
      </c>
      <c r="O459" s="115" t="s">
        <v>830</v>
      </c>
      <c r="P459" s="27">
        <v>81</v>
      </c>
      <c r="Q459" s="125" t="s">
        <v>4755</v>
      </c>
      <c r="R459" s="126" t="s">
        <v>70</v>
      </c>
      <c r="S459" s="124">
        <v>17</v>
      </c>
    </row>
    <row r="460" s="3" customFormat="1" ht="20" customHeight="1" spans="1:19">
      <c r="A460" s="166" t="s">
        <v>949</v>
      </c>
      <c r="B460" s="166" t="s">
        <v>165</v>
      </c>
      <c r="C460" s="162" t="s">
        <v>950</v>
      </c>
      <c r="D460" s="162" t="s">
        <v>384</v>
      </c>
      <c r="E460" s="162" t="s">
        <v>25</v>
      </c>
      <c r="F460" s="27">
        <v>202101007</v>
      </c>
      <c r="G460" s="162" t="s">
        <v>157</v>
      </c>
      <c r="H460" s="162" t="s">
        <v>269</v>
      </c>
      <c r="I460" s="162" t="s">
        <v>179</v>
      </c>
      <c r="J460" s="162" t="s">
        <v>170</v>
      </c>
      <c r="K460" s="162" t="s">
        <v>171</v>
      </c>
      <c r="L460" s="162" t="s">
        <v>952</v>
      </c>
      <c r="M460" s="162" t="s">
        <v>953</v>
      </c>
      <c r="N460" s="118" t="str">
        <f>_xlfn.DISPIMG("ID_7778BC47A591458DA9EA33FB1000B681",1)</f>
        <v>=DISPIMG("ID_7778BC47A591458DA9EA33FB1000B681",1)</v>
      </c>
      <c r="O460" s="115" t="s">
        <v>954</v>
      </c>
      <c r="P460" s="27">
        <v>96</v>
      </c>
      <c r="Q460" s="125" t="s">
        <v>4756</v>
      </c>
      <c r="R460" s="126" t="s">
        <v>70</v>
      </c>
      <c r="S460" s="124">
        <v>20</v>
      </c>
    </row>
    <row r="461" s="3" customFormat="1" ht="20" customHeight="1" spans="1:19">
      <c r="A461" s="166" t="s">
        <v>1373</v>
      </c>
      <c r="B461" s="166" t="s">
        <v>165</v>
      </c>
      <c r="C461" s="162" t="s">
        <v>1374</v>
      </c>
      <c r="D461" s="162" t="s">
        <v>384</v>
      </c>
      <c r="E461" s="162" t="s">
        <v>25</v>
      </c>
      <c r="F461" s="27">
        <v>202101007</v>
      </c>
      <c r="G461" s="162" t="s">
        <v>705</v>
      </c>
      <c r="H461" s="162" t="s">
        <v>1376</v>
      </c>
      <c r="I461" s="162" t="s">
        <v>790</v>
      </c>
      <c r="J461" s="162" t="s">
        <v>160</v>
      </c>
      <c r="K461" s="162" t="s">
        <v>455</v>
      </c>
      <c r="L461" s="162" t="s">
        <v>1156</v>
      </c>
      <c r="M461" s="27">
        <v>0</v>
      </c>
      <c r="N461" s="118" t="str">
        <f>_xlfn.DISPIMG("ID_ECF84772EBB248C2BC2BD56C2C168331",1)</f>
        <v>=DISPIMG("ID_ECF84772EBB248C2BC2BD56C2C168331",1)</v>
      </c>
      <c r="O461" s="115" t="s">
        <v>1377</v>
      </c>
      <c r="P461" s="27">
        <v>150</v>
      </c>
      <c r="Q461" s="125" t="s">
        <v>4757</v>
      </c>
      <c r="R461" s="126" t="s">
        <v>70</v>
      </c>
      <c r="S461" s="124">
        <v>29</v>
      </c>
    </row>
    <row r="462" s="3" customFormat="1" ht="20" customHeight="1" spans="1:19">
      <c r="A462" s="166" t="s">
        <v>1552</v>
      </c>
      <c r="B462" s="166" t="s">
        <v>165</v>
      </c>
      <c r="C462" s="162" t="s">
        <v>1553</v>
      </c>
      <c r="D462" s="162" t="s">
        <v>384</v>
      </c>
      <c r="E462" s="162" t="s">
        <v>25</v>
      </c>
      <c r="F462" s="27">
        <v>202101007</v>
      </c>
      <c r="G462" s="162" t="s">
        <v>157</v>
      </c>
      <c r="H462" s="162" t="s">
        <v>385</v>
      </c>
      <c r="I462" s="162" t="s">
        <v>828</v>
      </c>
      <c r="J462" s="162" t="s">
        <v>170</v>
      </c>
      <c r="K462" s="162" t="s">
        <v>548</v>
      </c>
      <c r="L462" s="162" t="s">
        <v>25</v>
      </c>
      <c r="M462" s="162" t="s">
        <v>1555</v>
      </c>
      <c r="N462" s="118" t="str">
        <f>_xlfn.DISPIMG("ID_3244697DE8F74EF1A671D4FB148CF806",1)</f>
        <v>=DISPIMG("ID_3244697DE8F74EF1A671D4FB148CF806",1)</v>
      </c>
      <c r="O462" s="115" t="s">
        <v>1556</v>
      </c>
      <c r="P462" s="27">
        <v>173</v>
      </c>
      <c r="Q462" s="125" t="s">
        <v>4758</v>
      </c>
      <c r="R462" s="126" t="s">
        <v>70</v>
      </c>
      <c r="S462" s="124">
        <v>4</v>
      </c>
    </row>
    <row r="463" s="5" customFormat="1" ht="20" customHeight="1" spans="1:19">
      <c r="A463" s="166" t="s">
        <v>1597</v>
      </c>
      <c r="B463" s="166" t="s">
        <v>153</v>
      </c>
      <c r="C463" s="165" t="s">
        <v>1598</v>
      </c>
      <c r="D463" s="165" t="s">
        <v>384</v>
      </c>
      <c r="E463" s="165" t="s">
        <v>25</v>
      </c>
      <c r="F463" s="116">
        <v>202101007</v>
      </c>
      <c r="G463" s="165" t="s">
        <v>157</v>
      </c>
      <c r="H463" s="165" t="s">
        <v>1600</v>
      </c>
      <c r="I463" s="165" t="s">
        <v>1601</v>
      </c>
      <c r="J463" s="165" t="s">
        <v>170</v>
      </c>
      <c r="K463" s="165" t="s">
        <v>252</v>
      </c>
      <c r="L463" s="165" t="s">
        <v>25</v>
      </c>
      <c r="M463" s="165" t="s">
        <v>1602</v>
      </c>
      <c r="N463" s="119" t="str">
        <f>_xlfn.DISPIMG("ID_E78F3BF41C5D43B8884910B23D8EE46A",1)</f>
        <v>=DISPIMG("ID_E78F3BF41C5D43B8884910B23D8EE46A",1)</v>
      </c>
      <c r="O463" s="120" t="s">
        <v>1603</v>
      </c>
      <c r="P463" s="27">
        <v>179</v>
      </c>
      <c r="Q463" s="125" t="s">
        <v>4759</v>
      </c>
      <c r="R463" s="126" t="s">
        <v>70</v>
      </c>
      <c r="S463" s="124">
        <v>9</v>
      </c>
    </row>
    <row r="464" s="3" customFormat="1" ht="20" customHeight="1" spans="1:19">
      <c r="A464" s="166" t="s">
        <v>1689</v>
      </c>
      <c r="B464" s="166" t="s">
        <v>165</v>
      </c>
      <c r="C464" s="162" t="s">
        <v>1690</v>
      </c>
      <c r="D464" s="162" t="s">
        <v>384</v>
      </c>
      <c r="E464" s="162" t="s">
        <v>25</v>
      </c>
      <c r="F464" s="27">
        <v>202101007</v>
      </c>
      <c r="G464" s="162" t="s">
        <v>157</v>
      </c>
      <c r="H464" s="162" t="s">
        <v>1258</v>
      </c>
      <c r="I464" s="162" t="s">
        <v>179</v>
      </c>
      <c r="J464" s="162" t="s">
        <v>170</v>
      </c>
      <c r="K464" s="162" t="s">
        <v>180</v>
      </c>
      <c r="L464" s="162" t="s">
        <v>1692</v>
      </c>
      <c r="M464" s="162" t="s">
        <v>1693</v>
      </c>
      <c r="N464" s="118" t="str">
        <f>_xlfn.DISPIMG("ID_43885BD9A06C404291EA89276C573B8A",1)</f>
        <v>=DISPIMG("ID_43885BD9A06C404291EA89276C573B8A",1)</v>
      </c>
      <c r="O464" s="115" t="s">
        <v>1694</v>
      </c>
      <c r="P464" s="27">
        <v>191</v>
      </c>
      <c r="Q464" s="125" t="s">
        <v>4760</v>
      </c>
      <c r="R464" s="126" t="s">
        <v>70</v>
      </c>
      <c r="S464" s="124">
        <v>16</v>
      </c>
    </row>
    <row r="465" s="3" customFormat="1" ht="20" customHeight="1" spans="1:19">
      <c r="A465" s="166" t="s">
        <v>1807</v>
      </c>
      <c r="B465" s="166" t="s">
        <v>165</v>
      </c>
      <c r="C465" s="162" t="s">
        <v>1808</v>
      </c>
      <c r="D465" s="162" t="s">
        <v>384</v>
      </c>
      <c r="E465" s="162" t="s">
        <v>25</v>
      </c>
      <c r="F465" s="27">
        <v>202101007</v>
      </c>
      <c r="G465" s="162" t="s">
        <v>157</v>
      </c>
      <c r="H465" s="162" t="s">
        <v>1413</v>
      </c>
      <c r="I465" s="162" t="s">
        <v>179</v>
      </c>
      <c r="J465" s="162" t="s">
        <v>170</v>
      </c>
      <c r="K465" s="162" t="s">
        <v>235</v>
      </c>
      <c r="L465" s="162" t="s">
        <v>1692</v>
      </c>
      <c r="M465" s="162" t="s">
        <v>1810</v>
      </c>
      <c r="N465" s="118" t="str">
        <f>_xlfn.DISPIMG("ID_CF289AF208E247F38051A435A278D00A",1)</f>
        <v>=DISPIMG("ID_CF289AF208E247F38051A435A278D00A",1)</v>
      </c>
      <c r="O465" s="115" t="s">
        <v>1811</v>
      </c>
      <c r="P465" s="27">
        <v>206</v>
      </c>
      <c r="Q465" s="125" t="s">
        <v>4761</v>
      </c>
      <c r="R465" s="126" t="s">
        <v>70</v>
      </c>
      <c r="S465" s="124">
        <v>21</v>
      </c>
    </row>
    <row r="466" s="3" customFormat="1" ht="20" customHeight="1" spans="1:19">
      <c r="A466" s="166" t="s">
        <v>1912</v>
      </c>
      <c r="B466" s="166" t="s">
        <v>165</v>
      </c>
      <c r="C466" s="162" t="s">
        <v>1913</v>
      </c>
      <c r="D466" s="162" t="s">
        <v>297</v>
      </c>
      <c r="E466" s="162" t="s">
        <v>25</v>
      </c>
      <c r="F466" s="27">
        <v>202101008</v>
      </c>
      <c r="G466" s="162" t="s">
        <v>157</v>
      </c>
      <c r="H466" s="162" t="s">
        <v>233</v>
      </c>
      <c r="I466" s="162" t="s">
        <v>298</v>
      </c>
      <c r="J466" s="162" t="s">
        <v>160</v>
      </c>
      <c r="K466" s="162" t="s">
        <v>587</v>
      </c>
      <c r="L466" s="162" t="s">
        <v>25</v>
      </c>
      <c r="M466" s="162" t="s">
        <v>1915</v>
      </c>
      <c r="N466" s="118" t="str">
        <f>_xlfn.DISPIMG("ID_845D85CFFC3A4B2FB996A756749DD1B9",1)</f>
        <v>=DISPIMG("ID_845D85CFFC3A4B2FB996A756749DD1B9",1)</v>
      </c>
      <c r="O466" s="115" t="s">
        <v>1916</v>
      </c>
      <c r="P466" s="27">
        <v>220</v>
      </c>
      <c r="Q466" s="125" t="s">
        <v>4762</v>
      </c>
      <c r="R466" s="126" t="s">
        <v>70</v>
      </c>
      <c r="S466" s="124">
        <v>28</v>
      </c>
    </row>
    <row r="467" s="4" customFormat="1" ht="20" customHeight="1" spans="1:19">
      <c r="A467" s="166" t="s">
        <v>2069</v>
      </c>
      <c r="B467" s="166" t="s">
        <v>165</v>
      </c>
      <c r="C467" s="164" t="s">
        <v>2070</v>
      </c>
      <c r="D467" s="164" t="s">
        <v>384</v>
      </c>
      <c r="E467" s="164" t="s">
        <v>25</v>
      </c>
      <c r="F467" s="22">
        <v>202101007</v>
      </c>
      <c r="G467" s="164" t="s">
        <v>157</v>
      </c>
      <c r="H467" s="164" t="s">
        <v>233</v>
      </c>
      <c r="I467" s="164" t="s">
        <v>179</v>
      </c>
      <c r="J467" s="164" t="s">
        <v>170</v>
      </c>
      <c r="K467" s="164" t="s">
        <v>1346</v>
      </c>
      <c r="L467" s="164" t="s">
        <v>25</v>
      </c>
      <c r="M467" s="164" t="s">
        <v>2072</v>
      </c>
      <c r="N467" s="23" t="str">
        <f>_xlfn.DISPIMG("ID_AE7BFEF114344F24954EA3AA4FC71BD8",1)</f>
        <v>=DISPIMG("ID_AE7BFEF114344F24954EA3AA4FC71BD8",1)</v>
      </c>
      <c r="O467" s="103" t="s">
        <v>2073</v>
      </c>
      <c r="P467" s="27">
        <v>241</v>
      </c>
      <c r="Q467" s="125" t="s">
        <v>4763</v>
      </c>
      <c r="R467" s="126" t="s">
        <v>70</v>
      </c>
      <c r="S467" s="124">
        <v>3</v>
      </c>
    </row>
    <row r="468" s="4" customFormat="1" ht="20" customHeight="1" spans="1:19">
      <c r="A468" s="166" t="s">
        <v>2360</v>
      </c>
      <c r="B468" s="166" t="s">
        <v>165</v>
      </c>
      <c r="C468" s="164" t="s">
        <v>2361</v>
      </c>
      <c r="D468" s="164" t="s">
        <v>384</v>
      </c>
      <c r="E468" s="164" t="s">
        <v>25</v>
      </c>
      <c r="F468" s="22">
        <v>202101007</v>
      </c>
      <c r="G468" s="164" t="s">
        <v>157</v>
      </c>
      <c r="H468" s="164" t="s">
        <v>2363</v>
      </c>
      <c r="I468" s="164" t="s">
        <v>179</v>
      </c>
      <c r="J468" s="164" t="s">
        <v>170</v>
      </c>
      <c r="K468" s="164" t="s">
        <v>577</v>
      </c>
      <c r="L468" s="164" t="s">
        <v>25</v>
      </c>
      <c r="M468" s="164" t="s">
        <v>2364</v>
      </c>
      <c r="N468" s="23" t="str">
        <f>_xlfn.DISPIMG("ID_9FF2F7CED6DC40CB89E306847985BA44",1)</f>
        <v>=DISPIMG("ID_9FF2F7CED6DC40CB89E306847985BA44",1)</v>
      </c>
      <c r="O468" s="103" t="s">
        <v>2365</v>
      </c>
      <c r="P468" s="27">
        <v>280</v>
      </c>
      <c r="Q468" s="125" t="s">
        <v>4764</v>
      </c>
      <c r="R468" s="126" t="s">
        <v>70</v>
      </c>
      <c r="S468" s="124">
        <v>10</v>
      </c>
    </row>
    <row r="469" s="3" customFormat="1" ht="20" customHeight="1" spans="1:19">
      <c r="A469" s="166" t="s">
        <v>2415</v>
      </c>
      <c r="B469" s="166" t="s">
        <v>165</v>
      </c>
      <c r="C469" s="162" t="s">
        <v>2416</v>
      </c>
      <c r="D469" s="162" t="s">
        <v>384</v>
      </c>
      <c r="E469" s="162" t="s">
        <v>25</v>
      </c>
      <c r="F469" s="27">
        <v>202101007</v>
      </c>
      <c r="G469" s="162" t="s">
        <v>157</v>
      </c>
      <c r="H469" s="162" t="s">
        <v>1258</v>
      </c>
      <c r="I469" s="162" t="s">
        <v>828</v>
      </c>
      <c r="J469" s="162" t="s">
        <v>170</v>
      </c>
      <c r="K469" s="162" t="s">
        <v>171</v>
      </c>
      <c r="L469" s="162" t="s">
        <v>25</v>
      </c>
      <c r="M469" s="162" t="s">
        <v>2418</v>
      </c>
      <c r="N469" s="118" t="str">
        <f>_xlfn.DISPIMG("ID_CD5C977DBB8D404E885C56F791C17D27",1)</f>
        <v>=DISPIMG("ID_CD5C977DBB8D404E885C56F791C17D27",1)</v>
      </c>
      <c r="O469" s="115" t="s">
        <v>2419</v>
      </c>
      <c r="P469" s="27">
        <v>287</v>
      </c>
      <c r="Q469" s="125" t="s">
        <v>4765</v>
      </c>
      <c r="R469" s="126" t="s">
        <v>70</v>
      </c>
      <c r="S469" s="124">
        <v>15</v>
      </c>
    </row>
    <row r="470" s="3" customFormat="1" ht="20" customHeight="1" spans="1:19">
      <c r="A470" s="166" t="s">
        <v>2495</v>
      </c>
      <c r="B470" s="166" t="s">
        <v>165</v>
      </c>
      <c r="C470" s="162" t="s">
        <v>2496</v>
      </c>
      <c r="D470" s="162" t="s">
        <v>384</v>
      </c>
      <c r="E470" s="162" t="s">
        <v>25</v>
      </c>
      <c r="F470" s="27">
        <v>202101007</v>
      </c>
      <c r="G470" s="162" t="s">
        <v>157</v>
      </c>
      <c r="H470" s="162" t="s">
        <v>662</v>
      </c>
      <c r="I470" s="162" t="s">
        <v>179</v>
      </c>
      <c r="J470" s="162" t="s">
        <v>170</v>
      </c>
      <c r="K470" s="162" t="s">
        <v>261</v>
      </c>
      <c r="L470" s="162" t="s">
        <v>25</v>
      </c>
      <c r="M470" s="27">
        <v>0</v>
      </c>
      <c r="N470" s="118" t="str">
        <f>_xlfn.DISPIMG("ID_9517FA682BDD4A72AC67B046C0A956F9",1)</f>
        <v>=DISPIMG("ID_9517FA682BDD4A72AC67B046C0A956F9",1)</v>
      </c>
      <c r="O470" s="115" t="s">
        <v>2498</v>
      </c>
      <c r="P470" s="27">
        <v>298</v>
      </c>
      <c r="Q470" s="125" t="s">
        <v>4766</v>
      </c>
      <c r="R470" s="126" t="s">
        <v>70</v>
      </c>
      <c r="S470" s="124">
        <v>22</v>
      </c>
    </row>
    <row r="471" s="3" customFormat="1" ht="20" customHeight="1" spans="1:19">
      <c r="A471" s="166" t="s">
        <v>2606</v>
      </c>
      <c r="B471" s="166" t="s">
        <v>165</v>
      </c>
      <c r="C471" s="162" t="s">
        <v>2607</v>
      </c>
      <c r="D471" s="162" t="s">
        <v>297</v>
      </c>
      <c r="E471" s="162" t="s">
        <v>25</v>
      </c>
      <c r="F471" s="27">
        <v>202101008</v>
      </c>
      <c r="G471" s="162" t="s">
        <v>157</v>
      </c>
      <c r="H471" s="162" t="s">
        <v>1654</v>
      </c>
      <c r="I471" s="162" t="s">
        <v>2609</v>
      </c>
      <c r="J471" s="162" t="s">
        <v>160</v>
      </c>
      <c r="K471" s="162" t="s">
        <v>281</v>
      </c>
      <c r="L471" s="162" t="s">
        <v>2610</v>
      </c>
      <c r="M471" s="162" t="s">
        <v>2611</v>
      </c>
      <c r="N471" s="118" t="str">
        <f>_xlfn.DISPIMG("ID_1DA33C1DACDA463582C160858194DE2A",1)</f>
        <v>=DISPIMG("ID_1DA33C1DACDA463582C160858194DE2A",1)</v>
      </c>
      <c r="O471" s="115" t="s">
        <v>2612</v>
      </c>
      <c r="P471" s="27">
        <v>313</v>
      </c>
      <c r="Q471" s="125" t="s">
        <v>4767</v>
      </c>
      <c r="R471" s="126" t="s">
        <v>70</v>
      </c>
      <c r="S471" s="124">
        <v>27</v>
      </c>
    </row>
    <row r="472" s="6" customFormat="1" ht="20" customHeight="1" spans="1:19">
      <c r="A472" s="166" t="s">
        <v>2674</v>
      </c>
      <c r="B472" s="166" t="s">
        <v>165</v>
      </c>
      <c r="C472" s="162" t="s">
        <v>2675</v>
      </c>
      <c r="D472" s="162" t="s">
        <v>297</v>
      </c>
      <c r="E472" s="162" t="s">
        <v>25</v>
      </c>
      <c r="F472" s="27">
        <v>202101008</v>
      </c>
      <c r="G472" s="162" t="s">
        <v>157</v>
      </c>
      <c r="H472" s="162" t="s">
        <v>269</v>
      </c>
      <c r="I472" s="162" t="s">
        <v>2677</v>
      </c>
      <c r="J472" s="162" t="s">
        <v>160</v>
      </c>
      <c r="K472" s="162" t="s">
        <v>224</v>
      </c>
      <c r="L472" s="162" t="s">
        <v>25</v>
      </c>
      <c r="M472" s="162" t="s">
        <v>2678</v>
      </c>
      <c r="N472" s="118" t="str">
        <f>_xlfn.DISPIMG("ID_03E1DAA8D63B4AFF99883CCD0E6E65E6",1)</f>
        <v>=DISPIMG("ID_03E1DAA8D63B4AFF99883CCD0E6E65E6",1)</v>
      </c>
      <c r="O472" s="115" t="s">
        <v>2679</v>
      </c>
      <c r="P472" s="27">
        <v>359</v>
      </c>
      <c r="Q472" s="125" t="s">
        <v>4768</v>
      </c>
      <c r="R472" s="126" t="s">
        <v>70</v>
      </c>
      <c r="S472" s="124">
        <v>2</v>
      </c>
    </row>
    <row r="473" s="3" customFormat="1" ht="20" customHeight="1" spans="1:19">
      <c r="A473" s="166" t="s">
        <v>3002</v>
      </c>
      <c r="B473" s="166" t="s">
        <v>165</v>
      </c>
      <c r="C473" s="162" t="s">
        <v>3003</v>
      </c>
      <c r="D473" s="162" t="s">
        <v>297</v>
      </c>
      <c r="E473" s="162" t="s">
        <v>25</v>
      </c>
      <c r="F473" s="27">
        <v>202101008</v>
      </c>
      <c r="G473" s="162" t="s">
        <v>157</v>
      </c>
      <c r="H473" s="162" t="s">
        <v>540</v>
      </c>
      <c r="I473" s="162" t="s">
        <v>179</v>
      </c>
      <c r="J473" s="162" t="s">
        <v>160</v>
      </c>
      <c r="K473" s="162" t="s">
        <v>2047</v>
      </c>
      <c r="L473" s="162" t="s">
        <v>3005</v>
      </c>
      <c r="M473" s="27">
        <v>0</v>
      </c>
      <c r="N473" s="118" t="str">
        <f>_xlfn.DISPIMG("ID_4E0EBDB804BA45EB8B4195F5A93DFBBD",1)</f>
        <v>=DISPIMG("ID_4E0EBDB804BA45EB8B4195F5A93DFBBD",1)</v>
      </c>
      <c r="O473" s="115" t="s">
        <v>3006</v>
      </c>
      <c r="P473" s="27">
        <v>370</v>
      </c>
      <c r="Q473" s="125" t="s">
        <v>4769</v>
      </c>
      <c r="R473" s="126" t="s">
        <v>70</v>
      </c>
      <c r="S473" s="124">
        <v>11</v>
      </c>
    </row>
    <row r="474" s="3" customFormat="1" ht="20" customHeight="1" spans="1:19">
      <c r="A474" s="166" t="s">
        <v>3130</v>
      </c>
      <c r="B474" s="166" t="s">
        <v>165</v>
      </c>
      <c r="C474" s="162" t="s">
        <v>3131</v>
      </c>
      <c r="D474" s="162" t="s">
        <v>384</v>
      </c>
      <c r="E474" s="162" t="s">
        <v>25</v>
      </c>
      <c r="F474" s="27">
        <v>202101007</v>
      </c>
      <c r="G474" s="162" t="s">
        <v>157</v>
      </c>
      <c r="H474" s="162" t="s">
        <v>1203</v>
      </c>
      <c r="I474" s="162" t="s">
        <v>223</v>
      </c>
      <c r="J474" s="162" t="s">
        <v>170</v>
      </c>
      <c r="K474" s="162" t="s">
        <v>224</v>
      </c>
      <c r="L474" s="162" t="s">
        <v>25</v>
      </c>
      <c r="M474" s="162" t="s">
        <v>3132</v>
      </c>
      <c r="N474" s="118" t="str">
        <f>_xlfn.DISPIMG("ID_DD2B22793A5D42C5A4C202130135D188",1)</f>
        <v>=DISPIMG("ID_DD2B22793A5D42C5A4C202130135D188",1)</v>
      </c>
      <c r="O474" s="115" t="s">
        <v>3133</v>
      </c>
      <c r="P474" s="27">
        <v>387</v>
      </c>
      <c r="Q474" s="125" t="s">
        <v>4770</v>
      </c>
      <c r="R474" s="126" t="s">
        <v>70</v>
      </c>
      <c r="S474" s="124">
        <v>14</v>
      </c>
    </row>
    <row r="475" s="3" customFormat="1" ht="20" customHeight="1" spans="1:19">
      <c r="A475" s="166" t="s">
        <v>3185</v>
      </c>
      <c r="B475" s="166" t="s">
        <v>165</v>
      </c>
      <c r="C475" s="162" t="s">
        <v>3186</v>
      </c>
      <c r="D475" s="162" t="s">
        <v>297</v>
      </c>
      <c r="E475" s="162" t="s">
        <v>25</v>
      </c>
      <c r="F475" s="27">
        <v>202101008</v>
      </c>
      <c r="G475" s="162" t="s">
        <v>157</v>
      </c>
      <c r="H475" s="162" t="s">
        <v>646</v>
      </c>
      <c r="I475" s="162" t="s">
        <v>179</v>
      </c>
      <c r="J475" s="162" t="s">
        <v>170</v>
      </c>
      <c r="K475" s="162" t="s">
        <v>161</v>
      </c>
      <c r="L475" s="162" t="s">
        <v>3188</v>
      </c>
      <c r="M475" s="27">
        <v>0</v>
      </c>
      <c r="N475" s="118" t="str">
        <f>_xlfn.DISPIMG("ID_76C776A08E8241118AA436F440F434C8",1)</f>
        <v>=DISPIMG("ID_76C776A08E8241118AA436F440F434C8",1)</v>
      </c>
      <c r="O475" s="115" t="s">
        <v>3189</v>
      </c>
      <c r="P475" s="27">
        <v>396</v>
      </c>
      <c r="Q475" s="125" t="s">
        <v>4771</v>
      </c>
      <c r="R475" s="126" t="s">
        <v>70</v>
      </c>
      <c r="S475" s="124">
        <v>23</v>
      </c>
    </row>
    <row r="476" s="4" customFormat="1" ht="20" customHeight="1" spans="1:19">
      <c r="A476" s="166" t="s">
        <v>3219</v>
      </c>
      <c r="B476" s="166" t="s">
        <v>165</v>
      </c>
      <c r="C476" s="164" t="s">
        <v>3220</v>
      </c>
      <c r="D476" s="164" t="s">
        <v>384</v>
      </c>
      <c r="E476" s="164" t="s">
        <v>25</v>
      </c>
      <c r="F476" s="22">
        <v>202101007</v>
      </c>
      <c r="G476" s="164" t="s">
        <v>157</v>
      </c>
      <c r="H476" s="164" t="s">
        <v>507</v>
      </c>
      <c r="I476" s="164" t="s">
        <v>828</v>
      </c>
      <c r="J476" s="164" t="s">
        <v>170</v>
      </c>
      <c r="K476" s="164" t="s">
        <v>161</v>
      </c>
      <c r="L476" s="164" t="s">
        <v>25</v>
      </c>
      <c r="M476" s="164" t="s">
        <v>3222</v>
      </c>
      <c r="N476" s="23" t="str">
        <f>_xlfn.DISPIMG("ID_31DA0D5E67EC49E4A7DA2145DC608874",1)</f>
        <v>=DISPIMG("ID_31DA0D5E67EC49E4A7DA2145DC608874",1)</v>
      </c>
      <c r="O476" s="103" t="s">
        <v>3223</v>
      </c>
      <c r="P476" s="27">
        <v>401</v>
      </c>
      <c r="Q476" s="125" t="s">
        <v>4772</v>
      </c>
      <c r="R476" s="126" t="s">
        <v>70</v>
      </c>
      <c r="S476" s="124">
        <v>26</v>
      </c>
    </row>
    <row r="477" s="3" customFormat="1" ht="20" customHeight="1" spans="1:19">
      <c r="A477" s="166" t="s">
        <v>3386</v>
      </c>
      <c r="B477" s="166" t="s">
        <v>165</v>
      </c>
      <c r="C477" s="162" t="s">
        <v>3387</v>
      </c>
      <c r="D477" s="162" t="s">
        <v>384</v>
      </c>
      <c r="E477" s="162" t="s">
        <v>25</v>
      </c>
      <c r="F477" s="27">
        <v>202101007</v>
      </c>
      <c r="G477" s="162" t="s">
        <v>705</v>
      </c>
      <c r="H477" s="162" t="s">
        <v>233</v>
      </c>
      <c r="I477" s="162" t="s">
        <v>3389</v>
      </c>
      <c r="J477" s="162" t="s">
        <v>160</v>
      </c>
      <c r="K477" s="162" t="s">
        <v>261</v>
      </c>
      <c r="L477" s="162" t="s">
        <v>1506</v>
      </c>
      <c r="M477" s="27">
        <v>0</v>
      </c>
      <c r="N477" s="118" t="str">
        <f>_xlfn.DISPIMG("ID_E7900D53DC2C42DFA545534A1C33490B",1)</f>
        <v>=DISPIMG("ID_E7900D53DC2C42DFA545534A1C33490B",1)</v>
      </c>
      <c r="O477" s="115" t="s">
        <v>3390</v>
      </c>
      <c r="P477" s="27">
        <v>427</v>
      </c>
      <c r="Q477" s="125" t="s">
        <v>4773</v>
      </c>
      <c r="R477" s="126" t="s">
        <v>70</v>
      </c>
      <c r="S477" s="124">
        <v>1</v>
      </c>
    </row>
    <row r="478" s="3" customFormat="1" ht="20" customHeight="1" spans="1:19">
      <c r="A478" s="166" t="s">
        <v>3789</v>
      </c>
      <c r="B478" s="166" t="s">
        <v>165</v>
      </c>
      <c r="C478" s="162" t="s">
        <v>3790</v>
      </c>
      <c r="D478" s="162" t="s">
        <v>384</v>
      </c>
      <c r="E478" s="162" t="s">
        <v>25</v>
      </c>
      <c r="F478" s="27">
        <v>202101007</v>
      </c>
      <c r="G478" s="162" t="s">
        <v>157</v>
      </c>
      <c r="H478" s="162" t="s">
        <v>2874</v>
      </c>
      <c r="I478" s="162" t="s">
        <v>3792</v>
      </c>
      <c r="J478" s="162" t="s">
        <v>170</v>
      </c>
      <c r="K478" s="162" t="s">
        <v>216</v>
      </c>
      <c r="L478" s="162" t="s">
        <v>25</v>
      </c>
      <c r="M478" s="162" t="s">
        <v>3793</v>
      </c>
      <c r="N478" s="118" t="str">
        <f>_xlfn.DISPIMG("ID_7E3A3C48C46B4922B18A5C2AD1587AC0",1)</f>
        <v>=DISPIMG("ID_7E3A3C48C46B4922B18A5C2AD1587AC0",1)</v>
      </c>
      <c r="O478" s="115" t="s">
        <v>3794</v>
      </c>
      <c r="P478" s="127">
        <v>483</v>
      </c>
      <c r="Q478" s="125" t="s">
        <v>4774</v>
      </c>
      <c r="R478" s="126" t="s">
        <v>70</v>
      </c>
      <c r="S478" s="124">
        <v>12</v>
      </c>
    </row>
    <row r="479" s="3" customFormat="1" ht="20" customHeight="1" spans="1:19">
      <c r="A479" s="166" t="s">
        <v>3918</v>
      </c>
      <c r="B479" s="166" t="s">
        <v>165</v>
      </c>
      <c r="C479" s="162" t="s">
        <v>3919</v>
      </c>
      <c r="D479" s="162" t="s">
        <v>384</v>
      </c>
      <c r="E479" s="162" t="s">
        <v>25</v>
      </c>
      <c r="F479" s="27">
        <v>202101007</v>
      </c>
      <c r="G479" s="162" t="s">
        <v>157</v>
      </c>
      <c r="H479" s="162" t="s">
        <v>178</v>
      </c>
      <c r="I479" s="162" t="s">
        <v>179</v>
      </c>
      <c r="J479" s="162" t="s">
        <v>170</v>
      </c>
      <c r="K479" s="162" t="s">
        <v>161</v>
      </c>
      <c r="L479" s="162" t="s">
        <v>952</v>
      </c>
      <c r="M479" s="162" t="s">
        <v>3920</v>
      </c>
      <c r="N479" s="118" t="str">
        <f>_xlfn.DISPIMG("ID_64C458B5785C4AE8B3EB4D932C0866CC",1)</f>
        <v>=DISPIMG("ID_64C458B5785C4AE8B3EB4D932C0866CC",1)</v>
      </c>
      <c r="O479" s="115" t="s">
        <v>3921</v>
      </c>
      <c r="P479" s="127">
        <v>500</v>
      </c>
      <c r="Q479" s="125" t="s">
        <v>4775</v>
      </c>
      <c r="R479" s="126" t="s">
        <v>70</v>
      </c>
      <c r="S479" s="124">
        <v>13</v>
      </c>
    </row>
    <row r="480" s="3" customFormat="1" ht="20" customHeight="1" spans="1:19">
      <c r="A480" s="166" t="s">
        <v>4006</v>
      </c>
      <c r="B480" s="166" t="s">
        <v>165</v>
      </c>
      <c r="C480" s="162" t="s">
        <v>4007</v>
      </c>
      <c r="D480" s="162" t="s">
        <v>297</v>
      </c>
      <c r="E480" s="162" t="s">
        <v>25</v>
      </c>
      <c r="F480" s="27">
        <v>202101008</v>
      </c>
      <c r="G480" s="162" t="s">
        <v>157</v>
      </c>
      <c r="H480" s="162" t="s">
        <v>3070</v>
      </c>
      <c r="I480" s="162" t="s">
        <v>179</v>
      </c>
      <c r="J480" s="162" t="s">
        <v>170</v>
      </c>
      <c r="K480" s="162" t="s">
        <v>306</v>
      </c>
      <c r="L480" s="162" t="s">
        <v>1692</v>
      </c>
      <c r="M480" s="162" t="s">
        <v>4009</v>
      </c>
      <c r="N480" s="118" t="str">
        <f>_xlfn.DISPIMG("ID_410BA329CDB34577BE3D2E13C6D8589F",1)</f>
        <v>=DISPIMG("ID_410BA329CDB34577BE3D2E13C6D8589F",1)</v>
      </c>
      <c r="O480" s="115" t="s">
        <v>4010</v>
      </c>
      <c r="P480" s="127">
        <v>512</v>
      </c>
      <c r="Q480" s="125" t="s">
        <v>4776</v>
      </c>
      <c r="R480" s="126" t="s">
        <v>70</v>
      </c>
      <c r="S480" s="124">
        <v>24</v>
      </c>
    </row>
    <row r="481" s="3" customFormat="1" ht="20" customHeight="1" spans="1:19">
      <c r="A481" s="166" t="s">
        <v>4073</v>
      </c>
      <c r="B481" s="166" t="s">
        <v>165</v>
      </c>
      <c r="C481" s="162" t="s">
        <v>4074</v>
      </c>
      <c r="D481" s="162" t="s">
        <v>297</v>
      </c>
      <c r="E481" s="162" t="s">
        <v>25</v>
      </c>
      <c r="F481" s="27">
        <v>202101008</v>
      </c>
      <c r="G481" s="162" t="s">
        <v>157</v>
      </c>
      <c r="H481" s="162" t="s">
        <v>4076</v>
      </c>
      <c r="I481" s="162" t="s">
        <v>179</v>
      </c>
      <c r="J481" s="162" t="s">
        <v>160</v>
      </c>
      <c r="K481" s="162" t="s">
        <v>919</v>
      </c>
      <c r="L481" s="162" t="s">
        <v>4077</v>
      </c>
      <c r="M481" s="162" t="s">
        <v>4078</v>
      </c>
      <c r="N481" s="118" t="str">
        <f>_xlfn.DISPIMG("ID_5240EB7A8E6D4B1A8B52378BBD0117F8",1)</f>
        <v>=DISPIMG("ID_5240EB7A8E6D4B1A8B52378BBD0117F8",1)</v>
      </c>
      <c r="O481" s="115" t="s">
        <v>4079</v>
      </c>
      <c r="P481" s="127">
        <v>521</v>
      </c>
      <c r="Q481" s="125" t="s">
        <v>4777</v>
      </c>
      <c r="R481" s="126" t="s">
        <v>70</v>
      </c>
      <c r="S481" s="124">
        <v>25</v>
      </c>
    </row>
    <row r="482" s="3" customFormat="1" ht="20" customHeight="1" spans="1:19">
      <c r="A482" s="166" t="s">
        <v>265</v>
      </c>
      <c r="B482" s="166" t="s">
        <v>153</v>
      </c>
      <c r="C482" s="162" t="s">
        <v>266</v>
      </c>
      <c r="D482" s="162" t="s">
        <v>268</v>
      </c>
      <c r="E482" s="162" t="s">
        <v>20</v>
      </c>
      <c r="F482" s="27">
        <v>202101004</v>
      </c>
      <c r="G482" s="162" t="s">
        <v>157</v>
      </c>
      <c r="H482" s="162" t="s">
        <v>269</v>
      </c>
      <c r="I482" s="162" t="s">
        <v>270</v>
      </c>
      <c r="J482" s="162" t="s">
        <v>170</v>
      </c>
      <c r="K482" s="162" t="s">
        <v>261</v>
      </c>
      <c r="L482" s="162" t="s">
        <v>20</v>
      </c>
      <c r="M482" s="162" t="s">
        <v>271</v>
      </c>
      <c r="N482" s="118" t="str">
        <f>_xlfn.DISPIMG("ID_E6B64D542CF24756B648DE72B52C0790",1)</f>
        <v>=DISPIMG("ID_E6B64D542CF24756B648DE72B52C0790",1)</v>
      </c>
      <c r="O482" s="115" t="s">
        <v>272</v>
      </c>
      <c r="P482" s="27">
        <v>14</v>
      </c>
      <c r="Q482" s="125" t="s">
        <v>4778</v>
      </c>
      <c r="R482" s="126" t="s">
        <v>72</v>
      </c>
      <c r="S482" s="131">
        <v>6</v>
      </c>
    </row>
    <row r="483" s="3" customFormat="1" ht="20" customHeight="1" spans="1:19">
      <c r="A483" s="166" t="s">
        <v>522</v>
      </c>
      <c r="B483" s="166" t="s">
        <v>165</v>
      </c>
      <c r="C483" s="162" t="s">
        <v>523</v>
      </c>
      <c r="D483" s="162" t="s">
        <v>268</v>
      </c>
      <c r="E483" s="162" t="s">
        <v>20</v>
      </c>
      <c r="F483" s="27">
        <v>202101004</v>
      </c>
      <c r="G483" s="162" t="s">
        <v>157</v>
      </c>
      <c r="H483" s="162" t="s">
        <v>233</v>
      </c>
      <c r="I483" s="162" t="s">
        <v>525</v>
      </c>
      <c r="J483" s="162" t="s">
        <v>170</v>
      </c>
      <c r="K483" s="162" t="s">
        <v>161</v>
      </c>
      <c r="L483" s="162" t="s">
        <v>20</v>
      </c>
      <c r="M483" s="27">
        <v>0</v>
      </c>
      <c r="N483" s="118" t="str">
        <f>_xlfn.DISPIMG("ID_71DE12F1CD59449693F0263DC215D27B",1)</f>
        <v>=DISPIMG("ID_71DE12F1CD59449693F0263DC215D27B",1)</v>
      </c>
      <c r="O483" s="115" t="s">
        <v>526</v>
      </c>
      <c r="P483" s="27">
        <v>44</v>
      </c>
      <c r="Q483" s="125" t="s">
        <v>4779</v>
      </c>
      <c r="R483" s="126" t="s">
        <v>72</v>
      </c>
      <c r="S483" s="131">
        <v>7</v>
      </c>
    </row>
    <row r="484" s="3" customFormat="1" ht="20" customHeight="1" spans="1:19">
      <c r="A484" s="166" t="s">
        <v>679</v>
      </c>
      <c r="B484" s="166" t="s">
        <v>165</v>
      </c>
      <c r="C484" s="162" t="s">
        <v>680</v>
      </c>
      <c r="D484" s="162" t="s">
        <v>384</v>
      </c>
      <c r="E484" s="162" t="s">
        <v>21</v>
      </c>
      <c r="F484" s="27">
        <v>202101023</v>
      </c>
      <c r="G484" s="162" t="s">
        <v>157</v>
      </c>
      <c r="H484" s="162" t="s">
        <v>233</v>
      </c>
      <c r="I484" s="162" t="s">
        <v>682</v>
      </c>
      <c r="J484" s="162" t="s">
        <v>170</v>
      </c>
      <c r="K484" s="162" t="s">
        <v>261</v>
      </c>
      <c r="L484" s="162" t="s">
        <v>683</v>
      </c>
      <c r="M484" s="27">
        <v>0</v>
      </c>
      <c r="N484" s="118" t="str">
        <f>_xlfn.DISPIMG("ID_6F0A1E5B97CE4F0C8967B602A8189E7F",1)</f>
        <v>=DISPIMG("ID_6F0A1E5B97CE4F0C8967B602A8189E7F",1)</v>
      </c>
      <c r="O484" s="115" t="s">
        <v>684</v>
      </c>
      <c r="P484" s="27">
        <v>63</v>
      </c>
      <c r="Q484" s="125" t="s">
        <v>4780</v>
      </c>
      <c r="R484" s="126" t="s">
        <v>72</v>
      </c>
      <c r="S484" s="131">
        <v>18</v>
      </c>
    </row>
    <row r="485" s="3" customFormat="1" ht="20" customHeight="1" spans="1:19">
      <c r="A485" s="166" t="s">
        <v>1584</v>
      </c>
      <c r="B485" s="166" t="s">
        <v>153</v>
      </c>
      <c r="C485" s="162" t="s">
        <v>1585</v>
      </c>
      <c r="D485" s="162" t="s">
        <v>268</v>
      </c>
      <c r="E485" s="162" t="s">
        <v>21</v>
      </c>
      <c r="F485" s="27">
        <v>202101022</v>
      </c>
      <c r="G485" s="162" t="s">
        <v>157</v>
      </c>
      <c r="H485" s="162" t="s">
        <v>827</v>
      </c>
      <c r="I485" s="162" t="s">
        <v>682</v>
      </c>
      <c r="J485" s="162" t="s">
        <v>170</v>
      </c>
      <c r="K485" s="162" t="s">
        <v>455</v>
      </c>
      <c r="L485" s="162" t="s">
        <v>1587</v>
      </c>
      <c r="M485" s="27">
        <v>0</v>
      </c>
      <c r="N485" s="118" t="str">
        <f>_xlfn.DISPIMG("ID_E364C79C5CB74A97A356C87CFF697310",1)</f>
        <v>=DISPIMG("ID_E364C79C5CB74A97A356C87CFF697310",1)</v>
      </c>
      <c r="O485" s="115" t="s">
        <v>1588</v>
      </c>
      <c r="P485" s="27">
        <v>177</v>
      </c>
      <c r="Q485" s="125" t="s">
        <v>4781</v>
      </c>
      <c r="R485" s="126" t="s">
        <v>72</v>
      </c>
      <c r="S485" s="131">
        <v>19</v>
      </c>
    </row>
    <row r="486" s="3" customFormat="1" ht="20" customHeight="1" spans="1:19">
      <c r="A486" s="166" t="s">
        <v>1590</v>
      </c>
      <c r="B486" s="166" t="s">
        <v>153</v>
      </c>
      <c r="C486" s="162" t="s">
        <v>1591</v>
      </c>
      <c r="D486" s="162" t="s">
        <v>268</v>
      </c>
      <c r="E486" s="162" t="s">
        <v>21</v>
      </c>
      <c r="F486" s="27">
        <v>202101022</v>
      </c>
      <c r="G486" s="162" t="s">
        <v>157</v>
      </c>
      <c r="H486" s="162" t="s">
        <v>827</v>
      </c>
      <c r="I486" s="162" t="s">
        <v>682</v>
      </c>
      <c r="J486" s="162" t="s">
        <v>170</v>
      </c>
      <c r="K486" s="162" t="s">
        <v>455</v>
      </c>
      <c r="L486" s="162" t="s">
        <v>1593</v>
      </c>
      <c r="M486" s="27">
        <v>0</v>
      </c>
      <c r="N486" s="118" t="str">
        <f>_xlfn.DISPIMG("ID_A40AE5361B8D44C884FA7CDADC74343E",1)</f>
        <v>=DISPIMG("ID_A40AE5361B8D44C884FA7CDADC74343E",1)</v>
      </c>
      <c r="O486" s="115" t="s">
        <v>1594</v>
      </c>
      <c r="P486" s="27">
        <v>178</v>
      </c>
      <c r="Q486" s="125" t="s">
        <v>4782</v>
      </c>
      <c r="R486" s="126" t="s">
        <v>72</v>
      </c>
      <c r="S486" s="131">
        <v>30</v>
      </c>
    </row>
    <row r="487" s="3" customFormat="1" ht="20" customHeight="1" spans="1:19">
      <c r="A487" s="166" t="s">
        <v>1050</v>
      </c>
      <c r="B487" s="166" t="s">
        <v>165</v>
      </c>
      <c r="C487" s="162" t="s">
        <v>1051</v>
      </c>
      <c r="D487" s="162" t="s">
        <v>384</v>
      </c>
      <c r="E487" s="162" t="s">
        <v>20</v>
      </c>
      <c r="F487" s="27">
        <v>202101005</v>
      </c>
      <c r="G487" s="162" t="s">
        <v>157</v>
      </c>
      <c r="H487" s="162" t="s">
        <v>178</v>
      </c>
      <c r="I487" s="162" t="s">
        <v>270</v>
      </c>
      <c r="J487" s="162" t="s">
        <v>170</v>
      </c>
      <c r="K487" s="162" t="s">
        <v>261</v>
      </c>
      <c r="L487" s="162" t="s">
        <v>20</v>
      </c>
      <c r="M487" s="27">
        <v>0</v>
      </c>
      <c r="N487" s="118" t="str">
        <f>_xlfn.DISPIMG("ID_296B75901486490E98D040532231AC8D",1)</f>
        <v>=DISPIMG("ID_296B75901486490E98D040532231AC8D",1)</v>
      </c>
      <c r="O487" s="115" t="s">
        <v>1052</v>
      </c>
      <c r="P487" s="27">
        <v>108</v>
      </c>
      <c r="Q487" s="125" t="s">
        <v>4783</v>
      </c>
      <c r="R487" s="126" t="s">
        <v>72</v>
      </c>
      <c r="S487" s="131">
        <v>5</v>
      </c>
    </row>
    <row r="488" s="3" customFormat="1" ht="20" customHeight="1" spans="1:19">
      <c r="A488" s="166" t="s">
        <v>1055</v>
      </c>
      <c r="B488" s="166" t="s">
        <v>165</v>
      </c>
      <c r="C488" s="162" t="s">
        <v>1056</v>
      </c>
      <c r="D488" s="162" t="s">
        <v>384</v>
      </c>
      <c r="E488" s="162" t="s">
        <v>20</v>
      </c>
      <c r="F488" s="27">
        <v>202101005</v>
      </c>
      <c r="G488" s="162" t="s">
        <v>157</v>
      </c>
      <c r="H488" s="162" t="s">
        <v>178</v>
      </c>
      <c r="I488" s="162" t="s">
        <v>270</v>
      </c>
      <c r="J488" s="162" t="s">
        <v>170</v>
      </c>
      <c r="K488" s="162" t="s">
        <v>261</v>
      </c>
      <c r="L488" s="162" t="s">
        <v>20</v>
      </c>
      <c r="M488" s="27">
        <v>0</v>
      </c>
      <c r="N488" s="118" t="str">
        <f>_xlfn.DISPIMG("ID_1261702926BF4B91B3BBC8CF57D7C930",1)</f>
        <v>=DISPIMG("ID_1261702926BF4B91B3BBC8CF57D7C930",1)</v>
      </c>
      <c r="O488" s="115" t="s">
        <v>1058</v>
      </c>
      <c r="P488" s="27">
        <v>109</v>
      </c>
      <c r="Q488" s="125" t="s">
        <v>4784</v>
      </c>
      <c r="R488" s="126" t="s">
        <v>72</v>
      </c>
      <c r="S488" s="131">
        <v>8</v>
      </c>
    </row>
    <row r="489" s="3" customFormat="1" ht="20" customHeight="1" spans="1:19">
      <c r="A489" s="166" t="s">
        <v>1737</v>
      </c>
      <c r="B489" s="166" t="s">
        <v>153</v>
      </c>
      <c r="C489" s="162" t="s">
        <v>1738</v>
      </c>
      <c r="D489" s="162" t="s">
        <v>384</v>
      </c>
      <c r="E489" s="162" t="s">
        <v>21</v>
      </c>
      <c r="F489" s="27">
        <v>202101023</v>
      </c>
      <c r="G489" s="162" t="s">
        <v>157</v>
      </c>
      <c r="H489" s="162" t="s">
        <v>1740</v>
      </c>
      <c r="I489" s="162" t="s">
        <v>682</v>
      </c>
      <c r="J489" s="162" t="s">
        <v>170</v>
      </c>
      <c r="K489" s="162" t="s">
        <v>281</v>
      </c>
      <c r="L489" s="162" t="s">
        <v>21</v>
      </c>
      <c r="M489" s="27">
        <v>0</v>
      </c>
      <c r="N489" s="118" t="str">
        <f>_xlfn.DISPIMG("ID_5626D0773278487D84DF299D01619D61",1)</f>
        <v>=DISPIMG("ID_5626D0773278487D84DF299D01619D61",1)</v>
      </c>
      <c r="O489" s="115" t="s">
        <v>1741</v>
      </c>
      <c r="P489" s="27">
        <v>197</v>
      </c>
      <c r="Q489" s="125" t="s">
        <v>4785</v>
      </c>
      <c r="R489" s="126" t="s">
        <v>72</v>
      </c>
      <c r="S489" s="131">
        <v>17</v>
      </c>
    </row>
    <row r="490" s="3" customFormat="1" ht="20" customHeight="1" spans="1:19">
      <c r="A490" s="166" t="s">
        <v>2524</v>
      </c>
      <c r="B490" s="166" t="s">
        <v>153</v>
      </c>
      <c r="C490" s="162" t="s">
        <v>2525</v>
      </c>
      <c r="D490" s="162" t="s">
        <v>268</v>
      </c>
      <c r="E490" s="162" t="s">
        <v>21</v>
      </c>
      <c r="F490" s="27">
        <v>202101022</v>
      </c>
      <c r="G490" s="162" t="s">
        <v>157</v>
      </c>
      <c r="H490" s="162" t="s">
        <v>876</v>
      </c>
      <c r="I490" s="162" t="s">
        <v>682</v>
      </c>
      <c r="J490" s="162" t="s">
        <v>170</v>
      </c>
      <c r="K490" s="162" t="s">
        <v>180</v>
      </c>
      <c r="L490" s="162" t="s">
        <v>2527</v>
      </c>
      <c r="M490" s="162" t="s">
        <v>2528</v>
      </c>
      <c r="N490" s="118" t="str">
        <f>_xlfn.DISPIMG("ID_C8BB1148198145FCA2837FAC9D925FDE",1)</f>
        <v>=DISPIMG("ID_C8BB1148198145FCA2837FAC9D925FDE",1)</v>
      </c>
      <c r="O490" s="115" t="s">
        <v>2529</v>
      </c>
      <c r="P490" s="27">
        <v>302</v>
      </c>
      <c r="Q490" s="125" t="s">
        <v>4786</v>
      </c>
      <c r="R490" s="126" t="s">
        <v>72</v>
      </c>
      <c r="S490" s="131">
        <v>20</v>
      </c>
    </row>
    <row r="491" s="3" customFormat="1" ht="20" customHeight="1" spans="1:19">
      <c r="A491" s="166" t="s">
        <v>2539</v>
      </c>
      <c r="B491" s="166" t="s">
        <v>153</v>
      </c>
      <c r="C491" s="162" t="s">
        <v>2540</v>
      </c>
      <c r="D491" s="162" t="s">
        <v>384</v>
      </c>
      <c r="E491" s="162" t="s">
        <v>21</v>
      </c>
      <c r="F491" s="27">
        <v>202101023</v>
      </c>
      <c r="G491" s="162" t="s">
        <v>157</v>
      </c>
      <c r="H491" s="162" t="s">
        <v>876</v>
      </c>
      <c r="I491" s="162" t="s">
        <v>682</v>
      </c>
      <c r="J491" s="162" t="s">
        <v>170</v>
      </c>
      <c r="K491" s="162" t="s">
        <v>180</v>
      </c>
      <c r="L491" s="162" t="s">
        <v>2542</v>
      </c>
      <c r="M491" s="162" t="s">
        <v>2543</v>
      </c>
      <c r="N491" s="118" t="str">
        <f>_xlfn.DISPIMG("ID_718ACAD550894B0696EED0DE65C7554F",1)</f>
        <v>=DISPIMG("ID_718ACAD550894B0696EED0DE65C7554F",1)</v>
      </c>
      <c r="O491" s="115" t="s">
        <v>2544</v>
      </c>
      <c r="P491" s="27">
        <v>304</v>
      </c>
      <c r="Q491" s="125" t="s">
        <v>4787</v>
      </c>
      <c r="R491" s="126" t="s">
        <v>72</v>
      </c>
      <c r="S491" s="131">
        <v>29</v>
      </c>
    </row>
    <row r="492" s="3" customFormat="1" ht="20" customHeight="1" spans="1:19">
      <c r="A492" s="166" t="s">
        <v>1729</v>
      </c>
      <c r="B492" s="166" t="s">
        <v>153</v>
      </c>
      <c r="C492" s="162" t="s">
        <v>1730</v>
      </c>
      <c r="D492" s="162" t="s">
        <v>384</v>
      </c>
      <c r="E492" s="162" t="s">
        <v>20</v>
      </c>
      <c r="F492" s="27">
        <v>202101005</v>
      </c>
      <c r="G492" s="162" t="s">
        <v>157</v>
      </c>
      <c r="H492" s="162" t="s">
        <v>1258</v>
      </c>
      <c r="I492" s="162" t="s">
        <v>270</v>
      </c>
      <c r="J492" s="162" t="s">
        <v>170</v>
      </c>
      <c r="K492" s="162" t="s">
        <v>349</v>
      </c>
      <c r="L492" s="162" t="s">
        <v>1732</v>
      </c>
      <c r="M492" s="162" t="s">
        <v>1733</v>
      </c>
      <c r="N492" s="118" t="str">
        <f>_xlfn.DISPIMG("ID_677AC12F255C494892F34EE0AF9DED02",1)</f>
        <v>=DISPIMG("ID_677AC12F255C494892F34EE0AF9DED02",1)</v>
      </c>
      <c r="O492" s="115" t="s">
        <v>1734</v>
      </c>
      <c r="P492" s="27">
        <v>196</v>
      </c>
      <c r="Q492" s="125" t="s">
        <v>4788</v>
      </c>
      <c r="R492" s="126" t="s">
        <v>72</v>
      </c>
      <c r="S492" s="131">
        <v>4</v>
      </c>
    </row>
    <row r="493" s="3" customFormat="1" ht="20" customHeight="1" spans="1:19">
      <c r="A493" s="166" t="s">
        <v>2044</v>
      </c>
      <c r="B493" s="166" t="s">
        <v>153</v>
      </c>
      <c r="C493" s="162" t="s">
        <v>2045</v>
      </c>
      <c r="D493" s="162" t="s">
        <v>384</v>
      </c>
      <c r="E493" s="162" t="s">
        <v>20</v>
      </c>
      <c r="F493" s="27">
        <v>202101005</v>
      </c>
      <c r="G493" s="162" t="s">
        <v>157</v>
      </c>
      <c r="H493" s="162" t="s">
        <v>158</v>
      </c>
      <c r="I493" s="162" t="s">
        <v>270</v>
      </c>
      <c r="J493" s="162" t="s">
        <v>170</v>
      </c>
      <c r="K493" s="162" t="s">
        <v>2047</v>
      </c>
      <c r="L493" s="162" t="s">
        <v>2048</v>
      </c>
      <c r="M493" s="162" t="s">
        <v>2049</v>
      </c>
      <c r="N493" s="118" t="str">
        <f>_xlfn.DISPIMG("ID_AA05B8B9BBB64A2C8B2DEFAC2B7912C3",1)</f>
        <v>=DISPIMG("ID_AA05B8B9BBB64A2C8B2DEFAC2B7912C3",1)</v>
      </c>
      <c r="O493" s="115" t="s">
        <v>2050</v>
      </c>
      <c r="P493" s="27">
        <v>238</v>
      </c>
      <c r="Q493" s="125" t="s">
        <v>4789</v>
      </c>
      <c r="R493" s="126" t="s">
        <v>72</v>
      </c>
      <c r="S493" s="131">
        <v>9</v>
      </c>
    </row>
    <row r="494" s="3" customFormat="1" ht="20" customHeight="1" spans="1:19">
      <c r="A494" s="166" t="s">
        <v>2969</v>
      </c>
      <c r="B494" s="166" t="s">
        <v>153</v>
      </c>
      <c r="C494" s="162" t="s">
        <v>2970</v>
      </c>
      <c r="D494" s="162" t="s">
        <v>268</v>
      </c>
      <c r="E494" s="162" t="s">
        <v>21</v>
      </c>
      <c r="F494" s="27">
        <v>202101022</v>
      </c>
      <c r="G494" s="162" t="s">
        <v>157</v>
      </c>
      <c r="H494" s="162" t="s">
        <v>827</v>
      </c>
      <c r="I494" s="162" t="s">
        <v>682</v>
      </c>
      <c r="J494" s="162" t="s">
        <v>170</v>
      </c>
      <c r="K494" s="162" t="s">
        <v>252</v>
      </c>
      <c r="L494" s="162" t="s">
        <v>2972</v>
      </c>
      <c r="M494" s="27">
        <v>0</v>
      </c>
      <c r="N494" s="118" t="str">
        <f>_xlfn.DISPIMG("ID_99E38CC0E4B2437A8E74F9D976F948B9",1)</f>
        <v>=DISPIMG("ID_99E38CC0E4B2437A8E74F9D976F948B9",1)</v>
      </c>
      <c r="O494" s="115" t="s">
        <v>2973</v>
      </c>
      <c r="P494" s="27">
        <v>365</v>
      </c>
      <c r="Q494" s="125" t="s">
        <v>4790</v>
      </c>
      <c r="R494" s="126" t="s">
        <v>72</v>
      </c>
      <c r="S494" s="131">
        <v>16</v>
      </c>
    </row>
    <row r="495" s="3" customFormat="1" ht="20" customHeight="1" spans="1:19">
      <c r="A495" s="166" t="s">
        <v>3029</v>
      </c>
      <c r="B495" s="166" t="s">
        <v>153</v>
      </c>
      <c r="C495" s="162" t="s">
        <v>3030</v>
      </c>
      <c r="D495" s="162" t="s">
        <v>156</v>
      </c>
      <c r="E495" s="162" t="s">
        <v>21</v>
      </c>
      <c r="F495" s="27">
        <v>202102011</v>
      </c>
      <c r="G495" s="162" t="s">
        <v>157</v>
      </c>
      <c r="H495" s="162" t="s">
        <v>3032</v>
      </c>
      <c r="I495" s="162" t="s">
        <v>472</v>
      </c>
      <c r="J495" s="162" t="s">
        <v>160</v>
      </c>
      <c r="K495" s="162" t="s">
        <v>455</v>
      </c>
      <c r="L495" s="162" t="s">
        <v>1579</v>
      </c>
      <c r="M495" s="27">
        <v>0</v>
      </c>
      <c r="N495" s="118" t="str">
        <f>_xlfn.DISPIMG("ID_2065FB2DB1EB4190B94172D3F2A5E8E8",1)</f>
        <v>=DISPIMG("ID_2065FB2DB1EB4190B94172D3F2A5E8E8",1)</v>
      </c>
      <c r="O495" s="115" t="s">
        <v>3033</v>
      </c>
      <c r="P495" s="27">
        <v>374</v>
      </c>
      <c r="Q495" s="125" t="s">
        <v>4791</v>
      </c>
      <c r="R495" s="126" t="s">
        <v>72</v>
      </c>
      <c r="S495" s="131">
        <v>21</v>
      </c>
    </row>
    <row r="496" s="5" customFormat="1" ht="20" customHeight="1" spans="1:19">
      <c r="A496" s="166" t="s">
        <v>3107</v>
      </c>
      <c r="B496" s="166" t="s">
        <v>165</v>
      </c>
      <c r="C496" s="165" t="s">
        <v>3108</v>
      </c>
      <c r="D496" s="165" t="s">
        <v>384</v>
      </c>
      <c r="E496" s="165" t="s">
        <v>21</v>
      </c>
      <c r="F496" s="116">
        <v>202101023</v>
      </c>
      <c r="G496" s="165" t="s">
        <v>157</v>
      </c>
      <c r="H496" s="165" t="s">
        <v>1203</v>
      </c>
      <c r="I496" s="165" t="s">
        <v>682</v>
      </c>
      <c r="J496" s="165" t="s">
        <v>170</v>
      </c>
      <c r="K496" s="165" t="s">
        <v>3110</v>
      </c>
      <c r="L496" s="165" t="s">
        <v>3111</v>
      </c>
      <c r="M496" s="165" t="s">
        <v>3112</v>
      </c>
      <c r="N496" s="119" t="str">
        <f>_xlfn.DISPIMG("ID_865FFCD2F6414202A972206BA39BAB94",1)</f>
        <v>=DISPIMG("ID_865FFCD2F6414202A972206BA39BAB94",1)</v>
      </c>
      <c r="O496" s="120" t="s">
        <v>3113</v>
      </c>
      <c r="P496" s="27">
        <v>384</v>
      </c>
      <c r="Q496" s="125" t="s">
        <v>4792</v>
      </c>
      <c r="R496" s="126" t="s">
        <v>72</v>
      </c>
      <c r="S496" s="133">
        <v>28</v>
      </c>
    </row>
    <row r="497" s="3" customFormat="1" ht="20" customHeight="1" spans="1:19">
      <c r="A497" s="166" t="s">
        <v>833</v>
      </c>
      <c r="B497" s="166" t="s">
        <v>165</v>
      </c>
      <c r="C497" s="162" t="s">
        <v>1302</v>
      </c>
      <c r="D497" s="162" t="s">
        <v>384</v>
      </c>
      <c r="E497" s="162" t="s">
        <v>19</v>
      </c>
      <c r="F497" s="27">
        <v>202101014</v>
      </c>
      <c r="G497" s="162" t="s">
        <v>705</v>
      </c>
      <c r="H497" s="162" t="s">
        <v>1304</v>
      </c>
      <c r="I497" s="162" t="s">
        <v>1305</v>
      </c>
      <c r="J497" s="162" t="s">
        <v>160</v>
      </c>
      <c r="K497" s="162" t="s">
        <v>516</v>
      </c>
      <c r="L497" s="162" t="s">
        <v>1306</v>
      </c>
      <c r="M497" s="162" t="s">
        <v>1307</v>
      </c>
      <c r="N497" s="118" t="str">
        <f>_xlfn.DISPIMG("ID_2E0E8C97ADBC44CDA9BEA81CC587B750",1)</f>
        <v>=DISPIMG("ID_2E0E8C97ADBC44CDA9BEA81CC587B750",1)</v>
      </c>
      <c r="O497" s="115" t="s">
        <v>1308</v>
      </c>
      <c r="P497" s="27">
        <v>141</v>
      </c>
      <c r="Q497" s="125" t="s">
        <v>4793</v>
      </c>
      <c r="R497" s="126" t="s">
        <v>72</v>
      </c>
      <c r="S497" s="131">
        <v>3</v>
      </c>
    </row>
    <row r="498" s="3" customFormat="1" ht="20" customHeight="1" spans="1:19">
      <c r="A498" s="166" t="s">
        <v>2172</v>
      </c>
      <c r="B498" s="166" t="s">
        <v>153</v>
      </c>
      <c r="C498" s="162" t="s">
        <v>2173</v>
      </c>
      <c r="D498" s="162" t="s">
        <v>297</v>
      </c>
      <c r="E498" s="162" t="s">
        <v>20</v>
      </c>
      <c r="F498" s="27">
        <v>202101006</v>
      </c>
      <c r="G498" s="162" t="s">
        <v>157</v>
      </c>
      <c r="H498" s="162" t="s">
        <v>1413</v>
      </c>
      <c r="I498" s="162" t="s">
        <v>243</v>
      </c>
      <c r="J498" s="162" t="s">
        <v>160</v>
      </c>
      <c r="K498" s="162" t="s">
        <v>199</v>
      </c>
      <c r="L498" s="162" t="s">
        <v>2175</v>
      </c>
      <c r="M498" s="162" t="s">
        <v>2176</v>
      </c>
      <c r="N498" s="118" t="str">
        <f>_xlfn.DISPIMG("ID_164BFB36FB944A6B8D1C179D10EFE455",1)</f>
        <v>=DISPIMG("ID_164BFB36FB944A6B8D1C179D10EFE455",1)</v>
      </c>
      <c r="O498" s="115" t="s">
        <v>2177</v>
      </c>
      <c r="P498" s="27">
        <v>255</v>
      </c>
      <c r="Q498" s="125" t="s">
        <v>4794</v>
      </c>
      <c r="R498" s="126" t="s">
        <v>72</v>
      </c>
      <c r="S498" s="131">
        <v>10</v>
      </c>
    </row>
    <row r="499" s="3" customFormat="1" ht="20" customHeight="1" spans="1:19">
      <c r="A499" s="166" t="s">
        <v>3473</v>
      </c>
      <c r="B499" s="166" t="s">
        <v>165</v>
      </c>
      <c r="C499" s="162" t="s">
        <v>3474</v>
      </c>
      <c r="D499" s="162" t="s">
        <v>384</v>
      </c>
      <c r="E499" s="162" t="s">
        <v>20</v>
      </c>
      <c r="F499" s="27">
        <v>202101005</v>
      </c>
      <c r="G499" s="162" t="s">
        <v>705</v>
      </c>
      <c r="H499" s="162" t="s">
        <v>1112</v>
      </c>
      <c r="I499" s="162" t="s">
        <v>3476</v>
      </c>
      <c r="J499" s="162" t="s">
        <v>160</v>
      </c>
      <c r="K499" s="162" t="s">
        <v>455</v>
      </c>
      <c r="L499" s="162" t="s">
        <v>3477</v>
      </c>
      <c r="M499" s="27">
        <v>0</v>
      </c>
      <c r="N499" s="118" t="str">
        <f>_xlfn.DISPIMG("ID_BFF35F7767BD4AFE8B2C782755AFDE14",1)</f>
        <v>=DISPIMG("ID_BFF35F7767BD4AFE8B2C782755AFDE14",1)</v>
      </c>
      <c r="O499" s="115" t="s">
        <v>3478</v>
      </c>
      <c r="P499" s="27">
        <v>439</v>
      </c>
      <c r="Q499" s="125" t="s">
        <v>4795</v>
      </c>
      <c r="R499" s="126" t="s">
        <v>72</v>
      </c>
      <c r="S499" s="131">
        <v>15</v>
      </c>
    </row>
    <row r="500" s="3" customFormat="1" ht="20" customHeight="1" spans="1:19">
      <c r="A500" s="166" t="s">
        <v>3159</v>
      </c>
      <c r="B500" s="166" t="s">
        <v>153</v>
      </c>
      <c r="C500" s="162" t="s">
        <v>3160</v>
      </c>
      <c r="D500" s="162" t="s">
        <v>268</v>
      </c>
      <c r="E500" s="162" t="s">
        <v>21</v>
      </c>
      <c r="F500" s="27">
        <v>202101022</v>
      </c>
      <c r="G500" s="162" t="s">
        <v>157</v>
      </c>
      <c r="H500" s="162" t="s">
        <v>827</v>
      </c>
      <c r="I500" s="162" t="s">
        <v>682</v>
      </c>
      <c r="J500" s="162" t="s">
        <v>170</v>
      </c>
      <c r="K500" s="162" t="s">
        <v>281</v>
      </c>
      <c r="L500" s="162" t="s">
        <v>2244</v>
      </c>
      <c r="M500" s="162" t="s">
        <v>3162</v>
      </c>
      <c r="N500" s="118" t="str">
        <f>_xlfn.DISPIMG("ID_2F448B7CE8524D1AA48554771DC3D4AB",1)</f>
        <v>=DISPIMG("ID_2F448B7CE8524D1AA48554771DC3D4AB",1)</v>
      </c>
      <c r="O500" s="115" t="s">
        <v>3163</v>
      </c>
      <c r="P500" s="27">
        <v>392</v>
      </c>
      <c r="Q500" s="125" t="s">
        <v>4796</v>
      </c>
      <c r="R500" s="126" t="s">
        <v>72</v>
      </c>
      <c r="S500" s="131">
        <v>22</v>
      </c>
    </row>
    <row r="501" s="3" customFormat="1" ht="20" customHeight="1" spans="1:19">
      <c r="A501" s="166" t="s">
        <v>3178</v>
      </c>
      <c r="B501" s="166" t="s">
        <v>153</v>
      </c>
      <c r="C501" s="162" t="s">
        <v>3179</v>
      </c>
      <c r="D501" s="162" t="s">
        <v>384</v>
      </c>
      <c r="E501" s="162" t="s">
        <v>21</v>
      </c>
      <c r="F501" s="27">
        <v>202101023</v>
      </c>
      <c r="G501" s="162" t="s">
        <v>157</v>
      </c>
      <c r="H501" s="162" t="s">
        <v>1258</v>
      </c>
      <c r="I501" s="162" t="s">
        <v>682</v>
      </c>
      <c r="J501" s="162" t="s">
        <v>170</v>
      </c>
      <c r="K501" s="162" t="s">
        <v>587</v>
      </c>
      <c r="L501" s="162" t="s">
        <v>1824</v>
      </c>
      <c r="M501" s="162" t="s">
        <v>3181</v>
      </c>
      <c r="N501" s="118" t="str">
        <f>_xlfn.DISPIMG("ID_D70CF13D201844A6B6408BAB9F88D034",1)</f>
        <v>=DISPIMG("ID_D70CF13D201844A6B6408BAB9F88D034",1)</v>
      </c>
      <c r="O501" s="115" t="s">
        <v>3182</v>
      </c>
      <c r="P501" s="27">
        <v>395</v>
      </c>
      <c r="Q501" s="125" t="s">
        <v>4797</v>
      </c>
      <c r="R501" s="126" t="s">
        <v>72</v>
      </c>
      <c r="S501" s="131">
        <v>27</v>
      </c>
    </row>
    <row r="502" s="3" customFormat="1" ht="20" customHeight="1" spans="1:19">
      <c r="A502" s="166" t="s">
        <v>1637</v>
      </c>
      <c r="B502" s="166" t="s">
        <v>165</v>
      </c>
      <c r="C502" s="162" t="s">
        <v>1638</v>
      </c>
      <c r="D502" s="162" t="s">
        <v>384</v>
      </c>
      <c r="E502" s="162" t="s">
        <v>19</v>
      </c>
      <c r="F502" s="27">
        <v>202101014</v>
      </c>
      <c r="G502" s="162" t="s">
        <v>157</v>
      </c>
      <c r="H502" s="162" t="s">
        <v>178</v>
      </c>
      <c r="I502" s="162" t="s">
        <v>1639</v>
      </c>
      <c r="J502" s="162" t="s">
        <v>170</v>
      </c>
      <c r="K502" s="162" t="s">
        <v>455</v>
      </c>
      <c r="L502" s="162" t="s">
        <v>19</v>
      </c>
      <c r="M502" s="27">
        <v>0</v>
      </c>
      <c r="N502" s="118" t="str">
        <f>_xlfn.DISPIMG("ID_74FDF0D5FA0548BCA212C8D2C43783F4",1)</f>
        <v>=DISPIMG("ID_74FDF0D5FA0548BCA212C8D2C43783F4",1)</v>
      </c>
      <c r="O502" s="115" t="s">
        <v>1640</v>
      </c>
      <c r="P502" s="27">
        <v>184</v>
      </c>
      <c r="Q502" s="125" t="s">
        <v>4798</v>
      </c>
      <c r="R502" s="126" t="s">
        <v>72</v>
      </c>
      <c r="S502" s="131">
        <v>2</v>
      </c>
    </row>
    <row r="503" s="3" customFormat="1" ht="20" customHeight="1" spans="1:19">
      <c r="A503" s="166" t="s">
        <v>3661</v>
      </c>
      <c r="B503" s="166" t="s">
        <v>165</v>
      </c>
      <c r="C503" s="162" t="s">
        <v>3662</v>
      </c>
      <c r="D503" s="162" t="s">
        <v>297</v>
      </c>
      <c r="E503" s="162" t="s">
        <v>20</v>
      </c>
      <c r="F503" s="27">
        <v>202101006</v>
      </c>
      <c r="G503" s="162" t="s">
        <v>157</v>
      </c>
      <c r="H503" s="162" t="s">
        <v>3663</v>
      </c>
      <c r="I503" s="162" t="s">
        <v>1832</v>
      </c>
      <c r="J503" s="162" t="s">
        <v>160</v>
      </c>
      <c r="K503" s="162" t="s">
        <v>455</v>
      </c>
      <c r="L503" s="162" t="s">
        <v>20</v>
      </c>
      <c r="M503" s="27">
        <v>0</v>
      </c>
      <c r="N503" s="118" t="str">
        <f>_xlfn.DISPIMG("ID_2A9E22A9ABC949F8A9FA9AA3239D48CC",1)</f>
        <v>=DISPIMG("ID_2A9E22A9ABC949F8A9FA9AA3239D48CC",1)</v>
      </c>
      <c r="O503" s="115" t="s">
        <v>3664</v>
      </c>
      <c r="P503" s="27">
        <v>466</v>
      </c>
      <c r="Q503" s="125" t="s">
        <v>4799</v>
      </c>
      <c r="R503" s="126" t="s">
        <v>72</v>
      </c>
      <c r="S503" s="131">
        <v>11</v>
      </c>
    </row>
    <row r="504" s="3" customFormat="1" ht="20" customHeight="1" spans="1:19">
      <c r="A504" s="166" t="s">
        <v>3955</v>
      </c>
      <c r="B504" s="166" t="s">
        <v>153</v>
      </c>
      <c r="C504" s="162" t="s">
        <v>3956</v>
      </c>
      <c r="D504" s="162" t="s">
        <v>384</v>
      </c>
      <c r="E504" s="162" t="s">
        <v>20</v>
      </c>
      <c r="F504" s="27">
        <v>202101005</v>
      </c>
      <c r="G504" s="162" t="s">
        <v>157</v>
      </c>
      <c r="H504" s="162" t="s">
        <v>507</v>
      </c>
      <c r="I504" s="162" t="s">
        <v>270</v>
      </c>
      <c r="J504" s="162" t="s">
        <v>170</v>
      </c>
      <c r="K504" s="162" t="s">
        <v>235</v>
      </c>
      <c r="L504" s="162" t="s">
        <v>1322</v>
      </c>
      <c r="M504" s="162" t="s">
        <v>3958</v>
      </c>
      <c r="N504" s="118" t="str">
        <f>_xlfn.DISPIMG("ID_C25C6B154C2847C9934F6981B40FCD0C",1)</f>
        <v>=DISPIMG("ID_C25C6B154C2847C9934F6981B40FCD0C",1)</v>
      </c>
      <c r="O504" s="115" t="s">
        <v>3959</v>
      </c>
      <c r="P504" s="127">
        <v>505</v>
      </c>
      <c r="Q504" s="125" t="s">
        <v>4800</v>
      </c>
      <c r="R504" s="126" t="s">
        <v>72</v>
      </c>
      <c r="S504" s="131">
        <v>14</v>
      </c>
    </row>
    <row r="505" s="3" customFormat="1" ht="20" customHeight="1" spans="1:19">
      <c r="A505" s="166" t="s">
        <v>2831</v>
      </c>
      <c r="B505" s="166" t="s">
        <v>165</v>
      </c>
      <c r="C505" s="162" t="s">
        <v>3200</v>
      </c>
      <c r="D505" s="162" t="s">
        <v>384</v>
      </c>
      <c r="E505" s="162" t="s">
        <v>21</v>
      </c>
      <c r="F505" s="27">
        <v>202101023</v>
      </c>
      <c r="G505" s="162" t="s">
        <v>157</v>
      </c>
      <c r="H505" s="162" t="s">
        <v>1413</v>
      </c>
      <c r="I505" s="162" t="s">
        <v>682</v>
      </c>
      <c r="J505" s="162" t="s">
        <v>170</v>
      </c>
      <c r="K505" s="162" t="s">
        <v>261</v>
      </c>
      <c r="L505" s="162" t="s">
        <v>1824</v>
      </c>
      <c r="M505" s="27">
        <v>0</v>
      </c>
      <c r="N505" s="118" t="str">
        <f>_xlfn.DISPIMG("ID_6FA15DDD4AA745CAA44305EB8A7C29E0",1)</f>
        <v>=DISPIMG("ID_6FA15DDD4AA745CAA44305EB8A7C29E0",1)</v>
      </c>
      <c r="O505" s="115" t="s">
        <v>4312</v>
      </c>
      <c r="P505" s="27">
        <v>398</v>
      </c>
      <c r="Q505" s="125" t="s">
        <v>4801</v>
      </c>
      <c r="R505" s="126" t="s">
        <v>72</v>
      </c>
      <c r="S505" s="131">
        <v>23</v>
      </c>
    </row>
    <row r="506" s="3" customFormat="1" ht="20" customHeight="1" spans="1:19">
      <c r="A506" s="166" t="s">
        <v>3531</v>
      </c>
      <c r="B506" s="166" t="s">
        <v>153</v>
      </c>
      <c r="C506" s="162" t="s">
        <v>3532</v>
      </c>
      <c r="D506" s="162" t="s">
        <v>384</v>
      </c>
      <c r="E506" s="162" t="s">
        <v>21</v>
      </c>
      <c r="F506" s="27">
        <v>202101023</v>
      </c>
      <c r="G506" s="162" t="s">
        <v>157</v>
      </c>
      <c r="H506" s="162" t="s">
        <v>3518</v>
      </c>
      <c r="I506" s="162" t="s">
        <v>3534</v>
      </c>
      <c r="J506" s="162" t="s">
        <v>160</v>
      </c>
      <c r="K506" s="162" t="s">
        <v>455</v>
      </c>
      <c r="L506" s="162" t="s">
        <v>2462</v>
      </c>
      <c r="M506" s="27">
        <v>0</v>
      </c>
      <c r="N506" s="118" t="str">
        <f>_xlfn.DISPIMG("ID_B9B540B424394A6290A83DEC0AB8F385",1)</f>
        <v>=DISPIMG("ID_B9B540B424394A6290A83DEC0AB8F385",1)</v>
      </c>
      <c r="O506" s="115" t="s">
        <v>3535</v>
      </c>
      <c r="P506" s="27">
        <v>448</v>
      </c>
      <c r="Q506" s="125" t="s">
        <v>4802</v>
      </c>
      <c r="R506" s="126" t="s">
        <v>72</v>
      </c>
      <c r="S506" s="131">
        <v>26</v>
      </c>
    </row>
    <row r="507" s="3" customFormat="1" ht="20" customHeight="1" spans="1:19">
      <c r="A507" s="166" t="s">
        <v>2104</v>
      </c>
      <c r="B507" s="166" t="s">
        <v>165</v>
      </c>
      <c r="C507" s="162" t="s">
        <v>2105</v>
      </c>
      <c r="D507" s="162" t="s">
        <v>384</v>
      </c>
      <c r="E507" s="162" t="s">
        <v>19</v>
      </c>
      <c r="F507" s="27">
        <v>202101014</v>
      </c>
      <c r="G507" s="162" t="s">
        <v>705</v>
      </c>
      <c r="H507" s="162" t="s">
        <v>2063</v>
      </c>
      <c r="I507" s="162" t="s">
        <v>2107</v>
      </c>
      <c r="J507" s="162" t="s">
        <v>160</v>
      </c>
      <c r="K507" s="162" t="s">
        <v>396</v>
      </c>
      <c r="L507" s="162" t="s">
        <v>2108</v>
      </c>
      <c r="M507" s="162" t="s">
        <v>2109</v>
      </c>
      <c r="N507" s="118" t="str">
        <f>_xlfn.DISPIMG("ID_21FE4349EE994987AC614A279458E356",1)</f>
        <v>=DISPIMG("ID_21FE4349EE994987AC614A279458E356",1)</v>
      </c>
      <c r="O507" s="115" t="s">
        <v>2110</v>
      </c>
      <c r="P507" s="27">
        <v>246</v>
      </c>
      <c r="Q507" s="125" t="s">
        <v>4803</v>
      </c>
      <c r="R507" s="126" t="s">
        <v>72</v>
      </c>
      <c r="S507" s="131">
        <v>1</v>
      </c>
    </row>
    <row r="508" s="3" customFormat="1" ht="20" customHeight="1" spans="1:19">
      <c r="A508" s="166" t="s">
        <v>3978</v>
      </c>
      <c r="B508" s="166" t="s">
        <v>165</v>
      </c>
      <c r="C508" s="162" t="s">
        <v>3979</v>
      </c>
      <c r="D508" s="162" t="s">
        <v>268</v>
      </c>
      <c r="E508" s="162" t="s">
        <v>20</v>
      </c>
      <c r="F508" s="27">
        <v>202101004</v>
      </c>
      <c r="G508" s="162" t="s">
        <v>157</v>
      </c>
      <c r="H508" s="162" t="s">
        <v>178</v>
      </c>
      <c r="I508" s="162" t="s">
        <v>270</v>
      </c>
      <c r="J508" s="162" t="s">
        <v>170</v>
      </c>
      <c r="K508" s="162" t="s">
        <v>261</v>
      </c>
      <c r="L508" s="162" t="s">
        <v>20</v>
      </c>
      <c r="M508" s="27">
        <v>0</v>
      </c>
      <c r="N508" s="118" t="str">
        <f>_xlfn.DISPIMG("ID_41FDB18DF8F04859BBDC981BC12AE5F4",1)</f>
        <v>=DISPIMG("ID_41FDB18DF8F04859BBDC981BC12AE5F4",1)</v>
      </c>
      <c r="O508" s="115" t="s">
        <v>3981</v>
      </c>
      <c r="P508" s="127">
        <v>508</v>
      </c>
      <c r="Q508" s="125" t="s">
        <v>4804</v>
      </c>
      <c r="R508" s="126" t="s">
        <v>72</v>
      </c>
      <c r="S508" s="131">
        <v>12</v>
      </c>
    </row>
    <row r="509" s="3" customFormat="1" ht="20" customHeight="1" spans="1:19">
      <c r="A509" s="166" t="s">
        <v>4161</v>
      </c>
      <c r="B509" s="166" t="s">
        <v>165</v>
      </c>
      <c r="C509" s="162" t="s">
        <v>4162</v>
      </c>
      <c r="D509" s="162" t="s">
        <v>297</v>
      </c>
      <c r="E509" s="162" t="s">
        <v>20</v>
      </c>
      <c r="F509" s="27">
        <v>202101006</v>
      </c>
      <c r="G509" s="162" t="s">
        <v>157</v>
      </c>
      <c r="H509" s="162" t="s">
        <v>4164</v>
      </c>
      <c r="I509" s="162" t="s">
        <v>4165</v>
      </c>
      <c r="J509" s="162" t="s">
        <v>160</v>
      </c>
      <c r="K509" s="162" t="s">
        <v>1089</v>
      </c>
      <c r="L509" s="162" t="s">
        <v>20</v>
      </c>
      <c r="M509" s="162" t="s">
        <v>4166</v>
      </c>
      <c r="N509" s="118" t="str">
        <f>_xlfn.DISPIMG("ID_0FB1CC236BB0441E8D7B28856D597318",1)</f>
        <v>=DISPIMG("ID_0FB1CC236BB0441E8D7B28856D597318",1)</v>
      </c>
      <c r="O509" s="115" t="s">
        <v>4167</v>
      </c>
      <c r="P509" s="127">
        <v>532</v>
      </c>
      <c r="Q509" s="125" t="s">
        <v>4805</v>
      </c>
      <c r="R509" s="126" t="s">
        <v>72</v>
      </c>
      <c r="S509" s="131">
        <v>13</v>
      </c>
    </row>
    <row r="510" s="3" customFormat="1" ht="20" customHeight="1" spans="1:19">
      <c r="A510" s="166" t="s">
        <v>3699</v>
      </c>
      <c r="B510" s="166" t="s">
        <v>153</v>
      </c>
      <c r="C510" s="162" t="s">
        <v>3700</v>
      </c>
      <c r="D510" s="162" t="s">
        <v>384</v>
      </c>
      <c r="E510" s="162" t="s">
        <v>21</v>
      </c>
      <c r="F510" s="27">
        <v>202101023</v>
      </c>
      <c r="G510" s="162" t="s">
        <v>157</v>
      </c>
      <c r="H510" s="162" t="s">
        <v>233</v>
      </c>
      <c r="I510" s="162" t="s">
        <v>682</v>
      </c>
      <c r="J510" s="162" t="s">
        <v>170</v>
      </c>
      <c r="K510" s="162" t="s">
        <v>306</v>
      </c>
      <c r="L510" s="162" t="s">
        <v>1579</v>
      </c>
      <c r="M510" s="162" t="s">
        <v>3702</v>
      </c>
      <c r="N510" s="118" t="str">
        <f>_xlfn.DISPIMG("ID_E2F022B7DBF04DECBE980BB970833FC7",1)</f>
        <v>=DISPIMG("ID_E2F022B7DBF04DECBE980BB970833FC7",1)</v>
      </c>
      <c r="O510" s="115" t="s">
        <v>3703</v>
      </c>
      <c r="P510" s="127">
        <v>471</v>
      </c>
      <c r="Q510" s="125" t="s">
        <v>4806</v>
      </c>
      <c r="R510" s="126" t="s">
        <v>72</v>
      </c>
      <c r="S510" s="131">
        <v>24</v>
      </c>
    </row>
    <row r="511" s="3" customFormat="1" ht="20" customHeight="1" spans="1:19">
      <c r="A511" s="166" t="s">
        <v>3751</v>
      </c>
      <c r="B511" s="166" t="s">
        <v>153</v>
      </c>
      <c r="C511" s="162" t="s">
        <v>3752</v>
      </c>
      <c r="D511" s="162" t="s">
        <v>384</v>
      </c>
      <c r="E511" s="162" t="s">
        <v>21</v>
      </c>
      <c r="F511" s="27">
        <v>202101023</v>
      </c>
      <c r="G511" s="162" t="s">
        <v>157</v>
      </c>
      <c r="H511" s="162" t="s">
        <v>827</v>
      </c>
      <c r="I511" s="162" t="s">
        <v>682</v>
      </c>
      <c r="J511" s="162" t="s">
        <v>170</v>
      </c>
      <c r="K511" s="162" t="s">
        <v>161</v>
      </c>
      <c r="L511" s="162" t="s">
        <v>3754</v>
      </c>
      <c r="M511" s="27">
        <v>0</v>
      </c>
      <c r="N511" s="118" t="str">
        <f>_xlfn.DISPIMG("ID_0C4C873C986C4E8A8DE913748576F208",1)</f>
        <v>=DISPIMG("ID_0C4C873C986C4E8A8DE913748576F208",1)</v>
      </c>
      <c r="O511" s="115" t="s">
        <v>3755</v>
      </c>
      <c r="P511" s="127">
        <v>478</v>
      </c>
      <c r="Q511" s="125" t="s">
        <v>4807</v>
      </c>
      <c r="R511" s="126" t="s">
        <v>72</v>
      </c>
      <c r="S511" s="131">
        <v>25</v>
      </c>
    </row>
    <row r="512" s="3" customFormat="1" ht="20" customHeight="1" spans="1:19">
      <c r="A512" s="166" t="s">
        <v>974</v>
      </c>
      <c r="B512" s="166" t="s">
        <v>153</v>
      </c>
      <c r="C512" s="162" t="s">
        <v>975</v>
      </c>
      <c r="D512" s="162" t="s">
        <v>268</v>
      </c>
      <c r="E512" s="162" t="s">
        <v>16</v>
      </c>
      <c r="F512" s="27">
        <v>202101011</v>
      </c>
      <c r="G512" s="162" t="s">
        <v>157</v>
      </c>
      <c r="H512" s="162" t="s">
        <v>233</v>
      </c>
      <c r="I512" s="162" t="s">
        <v>977</v>
      </c>
      <c r="J512" s="162" t="s">
        <v>170</v>
      </c>
      <c r="K512" s="162" t="s">
        <v>235</v>
      </c>
      <c r="L512" s="162" t="s">
        <v>978</v>
      </c>
      <c r="M512" s="162" t="s">
        <v>979</v>
      </c>
      <c r="N512" s="118" t="str">
        <f>_xlfn.DISPIMG("ID_9AC6BD34E9E244F89B50B29F8EA156DD",1)</f>
        <v>=DISPIMG("ID_9AC6BD34E9E244F89B50B29F8EA156DD",1)</v>
      </c>
      <c r="O512" s="115" t="s">
        <v>980</v>
      </c>
      <c r="P512" s="27">
        <v>99</v>
      </c>
      <c r="Q512" s="125" t="s">
        <v>4808</v>
      </c>
      <c r="R512" s="126" t="s">
        <v>76</v>
      </c>
      <c r="S512" s="131">
        <v>6</v>
      </c>
    </row>
    <row r="513" s="3" customFormat="1" ht="20" customHeight="1" spans="1:19">
      <c r="A513" s="166" t="s">
        <v>2831</v>
      </c>
      <c r="B513" s="166" t="s">
        <v>165</v>
      </c>
      <c r="C513" s="162" t="s">
        <v>2832</v>
      </c>
      <c r="D513" s="162" t="s">
        <v>268</v>
      </c>
      <c r="E513" s="162" t="s">
        <v>16</v>
      </c>
      <c r="F513" s="27">
        <v>202101011</v>
      </c>
      <c r="G513" s="162" t="s">
        <v>705</v>
      </c>
      <c r="H513" s="162" t="s">
        <v>2834</v>
      </c>
      <c r="I513" s="162" t="s">
        <v>1397</v>
      </c>
      <c r="J513" s="162" t="s">
        <v>160</v>
      </c>
      <c r="K513" s="162" t="s">
        <v>261</v>
      </c>
      <c r="L513" s="162" t="s">
        <v>2835</v>
      </c>
      <c r="M513" s="27">
        <v>0</v>
      </c>
      <c r="N513" s="118" t="str">
        <f>_xlfn.DISPIMG("ID_012851E191D54E319B75F7300CFFD208",1)</f>
        <v>=DISPIMG("ID_012851E191D54E319B75F7300CFFD208",1)</v>
      </c>
      <c r="O513" s="115" t="s">
        <v>2836</v>
      </c>
      <c r="P513" s="27">
        <v>344</v>
      </c>
      <c r="Q513" s="125" t="s">
        <v>4809</v>
      </c>
      <c r="R513" s="126" t="s">
        <v>76</v>
      </c>
      <c r="S513" s="131">
        <v>7</v>
      </c>
    </row>
    <row r="514" s="3" customFormat="1" ht="20" customHeight="1" spans="1:19">
      <c r="A514" s="166" t="s">
        <v>1294</v>
      </c>
      <c r="B514" s="166" t="s">
        <v>165</v>
      </c>
      <c r="C514" s="162" t="s">
        <v>1295</v>
      </c>
      <c r="D514" s="162" t="s">
        <v>384</v>
      </c>
      <c r="E514" s="162" t="s">
        <v>18</v>
      </c>
      <c r="F514" s="27">
        <v>202101024</v>
      </c>
      <c r="G514" s="162" t="s">
        <v>705</v>
      </c>
      <c r="H514" s="162" t="s">
        <v>1297</v>
      </c>
      <c r="I514" s="162" t="s">
        <v>323</v>
      </c>
      <c r="J514" s="162" t="s">
        <v>160</v>
      </c>
      <c r="K514" s="162" t="s">
        <v>455</v>
      </c>
      <c r="L514" s="162" t="s">
        <v>18</v>
      </c>
      <c r="M514" s="162" t="s">
        <v>1298</v>
      </c>
      <c r="N514" s="118" t="str">
        <f>_xlfn.DISPIMG("ID_0467DD9C16B84F62946A6DA8763F5DB1",1)</f>
        <v>=DISPIMG("ID_0467DD9C16B84F62946A6DA8763F5DB1",1)</v>
      </c>
      <c r="O514" s="115" t="s">
        <v>1299</v>
      </c>
      <c r="P514" s="27">
        <v>140</v>
      </c>
      <c r="Q514" s="125" t="s">
        <v>4810</v>
      </c>
      <c r="R514" s="126" t="s">
        <v>76</v>
      </c>
      <c r="S514" s="131">
        <v>18</v>
      </c>
    </row>
    <row r="515" s="3" customFormat="1" ht="20" customHeight="1" spans="1:19">
      <c r="A515" s="166" t="s">
        <v>1387</v>
      </c>
      <c r="B515" s="166" t="s">
        <v>165</v>
      </c>
      <c r="C515" s="162" t="s">
        <v>1388</v>
      </c>
      <c r="D515" s="162" t="s">
        <v>156</v>
      </c>
      <c r="E515" s="162" t="s">
        <v>18</v>
      </c>
      <c r="F515" s="27">
        <v>202101012</v>
      </c>
      <c r="G515" s="162" t="s">
        <v>157</v>
      </c>
      <c r="H515" s="162" t="s">
        <v>827</v>
      </c>
      <c r="I515" s="162" t="s">
        <v>1390</v>
      </c>
      <c r="J515" s="162" t="s">
        <v>170</v>
      </c>
      <c r="K515" s="162" t="s">
        <v>261</v>
      </c>
      <c r="L515" s="162" t="s">
        <v>18</v>
      </c>
      <c r="M515" s="27">
        <v>0</v>
      </c>
      <c r="N515" s="118" t="str">
        <f>_xlfn.DISPIMG("ID_22A5305EF7CD44458C8E85EF1B5003E3",1)</f>
        <v>=DISPIMG("ID_22A5305EF7CD44458C8E85EF1B5003E3",1)</v>
      </c>
      <c r="O515" s="115" t="s">
        <v>1391</v>
      </c>
      <c r="P515" s="27">
        <v>152</v>
      </c>
      <c r="Q515" s="125" t="s">
        <v>4811</v>
      </c>
      <c r="R515" s="126" t="s">
        <v>76</v>
      </c>
      <c r="S515" s="131">
        <v>19</v>
      </c>
    </row>
    <row r="516" s="3" customFormat="1" ht="20" customHeight="1" spans="1:19">
      <c r="A516" s="9"/>
      <c r="B516" s="9"/>
      <c r="C516" s="27"/>
      <c r="D516" s="27"/>
      <c r="E516" s="27"/>
      <c r="F516" s="27"/>
      <c r="G516" s="27"/>
      <c r="H516" s="27"/>
      <c r="I516" s="27"/>
      <c r="J516" s="27"/>
      <c r="K516" s="27"/>
      <c r="L516" s="27"/>
      <c r="M516" s="27"/>
      <c r="N516" s="118"/>
      <c r="O516" s="115" t="s">
        <v>4409</v>
      </c>
      <c r="P516" s="27"/>
      <c r="Q516" s="125" t="s">
        <v>4410</v>
      </c>
      <c r="R516" s="126"/>
      <c r="S516" s="131">
        <v>30</v>
      </c>
    </row>
    <row r="517" s="3" customFormat="1" ht="20" customHeight="1" spans="1:19">
      <c r="A517" s="166" t="s">
        <v>2961</v>
      </c>
      <c r="B517" s="166" t="s">
        <v>153</v>
      </c>
      <c r="C517" s="162" t="s">
        <v>2962</v>
      </c>
      <c r="D517" s="162" t="s">
        <v>268</v>
      </c>
      <c r="E517" s="162" t="s">
        <v>16</v>
      </c>
      <c r="F517" s="27">
        <v>202101011</v>
      </c>
      <c r="G517" s="162" t="s">
        <v>157</v>
      </c>
      <c r="H517" s="162" t="s">
        <v>385</v>
      </c>
      <c r="I517" s="162" t="s">
        <v>2964</v>
      </c>
      <c r="J517" s="162" t="s">
        <v>170</v>
      </c>
      <c r="K517" s="162" t="s">
        <v>161</v>
      </c>
      <c r="L517" s="162" t="s">
        <v>1156</v>
      </c>
      <c r="M517" s="162" t="s">
        <v>2965</v>
      </c>
      <c r="N517" s="118" t="str">
        <f>_xlfn.DISPIMG("ID_7E33BA02CEC345A989E0186D8EADFECF",1)</f>
        <v>=DISPIMG("ID_7E33BA02CEC345A989E0186D8EADFECF",1)</v>
      </c>
      <c r="O517" s="115" t="s">
        <v>2966</v>
      </c>
      <c r="P517" s="27">
        <v>364</v>
      </c>
      <c r="Q517" s="125" t="s">
        <v>4812</v>
      </c>
      <c r="R517" s="126" t="s">
        <v>76</v>
      </c>
      <c r="S517" s="131">
        <v>5</v>
      </c>
    </row>
    <row r="518" s="3" customFormat="1" ht="20" customHeight="1" spans="1:19">
      <c r="A518" s="166" t="s">
        <v>3116</v>
      </c>
      <c r="B518" s="166" t="s">
        <v>165</v>
      </c>
      <c r="C518" s="162" t="s">
        <v>3117</v>
      </c>
      <c r="D518" s="162" t="s">
        <v>268</v>
      </c>
      <c r="E518" s="162" t="s">
        <v>16</v>
      </c>
      <c r="F518" s="27">
        <v>202101011</v>
      </c>
      <c r="G518" s="162" t="s">
        <v>157</v>
      </c>
      <c r="H518" s="162" t="s">
        <v>385</v>
      </c>
      <c r="I518" s="162" t="s">
        <v>3119</v>
      </c>
      <c r="J518" s="162" t="s">
        <v>170</v>
      </c>
      <c r="K518" s="162" t="s">
        <v>161</v>
      </c>
      <c r="L518" s="162" t="s">
        <v>190</v>
      </c>
      <c r="M518" s="27">
        <v>0</v>
      </c>
      <c r="N518" s="118" t="str">
        <f>_xlfn.DISPIMG("ID_BC4D6E67EBDF472A876E1598CD3DE965",1)</f>
        <v>=DISPIMG("ID_BC4D6E67EBDF472A876E1598CD3DE965",1)</v>
      </c>
      <c r="O518" s="115" t="s">
        <v>3120</v>
      </c>
      <c r="P518" s="27">
        <v>385</v>
      </c>
      <c r="Q518" s="125" t="s">
        <v>4813</v>
      </c>
      <c r="R518" s="126" t="s">
        <v>76</v>
      </c>
      <c r="S518" s="131">
        <v>8</v>
      </c>
    </row>
    <row r="519" s="3" customFormat="1" ht="20" customHeight="1" spans="1:19">
      <c r="A519" s="166" t="s">
        <v>1789</v>
      </c>
      <c r="B519" s="166" t="s">
        <v>165</v>
      </c>
      <c r="C519" s="162" t="s">
        <v>1790</v>
      </c>
      <c r="D519" s="162" t="s">
        <v>384</v>
      </c>
      <c r="E519" s="162" t="s">
        <v>18</v>
      </c>
      <c r="F519" s="27">
        <v>202101023</v>
      </c>
      <c r="G519" s="162" t="s">
        <v>157</v>
      </c>
      <c r="H519" s="162" t="s">
        <v>1792</v>
      </c>
      <c r="I519" s="162" t="s">
        <v>1793</v>
      </c>
      <c r="J519" s="162" t="s">
        <v>160</v>
      </c>
      <c r="K519" s="162" t="s">
        <v>455</v>
      </c>
      <c r="L519" s="162" t="s">
        <v>1794</v>
      </c>
      <c r="M519" s="27">
        <v>0</v>
      </c>
      <c r="N519" s="118" t="str">
        <f>_xlfn.DISPIMG("ID_F2D31DD52A09466996724F8ACF5386A0",1)</f>
        <v>=DISPIMG("ID_F2D31DD52A09466996724F8ACF5386A0",1)</v>
      </c>
      <c r="O519" s="115" t="s">
        <v>1795</v>
      </c>
      <c r="P519" s="27">
        <v>204</v>
      </c>
      <c r="Q519" s="125" t="s">
        <v>4814</v>
      </c>
      <c r="R519" s="126" t="s">
        <v>76</v>
      </c>
      <c r="S519" s="131">
        <v>17</v>
      </c>
    </row>
    <row r="520" s="3" customFormat="1" ht="20" customHeight="1" spans="1:19">
      <c r="A520" s="166" t="s">
        <v>3051</v>
      </c>
      <c r="B520" s="166" t="s">
        <v>165</v>
      </c>
      <c r="C520" s="162" t="s">
        <v>3052</v>
      </c>
      <c r="D520" s="162" t="s">
        <v>384</v>
      </c>
      <c r="E520" s="162" t="s">
        <v>18</v>
      </c>
      <c r="F520" s="27">
        <v>202101024</v>
      </c>
      <c r="G520" s="162" t="s">
        <v>157</v>
      </c>
      <c r="H520" s="162" t="s">
        <v>3054</v>
      </c>
      <c r="I520" s="162" t="s">
        <v>404</v>
      </c>
      <c r="J520" s="162" t="s">
        <v>160</v>
      </c>
      <c r="K520" s="162" t="s">
        <v>455</v>
      </c>
      <c r="L520" s="162" t="s">
        <v>18</v>
      </c>
      <c r="M520" s="27">
        <v>0</v>
      </c>
      <c r="N520" s="118" t="str">
        <f>_xlfn.DISPIMG("ID_030DD5A3CEBA48E5AA84D6300BCE898E",1)</f>
        <v>=DISPIMG("ID_030DD5A3CEBA48E5AA84D6300BCE898E",1)</v>
      </c>
      <c r="O520" s="115" t="s">
        <v>3055</v>
      </c>
      <c r="P520" s="27">
        <v>377</v>
      </c>
      <c r="Q520" s="125" t="s">
        <v>4815</v>
      </c>
      <c r="R520" s="126" t="s">
        <v>76</v>
      </c>
      <c r="S520" s="131">
        <v>20</v>
      </c>
    </row>
    <row r="521" s="3" customFormat="1" ht="20" customHeight="1" spans="1:19">
      <c r="A521" s="9"/>
      <c r="B521" s="9"/>
      <c r="C521" s="27"/>
      <c r="D521" s="27"/>
      <c r="E521" s="27"/>
      <c r="F521" s="27"/>
      <c r="G521" s="27"/>
      <c r="H521" s="27"/>
      <c r="I521" s="27"/>
      <c r="J521" s="27"/>
      <c r="K521" s="27"/>
      <c r="L521" s="27"/>
      <c r="M521" s="27"/>
      <c r="N521" s="118"/>
      <c r="O521" s="115" t="s">
        <v>4409</v>
      </c>
      <c r="P521" s="27"/>
      <c r="Q521" s="125" t="s">
        <v>4410</v>
      </c>
      <c r="R521" s="126"/>
      <c r="S521" s="131">
        <v>29</v>
      </c>
    </row>
    <row r="522" s="3" customFormat="1" ht="20" customHeight="1" spans="1:19">
      <c r="A522" s="166" t="s">
        <v>3022</v>
      </c>
      <c r="B522" s="166" t="s">
        <v>165</v>
      </c>
      <c r="C522" s="162" t="s">
        <v>3023</v>
      </c>
      <c r="D522" s="162" t="s">
        <v>268</v>
      </c>
      <c r="E522" s="162" t="s">
        <v>16</v>
      </c>
      <c r="F522" s="27">
        <v>202101011</v>
      </c>
      <c r="G522" s="162" t="s">
        <v>157</v>
      </c>
      <c r="H522" s="162" t="s">
        <v>233</v>
      </c>
      <c r="I522" s="162" t="s">
        <v>1088</v>
      </c>
      <c r="J522" s="162" t="s">
        <v>170</v>
      </c>
      <c r="K522" s="162" t="s">
        <v>548</v>
      </c>
      <c r="L522" s="162" t="s">
        <v>1579</v>
      </c>
      <c r="M522" s="162" t="s">
        <v>3025</v>
      </c>
      <c r="N522" s="118" t="str">
        <f>_xlfn.DISPIMG("ID_B71153A1EE7A48CF8E15967732B6C043",1)</f>
        <v>=DISPIMG("ID_B71153A1EE7A48CF8E15967732B6C043",1)</v>
      </c>
      <c r="O522" s="115" t="s">
        <v>3026</v>
      </c>
      <c r="P522" s="27">
        <v>412</v>
      </c>
      <c r="Q522" s="125" t="s">
        <v>4816</v>
      </c>
      <c r="R522" s="126" t="s">
        <v>76</v>
      </c>
      <c r="S522" s="131">
        <v>4</v>
      </c>
    </row>
    <row r="523" s="3" customFormat="1" ht="20" customHeight="1" spans="1:19">
      <c r="A523" s="166" t="s">
        <v>3507</v>
      </c>
      <c r="B523" s="166" t="s">
        <v>165</v>
      </c>
      <c r="C523" s="162" t="s">
        <v>3508</v>
      </c>
      <c r="D523" s="162" t="s">
        <v>384</v>
      </c>
      <c r="E523" s="162" t="s">
        <v>16</v>
      </c>
      <c r="F523" s="27">
        <v>202101012</v>
      </c>
      <c r="G523" s="162" t="s">
        <v>157</v>
      </c>
      <c r="H523" s="162" t="s">
        <v>158</v>
      </c>
      <c r="I523" s="162" t="s">
        <v>2742</v>
      </c>
      <c r="J523" s="162" t="s">
        <v>160</v>
      </c>
      <c r="K523" s="162" t="s">
        <v>281</v>
      </c>
      <c r="L523" s="162" t="s">
        <v>3510</v>
      </c>
      <c r="M523" s="27">
        <v>0</v>
      </c>
      <c r="N523" s="118" t="str">
        <f>_xlfn.DISPIMG("ID_F203C9D79BED4D608F3184BA9064F545",1)</f>
        <v>=DISPIMG("ID_F203C9D79BED4D608F3184BA9064F545",1)</v>
      </c>
      <c r="O523" s="115" t="s">
        <v>3511</v>
      </c>
      <c r="P523" s="27">
        <v>445</v>
      </c>
      <c r="Q523" s="125" t="s">
        <v>4817</v>
      </c>
      <c r="R523" s="126" t="s">
        <v>76</v>
      </c>
      <c r="S523" s="131">
        <v>9</v>
      </c>
    </row>
    <row r="524" s="3" customFormat="1" ht="20" customHeight="1" spans="1:19">
      <c r="A524" s="166" t="s">
        <v>1061</v>
      </c>
      <c r="B524" s="166" t="s">
        <v>165</v>
      </c>
      <c r="C524" s="162" t="s">
        <v>1062</v>
      </c>
      <c r="D524" s="162" t="s">
        <v>268</v>
      </c>
      <c r="E524" s="162" t="s">
        <v>17</v>
      </c>
      <c r="F524" s="27">
        <v>202101017</v>
      </c>
      <c r="G524" s="162" t="s">
        <v>157</v>
      </c>
      <c r="H524" s="162" t="s">
        <v>269</v>
      </c>
      <c r="I524" s="162" t="s">
        <v>290</v>
      </c>
      <c r="J524" s="162" t="s">
        <v>170</v>
      </c>
      <c r="K524" s="162" t="s">
        <v>261</v>
      </c>
      <c r="L524" s="162" t="s">
        <v>1064</v>
      </c>
      <c r="M524" s="27">
        <v>0</v>
      </c>
      <c r="N524" s="118" t="str">
        <f>_xlfn.DISPIMG("ID_9916007E0F6C44BAA2C2DFDD815EDF7E",1)</f>
        <v>=DISPIMG("ID_9916007E0F6C44BAA2C2DFDD815EDF7E",1)</v>
      </c>
      <c r="O524" s="115" t="s">
        <v>1065</v>
      </c>
      <c r="P524" s="27">
        <v>110</v>
      </c>
      <c r="Q524" s="125" t="s">
        <v>4818</v>
      </c>
      <c r="R524" s="126" t="s">
        <v>76</v>
      </c>
      <c r="S524" s="131">
        <v>16</v>
      </c>
    </row>
    <row r="525" s="3" customFormat="1" ht="20" customHeight="1" spans="1:19">
      <c r="A525" s="9"/>
      <c r="B525" s="9"/>
      <c r="C525" s="27"/>
      <c r="D525" s="27"/>
      <c r="E525" s="27"/>
      <c r="F525" s="27"/>
      <c r="G525" s="27"/>
      <c r="H525" s="27"/>
      <c r="I525" s="27"/>
      <c r="J525" s="27"/>
      <c r="K525" s="27"/>
      <c r="L525" s="27"/>
      <c r="M525" s="27"/>
      <c r="N525" s="118"/>
      <c r="O525" s="115" t="s">
        <v>4409</v>
      </c>
      <c r="P525" s="127"/>
      <c r="Q525" s="125" t="s">
        <v>4410</v>
      </c>
      <c r="R525" s="126"/>
      <c r="S525" s="131">
        <v>21</v>
      </c>
    </row>
    <row r="526" s="3" customFormat="1" ht="20" customHeight="1" spans="1:19">
      <c r="A526" s="9"/>
      <c r="B526" s="9"/>
      <c r="C526" s="27"/>
      <c r="D526" s="27"/>
      <c r="E526" s="27"/>
      <c r="F526" s="27"/>
      <c r="G526" s="27"/>
      <c r="H526" s="27"/>
      <c r="I526" s="27"/>
      <c r="J526" s="27"/>
      <c r="K526" s="27"/>
      <c r="L526" s="27"/>
      <c r="M526" s="27"/>
      <c r="N526" s="118"/>
      <c r="O526" s="115" t="s">
        <v>4409</v>
      </c>
      <c r="P526" s="127"/>
      <c r="Q526" s="125" t="s">
        <v>4410</v>
      </c>
      <c r="R526" s="126"/>
      <c r="S526" s="131">
        <v>28</v>
      </c>
    </row>
    <row r="527" s="3" customFormat="1" ht="20" customHeight="1" spans="1:19">
      <c r="A527" s="166" t="s">
        <v>3833</v>
      </c>
      <c r="B527" s="166" t="s">
        <v>153</v>
      </c>
      <c r="C527" s="162" t="s">
        <v>3834</v>
      </c>
      <c r="D527" s="162" t="s">
        <v>268</v>
      </c>
      <c r="E527" s="162" t="s">
        <v>16</v>
      </c>
      <c r="F527" s="27">
        <v>202101011</v>
      </c>
      <c r="G527" s="162" t="s">
        <v>705</v>
      </c>
      <c r="H527" s="162" t="s">
        <v>1654</v>
      </c>
      <c r="I527" s="162" t="s">
        <v>3836</v>
      </c>
      <c r="J527" s="162" t="s">
        <v>160</v>
      </c>
      <c r="K527" s="162" t="s">
        <v>235</v>
      </c>
      <c r="L527" s="162" t="s">
        <v>16</v>
      </c>
      <c r="M527" s="162" t="s">
        <v>3837</v>
      </c>
      <c r="N527" s="118" t="str">
        <f>_xlfn.DISPIMG("ID_34928AEB616641BE854DC3D58FC2EECD",1)</f>
        <v>=DISPIMG("ID_34928AEB616641BE854DC3D58FC2EECD",1)</v>
      </c>
      <c r="O527" s="115" t="s">
        <v>3838</v>
      </c>
      <c r="P527" s="127">
        <v>489</v>
      </c>
      <c r="Q527" s="125" t="s">
        <v>4819</v>
      </c>
      <c r="R527" s="126" t="s">
        <v>76</v>
      </c>
      <c r="S527" s="131">
        <v>3</v>
      </c>
    </row>
    <row r="528" s="3" customFormat="1" ht="20" customHeight="1" spans="1:19">
      <c r="A528" s="166" t="s">
        <v>4111</v>
      </c>
      <c r="B528" s="166" t="s">
        <v>153</v>
      </c>
      <c r="C528" s="162" t="s">
        <v>4112</v>
      </c>
      <c r="D528" s="162" t="s">
        <v>268</v>
      </c>
      <c r="E528" s="162" t="s">
        <v>16</v>
      </c>
      <c r="F528" s="27">
        <v>202101011</v>
      </c>
      <c r="G528" s="162" t="s">
        <v>705</v>
      </c>
      <c r="H528" s="162" t="s">
        <v>4114</v>
      </c>
      <c r="I528" s="162" t="s">
        <v>4115</v>
      </c>
      <c r="J528" s="162" t="s">
        <v>160</v>
      </c>
      <c r="K528" s="162" t="s">
        <v>161</v>
      </c>
      <c r="L528" s="162" t="s">
        <v>16</v>
      </c>
      <c r="M528" s="162" t="s">
        <v>4116</v>
      </c>
      <c r="N528" s="118" t="str">
        <f>_xlfn.DISPIMG("ID_AB3A7CA2D44F41A18DEECB4F4C161234",1)</f>
        <v>=DISPIMG("ID_AB3A7CA2D44F41A18DEECB4F4C161234",1)</v>
      </c>
      <c r="O528" s="115" t="s">
        <v>4117</v>
      </c>
      <c r="P528" s="127">
        <v>526</v>
      </c>
      <c r="Q528" s="125" t="s">
        <v>4820</v>
      </c>
      <c r="R528" s="126" t="s">
        <v>76</v>
      </c>
      <c r="S528" s="131">
        <v>10</v>
      </c>
    </row>
    <row r="529" s="3" customFormat="1" ht="20" customHeight="1" spans="1:19">
      <c r="A529" s="166" t="s">
        <v>1365</v>
      </c>
      <c r="B529" s="166" t="s">
        <v>153</v>
      </c>
      <c r="C529" s="162" t="s">
        <v>1366</v>
      </c>
      <c r="D529" s="162" t="s">
        <v>268</v>
      </c>
      <c r="E529" s="162" t="s">
        <v>17</v>
      </c>
      <c r="F529" s="27">
        <v>202101017</v>
      </c>
      <c r="G529" s="162" t="s">
        <v>157</v>
      </c>
      <c r="H529" s="162" t="s">
        <v>1368</v>
      </c>
      <c r="I529" s="162" t="s">
        <v>290</v>
      </c>
      <c r="J529" s="162" t="s">
        <v>170</v>
      </c>
      <c r="K529" s="162" t="s">
        <v>455</v>
      </c>
      <c r="L529" s="162" t="s">
        <v>1369</v>
      </c>
      <c r="M529" s="27">
        <v>0</v>
      </c>
      <c r="N529" s="118" t="str">
        <f>_xlfn.DISPIMG("ID_EB5AC667C054437CBFE2486B339F8A77",1)</f>
        <v>=DISPIMG("ID_EB5AC667C054437CBFE2486B339F8A77",1)</v>
      </c>
      <c r="O529" s="115" t="s">
        <v>1370</v>
      </c>
      <c r="P529" s="27">
        <v>149</v>
      </c>
      <c r="Q529" s="125" t="s">
        <v>4821</v>
      </c>
      <c r="R529" s="126" t="s">
        <v>76</v>
      </c>
      <c r="S529" s="131">
        <v>15</v>
      </c>
    </row>
    <row r="530" s="3" customFormat="1" ht="20" customHeight="1" spans="1:19">
      <c r="A530" s="9"/>
      <c r="B530" s="9"/>
      <c r="C530" s="27"/>
      <c r="D530" s="27"/>
      <c r="E530" s="27"/>
      <c r="F530" s="27"/>
      <c r="G530" s="27"/>
      <c r="H530" s="27"/>
      <c r="I530" s="27"/>
      <c r="J530" s="27"/>
      <c r="K530" s="27"/>
      <c r="L530" s="27"/>
      <c r="M530" s="27"/>
      <c r="N530" s="118"/>
      <c r="O530" s="115" t="s">
        <v>4409</v>
      </c>
      <c r="P530" s="127"/>
      <c r="Q530" s="125" t="s">
        <v>4410</v>
      </c>
      <c r="R530" s="126"/>
      <c r="S530" s="131">
        <v>22</v>
      </c>
    </row>
    <row r="531" s="3" customFormat="1" ht="20" customHeight="1" spans="1:19">
      <c r="A531" s="9"/>
      <c r="B531" s="9"/>
      <c r="C531" s="27"/>
      <c r="D531" s="27"/>
      <c r="E531" s="27"/>
      <c r="F531" s="27"/>
      <c r="G531" s="27"/>
      <c r="H531" s="27"/>
      <c r="I531" s="27"/>
      <c r="J531" s="27"/>
      <c r="K531" s="27"/>
      <c r="L531" s="27"/>
      <c r="M531" s="27"/>
      <c r="N531" s="118"/>
      <c r="O531" s="115" t="s">
        <v>4409</v>
      </c>
      <c r="P531" s="127"/>
      <c r="Q531" s="125" t="s">
        <v>4410</v>
      </c>
      <c r="R531" s="126"/>
      <c r="S531" s="131">
        <v>27</v>
      </c>
    </row>
    <row r="532" s="3" customFormat="1" ht="20" customHeight="1" spans="1:19">
      <c r="A532" s="166" t="s">
        <v>4184</v>
      </c>
      <c r="B532" s="166" t="s">
        <v>153</v>
      </c>
      <c r="C532" s="162" t="s">
        <v>4185</v>
      </c>
      <c r="D532" s="162" t="s">
        <v>384</v>
      </c>
      <c r="E532" s="162" t="s">
        <v>16</v>
      </c>
      <c r="F532" s="27">
        <v>202101012</v>
      </c>
      <c r="G532" s="162" t="s">
        <v>157</v>
      </c>
      <c r="H532" s="162" t="s">
        <v>507</v>
      </c>
      <c r="I532" s="162" t="s">
        <v>977</v>
      </c>
      <c r="J532" s="162" t="s">
        <v>170</v>
      </c>
      <c r="K532" s="162" t="s">
        <v>281</v>
      </c>
      <c r="L532" s="162" t="s">
        <v>16</v>
      </c>
      <c r="M532" s="162" t="s">
        <v>4187</v>
      </c>
      <c r="N532" s="118" t="str">
        <f>_xlfn.DISPIMG("ID_CB7789B563324522805F1ED9D1BFD221",1)</f>
        <v>=DISPIMG("ID_CB7789B563324522805F1ED9D1BFD221",1)</v>
      </c>
      <c r="O532" s="115" t="s">
        <v>4188</v>
      </c>
      <c r="P532" s="127">
        <v>535</v>
      </c>
      <c r="Q532" s="125" t="s">
        <v>4822</v>
      </c>
      <c r="R532" s="126" t="s">
        <v>76</v>
      </c>
      <c r="S532" s="131">
        <v>2</v>
      </c>
    </row>
    <row r="533" s="3" customFormat="1" ht="20" customHeight="1" spans="1:19">
      <c r="A533" s="166" t="s">
        <v>4222</v>
      </c>
      <c r="B533" s="166" t="s">
        <v>165</v>
      </c>
      <c r="C533" s="162" t="s">
        <v>4223</v>
      </c>
      <c r="D533" s="162" t="s">
        <v>268</v>
      </c>
      <c r="E533" s="162" t="s">
        <v>16</v>
      </c>
      <c r="F533" s="27">
        <v>202101011</v>
      </c>
      <c r="G533" s="162" t="s">
        <v>157</v>
      </c>
      <c r="H533" s="162" t="s">
        <v>385</v>
      </c>
      <c r="I533" s="162" t="s">
        <v>4225</v>
      </c>
      <c r="J533" s="162" t="s">
        <v>170</v>
      </c>
      <c r="K533" s="162" t="s">
        <v>224</v>
      </c>
      <c r="L533" s="162" t="s">
        <v>16</v>
      </c>
      <c r="M533" s="162" t="s">
        <v>4226</v>
      </c>
      <c r="N533" s="118" t="str">
        <f>_xlfn.DISPIMG("ID_6A583EA485744871AED4CEE0D95D9DC4",1)</f>
        <v>=DISPIMG("ID_6A583EA485744871AED4CEE0D95D9DC4",1)</v>
      </c>
      <c r="O533" s="115" t="s">
        <v>4227</v>
      </c>
      <c r="P533" s="127">
        <v>540</v>
      </c>
      <c r="Q533" s="125" t="s">
        <v>4823</v>
      </c>
      <c r="R533" s="126" t="s">
        <v>76</v>
      </c>
      <c r="S533" s="131">
        <v>11</v>
      </c>
    </row>
    <row r="534" s="3" customFormat="1" ht="20" customHeight="1" spans="1:19">
      <c r="A534" s="166" t="s">
        <v>2805</v>
      </c>
      <c r="B534" s="166" t="s">
        <v>153</v>
      </c>
      <c r="C534" s="162" t="s">
        <v>2806</v>
      </c>
      <c r="D534" s="162" t="s">
        <v>268</v>
      </c>
      <c r="E534" s="162" t="s">
        <v>17</v>
      </c>
      <c r="F534" s="27">
        <v>202101007</v>
      </c>
      <c r="G534" s="162" t="s">
        <v>157</v>
      </c>
      <c r="H534" s="162" t="s">
        <v>269</v>
      </c>
      <c r="I534" s="162" t="s">
        <v>290</v>
      </c>
      <c r="J534" s="162" t="s">
        <v>170</v>
      </c>
      <c r="K534" s="162" t="s">
        <v>368</v>
      </c>
      <c r="L534" s="162" t="s">
        <v>17</v>
      </c>
      <c r="M534" s="162" t="s">
        <v>2808</v>
      </c>
      <c r="N534" s="118" t="str">
        <f>_xlfn.DISPIMG("ID_7C47A0694F0147EB860DAA1E2F9E87A3",1)</f>
        <v>=DISPIMG("ID_7C47A0694F0147EB860DAA1E2F9E87A3",1)</v>
      </c>
      <c r="O534" s="115" t="s">
        <v>2809</v>
      </c>
      <c r="P534" s="27">
        <v>340</v>
      </c>
      <c r="Q534" s="125" t="s">
        <v>4824</v>
      </c>
      <c r="R534" s="126" t="s">
        <v>76</v>
      </c>
      <c r="S534" s="131">
        <v>14</v>
      </c>
    </row>
    <row r="535" s="3" customFormat="1" ht="20" customHeight="1" spans="1:19">
      <c r="A535" s="9"/>
      <c r="B535" s="9"/>
      <c r="C535" s="27"/>
      <c r="D535" s="27"/>
      <c r="E535" s="27"/>
      <c r="F535" s="27"/>
      <c r="G535" s="27"/>
      <c r="H535" s="27"/>
      <c r="I535" s="27"/>
      <c r="J535" s="27"/>
      <c r="K535" s="27"/>
      <c r="L535" s="27"/>
      <c r="M535" s="27"/>
      <c r="N535" s="118"/>
      <c r="O535" s="115" t="s">
        <v>4409</v>
      </c>
      <c r="P535" s="127"/>
      <c r="Q535" s="125" t="s">
        <v>4410</v>
      </c>
      <c r="R535" s="126"/>
      <c r="S535" s="131">
        <v>23</v>
      </c>
    </row>
    <row r="536" s="3" customFormat="1" ht="20" customHeight="1" spans="1:19">
      <c r="A536" s="9"/>
      <c r="B536" s="9"/>
      <c r="C536" s="27"/>
      <c r="D536" s="27"/>
      <c r="E536" s="27"/>
      <c r="F536" s="27"/>
      <c r="G536" s="27"/>
      <c r="H536" s="27"/>
      <c r="I536" s="27"/>
      <c r="J536" s="27"/>
      <c r="K536" s="27"/>
      <c r="L536" s="27"/>
      <c r="M536" s="27"/>
      <c r="N536" s="118"/>
      <c r="O536" s="115" t="s">
        <v>4409</v>
      </c>
      <c r="P536" s="127"/>
      <c r="Q536" s="125" t="s">
        <v>4410</v>
      </c>
      <c r="R536" s="126"/>
      <c r="S536" s="131">
        <v>26</v>
      </c>
    </row>
    <row r="537" s="3" customFormat="1" ht="20" customHeight="1" spans="1:19">
      <c r="A537" s="166" t="s">
        <v>4251</v>
      </c>
      <c r="B537" s="166" t="s">
        <v>153</v>
      </c>
      <c r="C537" s="162" t="s">
        <v>4252</v>
      </c>
      <c r="D537" s="162" t="s">
        <v>268</v>
      </c>
      <c r="E537" s="162" t="s">
        <v>16</v>
      </c>
      <c r="F537" s="27">
        <v>202101011</v>
      </c>
      <c r="G537" s="162" t="s">
        <v>705</v>
      </c>
      <c r="H537" s="162" t="s">
        <v>233</v>
      </c>
      <c r="I537" s="162" t="s">
        <v>4254</v>
      </c>
      <c r="J537" s="162" t="s">
        <v>160</v>
      </c>
      <c r="K537" s="162" t="s">
        <v>455</v>
      </c>
      <c r="L537" s="162" t="s">
        <v>16</v>
      </c>
      <c r="M537" s="162" t="s">
        <v>4255</v>
      </c>
      <c r="N537" s="118" t="str">
        <f>_xlfn.DISPIMG("ID_7B994A5EE1894E46909466AD8B994299",1)</f>
        <v>=DISPIMG("ID_7B994A5EE1894E46909466AD8B994299",1)</v>
      </c>
      <c r="O537" s="115" t="s">
        <v>4256</v>
      </c>
      <c r="P537" s="127">
        <v>544</v>
      </c>
      <c r="Q537" s="125" t="s">
        <v>4825</v>
      </c>
      <c r="R537" s="126" t="s">
        <v>76</v>
      </c>
      <c r="S537" s="131">
        <v>1</v>
      </c>
    </row>
    <row r="538" s="3" customFormat="1" ht="20" customHeight="1" spans="1:19">
      <c r="A538" s="166" t="s">
        <v>3099</v>
      </c>
      <c r="B538" s="166" t="s">
        <v>165</v>
      </c>
      <c r="C538" s="162" t="s">
        <v>3100</v>
      </c>
      <c r="D538" s="162" t="s">
        <v>384</v>
      </c>
      <c r="E538" s="162" t="s">
        <v>17</v>
      </c>
      <c r="F538" s="27">
        <v>202101018</v>
      </c>
      <c r="G538" s="162" t="s">
        <v>157</v>
      </c>
      <c r="H538" s="162" t="s">
        <v>385</v>
      </c>
      <c r="I538" s="162" t="s">
        <v>290</v>
      </c>
      <c r="J538" s="162" t="s">
        <v>170</v>
      </c>
      <c r="K538" s="162" t="s">
        <v>577</v>
      </c>
      <c r="L538" s="162" t="s">
        <v>3102</v>
      </c>
      <c r="M538" s="162" t="s">
        <v>3103</v>
      </c>
      <c r="N538" s="118" t="str">
        <f>_xlfn.DISPIMG("ID_FEEAA5237B6C4B708D314FC0E0560DA3",1)</f>
        <v>=DISPIMG("ID_FEEAA5237B6C4B708D314FC0E0560DA3",1)</v>
      </c>
      <c r="O538" s="115" t="s">
        <v>3104</v>
      </c>
      <c r="P538" s="27">
        <v>383</v>
      </c>
      <c r="Q538" s="125" t="s">
        <v>4826</v>
      </c>
      <c r="R538" s="126" t="s">
        <v>76</v>
      </c>
      <c r="S538" s="131">
        <v>12</v>
      </c>
    </row>
    <row r="539" s="3" customFormat="1" ht="20" customHeight="1" spans="1:19">
      <c r="A539" s="166" t="s">
        <v>3192</v>
      </c>
      <c r="B539" s="166" t="s">
        <v>165</v>
      </c>
      <c r="C539" s="162" t="s">
        <v>3193</v>
      </c>
      <c r="D539" s="162" t="s">
        <v>268</v>
      </c>
      <c r="E539" s="162" t="s">
        <v>17</v>
      </c>
      <c r="F539" s="27">
        <v>202101017</v>
      </c>
      <c r="G539" s="162" t="s">
        <v>157</v>
      </c>
      <c r="H539" s="162" t="s">
        <v>1258</v>
      </c>
      <c r="I539" s="162" t="s">
        <v>3195</v>
      </c>
      <c r="J539" s="162" t="s">
        <v>170</v>
      </c>
      <c r="K539" s="162" t="s">
        <v>216</v>
      </c>
      <c r="L539" s="162" t="s">
        <v>17</v>
      </c>
      <c r="M539" s="162" t="s">
        <v>3196</v>
      </c>
      <c r="N539" s="118" t="str">
        <f>_xlfn.DISPIMG("ID_F0B384F7F2BD4ECB81B75D08A62A8621",1)</f>
        <v>=DISPIMG("ID_F0B384F7F2BD4ECB81B75D08A62A8621",1)</v>
      </c>
      <c r="O539" s="115" t="s">
        <v>3197</v>
      </c>
      <c r="P539" s="27">
        <v>397</v>
      </c>
      <c r="Q539" s="125" t="s">
        <v>4827</v>
      </c>
      <c r="R539" s="126" t="s">
        <v>76</v>
      </c>
      <c r="S539" s="131">
        <v>13</v>
      </c>
    </row>
    <row r="540" s="3" customFormat="1" ht="20" customHeight="1" spans="1:19">
      <c r="A540" s="9"/>
      <c r="B540" s="9"/>
      <c r="C540" s="27"/>
      <c r="D540" s="27"/>
      <c r="E540" s="27"/>
      <c r="F540" s="27"/>
      <c r="G540" s="27"/>
      <c r="H540" s="27"/>
      <c r="I540" s="27"/>
      <c r="J540" s="27"/>
      <c r="K540" s="27"/>
      <c r="L540" s="27"/>
      <c r="M540" s="27"/>
      <c r="N540" s="118"/>
      <c r="O540" s="115" t="s">
        <v>4409</v>
      </c>
      <c r="P540" s="127"/>
      <c r="Q540" s="125" t="s">
        <v>4410</v>
      </c>
      <c r="R540" s="126"/>
      <c r="S540" s="131">
        <v>24</v>
      </c>
    </row>
    <row r="541" s="3" customFormat="1" ht="20" customHeight="1" spans="1:19">
      <c r="A541" s="9"/>
      <c r="B541" s="9"/>
      <c r="C541" s="27"/>
      <c r="D541" s="27"/>
      <c r="E541" s="27"/>
      <c r="F541" s="27"/>
      <c r="G541" s="27"/>
      <c r="H541" s="27"/>
      <c r="I541" s="27"/>
      <c r="J541" s="27"/>
      <c r="K541" s="27"/>
      <c r="L541" s="27"/>
      <c r="M541" s="27"/>
      <c r="N541" s="118"/>
      <c r="O541" s="115" t="s">
        <v>4409</v>
      </c>
      <c r="P541" s="127"/>
      <c r="Q541" s="125" t="s">
        <v>4410</v>
      </c>
      <c r="R541" s="126"/>
      <c r="S541" s="131">
        <v>25</v>
      </c>
    </row>
    <row r="542" s="3" customFormat="1" ht="20" customHeight="1" spans="1:19">
      <c r="A542" s="166" t="s">
        <v>702</v>
      </c>
      <c r="B542" s="166" t="s">
        <v>165</v>
      </c>
      <c r="C542" s="162" t="s">
        <v>703</v>
      </c>
      <c r="D542" s="162" t="s">
        <v>384</v>
      </c>
      <c r="E542" s="162" t="s">
        <v>26</v>
      </c>
      <c r="F542" s="27">
        <v>202101002</v>
      </c>
      <c r="G542" s="162" t="s">
        <v>705</v>
      </c>
      <c r="H542" s="162" t="s">
        <v>233</v>
      </c>
      <c r="I542" s="162" t="s">
        <v>706</v>
      </c>
      <c r="J542" s="162" t="s">
        <v>170</v>
      </c>
      <c r="K542" s="162" t="s">
        <v>161</v>
      </c>
      <c r="L542" s="162" t="s">
        <v>707</v>
      </c>
      <c r="M542" s="162" t="s">
        <v>708</v>
      </c>
      <c r="N542" s="118" t="str">
        <f>_xlfn.DISPIMG("ID_0553F27943C1489A99AB032B2AD0761A",1)</f>
        <v>=DISPIMG("ID_0553F27943C1489A99AB032B2AD0761A",1)</v>
      </c>
      <c r="O542" s="115" t="s">
        <v>709</v>
      </c>
      <c r="P542" s="27">
        <v>66</v>
      </c>
      <c r="Q542" s="125" t="s">
        <v>4828</v>
      </c>
      <c r="R542" s="126" t="s">
        <v>80</v>
      </c>
      <c r="S542" s="131">
        <v>6</v>
      </c>
    </row>
    <row r="543" s="3" customFormat="1" ht="20" customHeight="1" spans="1:19">
      <c r="A543" s="166" t="s">
        <v>817</v>
      </c>
      <c r="B543" s="166" t="s">
        <v>165</v>
      </c>
      <c r="C543" s="162" t="s">
        <v>818</v>
      </c>
      <c r="D543" s="162" t="s">
        <v>297</v>
      </c>
      <c r="E543" s="162" t="s">
        <v>26</v>
      </c>
      <c r="F543" s="27">
        <v>202101003</v>
      </c>
      <c r="G543" s="162" t="s">
        <v>157</v>
      </c>
      <c r="H543" s="162" t="s">
        <v>820</v>
      </c>
      <c r="I543" s="162" t="s">
        <v>454</v>
      </c>
      <c r="J543" s="162" t="s">
        <v>160</v>
      </c>
      <c r="K543" s="162" t="s">
        <v>252</v>
      </c>
      <c r="L543" s="162" t="s">
        <v>26</v>
      </c>
      <c r="M543" s="27">
        <v>0</v>
      </c>
      <c r="N543" s="118" t="str">
        <f>_xlfn.DISPIMG("ID_D94148DE170D425EB66AE2DFFF655A13",1)</f>
        <v>=DISPIMG("ID_D94148DE170D425EB66AE2DFFF655A13",1)</v>
      </c>
      <c r="O543" s="115" t="s">
        <v>821</v>
      </c>
      <c r="P543" s="27">
        <v>80</v>
      </c>
      <c r="Q543" s="125" t="s">
        <v>4829</v>
      </c>
      <c r="R543" s="126" t="s">
        <v>80</v>
      </c>
      <c r="S543" s="131">
        <v>7</v>
      </c>
    </row>
    <row r="544" s="3" customFormat="1" ht="20" customHeight="1" spans="1:19">
      <c r="A544" s="9"/>
      <c r="B544" s="9"/>
      <c r="C544" s="27"/>
      <c r="D544" s="27"/>
      <c r="E544" s="27"/>
      <c r="F544" s="27"/>
      <c r="G544" s="27"/>
      <c r="H544" s="27"/>
      <c r="I544" s="27"/>
      <c r="J544" s="27"/>
      <c r="K544" s="27"/>
      <c r="L544" s="27"/>
      <c r="M544" s="27"/>
      <c r="N544" s="118"/>
      <c r="O544" s="115" t="s">
        <v>4409</v>
      </c>
      <c r="P544" s="27"/>
      <c r="Q544" s="125" t="s">
        <v>4410</v>
      </c>
      <c r="R544" s="126"/>
      <c r="S544" s="131">
        <v>18</v>
      </c>
    </row>
    <row r="545" s="3" customFormat="1" ht="20" customHeight="1" spans="1:19">
      <c r="A545" s="9"/>
      <c r="B545" s="9"/>
      <c r="C545" s="27"/>
      <c r="D545" s="27"/>
      <c r="E545" s="27"/>
      <c r="F545" s="27"/>
      <c r="G545" s="27"/>
      <c r="H545" s="27"/>
      <c r="I545" s="27"/>
      <c r="J545" s="27"/>
      <c r="K545" s="27"/>
      <c r="L545" s="27"/>
      <c r="M545" s="27"/>
      <c r="N545" s="118"/>
      <c r="O545" s="115" t="s">
        <v>4409</v>
      </c>
      <c r="P545" s="27"/>
      <c r="Q545" s="125" t="s">
        <v>4410</v>
      </c>
      <c r="R545" s="126"/>
      <c r="S545" s="131">
        <v>19</v>
      </c>
    </row>
    <row r="546" s="3" customFormat="1" ht="20" customHeight="1" spans="1:19">
      <c r="A546" s="9"/>
      <c r="B546" s="9"/>
      <c r="C546" s="27"/>
      <c r="D546" s="27"/>
      <c r="E546" s="27"/>
      <c r="F546" s="27"/>
      <c r="G546" s="27"/>
      <c r="H546" s="27"/>
      <c r="I546" s="27"/>
      <c r="J546" s="27"/>
      <c r="K546" s="27"/>
      <c r="L546" s="27"/>
      <c r="M546" s="27"/>
      <c r="N546" s="118"/>
      <c r="O546" s="115" t="s">
        <v>4409</v>
      </c>
      <c r="P546" s="27"/>
      <c r="Q546" s="125" t="s">
        <v>4410</v>
      </c>
      <c r="R546" s="126"/>
      <c r="S546" s="131">
        <v>30</v>
      </c>
    </row>
    <row r="547" s="3" customFormat="1" ht="20" customHeight="1" spans="1:19">
      <c r="A547" s="166" t="s">
        <v>898</v>
      </c>
      <c r="B547" s="166" t="s">
        <v>165</v>
      </c>
      <c r="C547" s="162" t="s">
        <v>899</v>
      </c>
      <c r="D547" s="162" t="s">
        <v>268</v>
      </c>
      <c r="E547" s="162" t="s">
        <v>26</v>
      </c>
      <c r="F547" s="27">
        <v>202101001</v>
      </c>
      <c r="G547" s="162" t="s">
        <v>157</v>
      </c>
      <c r="H547" s="162" t="s">
        <v>901</v>
      </c>
      <c r="I547" s="162" t="s">
        <v>454</v>
      </c>
      <c r="J547" s="162" t="s">
        <v>170</v>
      </c>
      <c r="K547" s="162" t="s">
        <v>235</v>
      </c>
      <c r="L547" s="162" t="s">
        <v>26</v>
      </c>
      <c r="M547" s="162" t="s">
        <v>902</v>
      </c>
      <c r="N547" s="118" t="str">
        <f>_xlfn.DISPIMG("ID_1BFE84DC97BC469ABB3506659F95FD8E",1)</f>
        <v>=DISPIMG("ID_1BFE84DC97BC469ABB3506659F95FD8E",1)</v>
      </c>
      <c r="O547" s="115" t="s">
        <v>903</v>
      </c>
      <c r="P547" s="27">
        <v>90</v>
      </c>
      <c r="Q547" s="125" t="s">
        <v>4830</v>
      </c>
      <c r="R547" s="126" t="s">
        <v>80</v>
      </c>
      <c r="S547" s="131">
        <v>5</v>
      </c>
    </row>
    <row r="548" s="3" customFormat="1" ht="20" customHeight="1" spans="1:19">
      <c r="A548" s="166" t="s">
        <v>932</v>
      </c>
      <c r="B548" s="166" t="s">
        <v>165</v>
      </c>
      <c r="C548" s="162" t="s">
        <v>933</v>
      </c>
      <c r="D548" s="162" t="s">
        <v>268</v>
      </c>
      <c r="E548" s="162" t="s">
        <v>26</v>
      </c>
      <c r="F548" s="27">
        <v>202101001</v>
      </c>
      <c r="G548" s="162" t="s">
        <v>157</v>
      </c>
      <c r="H548" s="162" t="s">
        <v>935</v>
      </c>
      <c r="I548" s="162" t="s">
        <v>936</v>
      </c>
      <c r="J548" s="162" t="s">
        <v>170</v>
      </c>
      <c r="K548" s="162" t="s">
        <v>252</v>
      </c>
      <c r="L548" s="162" t="s">
        <v>26</v>
      </c>
      <c r="M548" s="162" t="s">
        <v>937</v>
      </c>
      <c r="N548" s="118" t="str">
        <f>_xlfn.DISPIMG("ID_B0F72DE4E87649C28924E4AA265BAF06",1)</f>
        <v>=DISPIMG("ID_B0F72DE4E87649C28924E4AA265BAF06",1)</v>
      </c>
      <c r="O548" s="115" t="s">
        <v>938</v>
      </c>
      <c r="P548" s="27">
        <v>94</v>
      </c>
      <c r="Q548" s="125" t="s">
        <v>4831</v>
      </c>
      <c r="R548" s="126" t="s">
        <v>80</v>
      </c>
      <c r="S548" s="131">
        <v>8</v>
      </c>
    </row>
    <row r="549" s="3" customFormat="1" ht="20" customHeight="1" spans="1:19">
      <c r="A549" s="166" t="s">
        <v>329</v>
      </c>
      <c r="B549" s="166" t="s">
        <v>165</v>
      </c>
      <c r="C549" s="162" t="s">
        <v>330</v>
      </c>
      <c r="D549" s="162" t="s">
        <v>156</v>
      </c>
      <c r="E549" s="162" t="s">
        <v>3</v>
      </c>
      <c r="F549" s="27">
        <v>202102009</v>
      </c>
      <c r="G549" s="162" t="s">
        <v>157</v>
      </c>
      <c r="H549" s="162" t="s">
        <v>332</v>
      </c>
      <c r="I549" s="162" t="s">
        <v>333</v>
      </c>
      <c r="J549" s="162" t="s">
        <v>160</v>
      </c>
      <c r="K549" s="162" t="s">
        <v>199</v>
      </c>
      <c r="L549" s="162" t="s">
        <v>3</v>
      </c>
      <c r="M549" s="27">
        <v>0</v>
      </c>
      <c r="N549" s="118" t="str">
        <f>_xlfn.DISPIMG("ID_66E2A8C103C040BCBC4789F49E6E9C74",1)</f>
        <v>=DISPIMG("ID_66E2A8C103C040BCBC4789F49E6E9C74",1)</v>
      </c>
      <c r="O549" s="115" t="s">
        <v>334</v>
      </c>
      <c r="P549" s="27">
        <v>21</v>
      </c>
      <c r="Q549" s="125" t="s">
        <v>4832</v>
      </c>
      <c r="R549" s="126" t="s">
        <v>80</v>
      </c>
      <c r="S549" s="131">
        <v>17</v>
      </c>
    </row>
    <row r="550" s="3" customFormat="1" ht="20" customHeight="1" spans="1:19">
      <c r="A550" s="9"/>
      <c r="B550" s="9"/>
      <c r="C550" s="27"/>
      <c r="D550" s="27"/>
      <c r="E550" s="27"/>
      <c r="F550" s="27"/>
      <c r="G550" s="27"/>
      <c r="H550" s="27"/>
      <c r="I550" s="27"/>
      <c r="J550" s="27"/>
      <c r="K550" s="27"/>
      <c r="L550" s="27"/>
      <c r="M550" s="27"/>
      <c r="N550" s="118"/>
      <c r="O550" s="115" t="s">
        <v>4409</v>
      </c>
      <c r="P550" s="27"/>
      <c r="Q550" s="125" t="s">
        <v>4410</v>
      </c>
      <c r="R550" s="126"/>
      <c r="S550" s="131">
        <v>20</v>
      </c>
    </row>
    <row r="551" s="3" customFormat="1" ht="20" customHeight="1" spans="1:19">
      <c r="A551" s="9"/>
      <c r="B551" s="9"/>
      <c r="C551" s="27"/>
      <c r="D551" s="27"/>
      <c r="E551" s="27"/>
      <c r="F551" s="27"/>
      <c r="G551" s="27"/>
      <c r="H551" s="27"/>
      <c r="I551" s="27"/>
      <c r="J551" s="27"/>
      <c r="K551" s="27"/>
      <c r="L551" s="27"/>
      <c r="M551" s="27"/>
      <c r="N551" s="118"/>
      <c r="O551" s="115" t="s">
        <v>4409</v>
      </c>
      <c r="P551" s="27"/>
      <c r="Q551" s="125" t="s">
        <v>4410</v>
      </c>
      <c r="R551" s="126"/>
      <c r="S551" s="131">
        <v>29</v>
      </c>
    </row>
    <row r="552" s="3" customFormat="1" ht="20" customHeight="1" spans="1:19">
      <c r="A552" s="166" t="s">
        <v>1566</v>
      </c>
      <c r="B552" s="166" t="s">
        <v>165</v>
      </c>
      <c r="C552" s="162" t="s">
        <v>1567</v>
      </c>
      <c r="D552" s="162" t="s">
        <v>268</v>
      </c>
      <c r="E552" s="162" t="s">
        <v>26</v>
      </c>
      <c r="F552" s="27">
        <v>202101001</v>
      </c>
      <c r="G552" s="162" t="s">
        <v>705</v>
      </c>
      <c r="H552" s="162" t="s">
        <v>1569</v>
      </c>
      <c r="I552" s="162" t="s">
        <v>1570</v>
      </c>
      <c r="J552" s="162" t="s">
        <v>160</v>
      </c>
      <c r="K552" s="162" t="s">
        <v>171</v>
      </c>
      <c r="L552" s="162" t="s">
        <v>1571</v>
      </c>
      <c r="M552" s="27">
        <v>0</v>
      </c>
      <c r="N552" s="118" t="str">
        <f>_xlfn.DISPIMG("ID_F9DBEEB152DD4F6D9E9954F28F8B48D4",1)</f>
        <v>=DISPIMG("ID_F9DBEEB152DD4F6D9E9954F28F8B48D4",1)</v>
      </c>
      <c r="O552" s="115" t="s">
        <v>1572</v>
      </c>
      <c r="P552" s="27">
        <v>175</v>
      </c>
      <c r="Q552" s="125" t="s">
        <v>4833</v>
      </c>
      <c r="R552" s="126" t="s">
        <v>80</v>
      </c>
      <c r="S552" s="131">
        <v>4</v>
      </c>
    </row>
    <row r="553" s="3" customFormat="1" ht="20" customHeight="1" spans="1:19">
      <c r="A553" s="166" t="s">
        <v>1606</v>
      </c>
      <c r="B553" s="166" t="s">
        <v>165</v>
      </c>
      <c r="C553" s="162" t="s">
        <v>1607</v>
      </c>
      <c r="D553" s="162" t="s">
        <v>384</v>
      </c>
      <c r="E553" s="162" t="s">
        <v>26</v>
      </c>
      <c r="F553" s="27">
        <v>202101002</v>
      </c>
      <c r="G553" s="162" t="s">
        <v>705</v>
      </c>
      <c r="H553" s="162" t="s">
        <v>1112</v>
      </c>
      <c r="I553" s="162" t="s">
        <v>1489</v>
      </c>
      <c r="J553" s="162" t="s">
        <v>170</v>
      </c>
      <c r="K553" s="162" t="s">
        <v>261</v>
      </c>
      <c r="L553" s="162" t="s">
        <v>26</v>
      </c>
      <c r="M553" s="162" t="s">
        <v>1609</v>
      </c>
      <c r="N553" s="118" t="str">
        <f>_xlfn.DISPIMG("ID_D4D81D5180FB4698ABF9FADCA15E9025",1)</f>
        <v>=DISPIMG("ID_D4D81D5180FB4698ABF9FADCA15E9025",1)</v>
      </c>
      <c r="O553" s="115" t="s">
        <v>1610</v>
      </c>
      <c r="P553" s="27">
        <v>180</v>
      </c>
      <c r="Q553" s="125" t="s">
        <v>4834</v>
      </c>
      <c r="R553" s="126" t="s">
        <v>80</v>
      </c>
      <c r="S553" s="131">
        <v>9</v>
      </c>
    </row>
    <row r="554" s="3" customFormat="1" ht="20" customHeight="1" spans="1:19">
      <c r="A554" s="166" t="s">
        <v>965</v>
      </c>
      <c r="B554" s="166" t="s">
        <v>165</v>
      </c>
      <c r="C554" s="162" t="s">
        <v>966</v>
      </c>
      <c r="D554" s="162" t="s">
        <v>156</v>
      </c>
      <c r="E554" s="162" t="s">
        <v>3</v>
      </c>
      <c r="F554" s="27">
        <v>202102009</v>
      </c>
      <c r="G554" s="162" t="s">
        <v>157</v>
      </c>
      <c r="H554" s="162" t="s">
        <v>158</v>
      </c>
      <c r="I554" s="162" t="s">
        <v>968</v>
      </c>
      <c r="J554" s="162" t="s">
        <v>160</v>
      </c>
      <c r="K554" s="162" t="s">
        <v>368</v>
      </c>
      <c r="L554" s="162" t="s">
        <v>969</v>
      </c>
      <c r="M554" s="162" t="s">
        <v>970</v>
      </c>
      <c r="N554" s="118" t="str">
        <f>_xlfn.DISPIMG("ID_25A1371DB5D24E7E87AED819AD313075",1)</f>
        <v>=DISPIMG("ID_25A1371DB5D24E7E87AED819AD313075",1)</v>
      </c>
      <c r="O554" s="115" t="s">
        <v>971</v>
      </c>
      <c r="P554" s="27">
        <v>98</v>
      </c>
      <c r="Q554" s="125" t="s">
        <v>4835</v>
      </c>
      <c r="R554" s="126" t="s">
        <v>80</v>
      </c>
      <c r="S554" s="131">
        <v>16</v>
      </c>
    </row>
    <row r="555" s="3" customFormat="1" ht="20" customHeight="1" spans="1:19">
      <c r="A555" s="9"/>
      <c r="B555" s="9"/>
      <c r="C555" s="27"/>
      <c r="D555" s="27"/>
      <c r="E555" s="27"/>
      <c r="F555" s="27"/>
      <c r="G555" s="27"/>
      <c r="H555" s="27"/>
      <c r="I555" s="27"/>
      <c r="J555" s="27"/>
      <c r="K555" s="27"/>
      <c r="L555" s="27"/>
      <c r="M555" s="27"/>
      <c r="N555" s="118"/>
      <c r="O555" s="115" t="s">
        <v>4409</v>
      </c>
      <c r="P555" s="27"/>
      <c r="Q555" s="125" t="s">
        <v>4410</v>
      </c>
      <c r="R555" s="126"/>
      <c r="S555" s="131">
        <v>21</v>
      </c>
    </row>
    <row r="556" s="3" customFormat="1" ht="20" customHeight="1" spans="1:19">
      <c r="A556" s="9"/>
      <c r="B556" s="9"/>
      <c r="C556" s="27"/>
      <c r="D556" s="27"/>
      <c r="E556" s="27"/>
      <c r="F556" s="27"/>
      <c r="G556" s="27"/>
      <c r="H556" s="27"/>
      <c r="I556" s="27"/>
      <c r="J556" s="27"/>
      <c r="K556" s="27"/>
      <c r="L556" s="27"/>
      <c r="M556" s="27"/>
      <c r="N556" s="118"/>
      <c r="O556" s="115" t="s">
        <v>4409</v>
      </c>
      <c r="P556" s="27"/>
      <c r="Q556" s="125" t="s">
        <v>4410</v>
      </c>
      <c r="R556" s="126"/>
      <c r="S556" s="131">
        <v>28</v>
      </c>
    </row>
    <row r="557" s="3" customFormat="1" ht="20" customHeight="1" spans="1:19">
      <c r="A557" s="166" t="s">
        <v>1932</v>
      </c>
      <c r="B557" s="166" t="s">
        <v>165</v>
      </c>
      <c r="C557" s="162" t="s">
        <v>1933</v>
      </c>
      <c r="D557" s="162" t="s">
        <v>384</v>
      </c>
      <c r="E557" s="162" t="s">
        <v>26</v>
      </c>
      <c r="F557" s="27">
        <v>202101002</v>
      </c>
      <c r="G557" s="162" t="s">
        <v>157</v>
      </c>
      <c r="H557" s="162" t="s">
        <v>827</v>
      </c>
      <c r="I557" s="162" t="s">
        <v>454</v>
      </c>
      <c r="J557" s="162" t="s">
        <v>170</v>
      </c>
      <c r="K557" s="162" t="s">
        <v>199</v>
      </c>
      <c r="L557" s="162" t="s">
        <v>324</v>
      </c>
      <c r="M557" s="162" t="s">
        <v>1935</v>
      </c>
      <c r="N557" s="118" t="str">
        <f>_xlfn.DISPIMG("ID_4ED50304A31443EC8E946100C168F137",1)</f>
        <v>=DISPIMG("ID_4ED50304A31443EC8E946100C168F137",1)</v>
      </c>
      <c r="O557" s="115" t="s">
        <v>1936</v>
      </c>
      <c r="P557" s="27">
        <v>223</v>
      </c>
      <c r="Q557" s="125" t="s">
        <v>4836</v>
      </c>
      <c r="R557" s="126" t="s">
        <v>80</v>
      </c>
      <c r="S557" s="131">
        <v>3</v>
      </c>
    </row>
    <row r="558" s="3" customFormat="1" ht="20" customHeight="1" spans="1:19">
      <c r="A558" s="166" t="s">
        <v>1410</v>
      </c>
      <c r="B558" s="166" t="s">
        <v>165</v>
      </c>
      <c r="C558" s="162" t="s">
        <v>1411</v>
      </c>
      <c r="D558" s="162" t="s">
        <v>268</v>
      </c>
      <c r="E558" s="162" t="s">
        <v>22</v>
      </c>
      <c r="F558" s="27">
        <v>202101009</v>
      </c>
      <c r="G558" s="162" t="s">
        <v>157</v>
      </c>
      <c r="H558" s="162" t="s">
        <v>1413</v>
      </c>
      <c r="I558" s="162" t="s">
        <v>944</v>
      </c>
      <c r="J558" s="162" t="s">
        <v>170</v>
      </c>
      <c r="K558" s="162" t="s">
        <v>396</v>
      </c>
      <c r="L558" s="162" t="s">
        <v>1414</v>
      </c>
      <c r="M558" s="162" t="s">
        <v>1415</v>
      </c>
      <c r="N558" s="118" t="str">
        <f>_xlfn.DISPIMG("ID_7AA3981AEA4B4044958F80E226B55196",1)</f>
        <v>=DISPIMG("ID_7AA3981AEA4B4044958F80E226B55196",1)</v>
      </c>
      <c r="O558" s="115" t="s">
        <v>1416</v>
      </c>
      <c r="P558" s="27">
        <v>155</v>
      </c>
      <c r="Q558" s="125" t="s">
        <v>4837</v>
      </c>
      <c r="R558" s="126" t="s">
        <v>80</v>
      </c>
      <c r="S558" s="131">
        <v>10</v>
      </c>
    </row>
    <row r="559" s="3" customFormat="1" ht="20" customHeight="1" spans="1:19">
      <c r="A559" s="166" t="s">
        <v>1161</v>
      </c>
      <c r="B559" s="166" t="s">
        <v>165</v>
      </c>
      <c r="C559" s="162" t="s">
        <v>1162</v>
      </c>
      <c r="D559" s="162" t="s">
        <v>156</v>
      </c>
      <c r="E559" s="162" t="s">
        <v>3</v>
      </c>
      <c r="F559" s="27">
        <v>202102009</v>
      </c>
      <c r="G559" s="162" t="s">
        <v>157</v>
      </c>
      <c r="H559" s="162" t="s">
        <v>1146</v>
      </c>
      <c r="I559" s="162" t="s">
        <v>1164</v>
      </c>
      <c r="J559" s="162" t="s">
        <v>160</v>
      </c>
      <c r="K559" s="162" t="s">
        <v>252</v>
      </c>
      <c r="L559" s="162" t="s">
        <v>3</v>
      </c>
      <c r="M559" s="27">
        <v>0</v>
      </c>
      <c r="N559" s="118" t="str">
        <f>_xlfn.DISPIMG("ID_AF5F9594083C4D63A9C12F6DBB9E6CAE",1)</f>
        <v>=DISPIMG("ID_AF5F9594083C4D63A9C12F6DBB9E6CAE",1)</v>
      </c>
      <c r="O559" s="115" t="s">
        <v>1165</v>
      </c>
      <c r="P559" s="27">
        <v>122</v>
      </c>
      <c r="Q559" s="125" t="s">
        <v>4838</v>
      </c>
      <c r="R559" s="126" t="s">
        <v>80</v>
      </c>
      <c r="S559" s="131">
        <v>15</v>
      </c>
    </row>
    <row r="560" s="3" customFormat="1" ht="20" customHeight="1" spans="1:19">
      <c r="A560" s="9"/>
      <c r="B560" s="9"/>
      <c r="C560" s="27"/>
      <c r="D560" s="27"/>
      <c r="E560" s="27"/>
      <c r="F560" s="27"/>
      <c r="G560" s="27"/>
      <c r="H560" s="27"/>
      <c r="I560" s="27"/>
      <c r="J560" s="27"/>
      <c r="K560" s="27"/>
      <c r="L560" s="27"/>
      <c r="M560" s="27"/>
      <c r="N560" s="118"/>
      <c r="O560" s="115" t="s">
        <v>4409</v>
      </c>
      <c r="P560" s="27"/>
      <c r="Q560" s="125" t="s">
        <v>4410</v>
      </c>
      <c r="R560" s="126"/>
      <c r="S560" s="131">
        <v>22</v>
      </c>
    </row>
    <row r="561" s="3" customFormat="1" ht="20" customHeight="1" spans="1:19">
      <c r="A561" s="9"/>
      <c r="B561" s="9"/>
      <c r="C561" s="27"/>
      <c r="D561" s="27"/>
      <c r="E561" s="27"/>
      <c r="F561" s="27"/>
      <c r="G561" s="27"/>
      <c r="H561" s="27"/>
      <c r="I561" s="27"/>
      <c r="J561" s="27"/>
      <c r="K561" s="27"/>
      <c r="L561" s="27"/>
      <c r="M561" s="27"/>
      <c r="N561" s="118"/>
      <c r="O561" s="115" t="s">
        <v>4409</v>
      </c>
      <c r="P561" s="27"/>
      <c r="Q561" s="125" t="s">
        <v>4410</v>
      </c>
      <c r="R561" s="126"/>
      <c r="S561" s="131">
        <v>27</v>
      </c>
    </row>
    <row r="562" s="3" customFormat="1" ht="20" customHeight="1" spans="1:19">
      <c r="A562" s="166" t="s">
        <v>3359</v>
      </c>
      <c r="B562" s="166" t="s">
        <v>165</v>
      </c>
      <c r="C562" s="162" t="s">
        <v>3360</v>
      </c>
      <c r="D562" s="162" t="s">
        <v>297</v>
      </c>
      <c r="E562" s="162" t="s">
        <v>26</v>
      </c>
      <c r="F562" s="27">
        <v>202101003</v>
      </c>
      <c r="G562" s="162" t="s">
        <v>157</v>
      </c>
      <c r="H562" s="162" t="s">
        <v>1213</v>
      </c>
      <c r="I562" s="162" t="s">
        <v>3362</v>
      </c>
      <c r="J562" s="162" t="s">
        <v>160</v>
      </c>
      <c r="K562" s="162" t="s">
        <v>224</v>
      </c>
      <c r="L562" s="162" t="s">
        <v>26</v>
      </c>
      <c r="M562" s="27">
        <v>0</v>
      </c>
      <c r="N562" s="118" t="str">
        <f>_xlfn.DISPIMG("ID_8997E37C597A4A678DEC3DE2B773630A",1)</f>
        <v>=DISPIMG("ID_8997E37C597A4A678DEC3DE2B773630A",1)</v>
      </c>
      <c r="O562" s="115" t="s">
        <v>3363</v>
      </c>
      <c r="P562" s="27">
        <v>423</v>
      </c>
      <c r="Q562" s="125" t="s">
        <v>4839</v>
      </c>
      <c r="R562" s="126" t="s">
        <v>80</v>
      </c>
      <c r="S562" s="131">
        <v>2</v>
      </c>
    </row>
    <row r="563" s="3" customFormat="1" ht="20" customHeight="1" spans="1:19">
      <c r="A563" s="166" t="s">
        <v>1421</v>
      </c>
      <c r="B563" s="166" t="s">
        <v>165</v>
      </c>
      <c r="C563" s="162" t="s">
        <v>1422</v>
      </c>
      <c r="D563" s="162" t="s">
        <v>156</v>
      </c>
      <c r="E563" s="162" t="s">
        <v>3</v>
      </c>
      <c r="F563" s="27">
        <v>202102009</v>
      </c>
      <c r="G563" s="162" t="s">
        <v>157</v>
      </c>
      <c r="H563" s="162" t="s">
        <v>1424</v>
      </c>
      <c r="I563" s="162" t="s">
        <v>298</v>
      </c>
      <c r="J563" s="162" t="s">
        <v>160</v>
      </c>
      <c r="K563" s="162" t="s">
        <v>252</v>
      </c>
      <c r="L563" s="162" t="s">
        <v>1425</v>
      </c>
      <c r="M563" s="27">
        <v>0</v>
      </c>
      <c r="N563" s="118" t="str">
        <f>_xlfn.DISPIMG("ID_9A5193B60E294BCB8EBBC32356364290",1)</f>
        <v>=DISPIMG("ID_9A5193B60E294BCB8EBBC32356364290",1)</v>
      </c>
      <c r="O563" s="115" t="s">
        <v>1426</v>
      </c>
      <c r="P563" s="27">
        <v>157</v>
      </c>
      <c r="Q563" s="125" t="s">
        <v>4840</v>
      </c>
      <c r="R563" s="126" t="s">
        <v>80</v>
      </c>
      <c r="S563" s="131">
        <v>11</v>
      </c>
    </row>
    <row r="564" s="3" customFormat="1" ht="20" customHeight="1" spans="1:19">
      <c r="A564" s="166" t="s">
        <v>2871</v>
      </c>
      <c r="B564" s="166" t="s">
        <v>165</v>
      </c>
      <c r="C564" s="162" t="s">
        <v>2872</v>
      </c>
      <c r="D564" s="162" t="s">
        <v>156</v>
      </c>
      <c r="E564" s="162" t="s">
        <v>3</v>
      </c>
      <c r="F564" s="27">
        <v>202102009</v>
      </c>
      <c r="G564" s="162" t="s">
        <v>157</v>
      </c>
      <c r="H564" s="162" t="s">
        <v>2874</v>
      </c>
      <c r="I564" s="162" t="s">
        <v>169</v>
      </c>
      <c r="J564" s="162" t="s">
        <v>170</v>
      </c>
      <c r="K564" s="162" t="s">
        <v>171</v>
      </c>
      <c r="L564" s="162" t="s">
        <v>1425</v>
      </c>
      <c r="M564" s="27">
        <v>0</v>
      </c>
      <c r="N564" s="118" t="str">
        <f>_xlfn.DISPIMG("ID_16C7080DFBEB4260AD8944B9B8A16C63",1)</f>
        <v>=DISPIMG("ID_16C7080DFBEB4260AD8944B9B8A16C63",1)</v>
      </c>
      <c r="O564" s="115" t="s">
        <v>2875</v>
      </c>
      <c r="P564" s="27">
        <v>349</v>
      </c>
      <c r="Q564" s="125" t="s">
        <v>4841</v>
      </c>
      <c r="R564" s="126" t="s">
        <v>80</v>
      </c>
      <c r="S564" s="131">
        <v>14</v>
      </c>
    </row>
    <row r="565" s="3" customFormat="1" ht="20" customHeight="1" spans="1:19">
      <c r="A565" s="9"/>
      <c r="B565" s="9"/>
      <c r="C565" s="27"/>
      <c r="D565" s="27"/>
      <c r="E565" s="27"/>
      <c r="F565" s="27"/>
      <c r="G565" s="27"/>
      <c r="H565" s="27"/>
      <c r="I565" s="27"/>
      <c r="J565" s="27"/>
      <c r="K565" s="27"/>
      <c r="L565" s="27"/>
      <c r="M565" s="27"/>
      <c r="N565" s="118"/>
      <c r="O565" s="115" t="s">
        <v>4409</v>
      </c>
      <c r="P565" s="127"/>
      <c r="Q565" s="125" t="s">
        <v>4410</v>
      </c>
      <c r="R565" s="126"/>
      <c r="S565" s="131">
        <v>23</v>
      </c>
    </row>
    <row r="566" s="3" customFormat="1" ht="20" customHeight="1" spans="1:19">
      <c r="A566" s="9"/>
      <c r="B566" s="9"/>
      <c r="C566" s="27"/>
      <c r="D566" s="27"/>
      <c r="E566" s="27"/>
      <c r="F566" s="27"/>
      <c r="G566" s="27"/>
      <c r="H566" s="27"/>
      <c r="I566" s="27"/>
      <c r="J566" s="27"/>
      <c r="K566" s="27"/>
      <c r="L566" s="27"/>
      <c r="M566" s="27"/>
      <c r="N566" s="118"/>
      <c r="O566" s="115" t="s">
        <v>4409</v>
      </c>
      <c r="P566" s="127"/>
      <c r="Q566" s="125" t="s">
        <v>4410</v>
      </c>
      <c r="R566" s="126"/>
      <c r="S566" s="131">
        <v>26</v>
      </c>
    </row>
    <row r="567" s="3" customFormat="1" ht="20" customHeight="1" spans="1:19">
      <c r="A567" s="166" t="s">
        <v>4127</v>
      </c>
      <c r="B567" s="166" t="s">
        <v>165</v>
      </c>
      <c r="C567" s="162" t="s">
        <v>4128</v>
      </c>
      <c r="D567" s="162" t="s">
        <v>268</v>
      </c>
      <c r="E567" s="162" t="s">
        <v>26</v>
      </c>
      <c r="F567" s="27">
        <v>202101001</v>
      </c>
      <c r="G567" s="162" t="s">
        <v>157</v>
      </c>
      <c r="H567" s="162" t="s">
        <v>233</v>
      </c>
      <c r="I567" s="162" t="s">
        <v>454</v>
      </c>
      <c r="J567" s="162" t="s">
        <v>170</v>
      </c>
      <c r="K567" s="162" t="s">
        <v>252</v>
      </c>
      <c r="L567" s="162" t="s">
        <v>26</v>
      </c>
      <c r="M567" s="162" t="s">
        <v>4130</v>
      </c>
      <c r="N567" s="118" t="str">
        <f>_xlfn.DISPIMG("ID_135AA7394FE044C981CB1DCD13A764A0",1)</f>
        <v>=DISPIMG("ID_135AA7394FE044C981CB1DCD13A764A0",1)</v>
      </c>
      <c r="O567" s="115" t="s">
        <v>4131</v>
      </c>
      <c r="P567" s="127">
        <v>528</v>
      </c>
      <c r="Q567" s="125" t="s">
        <v>4842</v>
      </c>
      <c r="R567" s="126" t="s">
        <v>80</v>
      </c>
      <c r="S567" s="131">
        <v>1</v>
      </c>
    </row>
    <row r="568" s="3" customFormat="1" ht="20" customHeight="1" spans="1:19">
      <c r="A568" s="166" t="s">
        <v>3301</v>
      </c>
      <c r="B568" s="166" t="s">
        <v>165</v>
      </c>
      <c r="C568" s="162" t="s">
        <v>3302</v>
      </c>
      <c r="D568" s="162" t="s">
        <v>156</v>
      </c>
      <c r="E568" s="162" t="s">
        <v>3</v>
      </c>
      <c r="F568" s="27">
        <v>202102009</v>
      </c>
      <c r="G568" s="162" t="s">
        <v>157</v>
      </c>
      <c r="H568" s="162" t="s">
        <v>178</v>
      </c>
      <c r="I568" s="162" t="s">
        <v>454</v>
      </c>
      <c r="J568" s="162" t="s">
        <v>170</v>
      </c>
      <c r="K568" s="162" t="s">
        <v>261</v>
      </c>
      <c r="L568" s="162" t="s">
        <v>1425</v>
      </c>
      <c r="M568" s="27">
        <v>0</v>
      </c>
      <c r="N568" s="118" t="str">
        <f>_xlfn.DISPIMG("ID_DD8D706699DA435AABD3242B003A06E3",1)</f>
        <v>=DISPIMG("ID_DD8D706699DA435AABD3242B003A06E3",1)</v>
      </c>
      <c r="O568" s="115" t="s">
        <v>3304</v>
      </c>
      <c r="P568" s="27">
        <v>414</v>
      </c>
      <c r="Q568" s="125" t="s">
        <v>4843</v>
      </c>
      <c r="R568" s="126" t="s">
        <v>80</v>
      </c>
      <c r="S568" s="131">
        <v>12</v>
      </c>
    </row>
    <row r="569" s="3" customFormat="1" ht="20" customHeight="1" spans="1:19">
      <c r="A569" s="166" t="s">
        <v>3998</v>
      </c>
      <c r="B569" s="166" t="s">
        <v>165</v>
      </c>
      <c r="C569" s="162" t="s">
        <v>3999</v>
      </c>
      <c r="D569" s="162" t="s">
        <v>156</v>
      </c>
      <c r="E569" s="162" t="s">
        <v>3</v>
      </c>
      <c r="F569" s="27">
        <v>202101009</v>
      </c>
      <c r="G569" s="162" t="s">
        <v>157</v>
      </c>
      <c r="H569" s="162" t="s">
        <v>507</v>
      </c>
      <c r="I569" s="162" t="s">
        <v>4001</v>
      </c>
      <c r="J569" s="162" t="s">
        <v>170</v>
      </c>
      <c r="K569" s="162" t="s">
        <v>541</v>
      </c>
      <c r="L569" s="162" t="s">
        <v>1425</v>
      </c>
      <c r="M569" s="162" t="s">
        <v>4002</v>
      </c>
      <c r="N569" s="118" t="str">
        <f>_xlfn.DISPIMG("ID_8B0AF6F7619941E4B32785C8E970DA4D",1)</f>
        <v>=DISPIMG("ID_8B0AF6F7619941E4B32785C8E970DA4D",1)</v>
      </c>
      <c r="O569" s="115" t="s">
        <v>4003</v>
      </c>
      <c r="P569" s="127">
        <v>511</v>
      </c>
      <c r="Q569" s="125" t="s">
        <v>4844</v>
      </c>
      <c r="R569" s="126" t="s">
        <v>80</v>
      </c>
      <c r="S569" s="131">
        <v>13</v>
      </c>
    </row>
    <row r="570" s="3" customFormat="1" ht="20" customHeight="1" spans="1:19">
      <c r="A570" s="9"/>
      <c r="B570" s="9"/>
      <c r="C570" s="27"/>
      <c r="D570" s="27"/>
      <c r="E570" s="27"/>
      <c r="F570" s="27"/>
      <c r="G570" s="27"/>
      <c r="H570" s="27"/>
      <c r="I570" s="27"/>
      <c r="J570" s="27"/>
      <c r="K570" s="27"/>
      <c r="L570" s="27"/>
      <c r="M570" s="27"/>
      <c r="N570" s="118"/>
      <c r="O570" s="115" t="s">
        <v>4409</v>
      </c>
      <c r="P570" s="127"/>
      <c r="Q570" s="125" t="s">
        <v>4410</v>
      </c>
      <c r="R570" s="126"/>
      <c r="S570" s="131">
        <v>24</v>
      </c>
    </row>
    <row r="571" s="3" customFormat="1" ht="20" customHeight="1" spans="1:19">
      <c r="A571" s="9"/>
      <c r="B571" s="9"/>
      <c r="C571" s="27"/>
      <c r="D571" s="27"/>
      <c r="E571" s="27"/>
      <c r="F571" s="27"/>
      <c r="G571" s="27"/>
      <c r="H571" s="27"/>
      <c r="I571" s="27"/>
      <c r="J571" s="27"/>
      <c r="K571" s="27"/>
      <c r="L571" s="27"/>
      <c r="M571" s="27"/>
      <c r="N571" s="118"/>
      <c r="O571" s="115" t="s">
        <v>4409</v>
      </c>
      <c r="P571" s="127"/>
      <c r="Q571" s="125" t="s">
        <v>4410</v>
      </c>
      <c r="R571" s="126"/>
      <c r="S571" s="131">
        <v>25</v>
      </c>
    </row>
    <row r="572" s="3" customFormat="1" ht="20" customHeight="1" spans="1:19">
      <c r="A572" s="166" t="s">
        <v>152</v>
      </c>
      <c r="B572" s="166" t="s">
        <v>153</v>
      </c>
      <c r="C572" s="162" t="s">
        <v>154</v>
      </c>
      <c r="D572" s="162" t="s">
        <v>156</v>
      </c>
      <c r="E572" s="162" t="s">
        <v>10</v>
      </c>
      <c r="F572" s="27">
        <v>202102004</v>
      </c>
      <c r="G572" s="162" t="s">
        <v>157</v>
      </c>
      <c r="H572" s="162" t="s">
        <v>158</v>
      </c>
      <c r="I572" s="162" t="s">
        <v>159</v>
      </c>
      <c r="J572" s="162" t="s">
        <v>160</v>
      </c>
      <c r="K572" s="162" t="s">
        <v>161</v>
      </c>
      <c r="L572" s="162" t="s">
        <v>10</v>
      </c>
      <c r="M572" s="27">
        <v>0</v>
      </c>
      <c r="N572" s="118" t="str">
        <f>_xlfn.DISPIMG("ID_1BBFB8252D30496F95F71593A2B76AF5",1)</f>
        <v>=DISPIMG("ID_1BBFB8252D30496F95F71593A2B76AF5",1)</v>
      </c>
      <c r="O572" s="115" t="s">
        <v>162</v>
      </c>
      <c r="P572" s="27">
        <v>2</v>
      </c>
      <c r="Q572" s="125" t="s">
        <v>4845</v>
      </c>
      <c r="R572" s="126" t="s">
        <v>84</v>
      </c>
      <c r="S572" s="131">
        <v>6</v>
      </c>
    </row>
    <row r="573" s="3" customFormat="1" ht="20" customHeight="1" spans="1:19">
      <c r="A573" s="166" t="s">
        <v>2516</v>
      </c>
      <c r="B573" s="166" t="s">
        <v>165</v>
      </c>
      <c r="C573" s="162" t="s">
        <v>2517</v>
      </c>
      <c r="D573" s="162" t="s">
        <v>506</v>
      </c>
      <c r="E573" s="162" t="s">
        <v>10</v>
      </c>
      <c r="F573" s="27">
        <v>202101017</v>
      </c>
      <c r="G573" s="162" t="s">
        <v>157</v>
      </c>
      <c r="H573" s="162" t="s">
        <v>876</v>
      </c>
      <c r="I573" s="162" t="s">
        <v>2519</v>
      </c>
      <c r="J573" s="162" t="s">
        <v>160</v>
      </c>
      <c r="K573" s="162" t="s">
        <v>180</v>
      </c>
      <c r="L573" s="162" t="s">
        <v>10</v>
      </c>
      <c r="M573" s="162" t="s">
        <v>2520</v>
      </c>
      <c r="N573" s="118" t="str">
        <f>_xlfn.DISPIMG("ID_216E9082A77B4B129BF3CB2A7364D002",1)</f>
        <v>=DISPIMG("ID_216E9082A77B4B129BF3CB2A7364D002",1)</v>
      </c>
      <c r="O573" s="115" t="s">
        <v>2521</v>
      </c>
      <c r="P573" s="27">
        <v>301</v>
      </c>
      <c r="Q573" s="125" t="s">
        <v>4846</v>
      </c>
      <c r="R573" s="126" t="s">
        <v>84</v>
      </c>
      <c r="S573" s="131">
        <v>7</v>
      </c>
    </row>
    <row r="574" s="3" customFormat="1" ht="20" customHeight="1" spans="1:19">
      <c r="A574" s="9"/>
      <c r="B574" s="9"/>
      <c r="C574" s="27"/>
      <c r="D574" s="27"/>
      <c r="E574" s="27"/>
      <c r="F574" s="27"/>
      <c r="G574" s="27"/>
      <c r="H574" s="27"/>
      <c r="I574" s="27"/>
      <c r="J574" s="27"/>
      <c r="K574" s="27"/>
      <c r="L574" s="27"/>
      <c r="M574" s="27"/>
      <c r="N574" s="118"/>
      <c r="O574" s="115" t="s">
        <v>4409</v>
      </c>
      <c r="P574" s="127"/>
      <c r="Q574" s="125" t="s">
        <v>4410</v>
      </c>
      <c r="R574" s="126"/>
      <c r="S574" s="131">
        <v>18</v>
      </c>
    </row>
    <row r="575" s="3" customFormat="1" ht="20" customHeight="1" spans="1:19">
      <c r="A575" s="9"/>
      <c r="B575" s="9"/>
      <c r="C575" s="27"/>
      <c r="D575" s="27"/>
      <c r="E575" s="27"/>
      <c r="F575" s="27"/>
      <c r="G575" s="27"/>
      <c r="H575" s="27"/>
      <c r="I575" s="27"/>
      <c r="J575" s="27"/>
      <c r="K575" s="27"/>
      <c r="L575" s="27"/>
      <c r="M575" s="27"/>
      <c r="N575" s="118"/>
      <c r="O575" s="115" t="s">
        <v>4409</v>
      </c>
      <c r="P575" s="127"/>
      <c r="Q575" s="125" t="s">
        <v>4410</v>
      </c>
      <c r="R575" s="126"/>
      <c r="S575" s="131">
        <v>19</v>
      </c>
    </row>
    <row r="576" s="3" customFormat="1" ht="20" customHeight="1" spans="1:19">
      <c r="A576" s="9"/>
      <c r="B576" s="9"/>
      <c r="C576" s="27"/>
      <c r="D576" s="27"/>
      <c r="E576" s="27"/>
      <c r="F576" s="27"/>
      <c r="G576" s="27"/>
      <c r="H576" s="27"/>
      <c r="I576" s="27"/>
      <c r="J576" s="27"/>
      <c r="K576" s="27"/>
      <c r="L576" s="27"/>
      <c r="M576" s="27"/>
      <c r="N576" s="118"/>
      <c r="O576" s="115" t="s">
        <v>4409</v>
      </c>
      <c r="P576" s="127"/>
      <c r="Q576" s="125" t="s">
        <v>4410</v>
      </c>
      <c r="R576" s="126"/>
      <c r="S576" s="131">
        <v>30</v>
      </c>
    </row>
    <row r="577" s="3" customFormat="1" ht="20" customHeight="1" spans="1:19">
      <c r="A577" s="166" t="s">
        <v>4142</v>
      </c>
      <c r="B577" s="166" t="s">
        <v>153</v>
      </c>
      <c r="C577" s="162" t="s">
        <v>4143</v>
      </c>
      <c r="D577" s="162" t="s">
        <v>297</v>
      </c>
      <c r="E577" s="162" t="s">
        <v>4847</v>
      </c>
      <c r="F577" s="27">
        <v>202101032</v>
      </c>
      <c r="G577" s="162" t="s">
        <v>705</v>
      </c>
      <c r="H577" s="162" t="s">
        <v>4145</v>
      </c>
      <c r="I577" s="162" t="s">
        <v>4146</v>
      </c>
      <c r="J577" s="162" t="s">
        <v>160</v>
      </c>
      <c r="K577" s="162" t="s">
        <v>235</v>
      </c>
      <c r="L577" s="162" t="s">
        <v>4147</v>
      </c>
      <c r="M577" s="162" t="s">
        <v>4148</v>
      </c>
      <c r="N577" s="118" t="str">
        <f>_xlfn.DISPIMG("ID_28A32B60C96343E48DA79AC0817DB8B2",1)</f>
        <v>=DISPIMG("ID_28A32B60C96343E48DA79AC0817DB8B2",1)</v>
      </c>
      <c r="O577" s="115" t="s">
        <v>4149</v>
      </c>
      <c r="P577" s="127">
        <v>530</v>
      </c>
      <c r="Q577" s="125" t="s">
        <v>4848</v>
      </c>
      <c r="R577" s="126" t="s">
        <v>84</v>
      </c>
      <c r="S577" s="131">
        <v>5</v>
      </c>
    </row>
    <row r="578" s="3" customFormat="1" ht="20" customHeight="1" spans="1:19">
      <c r="A578" s="166" t="s">
        <v>2940</v>
      </c>
      <c r="B578" s="166" t="s">
        <v>153</v>
      </c>
      <c r="C578" s="162" t="s">
        <v>2941</v>
      </c>
      <c r="D578" s="162" t="s">
        <v>156</v>
      </c>
      <c r="E578" s="162" t="s">
        <v>10</v>
      </c>
      <c r="F578" s="27">
        <v>202102004</v>
      </c>
      <c r="G578" s="162" t="s">
        <v>157</v>
      </c>
      <c r="H578" s="162" t="s">
        <v>2943</v>
      </c>
      <c r="I578" s="162" t="s">
        <v>2093</v>
      </c>
      <c r="J578" s="162" t="s">
        <v>160</v>
      </c>
      <c r="K578" s="162" t="s">
        <v>587</v>
      </c>
      <c r="L578" s="162" t="s">
        <v>10</v>
      </c>
      <c r="M578" s="27">
        <v>0</v>
      </c>
      <c r="N578" s="118" t="str">
        <f>_xlfn.DISPIMG("ID_5CF4EBD7502F4485844CA64AA4EECF8E",1)</f>
        <v>=DISPIMG("ID_5CF4EBD7502F4485844CA64AA4EECF8E",1)</v>
      </c>
      <c r="O578" s="115" t="s">
        <v>2944</v>
      </c>
      <c r="P578" s="27">
        <v>361</v>
      </c>
      <c r="Q578" s="125" t="s">
        <v>4849</v>
      </c>
      <c r="R578" s="126" t="s">
        <v>84</v>
      </c>
      <c r="S578" s="131">
        <v>8</v>
      </c>
    </row>
    <row r="579" s="3" customFormat="1" ht="20" customHeight="1" spans="1:19">
      <c r="A579" s="9"/>
      <c r="B579" s="9"/>
      <c r="C579" s="27"/>
      <c r="D579" s="27"/>
      <c r="E579" s="27"/>
      <c r="F579" s="27"/>
      <c r="G579" s="27"/>
      <c r="H579" s="27"/>
      <c r="I579" s="27"/>
      <c r="J579" s="27"/>
      <c r="K579" s="27"/>
      <c r="L579" s="27"/>
      <c r="M579" s="27"/>
      <c r="N579" s="118"/>
      <c r="O579" s="115" t="s">
        <v>4409</v>
      </c>
      <c r="P579" s="27"/>
      <c r="Q579" s="125" t="s">
        <v>4410</v>
      </c>
      <c r="R579" s="126"/>
      <c r="S579" s="131">
        <v>17</v>
      </c>
    </row>
    <row r="580" s="3" customFormat="1" ht="20" customHeight="1" spans="1:19">
      <c r="A580" s="9"/>
      <c r="B580" s="9"/>
      <c r="C580" s="27"/>
      <c r="D580" s="27"/>
      <c r="E580" s="27"/>
      <c r="F580" s="27"/>
      <c r="G580" s="27"/>
      <c r="H580" s="27"/>
      <c r="I580" s="27"/>
      <c r="J580" s="27"/>
      <c r="K580" s="27"/>
      <c r="L580" s="27"/>
      <c r="M580" s="27"/>
      <c r="N580" s="118"/>
      <c r="O580" s="115" t="s">
        <v>4409</v>
      </c>
      <c r="P580" s="27"/>
      <c r="Q580" s="125" t="s">
        <v>4410</v>
      </c>
      <c r="R580" s="126"/>
      <c r="S580" s="131">
        <v>20</v>
      </c>
    </row>
    <row r="581" s="3" customFormat="1" ht="20" customHeight="1" spans="1:19">
      <c r="A581" s="9"/>
      <c r="B581" s="9"/>
      <c r="C581" s="27"/>
      <c r="D581" s="27"/>
      <c r="E581" s="27"/>
      <c r="F581" s="27"/>
      <c r="G581" s="27"/>
      <c r="H581" s="27"/>
      <c r="I581" s="27"/>
      <c r="J581" s="27"/>
      <c r="K581" s="27"/>
      <c r="L581" s="27"/>
      <c r="M581" s="27"/>
      <c r="N581" s="118"/>
      <c r="O581" s="115" t="s">
        <v>4409</v>
      </c>
      <c r="P581" s="27"/>
      <c r="Q581" s="125" t="s">
        <v>4410</v>
      </c>
      <c r="R581" s="126"/>
      <c r="S581" s="131">
        <v>29</v>
      </c>
    </row>
    <row r="582" s="3" customFormat="1" ht="20" customHeight="1" spans="1:19">
      <c r="A582" s="166" t="s">
        <v>1143</v>
      </c>
      <c r="B582" s="166" t="s">
        <v>165</v>
      </c>
      <c r="C582" s="162" t="s">
        <v>1144</v>
      </c>
      <c r="D582" s="162" t="s">
        <v>384</v>
      </c>
      <c r="E582" s="162" t="s">
        <v>23</v>
      </c>
      <c r="F582" s="27">
        <v>202101025</v>
      </c>
      <c r="G582" s="162" t="s">
        <v>157</v>
      </c>
      <c r="H582" s="162" t="s">
        <v>1146</v>
      </c>
      <c r="I582" s="162" t="s">
        <v>1147</v>
      </c>
      <c r="J582" s="162" t="s">
        <v>170</v>
      </c>
      <c r="K582" s="162" t="s">
        <v>455</v>
      </c>
      <c r="L582" s="162" t="s">
        <v>1148</v>
      </c>
      <c r="M582" s="162" t="s">
        <v>1149</v>
      </c>
      <c r="N582" s="118" t="str">
        <f>_xlfn.DISPIMG("ID_0415E10C85C94C988A22FA5D4842DE09",1)</f>
        <v>=DISPIMG("ID_0415E10C85C94C988A22FA5D4842DE09",1)</v>
      </c>
      <c r="O582" s="115" t="s">
        <v>1150</v>
      </c>
      <c r="P582" s="27">
        <v>120</v>
      </c>
      <c r="Q582" s="125" t="s">
        <v>4850</v>
      </c>
      <c r="R582" s="126" t="s">
        <v>84</v>
      </c>
      <c r="S582" s="131">
        <v>4</v>
      </c>
    </row>
    <row r="583" s="3" customFormat="1" ht="20" customHeight="1" spans="1:19">
      <c r="A583" s="9"/>
      <c r="B583" s="9"/>
      <c r="C583" s="27"/>
      <c r="D583" s="27"/>
      <c r="E583" s="27"/>
      <c r="F583" s="27"/>
      <c r="G583" s="27"/>
      <c r="H583" s="27"/>
      <c r="I583" s="27"/>
      <c r="J583" s="27"/>
      <c r="K583" s="27"/>
      <c r="L583" s="27"/>
      <c r="M583" s="27"/>
      <c r="N583" s="118"/>
      <c r="O583" s="115" t="s">
        <v>4409</v>
      </c>
      <c r="P583" s="27"/>
      <c r="Q583" s="125" t="s">
        <v>4410</v>
      </c>
      <c r="R583" s="126"/>
      <c r="S583" s="131">
        <v>9</v>
      </c>
    </row>
    <row r="584" s="3" customFormat="1" ht="20" customHeight="1" spans="1:19">
      <c r="A584" s="9"/>
      <c r="B584" s="9"/>
      <c r="C584" s="27"/>
      <c r="D584" s="27"/>
      <c r="E584" s="27"/>
      <c r="F584" s="27"/>
      <c r="G584" s="27"/>
      <c r="H584" s="27"/>
      <c r="I584" s="27"/>
      <c r="J584" s="27"/>
      <c r="K584" s="27"/>
      <c r="L584" s="27"/>
      <c r="M584" s="27"/>
      <c r="N584" s="118"/>
      <c r="O584" s="115" t="s">
        <v>4409</v>
      </c>
      <c r="P584" s="27"/>
      <c r="Q584" s="125" t="s">
        <v>4410</v>
      </c>
      <c r="R584" s="126"/>
      <c r="S584" s="131">
        <v>16</v>
      </c>
    </row>
    <row r="585" s="3" customFormat="1" ht="20" customHeight="1" spans="1:19">
      <c r="A585" s="9"/>
      <c r="B585" s="9"/>
      <c r="C585" s="27"/>
      <c r="D585" s="27"/>
      <c r="E585" s="27"/>
      <c r="F585" s="27"/>
      <c r="G585" s="27"/>
      <c r="H585" s="27"/>
      <c r="I585" s="27"/>
      <c r="J585" s="27"/>
      <c r="K585" s="27"/>
      <c r="L585" s="27"/>
      <c r="M585" s="27"/>
      <c r="N585" s="118"/>
      <c r="O585" s="115" t="s">
        <v>4409</v>
      </c>
      <c r="P585" s="27"/>
      <c r="Q585" s="125" t="s">
        <v>4410</v>
      </c>
      <c r="R585" s="126"/>
      <c r="S585" s="131">
        <v>21</v>
      </c>
    </row>
    <row r="586" s="3" customFormat="1" ht="20" customHeight="1" spans="1:19">
      <c r="A586" s="9"/>
      <c r="B586" s="9"/>
      <c r="C586" s="27"/>
      <c r="D586" s="27"/>
      <c r="E586" s="27"/>
      <c r="F586" s="27"/>
      <c r="G586" s="27"/>
      <c r="H586" s="27"/>
      <c r="I586" s="27"/>
      <c r="J586" s="27"/>
      <c r="K586" s="27"/>
      <c r="L586" s="27"/>
      <c r="M586" s="27"/>
      <c r="N586" s="118"/>
      <c r="O586" s="115" t="s">
        <v>4409</v>
      </c>
      <c r="P586" s="27"/>
      <c r="Q586" s="125" t="s">
        <v>4410</v>
      </c>
      <c r="R586" s="126"/>
      <c r="S586" s="131">
        <v>28</v>
      </c>
    </row>
    <row r="587" s="3" customFormat="1" ht="20" customHeight="1" spans="1:19">
      <c r="A587" s="166" t="s">
        <v>2036</v>
      </c>
      <c r="B587" s="166" t="s">
        <v>165</v>
      </c>
      <c r="C587" s="162" t="s">
        <v>2037</v>
      </c>
      <c r="D587" s="162" t="s">
        <v>297</v>
      </c>
      <c r="E587" s="162" t="s">
        <v>23</v>
      </c>
      <c r="F587" s="27">
        <v>202101031</v>
      </c>
      <c r="G587" s="162" t="s">
        <v>157</v>
      </c>
      <c r="H587" s="162" t="s">
        <v>2039</v>
      </c>
      <c r="I587" s="162" t="s">
        <v>1147</v>
      </c>
      <c r="J587" s="162" t="s">
        <v>170</v>
      </c>
      <c r="K587" s="162" t="s">
        <v>368</v>
      </c>
      <c r="L587" s="162" t="s">
        <v>23</v>
      </c>
      <c r="M587" s="162" t="s">
        <v>2040</v>
      </c>
      <c r="N587" s="118" t="str">
        <f>_xlfn.DISPIMG("ID_99E16B0934D843998C9152B322CD2339",1)</f>
        <v>=DISPIMG("ID_99E16B0934D843998C9152B322CD2339",1)</v>
      </c>
      <c r="O587" s="115" t="s">
        <v>2041</v>
      </c>
      <c r="P587" s="27">
        <v>237</v>
      </c>
      <c r="Q587" s="125" t="s">
        <v>4851</v>
      </c>
      <c r="R587" s="126" t="s">
        <v>84</v>
      </c>
      <c r="S587" s="131">
        <v>3</v>
      </c>
    </row>
    <row r="588" s="3" customFormat="1" ht="20" customHeight="1" spans="1:19">
      <c r="A588" s="9"/>
      <c r="B588" s="9"/>
      <c r="C588" s="27"/>
      <c r="D588" s="27"/>
      <c r="E588" s="27"/>
      <c r="F588" s="27"/>
      <c r="G588" s="27"/>
      <c r="H588" s="27"/>
      <c r="I588" s="27"/>
      <c r="J588" s="27"/>
      <c r="K588" s="27"/>
      <c r="L588" s="27"/>
      <c r="M588" s="27"/>
      <c r="N588" s="118"/>
      <c r="O588" s="115" t="s">
        <v>4409</v>
      </c>
      <c r="P588" s="127"/>
      <c r="Q588" s="125" t="s">
        <v>4410</v>
      </c>
      <c r="R588" s="126"/>
      <c r="S588" s="131">
        <v>10</v>
      </c>
    </row>
    <row r="589" s="3" customFormat="1" ht="20" customHeight="1" spans="1:19">
      <c r="A589" s="9"/>
      <c r="B589" s="9"/>
      <c r="C589" s="27"/>
      <c r="D589" s="27"/>
      <c r="E589" s="27"/>
      <c r="F589" s="27"/>
      <c r="G589" s="27"/>
      <c r="H589" s="27"/>
      <c r="I589" s="27"/>
      <c r="J589" s="27"/>
      <c r="K589" s="27"/>
      <c r="L589" s="27"/>
      <c r="M589" s="27"/>
      <c r="N589" s="118"/>
      <c r="O589" s="115" t="s">
        <v>4409</v>
      </c>
      <c r="P589" s="127"/>
      <c r="Q589" s="125" t="s">
        <v>4410</v>
      </c>
      <c r="R589" s="126"/>
      <c r="S589" s="131">
        <v>15</v>
      </c>
    </row>
    <row r="590" s="3" customFormat="1" ht="20" customHeight="1" spans="1:19">
      <c r="A590" s="9"/>
      <c r="B590" s="9"/>
      <c r="C590" s="27"/>
      <c r="D590" s="27"/>
      <c r="E590" s="27"/>
      <c r="F590" s="27"/>
      <c r="G590" s="27"/>
      <c r="H590" s="27"/>
      <c r="I590" s="27"/>
      <c r="J590" s="27"/>
      <c r="K590" s="27"/>
      <c r="L590" s="27"/>
      <c r="M590" s="27"/>
      <c r="N590" s="118"/>
      <c r="O590" s="115" t="s">
        <v>4409</v>
      </c>
      <c r="P590" s="127"/>
      <c r="Q590" s="125" t="s">
        <v>4410</v>
      </c>
      <c r="R590" s="126"/>
      <c r="S590" s="131">
        <v>22</v>
      </c>
    </row>
    <row r="591" s="3" customFormat="1" ht="20" customHeight="1" spans="1:19">
      <c r="A591" s="9"/>
      <c r="B591" s="9"/>
      <c r="C591" s="27"/>
      <c r="D591" s="27"/>
      <c r="E591" s="27"/>
      <c r="F591" s="27"/>
      <c r="G591" s="27"/>
      <c r="H591" s="27"/>
      <c r="I591" s="27"/>
      <c r="J591" s="27"/>
      <c r="K591" s="27"/>
      <c r="L591" s="27"/>
      <c r="M591" s="27"/>
      <c r="N591" s="118"/>
      <c r="O591" s="115" t="s">
        <v>4409</v>
      </c>
      <c r="P591" s="127"/>
      <c r="Q591" s="125" t="s">
        <v>4410</v>
      </c>
      <c r="R591" s="126"/>
      <c r="S591" s="131">
        <v>27</v>
      </c>
    </row>
    <row r="592" s="3" customFormat="1" ht="20" customHeight="1" spans="1:19">
      <c r="A592" s="166" t="s">
        <v>4028</v>
      </c>
      <c r="B592" s="166" t="s">
        <v>165</v>
      </c>
      <c r="C592" s="162" t="s">
        <v>4029</v>
      </c>
      <c r="D592" s="162" t="s">
        <v>384</v>
      </c>
      <c r="E592" s="162" t="s">
        <v>23</v>
      </c>
      <c r="F592" s="27">
        <v>202101025</v>
      </c>
      <c r="G592" s="162" t="s">
        <v>157</v>
      </c>
      <c r="H592" s="162" t="s">
        <v>3737</v>
      </c>
      <c r="I592" s="162" t="s">
        <v>1616</v>
      </c>
      <c r="J592" s="162" t="s">
        <v>170</v>
      </c>
      <c r="K592" s="162" t="s">
        <v>235</v>
      </c>
      <c r="L592" s="162" t="s">
        <v>4031</v>
      </c>
      <c r="M592" s="162" t="s">
        <v>4032</v>
      </c>
      <c r="N592" s="118" t="str">
        <f>_xlfn.DISPIMG("ID_4D845800D3864A2B99D106DDD9FD3F5D",1)</f>
        <v>=DISPIMG("ID_4D845800D3864A2B99D106DDD9FD3F5D",1)</v>
      </c>
      <c r="O592" s="115" t="s">
        <v>4033</v>
      </c>
      <c r="P592" s="127">
        <v>515</v>
      </c>
      <c r="Q592" s="125" t="s">
        <v>4852</v>
      </c>
      <c r="R592" s="126" t="s">
        <v>84</v>
      </c>
      <c r="S592" s="131">
        <v>2</v>
      </c>
    </row>
    <row r="593" s="3" customFormat="1" ht="20" customHeight="1" spans="1:19">
      <c r="A593" s="9"/>
      <c r="B593" s="9"/>
      <c r="C593" s="27"/>
      <c r="D593" s="27"/>
      <c r="E593" s="27"/>
      <c r="F593" s="27"/>
      <c r="G593" s="27"/>
      <c r="H593" s="27"/>
      <c r="I593" s="27"/>
      <c r="J593" s="27"/>
      <c r="K593" s="27"/>
      <c r="L593" s="27"/>
      <c r="M593" s="27"/>
      <c r="N593" s="118"/>
      <c r="O593" s="115" t="s">
        <v>4409</v>
      </c>
      <c r="P593" s="127"/>
      <c r="Q593" s="125" t="s">
        <v>4410</v>
      </c>
      <c r="R593" s="126"/>
      <c r="S593" s="131">
        <v>11</v>
      </c>
    </row>
    <row r="594" s="3" customFormat="1" ht="20" customHeight="1" spans="1:19">
      <c r="A594" s="9"/>
      <c r="B594" s="9"/>
      <c r="C594" s="27"/>
      <c r="D594" s="27"/>
      <c r="E594" s="27"/>
      <c r="F594" s="27"/>
      <c r="G594" s="27"/>
      <c r="H594" s="27"/>
      <c r="I594" s="27"/>
      <c r="J594" s="27"/>
      <c r="K594" s="27"/>
      <c r="L594" s="27"/>
      <c r="M594" s="27"/>
      <c r="N594" s="118"/>
      <c r="O594" s="115" t="s">
        <v>4409</v>
      </c>
      <c r="P594" s="127"/>
      <c r="Q594" s="125" t="s">
        <v>4410</v>
      </c>
      <c r="R594" s="126"/>
      <c r="S594" s="131">
        <v>14</v>
      </c>
    </row>
    <row r="595" s="3" customFormat="1" ht="20" customHeight="1" spans="1:19">
      <c r="A595" s="9"/>
      <c r="B595" s="9"/>
      <c r="C595" s="27"/>
      <c r="D595" s="27"/>
      <c r="E595" s="27"/>
      <c r="F595" s="27"/>
      <c r="G595" s="27"/>
      <c r="H595" s="27"/>
      <c r="I595" s="27"/>
      <c r="J595" s="27"/>
      <c r="K595" s="27"/>
      <c r="L595" s="27"/>
      <c r="M595" s="27"/>
      <c r="N595" s="118"/>
      <c r="O595" s="115" t="s">
        <v>4409</v>
      </c>
      <c r="P595" s="127"/>
      <c r="Q595" s="125" t="s">
        <v>4410</v>
      </c>
      <c r="R595" s="126"/>
      <c r="S595" s="131">
        <v>23</v>
      </c>
    </row>
    <row r="596" s="3" customFormat="1" ht="20" customHeight="1" spans="1:19">
      <c r="A596" s="9"/>
      <c r="B596" s="9"/>
      <c r="C596" s="27"/>
      <c r="D596" s="27"/>
      <c r="E596" s="27"/>
      <c r="F596" s="27"/>
      <c r="G596" s="27"/>
      <c r="H596" s="27"/>
      <c r="I596" s="27"/>
      <c r="J596" s="27"/>
      <c r="K596" s="27"/>
      <c r="L596" s="27"/>
      <c r="M596" s="27"/>
      <c r="N596" s="118"/>
      <c r="O596" s="115" t="s">
        <v>4409</v>
      </c>
      <c r="P596" s="127"/>
      <c r="Q596" s="125" t="s">
        <v>4410</v>
      </c>
      <c r="R596" s="126"/>
      <c r="S596" s="131">
        <v>26</v>
      </c>
    </row>
    <row r="597" s="3" customFormat="1" ht="20" customHeight="1" spans="1:19">
      <c r="A597" s="168" t="s">
        <v>4051</v>
      </c>
      <c r="B597" s="168" t="s">
        <v>153</v>
      </c>
      <c r="C597" s="169" t="s">
        <v>4052</v>
      </c>
      <c r="D597" s="169" t="s">
        <v>384</v>
      </c>
      <c r="E597" s="169" t="s">
        <v>23</v>
      </c>
      <c r="F597" s="135">
        <v>202101025</v>
      </c>
      <c r="G597" s="169" t="s">
        <v>157</v>
      </c>
      <c r="H597" s="169" t="s">
        <v>269</v>
      </c>
      <c r="I597" s="169" t="s">
        <v>1147</v>
      </c>
      <c r="J597" s="169" t="s">
        <v>170</v>
      </c>
      <c r="K597" s="169" t="s">
        <v>235</v>
      </c>
      <c r="L597" s="169" t="s">
        <v>4053</v>
      </c>
      <c r="M597" s="169" t="s">
        <v>4054</v>
      </c>
      <c r="N597" s="137" t="str">
        <f>_xlfn.DISPIMG("ID_D924765B597248FDA57FB5DFF006BD17",1)</f>
        <v>=DISPIMG("ID_D924765B597248FDA57FB5DFF006BD17",1)</v>
      </c>
      <c r="O597" s="138" t="s">
        <v>4055</v>
      </c>
      <c r="P597" s="139">
        <v>518</v>
      </c>
      <c r="Q597" s="140" t="s">
        <v>4853</v>
      </c>
      <c r="R597" s="141" t="s">
        <v>84</v>
      </c>
      <c r="S597" s="142">
        <v>1</v>
      </c>
    </row>
    <row r="598" ht="20" customHeight="1" spans="1:19">
      <c r="A598" s="78"/>
      <c r="B598" s="78"/>
      <c r="C598" s="1"/>
      <c r="D598" s="1"/>
      <c r="E598" s="1"/>
      <c r="F598" s="136"/>
      <c r="G598" s="136"/>
      <c r="H598" s="136"/>
      <c r="I598" s="136"/>
      <c r="J598" s="136"/>
      <c r="K598" s="136"/>
      <c r="L598" s="136"/>
      <c r="M598" s="136"/>
      <c r="N598" s="1"/>
      <c r="O598" s="115" t="s">
        <v>4409</v>
      </c>
      <c r="P598" s="1"/>
      <c r="Q598" s="125" t="s">
        <v>4410</v>
      </c>
      <c r="R598" s="1"/>
      <c r="S598" s="143">
        <v>12</v>
      </c>
    </row>
    <row r="599" ht="20" customHeight="1" spans="1:19">
      <c r="A599" s="78"/>
      <c r="B599" s="78"/>
      <c r="C599" s="1"/>
      <c r="D599" s="1"/>
      <c r="E599" s="1"/>
      <c r="F599" s="136"/>
      <c r="G599" s="136"/>
      <c r="H599" s="136"/>
      <c r="I599" s="136"/>
      <c r="J599" s="136"/>
      <c r="K599" s="136"/>
      <c r="L599" s="136"/>
      <c r="M599" s="136"/>
      <c r="N599" s="1"/>
      <c r="O599" s="115" t="s">
        <v>4409</v>
      </c>
      <c r="P599" s="1"/>
      <c r="Q599" s="125" t="s">
        <v>4410</v>
      </c>
      <c r="R599" s="1"/>
      <c r="S599" s="143">
        <v>13</v>
      </c>
    </row>
    <row r="600" ht="20" customHeight="1" spans="1:19">
      <c r="A600" s="78"/>
      <c r="B600" s="78"/>
      <c r="C600" s="1"/>
      <c r="D600" s="1"/>
      <c r="E600" s="1"/>
      <c r="F600" s="136"/>
      <c r="G600" s="136"/>
      <c r="H600" s="136"/>
      <c r="I600" s="136"/>
      <c r="J600" s="136"/>
      <c r="K600" s="136"/>
      <c r="L600" s="136"/>
      <c r="M600" s="136"/>
      <c r="N600" s="1"/>
      <c r="O600" s="115" t="s">
        <v>4409</v>
      </c>
      <c r="P600" s="1"/>
      <c r="Q600" s="125" t="s">
        <v>4410</v>
      </c>
      <c r="R600" s="1"/>
      <c r="S600" s="143">
        <v>24</v>
      </c>
    </row>
    <row r="601" ht="20" customHeight="1" spans="1:19">
      <c r="A601" s="78"/>
      <c r="B601" s="78"/>
      <c r="C601" s="1"/>
      <c r="D601" s="1"/>
      <c r="E601" s="1"/>
      <c r="F601" s="136"/>
      <c r="G601" s="136"/>
      <c r="H601" s="136"/>
      <c r="I601" s="136"/>
      <c r="J601" s="136"/>
      <c r="K601" s="136"/>
      <c r="L601" s="136"/>
      <c r="M601" s="136"/>
      <c r="N601" s="1"/>
      <c r="O601" s="115" t="s">
        <v>4409</v>
      </c>
      <c r="P601" s="1"/>
      <c r="Q601" s="125" t="s">
        <v>4410</v>
      </c>
      <c r="R601" s="1"/>
      <c r="S601" s="143">
        <v>25</v>
      </c>
    </row>
  </sheetData>
  <sheetProtection formatCells="0" insertHyperlinks="0" autoFilter="0"/>
  <autoFilter ref="A1:XFD601">
    <extLst/>
  </autoFilter>
  <sortState ref="92:120">
    <sortCondition ref="Q92:Q120"/>
  </sortState>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6 "   i n t e r l i n e O n O f f = " 0 "   i n t e r l i n e C o l o r = " 0 "   i s D b S h e e t = " 0 " / > < w o S h e e t P r o p s   s h e e t S t i d = " 1 5 "   i n t e r l i n e O n O f f = " 0 "   i n t e r l i n e C o l o r = " 0 "   i s D b S h e e t = " 0 " / > < w o S h e e t P r o p s   s h e e t S t i d = " 1 0 "   i n t e r l i n e O n O f f = " 0 "   i n t e r l i n e C o l o r = " 0 "   i s D b S h e e t = " 0 " / > < w o S h e e t P r o p s   s h e e t S t i d = " 1 1 "   i n t e r l i n e O n O f f = " 0 "   i n t e r l i n e C o l o r = " 0 "   i s D b S h e e t = " 0 " / > < w o S h e e t P r o p s   s h e e t S t i d = " 1 9 "   i n t e r l i n e O n O f f = " 0 "   i n t e r l i n e C o l o r = " 0 "   i s D b S h e e t = " 0 " / > < w o S h e e t P r o p s   s h e e t S t i d = " 2 1 "   i n t e r l i n e O n O f f = " 0 "   i n t e r l i n e C o l o r = " 0 "   i s D b S h e e t = " 0 " / > < w o S h e e t P r o p s   s h e e t S t i d = " 1 "   i n t e r l i n e O n O f f = " 0 "   i n t e r l i n e C o l o r = " 0 "   i s D b S h e e t = " 0 " / > < w o S h e e t P r o p s   s h e e t S t i d = " 5 "   i n t e r l i n e O n O f f = " 0 "   i n t e r l i n e C o l o r = " 0 "   i s D b S h e e t = " 0 " / > < w o S h e e t P r o p s   s h e e t S t i d = " 7 "   i n t e r l i n e O n O f f = " 0 "   i n t e r l i n e C o l o r = " 0 "   i s D b S h e e t = " 0 " / > < w o S h e e t P r o p s   s h e e t S t i d = " 9 "   i n t e r l i n e O n O f f = " 0 "   i n t e r l i n e C o l o r = " 0 "   i s D b S h e e t = " 0 " / > < w o S h e e t P r o p s   s h e e t S t i d = " 1 2 "   i n t e r l i n e O n O f f = " 0 "   i n t e r l i n e C o l o r = " 0 "   i s D b S h e e t = " 0 " / > < w o S h e e t P r o p s   s h e e t S t i d = " 2 0 "   i n t e r l i n e O n O f f = " 0 "   i n t e r l i n e C o l o r = " 0 "   i s D b S h e e t = " 0 " / > < w o S h e e t P r o p s   s h e e t S t i d = " 1 6 "   i n t e r l i n e O n O f f = " 0 "   i n t e r l i n e C o l o r = " 0 "   i s D b S h e e t = " 0 " / > < w o S h e e t P r o p s   s h e e t S t i d = " 1 8 "   i n t e r l i n e O n O f f = " 0 "   i n t e r l i n e C o l o r = " 0 "   i s D b S h e e t = " 0 " / > < w o S h e e t P r o p s   s h e e t S t i d = " 1 7 "   i n t e r l i n e O n O f f = " 0 "   i n t e r l i n e C o l o r = " 0 "   i s D b S h e e t = " 0 " / > < w o S h e e t P r o p s   s h e e t S t i d = " 2 2 "   i n t e r l i n e O n O f f = " 0 "   i n t e r l i n e C o l o r = " 0 "   i s D b S h e e t = " 0 " / > < w o S h e e t P r o p s   s h e e t S t i d = " 2 3 "   i n t e r l i n e O n O f f = " 0 "   i n t e r l i n e C o l o r = " 0 "   i s D b S h e e t = " 0 " / > < w o S h e e t P r o p s   s h e e t S t i d = " 1 4 "   i n t e r l i n e O n O f f = " 0 "   i n t e r l i n e C o l o r = " 0 "   i s D b S h e e t = " 0 " / > < w o S h e e t P r o p s   s h e e t S t i d = " 8 " 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6 " / > < p i x e l a t o r L i s t   s h e e t S t i d = " 1 5 " / > < p i x e l a t o r L i s t   s h e e t S t i d = " 1 0 " / > < p i x e l a t o r L i s t   s h e e t S t i d = " 1 1 " / > < p i x e l a t o r L i s t   s h e e t S t i d = " 1 9 " / > < p i x e l a t o r L i s t   s h e e t S t i d = " 2 1 " / > < p i x e l a t o r L i s t   s h e e t S t i d = " 1 " / > < p i x e l a t o r L i s t   s h e e t S t i d = " 5 " / > < p i x e l a t o r L i s t   s h e e t S t i d = " 7 " / > < p i x e l a t o r L i s t   s h e e t S t i d = " 9 " / > < p i x e l a t o r L i s t   s h e e t S t i d = " 1 2 " / > < p i x e l a t o r L i s t   s h e e t S t i d = " 2 0 " / > < p i x e l a t o r L i s t   s h e e t S t i d = " 1 6 " / > < p i x e l a t o r L i s t   s h e e t S t i d = " 1 8 " / > < p i x e l a t o r L i s t   s h e e t S t i d = " 1 7 " / > < p i x e l a t o r L i s t   s h e e t S t i d = " 2 2 " / > < p i x e l a t o r L i s t   s h e e t S t i d = " 2 3 " / > < p i x e l a t o r L i s t   s h e e t S t i d = " 1 4 " / > < p i x e l a t o r L i s t   s h e e t S t i d = " 8 " / > < 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WWO_wpscloud_20210625114210-c99a9d355c</Application>
  <HeadingPairs>
    <vt:vector size="2" baseType="variant">
      <vt:variant>
        <vt:lpstr>工作表</vt:lpstr>
      </vt:variant>
      <vt:variant>
        <vt:i4>21</vt:i4>
      </vt:variant>
    </vt:vector>
  </HeadingPairs>
  <TitlesOfParts>
    <vt:vector size="21" baseType="lpstr">
      <vt:lpstr>导出计数_报考学科</vt:lpstr>
      <vt:lpstr>导出计数_报考学科_2</vt:lpstr>
      <vt:lpstr>考场统计</vt:lpstr>
      <vt:lpstr>试卷统计</vt:lpstr>
      <vt:lpstr>阅卷老师选派安排</vt:lpstr>
      <vt:lpstr>外联试卷明细表</vt:lpstr>
      <vt:lpstr>原始</vt:lpstr>
      <vt:lpstr>有效人</vt:lpstr>
      <vt:lpstr>座位表（含错报人）</vt:lpstr>
      <vt:lpstr>准考证（含错报人）</vt:lpstr>
      <vt:lpstr>准考证</vt:lpstr>
      <vt:lpstr>笔试公告附件</vt:lpstr>
      <vt:lpstr>领准考证登记表</vt:lpstr>
      <vt:lpstr>考场查询表</vt:lpstr>
      <vt:lpstr>登分表</vt:lpstr>
      <vt:lpstr>笔试入闱</vt:lpstr>
      <vt:lpstr>面试成绩</vt:lpstr>
      <vt:lpstr>笔试公示</vt:lpstr>
      <vt:lpstr>座位表</vt:lpstr>
      <vt:lpstr>测试用</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ranpeng</dc:creator>
  <cp:lastModifiedBy>Rua！！</cp:lastModifiedBy>
  <dcterms:created xsi:type="dcterms:W3CDTF">2018-06-10T00:28:00Z</dcterms:created>
  <dcterms:modified xsi:type="dcterms:W3CDTF">2023-08-16T10:22:13Z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E32D4F8CF2324EB6B18EEB8776DFAEA2_13</vt:lpwstr>
  </property>
  <property fmtid="{D5CDD505-2E9C-101B-9397-08002B2CF9AE}" pid="4" name="KSOReadingLayout">
    <vt:bool>true</vt:bool>
  </property>
</Properties>
</file>